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corporativo\sgt\REAJUSTE\Permissionárias de Distribuição\2022\05- MAIO\01 - CEMIRIM (DVT)\Estrutura\"/>
    </mc:Choice>
  </mc:AlternateContent>
  <xr:revisionPtr revIDLastSave="0" documentId="13_ncr:1_{3E6189B3-BD5E-4C56-A017-E8B25BCFE2A3}" xr6:coauthVersionLast="47" xr6:coauthVersionMax="47" xr10:uidLastSave="{00000000-0000-0000-0000-000000000000}"/>
  <bookViews>
    <workbookView xWindow="-120" yWindow="-120" windowWidth="29040" windowHeight="15840" firstSheet="19" activeTab="29" xr2:uid="{78A15BD4-00DA-4A16-B87A-F96B23DC5BA7}"/>
  </bookViews>
  <sheets>
    <sheet name="Mercado_Receita" sheetId="1" r:id="rId1"/>
    <sheet name="EVENTOS" sheetId="2" r:id="rId2"/>
    <sheet name="TAR FIN" sheetId="36" r:id="rId3"/>
    <sheet name="MERCADO TUSD" sheetId="3" r:id="rId4"/>
    <sheet name="MERCADO TE" sheetId="4" r:id="rId5"/>
    <sheet name="CUSTOS" sheetId="5" r:id="rId6"/>
    <sheet name="TRANSICAO" sheetId="35" r:id="rId7"/>
    <sheet name="TR TUSD" sheetId="27" r:id="rId8"/>
    <sheet name="TUSD BE" sheetId="28" r:id="rId9"/>
    <sheet name="TUSD BF" sheetId="29" r:id="rId10"/>
    <sheet name="TUSD CVA" sheetId="30" r:id="rId11"/>
    <sheet name="TR TE" sheetId="31" r:id="rId12"/>
    <sheet name="TE BE" sheetId="32" r:id="rId13"/>
    <sheet name="TE BF" sheetId="33" r:id="rId14"/>
    <sheet name="TE CVA" sheetId="34" r:id="rId15"/>
    <sheet name="EFEITO" sheetId="37" r:id="rId16"/>
    <sheet name="SUBSIDIO" sheetId="38" r:id="rId17"/>
    <sheet name="TabDinEfeito" sheetId="39" r:id="rId18"/>
    <sheet name="TabDinSubsidio" sheetId="40" r:id="rId19"/>
    <sheet name="TABELAS REH" sheetId="48" r:id="rId20"/>
    <sheet name="CONSISTENCIA" sheetId="41" r:id="rId21"/>
    <sheet name="TUSD" sheetId="43" r:id="rId22"/>
    <sheet name="TE" sheetId="44" r:id="rId23"/>
    <sheet name="RESUMO TUSD" sheetId="45" r:id="rId24"/>
    <sheet name="RESUMO TE" sheetId="46" r:id="rId25"/>
    <sheet name="Descontos" sheetId="20" r:id="rId26"/>
    <sheet name="ERD" sheetId="47" r:id="rId27"/>
    <sheet name="TA - Aplicação" sheetId="49" r:id="rId28"/>
    <sheet name="TA - BE" sheetId="50" r:id="rId29"/>
    <sheet name="TA - CVA" sheetId="51" r:id="rId30"/>
  </sheets>
  <definedNames>
    <definedName name="DadosExternos_1" localSheetId="27" hidden="1">'TA - Aplicação'!$B$3:$AQ$49</definedName>
    <definedName name="DadosExternos_1" localSheetId="28" hidden="1">'TA - BE'!$B$3:$AQ$49</definedName>
    <definedName name="DadosExternos_1" localSheetId="29" hidden="1">'TA - CVA'!$B$3:$AQ$49</definedName>
  </definedNames>
  <calcPr calcId="191029" iterate="1"/>
  <pivotCaches>
    <pivotCache cacheId="0" r:id="rId31"/>
    <pivotCache cacheId="1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3" i="48" l="1"/>
  <c r="V32" i="48"/>
  <c r="V31" i="48"/>
  <c r="V30" i="48"/>
  <c r="V29" i="48"/>
  <c r="V28" i="48"/>
  <c r="V27" i="48"/>
  <c r="V26" i="48"/>
  <c r="V21" i="48"/>
  <c r="V16" i="48"/>
  <c r="V25" i="48"/>
  <c r="V20" i="48"/>
  <c r="V15" i="48"/>
  <c r="V24" i="48"/>
  <c r="V23" i="48"/>
  <c r="V22" i="48"/>
  <c r="V19" i="48"/>
  <c r="V18" i="48"/>
  <c r="V17" i="48"/>
  <c r="V14" i="48"/>
  <c r="V13" i="48"/>
  <c r="V12" i="48"/>
  <c r="V11" i="48"/>
  <c r="V9" i="48"/>
  <c r="V10" i="48"/>
  <c r="V8" i="48"/>
  <c r="V7" i="48"/>
  <c r="V6" i="48"/>
  <c r="V5" i="48"/>
  <c r="J11" i="48"/>
  <c r="J10" i="48"/>
  <c r="J6" i="48"/>
  <c r="J5" i="48"/>
  <c r="I3" i="47"/>
  <c r="B2" i="47"/>
  <c r="C2" i="47"/>
  <c r="D2" i="47"/>
  <c r="E2" i="47"/>
  <c r="F2" i="47"/>
  <c r="G2" i="47"/>
  <c r="H2" i="47"/>
  <c r="I2" i="47"/>
  <c r="J2" i="47"/>
  <c r="K2" i="47"/>
  <c r="L2" i="47"/>
  <c r="B11" i="47"/>
  <c r="K5" i="46" l="1"/>
  <c r="J5" i="46"/>
  <c r="I5" i="46"/>
  <c r="H5" i="46"/>
  <c r="G5" i="46"/>
  <c r="F5" i="46"/>
  <c r="E5" i="46"/>
  <c r="D5" i="46"/>
  <c r="C5" i="46"/>
  <c r="B5" i="46"/>
  <c r="I2" i="46"/>
  <c r="W5" i="45"/>
  <c r="V5" i="45"/>
  <c r="U5" i="45"/>
  <c r="T5" i="45"/>
  <c r="S5" i="45"/>
  <c r="R5" i="45"/>
  <c r="Q5" i="45"/>
  <c r="P5" i="45"/>
  <c r="O5" i="45"/>
  <c r="N5" i="45"/>
  <c r="M5" i="45"/>
  <c r="L5" i="45"/>
  <c r="K5" i="45"/>
  <c r="J5" i="45"/>
  <c r="I5" i="45"/>
  <c r="H5" i="45"/>
  <c r="G5" i="45"/>
  <c r="F5" i="45"/>
  <c r="E5" i="45"/>
  <c r="D5" i="45"/>
  <c r="C5" i="45"/>
  <c r="B5" i="45"/>
  <c r="I2" i="45"/>
  <c r="AE13" i="41"/>
  <c r="AD13" i="41"/>
  <c r="AC13" i="41"/>
  <c r="AB13" i="41"/>
  <c r="AA13" i="41"/>
  <c r="W13" i="41"/>
  <c r="V13" i="41"/>
  <c r="U13" i="41"/>
  <c r="AI13" i="41" s="1"/>
  <c r="T13" i="41"/>
  <c r="S13" i="41"/>
  <c r="Y13" i="41" s="1"/>
  <c r="AG13" i="41" s="1"/>
  <c r="R13" i="41"/>
  <c r="X13" i="41" s="1"/>
  <c r="AF13" i="41" s="1"/>
  <c r="AE12" i="41"/>
  <c r="AD12" i="41"/>
  <c r="AE8" i="41"/>
  <c r="AD8" i="41"/>
  <c r="AC8" i="41"/>
  <c r="AB8" i="41"/>
  <c r="AA8" i="41"/>
  <c r="W8" i="41"/>
  <c r="V8" i="41"/>
  <c r="U8" i="41"/>
  <c r="AI8" i="41" s="1"/>
  <c r="T8" i="41"/>
  <c r="S8" i="41"/>
  <c r="R8" i="41"/>
  <c r="X8" i="41" s="1"/>
  <c r="AF8" i="41" s="1"/>
  <c r="AE6" i="41"/>
  <c r="AD6" i="41"/>
  <c r="AC6" i="41"/>
  <c r="AB6" i="41"/>
  <c r="AA6" i="41"/>
  <c r="W6" i="41"/>
  <c r="V6" i="41"/>
  <c r="U6" i="41"/>
  <c r="T6" i="41"/>
  <c r="S6" i="41"/>
  <c r="Y6" i="41" s="1"/>
  <c r="R6" i="41"/>
  <c r="AE5" i="41"/>
  <c r="AD5" i="41"/>
  <c r="AC5" i="41"/>
  <c r="AB5" i="41"/>
  <c r="AA5" i="41"/>
  <c r="W5" i="41"/>
  <c r="V5" i="41"/>
  <c r="U5" i="41"/>
  <c r="T5" i="41"/>
  <c r="S5" i="41"/>
  <c r="R5" i="41"/>
  <c r="X5" i="41" s="1"/>
  <c r="AE4" i="41"/>
  <c r="AD4" i="41"/>
  <c r="AC4" i="41"/>
  <c r="AB4" i="41"/>
  <c r="AA4" i="41"/>
  <c r="W4" i="41"/>
  <c r="AJ4" i="41" s="1"/>
  <c r="V4" i="41"/>
  <c r="U4" i="41"/>
  <c r="T4" i="41"/>
  <c r="S4" i="41"/>
  <c r="Y4" i="41" s="1"/>
  <c r="AG4" i="41" s="1"/>
  <c r="R4" i="41"/>
  <c r="AE3" i="41"/>
  <c r="AD3" i="41"/>
  <c r="AC3" i="41"/>
  <c r="AB3" i="41"/>
  <c r="AA3" i="41"/>
  <c r="Y3" i="41"/>
  <c r="AG3" i="41" s="1"/>
  <c r="W3" i="41"/>
  <c r="V3" i="41"/>
  <c r="U3" i="41"/>
  <c r="AI3" i="41" s="1"/>
  <c r="T3" i="41"/>
  <c r="S3" i="41"/>
  <c r="R3" i="41"/>
  <c r="J730" i="41"/>
  <c r="J729" i="41"/>
  <c r="J728" i="41"/>
  <c r="J727" i="41"/>
  <c r="J726" i="41"/>
  <c r="M726" i="41" s="1"/>
  <c r="J725" i="41"/>
  <c r="J724" i="41"/>
  <c r="J723" i="41"/>
  <c r="J722" i="41"/>
  <c r="M722" i="41" s="1"/>
  <c r="J721" i="41"/>
  <c r="J720" i="41"/>
  <c r="J719" i="41"/>
  <c r="J363" i="41"/>
  <c r="J362" i="41"/>
  <c r="J361" i="41"/>
  <c r="J360" i="41"/>
  <c r="J359" i="41"/>
  <c r="J358" i="41"/>
  <c r="J357" i="41"/>
  <c r="J356" i="41"/>
  <c r="J355" i="41"/>
  <c r="J354" i="41"/>
  <c r="J353" i="41"/>
  <c r="J352" i="41"/>
  <c r="L351" i="41"/>
  <c r="K351" i="41"/>
  <c r="L350" i="41"/>
  <c r="K350" i="41"/>
  <c r="L349" i="41"/>
  <c r="K349" i="41"/>
  <c r="L348" i="41"/>
  <c r="K348" i="41"/>
  <c r="L347" i="41"/>
  <c r="K347" i="41"/>
  <c r="L346" i="41"/>
  <c r="K346" i="41"/>
  <c r="L345" i="41"/>
  <c r="K345" i="41"/>
  <c r="L344" i="41"/>
  <c r="K344" i="41"/>
  <c r="L343" i="41"/>
  <c r="K343" i="41"/>
  <c r="L342" i="41"/>
  <c r="K342" i="41"/>
  <c r="L341" i="41"/>
  <c r="K341" i="41"/>
  <c r="L340" i="41"/>
  <c r="K340" i="41"/>
  <c r="J339" i="41"/>
  <c r="J338" i="41"/>
  <c r="J337" i="41"/>
  <c r="J336" i="41"/>
  <c r="J335" i="41"/>
  <c r="J334" i="41"/>
  <c r="J333" i="41"/>
  <c r="J332" i="41"/>
  <c r="J331" i="41"/>
  <c r="J330" i="41"/>
  <c r="J329" i="41"/>
  <c r="J328" i="41"/>
  <c r="J327" i="41"/>
  <c r="J326" i="41"/>
  <c r="J325" i="41"/>
  <c r="J324" i="41"/>
  <c r="J323" i="41"/>
  <c r="J322" i="41"/>
  <c r="J321" i="41"/>
  <c r="J320" i="41"/>
  <c r="J319" i="41"/>
  <c r="J318" i="41"/>
  <c r="J317" i="41"/>
  <c r="J316" i="41"/>
  <c r="J315" i="41"/>
  <c r="J314" i="41"/>
  <c r="J313" i="41"/>
  <c r="J312" i="41"/>
  <c r="J311" i="41"/>
  <c r="J310" i="41"/>
  <c r="J309" i="41"/>
  <c r="L308" i="41"/>
  <c r="K308" i="41"/>
  <c r="L307" i="41"/>
  <c r="K307" i="41"/>
  <c r="L306" i="41"/>
  <c r="K306" i="41"/>
  <c r="L305" i="41"/>
  <c r="K305" i="41"/>
  <c r="L304" i="41"/>
  <c r="K304" i="41"/>
  <c r="L303" i="41"/>
  <c r="K303" i="41"/>
  <c r="L302" i="41"/>
  <c r="K302" i="41"/>
  <c r="L301" i="41"/>
  <c r="K301" i="41"/>
  <c r="L300" i="41"/>
  <c r="K300" i="41"/>
  <c r="L299" i="41"/>
  <c r="K299" i="41"/>
  <c r="L298" i="41"/>
  <c r="K298" i="41"/>
  <c r="L297" i="41"/>
  <c r="K297" i="41"/>
  <c r="L296" i="41"/>
  <c r="K296" i="41"/>
  <c r="L295" i="41"/>
  <c r="K295" i="41"/>
  <c r="L294" i="41"/>
  <c r="K294" i="41"/>
  <c r="L293" i="41"/>
  <c r="K293" i="41"/>
  <c r="L292" i="41"/>
  <c r="K292" i="41"/>
  <c r="L291" i="41"/>
  <c r="K291" i="41"/>
  <c r="L290" i="41"/>
  <c r="K290" i="41"/>
  <c r="L289" i="41"/>
  <c r="K289" i="41"/>
  <c r="L288" i="41"/>
  <c r="K288" i="41"/>
  <c r="L287" i="41"/>
  <c r="K287" i="41"/>
  <c r="L286" i="41"/>
  <c r="K286" i="41"/>
  <c r="J285" i="41"/>
  <c r="J284" i="41"/>
  <c r="J283" i="41"/>
  <c r="J282" i="41"/>
  <c r="J281" i="41"/>
  <c r="J280" i="41"/>
  <c r="J279" i="41"/>
  <c r="J278" i="41"/>
  <c r="J277" i="41"/>
  <c r="J276" i="41"/>
  <c r="J275" i="41"/>
  <c r="J274" i="41"/>
  <c r="J273" i="41"/>
  <c r="J272" i="41"/>
  <c r="J271" i="41"/>
  <c r="J270" i="41"/>
  <c r="J269" i="41"/>
  <c r="J268" i="41"/>
  <c r="J267" i="41"/>
  <c r="J266" i="41"/>
  <c r="J265" i="41"/>
  <c r="J264" i="41"/>
  <c r="J263" i="41"/>
  <c r="J262" i="41"/>
  <c r="J261" i="41"/>
  <c r="J260" i="41"/>
  <c r="J259" i="41"/>
  <c r="J258" i="41"/>
  <c r="J257" i="41"/>
  <c r="J256" i="41"/>
  <c r="L255" i="41"/>
  <c r="K255" i="41"/>
  <c r="L254" i="41"/>
  <c r="K254" i="41"/>
  <c r="L253" i="41"/>
  <c r="K253" i="41"/>
  <c r="L252" i="41"/>
  <c r="K252" i="41"/>
  <c r="L251" i="41"/>
  <c r="K251" i="41"/>
  <c r="L250" i="41"/>
  <c r="K250" i="41"/>
  <c r="L249" i="41"/>
  <c r="K249" i="41"/>
  <c r="L248" i="41"/>
  <c r="K248" i="41"/>
  <c r="L247" i="41"/>
  <c r="K247" i="41"/>
  <c r="L246" i="41"/>
  <c r="K246" i="41"/>
  <c r="L245" i="41"/>
  <c r="K245" i="41"/>
  <c r="L244" i="41"/>
  <c r="K244" i="41"/>
  <c r="J243" i="41"/>
  <c r="J242" i="41"/>
  <c r="J241" i="41"/>
  <c r="J240" i="41"/>
  <c r="J239" i="41"/>
  <c r="J238" i="41"/>
  <c r="J237" i="41"/>
  <c r="J236" i="41"/>
  <c r="J235" i="41"/>
  <c r="J234" i="41"/>
  <c r="J233" i="41"/>
  <c r="J232" i="41"/>
  <c r="J231" i="41"/>
  <c r="J230" i="41"/>
  <c r="J229" i="41"/>
  <c r="J228" i="41"/>
  <c r="J227" i="41"/>
  <c r="J226" i="41"/>
  <c r="J225" i="41"/>
  <c r="J224" i="41"/>
  <c r="J223" i="41"/>
  <c r="J222" i="41"/>
  <c r="J221" i="41"/>
  <c r="J220" i="41"/>
  <c r="J754" i="41"/>
  <c r="M754" i="41" s="1"/>
  <c r="M753" i="41"/>
  <c r="J753" i="41"/>
  <c r="J752" i="41"/>
  <c r="M752" i="41" s="1"/>
  <c r="J751" i="41"/>
  <c r="M751" i="41" s="1"/>
  <c r="J750" i="41"/>
  <c r="M750" i="41" s="1"/>
  <c r="M749" i="41"/>
  <c r="J749" i="41"/>
  <c r="J748" i="41"/>
  <c r="M748" i="41" s="1"/>
  <c r="M747" i="41"/>
  <c r="J747" i="41"/>
  <c r="J746" i="41"/>
  <c r="M746" i="41" s="1"/>
  <c r="M745" i="41"/>
  <c r="J745" i="41"/>
  <c r="J744" i="41"/>
  <c r="M744" i="41" s="1"/>
  <c r="J743" i="41"/>
  <c r="M743" i="41" s="1"/>
  <c r="J742" i="41"/>
  <c r="M742" i="41" s="1"/>
  <c r="M741" i="41"/>
  <c r="J741" i="41"/>
  <c r="J740" i="41"/>
  <c r="M740" i="41" s="1"/>
  <c r="J739" i="41"/>
  <c r="M739" i="41" s="1"/>
  <c r="J738" i="41"/>
  <c r="M738" i="41" s="1"/>
  <c r="J737" i="41"/>
  <c r="M737" i="41" s="1"/>
  <c r="J736" i="41"/>
  <c r="M736" i="41" s="1"/>
  <c r="M735" i="41"/>
  <c r="J735" i="41"/>
  <c r="J734" i="41"/>
  <c r="M734" i="41" s="1"/>
  <c r="J733" i="41"/>
  <c r="M733" i="41" s="1"/>
  <c r="J732" i="41"/>
  <c r="M732" i="41" s="1"/>
  <c r="J731" i="41"/>
  <c r="M730" i="41"/>
  <c r="M729" i="41"/>
  <c r="M728" i="41"/>
  <c r="M727" i="41"/>
  <c r="M725" i="41"/>
  <c r="M724" i="41"/>
  <c r="M723" i="41"/>
  <c r="M721" i="41"/>
  <c r="M720" i="41"/>
  <c r="M719" i="41"/>
  <c r="J718" i="41"/>
  <c r="M718" i="41" s="1"/>
  <c r="M717" i="41"/>
  <c r="J717" i="41"/>
  <c r="J716" i="41"/>
  <c r="M716" i="41" s="1"/>
  <c r="J715" i="41"/>
  <c r="M715" i="41" s="1"/>
  <c r="J714" i="41"/>
  <c r="M714" i="41" s="1"/>
  <c r="J713" i="41"/>
  <c r="M713" i="41" s="1"/>
  <c r="J712" i="41"/>
  <c r="M712" i="41" s="1"/>
  <c r="J711" i="41"/>
  <c r="M711" i="41" s="1"/>
  <c r="J710" i="41"/>
  <c r="M710" i="41" s="1"/>
  <c r="J709" i="41"/>
  <c r="M709" i="41" s="1"/>
  <c r="J708" i="41"/>
  <c r="M708" i="41" s="1"/>
  <c r="J707" i="41"/>
  <c r="M707" i="41" s="1"/>
  <c r="J706" i="41"/>
  <c r="M706" i="41" s="1"/>
  <c r="J705" i="41"/>
  <c r="M705" i="41" s="1"/>
  <c r="J704" i="41"/>
  <c r="M704" i="41" s="1"/>
  <c r="J703" i="41"/>
  <c r="M703" i="41" s="1"/>
  <c r="J702" i="41"/>
  <c r="M702" i="41" s="1"/>
  <c r="J701" i="41"/>
  <c r="M701" i="41" s="1"/>
  <c r="J700" i="41"/>
  <c r="M700" i="41" s="1"/>
  <c r="J699" i="41"/>
  <c r="M699" i="41" s="1"/>
  <c r="J698" i="41"/>
  <c r="M698" i="41" s="1"/>
  <c r="J697" i="41"/>
  <c r="M697" i="41" s="1"/>
  <c r="J696" i="41"/>
  <c r="M696" i="41" s="1"/>
  <c r="J695" i="41"/>
  <c r="M695" i="41" s="1"/>
  <c r="J694" i="41"/>
  <c r="M694" i="41" s="1"/>
  <c r="J693" i="41"/>
  <c r="M693" i="41" s="1"/>
  <c r="M692" i="41"/>
  <c r="J692" i="41"/>
  <c r="J691" i="41"/>
  <c r="M691" i="41" s="1"/>
  <c r="M690" i="41"/>
  <c r="J690" i="41"/>
  <c r="J689" i="41"/>
  <c r="M689" i="41" s="1"/>
  <c r="J688" i="41"/>
  <c r="M688" i="41" s="1"/>
  <c r="J687" i="41"/>
  <c r="M687" i="41" s="1"/>
  <c r="J686" i="41"/>
  <c r="M686" i="41" s="1"/>
  <c r="J685" i="41"/>
  <c r="M685" i="41" s="1"/>
  <c r="M684" i="41"/>
  <c r="J684" i="41"/>
  <c r="J683" i="41"/>
  <c r="M683" i="41" s="1"/>
  <c r="J682" i="41"/>
  <c r="M682" i="41" s="1"/>
  <c r="J681" i="41"/>
  <c r="M681" i="41" s="1"/>
  <c r="J680" i="41"/>
  <c r="M680" i="41" s="1"/>
  <c r="J679" i="41"/>
  <c r="M679" i="41" s="1"/>
  <c r="M678" i="41"/>
  <c r="J678" i="41"/>
  <c r="M677" i="41"/>
  <c r="J677" i="41"/>
  <c r="M676" i="41"/>
  <c r="J676" i="41"/>
  <c r="M675" i="41"/>
  <c r="J675" i="41"/>
  <c r="M674" i="41"/>
  <c r="J674" i="41"/>
  <c r="M673" i="41"/>
  <c r="J673" i="41"/>
  <c r="M672" i="41"/>
  <c r="J672" i="41"/>
  <c r="M671" i="41"/>
  <c r="J671" i="41"/>
  <c r="M670" i="41"/>
  <c r="J670" i="41"/>
  <c r="M669" i="41"/>
  <c r="J669" i="41"/>
  <c r="M668" i="41"/>
  <c r="J668" i="41"/>
  <c r="M667" i="41"/>
  <c r="J667" i="41"/>
  <c r="M666" i="41"/>
  <c r="J666" i="41"/>
  <c r="M665" i="41"/>
  <c r="J665" i="41"/>
  <c r="M664" i="41"/>
  <c r="J664" i="41"/>
  <c r="M663" i="41"/>
  <c r="J663" i="41"/>
  <c r="M662" i="41"/>
  <c r="J662" i="41"/>
  <c r="M661" i="41"/>
  <c r="J661" i="41"/>
  <c r="M660" i="41"/>
  <c r="J660" i="41"/>
  <c r="M659" i="41"/>
  <c r="J659" i="41"/>
  <c r="M658" i="41"/>
  <c r="J658" i="41"/>
  <c r="M657" i="41"/>
  <c r="J657" i="41"/>
  <c r="M656" i="41"/>
  <c r="J656" i="41"/>
  <c r="M655" i="41"/>
  <c r="J655" i="41"/>
  <c r="M654" i="41"/>
  <c r="J654" i="41"/>
  <c r="M653" i="41"/>
  <c r="J653" i="41"/>
  <c r="M652" i="41"/>
  <c r="J652" i="41"/>
  <c r="M651" i="41"/>
  <c r="J651" i="41"/>
  <c r="M650" i="41"/>
  <c r="J650" i="41"/>
  <c r="M649" i="41"/>
  <c r="J649" i="41"/>
  <c r="M648" i="41"/>
  <c r="J648" i="41"/>
  <c r="M647" i="41"/>
  <c r="J647" i="41"/>
  <c r="M646" i="41"/>
  <c r="J646" i="41"/>
  <c r="M645" i="41"/>
  <c r="J645" i="41"/>
  <c r="M644" i="41"/>
  <c r="J644" i="41"/>
  <c r="M643" i="41"/>
  <c r="J643" i="41"/>
  <c r="M642" i="41"/>
  <c r="J642" i="41"/>
  <c r="M641" i="41"/>
  <c r="J641" i="41"/>
  <c r="M640" i="41"/>
  <c r="J640" i="41"/>
  <c r="M639" i="41"/>
  <c r="J639" i="41"/>
  <c r="M638" i="41"/>
  <c r="J638" i="41"/>
  <c r="M637" i="41"/>
  <c r="J637" i="41"/>
  <c r="M636" i="41"/>
  <c r="J636" i="41"/>
  <c r="M635" i="41"/>
  <c r="J635" i="41"/>
  <c r="M634" i="41"/>
  <c r="J634" i="41"/>
  <c r="M633" i="41"/>
  <c r="J633" i="41"/>
  <c r="M632" i="41"/>
  <c r="J632" i="41"/>
  <c r="M631" i="41"/>
  <c r="J631" i="41"/>
  <c r="M630" i="41"/>
  <c r="J630" i="41"/>
  <c r="M629" i="41"/>
  <c r="J629" i="41"/>
  <c r="M628" i="41"/>
  <c r="J628" i="41"/>
  <c r="M627" i="41"/>
  <c r="J627" i="41"/>
  <c r="M626" i="41"/>
  <c r="J626" i="41"/>
  <c r="M625" i="41"/>
  <c r="J625" i="41"/>
  <c r="M624" i="41"/>
  <c r="J624" i="41"/>
  <c r="M623" i="41"/>
  <c r="J623" i="41"/>
  <c r="M622" i="41"/>
  <c r="J622" i="41"/>
  <c r="M621" i="41"/>
  <c r="J621" i="41"/>
  <c r="M620" i="41"/>
  <c r="J620" i="41"/>
  <c r="M619" i="41"/>
  <c r="J619" i="41"/>
  <c r="M618" i="41"/>
  <c r="J618" i="41"/>
  <c r="M617" i="41"/>
  <c r="J617" i="41"/>
  <c r="M616" i="41"/>
  <c r="J616" i="41"/>
  <c r="M615" i="41"/>
  <c r="J615" i="41"/>
  <c r="M614" i="41"/>
  <c r="J614" i="41"/>
  <c r="M613" i="41"/>
  <c r="J613" i="41"/>
  <c r="M612" i="41"/>
  <c r="J612" i="41"/>
  <c r="M611" i="41"/>
  <c r="J611" i="41"/>
  <c r="M610" i="41"/>
  <c r="J610" i="41"/>
  <c r="R11" i="41" s="1"/>
  <c r="M609" i="41"/>
  <c r="J609" i="41"/>
  <c r="J608" i="41"/>
  <c r="M608" i="41" s="1"/>
  <c r="M607" i="41"/>
  <c r="J607" i="41"/>
  <c r="J606" i="41"/>
  <c r="M606" i="41" s="1"/>
  <c r="J605" i="41"/>
  <c r="M605" i="41" s="1"/>
  <c r="J604" i="41"/>
  <c r="M604" i="41" s="1"/>
  <c r="J603" i="41"/>
  <c r="M603" i="41" s="1"/>
  <c r="J602" i="41"/>
  <c r="M602" i="41" s="1"/>
  <c r="M601" i="41"/>
  <c r="J601" i="41"/>
  <c r="J600" i="41"/>
  <c r="M600" i="41" s="1"/>
  <c r="M599" i="41"/>
  <c r="J599" i="41"/>
  <c r="J598" i="41"/>
  <c r="M598" i="41" s="1"/>
  <c r="M597" i="41"/>
  <c r="J597" i="41"/>
  <c r="J596" i="41"/>
  <c r="M596" i="41" s="1"/>
  <c r="M595" i="41"/>
  <c r="J595" i="41"/>
  <c r="J594" i="41"/>
  <c r="M594" i="41" s="1"/>
  <c r="M593" i="41"/>
  <c r="J593" i="41"/>
  <c r="J592" i="41"/>
  <c r="M592" i="41" s="1"/>
  <c r="M591" i="41"/>
  <c r="J591" i="41"/>
  <c r="J590" i="41"/>
  <c r="M590" i="41" s="1"/>
  <c r="M589" i="41"/>
  <c r="J589" i="41"/>
  <c r="J588" i="41"/>
  <c r="M588" i="41" s="1"/>
  <c r="M587" i="41"/>
  <c r="J587" i="41"/>
  <c r="J586" i="41"/>
  <c r="M586" i="41" s="1"/>
  <c r="M585" i="41"/>
  <c r="J585" i="41"/>
  <c r="J584" i="41"/>
  <c r="M584" i="41" s="1"/>
  <c r="M583" i="41"/>
  <c r="J583" i="41"/>
  <c r="J582" i="41"/>
  <c r="M582" i="41" s="1"/>
  <c r="M581" i="41"/>
  <c r="J581" i="41"/>
  <c r="J580" i="41"/>
  <c r="M580" i="41" s="1"/>
  <c r="M579" i="41"/>
  <c r="J579" i="41"/>
  <c r="J578" i="41"/>
  <c r="M578" i="41" s="1"/>
  <c r="M577" i="41"/>
  <c r="J577" i="41"/>
  <c r="J576" i="41"/>
  <c r="M576" i="41" s="1"/>
  <c r="M575" i="41"/>
  <c r="J575" i="41"/>
  <c r="J574" i="41"/>
  <c r="M574" i="41" s="1"/>
  <c r="M573" i="41"/>
  <c r="J573" i="41"/>
  <c r="J572" i="41"/>
  <c r="M572" i="41" s="1"/>
  <c r="M571" i="41"/>
  <c r="J571" i="41"/>
  <c r="J570" i="41"/>
  <c r="M570" i="41" s="1"/>
  <c r="M569" i="41"/>
  <c r="J569" i="41"/>
  <c r="J568" i="41"/>
  <c r="M568" i="41" s="1"/>
  <c r="M567" i="41"/>
  <c r="J567" i="41"/>
  <c r="J566" i="41"/>
  <c r="M566" i="41" s="1"/>
  <c r="J565" i="41"/>
  <c r="M565" i="41" s="1"/>
  <c r="M564" i="41"/>
  <c r="J564" i="41"/>
  <c r="J563" i="41"/>
  <c r="M563" i="41" s="1"/>
  <c r="J562" i="41"/>
  <c r="M562" i="41" s="1"/>
  <c r="J561" i="41"/>
  <c r="M561" i="41" s="1"/>
  <c r="M560" i="41"/>
  <c r="J560" i="41"/>
  <c r="J559" i="41"/>
  <c r="M559" i="41" s="1"/>
  <c r="J558" i="41"/>
  <c r="M558" i="41" s="1"/>
  <c r="M557" i="41"/>
  <c r="J557" i="41"/>
  <c r="J556" i="41"/>
  <c r="M556" i="41" s="1"/>
  <c r="M555" i="41"/>
  <c r="J555" i="41"/>
  <c r="J554" i="41"/>
  <c r="M554" i="41" s="1"/>
  <c r="M553" i="41"/>
  <c r="J553" i="41"/>
  <c r="J552" i="41"/>
  <c r="M552" i="41" s="1"/>
  <c r="M551" i="41"/>
  <c r="J551" i="41"/>
  <c r="J550" i="41"/>
  <c r="M550" i="41" s="1"/>
  <c r="J549" i="41"/>
  <c r="M549" i="41" s="1"/>
  <c r="J548" i="41"/>
  <c r="M548" i="41" s="1"/>
  <c r="J547" i="41"/>
  <c r="M547" i="41" s="1"/>
  <c r="J546" i="41"/>
  <c r="M546" i="41" s="1"/>
  <c r="M545" i="41"/>
  <c r="J545" i="41"/>
  <c r="J544" i="41"/>
  <c r="M544" i="41" s="1"/>
  <c r="M543" i="41"/>
  <c r="J543" i="41"/>
  <c r="J542" i="41"/>
  <c r="M542" i="41" s="1"/>
  <c r="J541" i="41"/>
  <c r="M541" i="41" s="1"/>
  <c r="J540" i="41"/>
  <c r="M540" i="41" s="1"/>
  <c r="J539" i="41"/>
  <c r="M539" i="41" s="1"/>
  <c r="J538" i="41"/>
  <c r="M538" i="41" s="1"/>
  <c r="M537" i="41"/>
  <c r="J537" i="41"/>
  <c r="J536" i="41"/>
  <c r="M536" i="41" s="1"/>
  <c r="M535" i="41"/>
  <c r="J535" i="41"/>
  <c r="J534" i="41"/>
  <c r="M534" i="41" s="1"/>
  <c r="J533" i="41"/>
  <c r="M533" i="41" s="1"/>
  <c r="J532" i="41"/>
  <c r="M532" i="41" s="1"/>
  <c r="J531" i="41"/>
  <c r="M531" i="41" s="1"/>
  <c r="J530" i="41"/>
  <c r="M530" i="41" s="1"/>
  <c r="M529" i="41"/>
  <c r="J529" i="41"/>
  <c r="J528" i="41"/>
  <c r="M528" i="41" s="1"/>
  <c r="M527" i="41"/>
  <c r="J527" i="41"/>
  <c r="J526" i="41"/>
  <c r="M526" i="41" s="1"/>
  <c r="J525" i="41"/>
  <c r="M525" i="41" s="1"/>
  <c r="J524" i="41"/>
  <c r="M524" i="41" s="1"/>
  <c r="J523" i="41"/>
  <c r="M523" i="41" s="1"/>
  <c r="J522" i="41"/>
  <c r="M522" i="41" s="1"/>
  <c r="J485" i="41"/>
  <c r="M485" i="41" s="1"/>
  <c r="J484" i="41"/>
  <c r="M484" i="41" s="1"/>
  <c r="J483" i="41"/>
  <c r="M483" i="41" s="1"/>
  <c r="J482" i="41"/>
  <c r="M482" i="41" s="1"/>
  <c r="J481" i="41"/>
  <c r="M481" i="41" s="1"/>
  <c r="J480" i="41"/>
  <c r="M480" i="41" s="1"/>
  <c r="J479" i="41"/>
  <c r="M479" i="41" s="1"/>
  <c r="J478" i="41"/>
  <c r="M478" i="41" s="1"/>
  <c r="J477" i="41"/>
  <c r="M477" i="41" s="1"/>
  <c r="J476" i="41"/>
  <c r="M476" i="41" s="1"/>
  <c r="J475" i="41"/>
  <c r="M475" i="41" s="1"/>
  <c r="J474" i="41"/>
  <c r="M474" i="41" s="1"/>
  <c r="J473" i="41"/>
  <c r="M473" i="41" s="1"/>
  <c r="J472" i="41"/>
  <c r="M472" i="41" s="1"/>
  <c r="J471" i="41"/>
  <c r="M471" i="41" s="1"/>
  <c r="J470" i="41"/>
  <c r="M470" i="41" s="1"/>
  <c r="J469" i="41"/>
  <c r="M469" i="41" s="1"/>
  <c r="J468" i="41"/>
  <c r="M468" i="41" s="1"/>
  <c r="J467" i="41"/>
  <c r="M467" i="41" s="1"/>
  <c r="J466" i="41"/>
  <c r="M466" i="41" s="1"/>
  <c r="J465" i="41"/>
  <c r="M465" i="41" s="1"/>
  <c r="J464" i="41"/>
  <c r="M464" i="41" s="1"/>
  <c r="J463" i="41"/>
  <c r="M463" i="41" s="1"/>
  <c r="J462" i="41"/>
  <c r="M462" i="41" s="1"/>
  <c r="J461" i="41"/>
  <c r="M461" i="41" s="1"/>
  <c r="J460" i="41"/>
  <c r="M460" i="41" s="1"/>
  <c r="J459" i="41"/>
  <c r="M459" i="41" s="1"/>
  <c r="J458" i="41"/>
  <c r="M458" i="41" s="1"/>
  <c r="J457" i="41"/>
  <c r="M457" i="41" s="1"/>
  <c r="J456" i="41"/>
  <c r="M456" i="41" s="1"/>
  <c r="J455" i="41"/>
  <c r="M455" i="41" s="1"/>
  <c r="J454" i="41"/>
  <c r="M454" i="41" s="1"/>
  <c r="J453" i="41"/>
  <c r="M453" i="41" s="1"/>
  <c r="J452" i="41"/>
  <c r="M452" i="41" s="1"/>
  <c r="J451" i="41"/>
  <c r="M451" i="41" s="1"/>
  <c r="J450" i="41"/>
  <c r="M450" i="41" s="1"/>
  <c r="M449" i="41"/>
  <c r="J449" i="41"/>
  <c r="J448" i="41"/>
  <c r="M448" i="41" s="1"/>
  <c r="M447" i="41"/>
  <c r="J447" i="41"/>
  <c r="J446" i="41"/>
  <c r="M446" i="41" s="1"/>
  <c r="M445" i="41"/>
  <c r="J445" i="41"/>
  <c r="J444" i="41"/>
  <c r="M444" i="41" s="1"/>
  <c r="M443" i="41"/>
  <c r="J443" i="41"/>
  <c r="J442" i="41"/>
  <c r="M442" i="41" s="1"/>
  <c r="M441" i="41"/>
  <c r="J441" i="41"/>
  <c r="J440" i="41"/>
  <c r="M440" i="41" s="1"/>
  <c r="M439" i="41"/>
  <c r="J439" i="41"/>
  <c r="J438" i="41"/>
  <c r="M438" i="41" s="1"/>
  <c r="M437" i="41"/>
  <c r="J437" i="41"/>
  <c r="J436" i="41"/>
  <c r="M436" i="41" s="1"/>
  <c r="M435" i="41"/>
  <c r="J435" i="41"/>
  <c r="J434" i="41"/>
  <c r="M434" i="41" s="1"/>
  <c r="M433" i="41"/>
  <c r="J433" i="41"/>
  <c r="J432" i="41"/>
  <c r="M432" i="41" s="1"/>
  <c r="M431" i="41"/>
  <c r="J431" i="41"/>
  <c r="J430" i="41"/>
  <c r="M430" i="41" s="1"/>
  <c r="M429" i="41"/>
  <c r="J429" i="41"/>
  <c r="J428" i="41"/>
  <c r="M428" i="41" s="1"/>
  <c r="M427" i="41"/>
  <c r="J427" i="41"/>
  <c r="J426" i="41"/>
  <c r="M426" i="41" s="1"/>
  <c r="M425" i="41"/>
  <c r="J425" i="41"/>
  <c r="J424" i="41"/>
  <c r="M424" i="41" s="1"/>
  <c r="M423" i="41"/>
  <c r="J423" i="41"/>
  <c r="J422" i="41"/>
  <c r="M422" i="41" s="1"/>
  <c r="M421" i="41"/>
  <c r="J421" i="41"/>
  <c r="J420" i="41"/>
  <c r="M420" i="41" s="1"/>
  <c r="M419" i="41"/>
  <c r="J419" i="41"/>
  <c r="J418" i="41"/>
  <c r="M418" i="41" s="1"/>
  <c r="M417" i="41"/>
  <c r="J417" i="41"/>
  <c r="J416" i="41"/>
  <c r="M416" i="41" s="1"/>
  <c r="M415" i="41"/>
  <c r="J415" i="41"/>
  <c r="J414" i="41"/>
  <c r="M414" i="41" s="1"/>
  <c r="M413" i="41"/>
  <c r="J413" i="41"/>
  <c r="J412" i="41"/>
  <c r="M412" i="41" s="1"/>
  <c r="M411" i="41"/>
  <c r="J411" i="41"/>
  <c r="J410" i="41"/>
  <c r="M410" i="41" s="1"/>
  <c r="M409" i="41"/>
  <c r="J409" i="41"/>
  <c r="J408" i="41"/>
  <c r="M408" i="41" s="1"/>
  <c r="M407" i="41"/>
  <c r="J407" i="41"/>
  <c r="J406" i="41"/>
  <c r="M406" i="41" s="1"/>
  <c r="M405" i="41"/>
  <c r="J405" i="41"/>
  <c r="J404" i="41"/>
  <c r="M404" i="41" s="1"/>
  <c r="M403" i="41"/>
  <c r="J403" i="41"/>
  <c r="J402" i="41"/>
  <c r="M402" i="41" s="1"/>
  <c r="M401" i="41"/>
  <c r="J401" i="41"/>
  <c r="J400" i="41"/>
  <c r="M400" i="41" s="1"/>
  <c r="M399" i="41"/>
  <c r="J399" i="41"/>
  <c r="J398" i="41"/>
  <c r="M398" i="41" s="1"/>
  <c r="M397" i="41"/>
  <c r="J397" i="41"/>
  <c r="J396" i="41"/>
  <c r="M396" i="41" s="1"/>
  <c r="M395" i="41"/>
  <c r="J395" i="41"/>
  <c r="J394" i="41"/>
  <c r="M394" i="41" s="1"/>
  <c r="M393" i="41"/>
  <c r="J393" i="41"/>
  <c r="J392" i="41"/>
  <c r="M392" i="41" s="1"/>
  <c r="M391" i="41"/>
  <c r="J391" i="41"/>
  <c r="J390" i="41"/>
  <c r="M390" i="41" s="1"/>
  <c r="M389" i="41"/>
  <c r="J389" i="41"/>
  <c r="J388" i="41"/>
  <c r="M388" i="41" s="1"/>
  <c r="M387" i="41"/>
  <c r="J387" i="41"/>
  <c r="J386" i="41"/>
  <c r="M386" i="41" s="1"/>
  <c r="M385" i="41"/>
  <c r="J385" i="41"/>
  <c r="J384" i="41"/>
  <c r="M384" i="41" s="1"/>
  <c r="M383" i="41"/>
  <c r="J383" i="41"/>
  <c r="J382" i="41"/>
  <c r="M382" i="41" s="1"/>
  <c r="M381" i="41"/>
  <c r="J381" i="41"/>
  <c r="J380" i="41"/>
  <c r="M380" i="41" s="1"/>
  <c r="M379" i="41"/>
  <c r="J379" i="41"/>
  <c r="J378" i="41"/>
  <c r="M378" i="41" s="1"/>
  <c r="J377" i="41"/>
  <c r="M377" i="41" s="1"/>
  <c r="J376" i="41"/>
  <c r="M376" i="41" s="1"/>
  <c r="J375" i="41"/>
  <c r="M375" i="41" s="1"/>
  <c r="J374" i="41"/>
  <c r="M374" i="41" s="1"/>
  <c r="M373" i="41"/>
  <c r="J373" i="41"/>
  <c r="J372" i="41"/>
  <c r="M372" i="41" s="1"/>
  <c r="M371" i="41"/>
  <c r="J371" i="41"/>
  <c r="J370" i="41"/>
  <c r="M370" i="41" s="1"/>
  <c r="J369" i="41"/>
  <c r="M369" i="41" s="1"/>
  <c r="J368" i="41"/>
  <c r="M368" i="41" s="1"/>
  <c r="J367" i="41"/>
  <c r="M367" i="41" s="1"/>
  <c r="J366" i="41"/>
  <c r="M366" i="41" s="1"/>
  <c r="M365" i="41"/>
  <c r="J365" i="41"/>
  <c r="J364" i="41"/>
  <c r="M364" i="41" s="1"/>
  <c r="M363" i="41"/>
  <c r="M362" i="41"/>
  <c r="M361" i="41"/>
  <c r="M360" i="41"/>
  <c r="M359" i="41"/>
  <c r="M358" i="41"/>
  <c r="M357" i="41"/>
  <c r="M356" i="41"/>
  <c r="M355" i="41"/>
  <c r="M354" i="41"/>
  <c r="M353" i="41"/>
  <c r="M352" i="41"/>
  <c r="O351" i="41"/>
  <c r="N351" i="41"/>
  <c r="O350" i="41"/>
  <c r="N350" i="41"/>
  <c r="O349" i="41"/>
  <c r="N349" i="41"/>
  <c r="O348" i="41"/>
  <c r="N348" i="41"/>
  <c r="O347" i="41"/>
  <c r="N347" i="41"/>
  <c r="O346" i="41"/>
  <c r="N346" i="41"/>
  <c r="O345" i="41"/>
  <c r="N345" i="41"/>
  <c r="O344" i="41"/>
  <c r="N344" i="41"/>
  <c r="O343" i="41"/>
  <c r="N343" i="41"/>
  <c r="O342" i="41"/>
  <c r="N342" i="41"/>
  <c r="O341" i="41"/>
  <c r="N341" i="41"/>
  <c r="O340" i="41"/>
  <c r="N340" i="41"/>
  <c r="M339" i="41"/>
  <c r="M338" i="41"/>
  <c r="M337" i="41"/>
  <c r="M336" i="41"/>
  <c r="M335" i="41"/>
  <c r="M334" i="41"/>
  <c r="M333" i="41"/>
  <c r="M332" i="41"/>
  <c r="M331" i="41"/>
  <c r="M330" i="41"/>
  <c r="M329" i="41"/>
  <c r="M328" i="41"/>
  <c r="M327" i="41"/>
  <c r="M326" i="41"/>
  <c r="M325" i="41"/>
  <c r="M324" i="41"/>
  <c r="M323" i="41"/>
  <c r="M322" i="41"/>
  <c r="M321" i="41"/>
  <c r="M320" i="41"/>
  <c r="M319" i="41"/>
  <c r="M318" i="41"/>
  <c r="M317" i="41"/>
  <c r="M316" i="41"/>
  <c r="M315" i="41"/>
  <c r="M314" i="41"/>
  <c r="M313" i="41"/>
  <c r="M312" i="41"/>
  <c r="M311" i="41"/>
  <c r="M310" i="41"/>
  <c r="M309" i="41"/>
  <c r="O308" i="41"/>
  <c r="N308" i="41"/>
  <c r="O307" i="41"/>
  <c r="N307" i="41"/>
  <c r="O306" i="41"/>
  <c r="N306" i="41"/>
  <c r="O305" i="41"/>
  <c r="N305" i="41"/>
  <c r="O304" i="41"/>
  <c r="N304" i="41"/>
  <c r="O303" i="41"/>
  <c r="N303" i="41"/>
  <c r="O302" i="41"/>
  <c r="N302" i="41"/>
  <c r="O301" i="41"/>
  <c r="N301" i="41"/>
  <c r="O300" i="41"/>
  <c r="N300" i="41"/>
  <c r="O299" i="41"/>
  <c r="N299" i="41"/>
  <c r="O298" i="41"/>
  <c r="N298" i="41"/>
  <c r="O297" i="41"/>
  <c r="N297" i="41"/>
  <c r="O296" i="41"/>
  <c r="N296" i="41"/>
  <c r="O295" i="41"/>
  <c r="N295" i="41"/>
  <c r="O294" i="41"/>
  <c r="N294" i="41"/>
  <c r="O293" i="41"/>
  <c r="N293" i="41"/>
  <c r="O292" i="41"/>
  <c r="N292" i="41"/>
  <c r="O291" i="41"/>
  <c r="N291" i="41"/>
  <c r="O290" i="41"/>
  <c r="N290" i="41"/>
  <c r="O289" i="41"/>
  <c r="N289" i="41"/>
  <c r="O288" i="41"/>
  <c r="N288" i="41"/>
  <c r="O287" i="41"/>
  <c r="N287" i="41"/>
  <c r="O286" i="41"/>
  <c r="N286" i="41"/>
  <c r="M285" i="41"/>
  <c r="M284" i="41"/>
  <c r="M283" i="41"/>
  <c r="M282" i="41"/>
  <c r="M281" i="41"/>
  <c r="M280" i="41"/>
  <c r="M279" i="41"/>
  <c r="M278" i="41"/>
  <c r="M277" i="41"/>
  <c r="M276" i="41"/>
  <c r="M275" i="41"/>
  <c r="M274" i="41"/>
  <c r="M273" i="41"/>
  <c r="M272" i="41"/>
  <c r="M271" i="41"/>
  <c r="M270" i="41"/>
  <c r="M269" i="41"/>
  <c r="M268" i="41"/>
  <c r="M267" i="41"/>
  <c r="M266" i="41"/>
  <c r="M265" i="41"/>
  <c r="M264" i="41"/>
  <c r="M263" i="41"/>
  <c r="M262" i="41"/>
  <c r="M261" i="41"/>
  <c r="M260" i="41"/>
  <c r="M259" i="41"/>
  <c r="M258" i="41"/>
  <c r="M257" i="41"/>
  <c r="M256" i="41"/>
  <c r="O255" i="41"/>
  <c r="N255" i="41"/>
  <c r="O254" i="41"/>
  <c r="N254" i="41"/>
  <c r="O253" i="41"/>
  <c r="N253" i="41"/>
  <c r="O252" i="41"/>
  <c r="N252" i="41"/>
  <c r="O251" i="41"/>
  <c r="N251" i="41"/>
  <c r="O250" i="41"/>
  <c r="N250" i="41"/>
  <c r="O249" i="41"/>
  <c r="N249" i="41"/>
  <c r="O248" i="41"/>
  <c r="N248" i="41"/>
  <c r="O247" i="41"/>
  <c r="N247" i="41"/>
  <c r="O246" i="41"/>
  <c r="N246" i="41"/>
  <c r="O245" i="41"/>
  <c r="N245" i="41"/>
  <c r="O244" i="41"/>
  <c r="N244" i="41"/>
  <c r="M243" i="41"/>
  <c r="M242" i="41"/>
  <c r="M241" i="41"/>
  <c r="M240" i="41"/>
  <c r="M239" i="41"/>
  <c r="M238" i="41"/>
  <c r="M237" i="41"/>
  <c r="M236" i="41"/>
  <c r="M235" i="41"/>
  <c r="M234" i="41"/>
  <c r="M233" i="41"/>
  <c r="M232" i="41"/>
  <c r="M231" i="41"/>
  <c r="M230" i="41"/>
  <c r="M229" i="41"/>
  <c r="M228" i="41"/>
  <c r="M227" i="41"/>
  <c r="M226" i="41"/>
  <c r="M225" i="41"/>
  <c r="M224" i="41"/>
  <c r="M223" i="41"/>
  <c r="M222" i="41"/>
  <c r="M221" i="41"/>
  <c r="M220" i="41"/>
  <c r="J219" i="41"/>
  <c r="M219" i="41" s="1"/>
  <c r="J218" i="41"/>
  <c r="M218" i="41" s="1"/>
  <c r="J217" i="41"/>
  <c r="M217" i="41" s="1"/>
  <c r="J216" i="41"/>
  <c r="M216" i="41" s="1"/>
  <c r="M215" i="41"/>
  <c r="J215" i="41"/>
  <c r="J214" i="41"/>
  <c r="M214" i="41" s="1"/>
  <c r="M213" i="41"/>
  <c r="J213" i="41"/>
  <c r="J212" i="41"/>
  <c r="M212" i="41" s="1"/>
  <c r="J211" i="41"/>
  <c r="M211" i="41" s="1"/>
  <c r="J210" i="41"/>
  <c r="M210" i="41" s="1"/>
  <c r="J209" i="41"/>
  <c r="M209" i="41" s="1"/>
  <c r="J208" i="41"/>
  <c r="M208" i="41" s="1"/>
  <c r="L207" i="41"/>
  <c r="O207" i="41" s="1"/>
  <c r="K207" i="41"/>
  <c r="N207" i="41" s="1"/>
  <c r="L206" i="41"/>
  <c r="O206" i="41" s="1"/>
  <c r="K206" i="41"/>
  <c r="N206" i="41" s="1"/>
  <c r="L205" i="41"/>
  <c r="O205" i="41" s="1"/>
  <c r="K205" i="41"/>
  <c r="N205" i="41" s="1"/>
  <c r="O204" i="41"/>
  <c r="L204" i="41"/>
  <c r="K204" i="41"/>
  <c r="N204" i="41" s="1"/>
  <c r="L203" i="41"/>
  <c r="O203" i="41" s="1"/>
  <c r="K203" i="41"/>
  <c r="N203" i="41" s="1"/>
  <c r="L202" i="41"/>
  <c r="O202" i="41" s="1"/>
  <c r="K202" i="41"/>
  <c r="N202" i="41" s="1"/>
  <c r="L201" i="41"/>
  <c r="O201" i="41" s="1"/>
  <c r="K201" i="41"/>
  <c r="N201" i="41" s="1"/>
  <c r="L200" i="41"/>
  <c r="O200" i="41" s="1"/>
  <c r="K200" i="41"/>
  <c r="N200" i="41" s="1"/>
  <c r="O199" i="41"/>
  <c r="L199" i="41"/>
  <c r="K199" i="41"/>
  <c r="N199" i="41" s="1"/>
  <c r="N198" i="41"/>
  <c r="L198" i="41"/>
  <c r="O198" i="41" s="1"/>
  <c r="K198" i="41"/>
  <c r="L197" i="41"/>
  <c r="O197" i="41" s="1"/>
  <c r="K197" i="41"/>
  <c r="N197" i="41" s="1"/>
  <c r="L196" i="41"/>
  <c r="O196" i="41" s="1"/>
  <c r="K196" i="41"/>
  <c r="N196" i="41" s="1"/>
  <c r="J195" i="41"/>
  <c r="M195" i="41" s="1"/>
  <c r="J194" i="41"/>
  <c r="M194" i="41" s="1"/>
  <c r="J193" i="41"/>
  <c r="M193" i="41" s="1"/>
  <c r="M192" i="41"/>
  <c r="J192" i="41"/>
  <c r="J191" i="41"/>
  <c r="M191" i="41" s="1"/>
  <c r="M190" i="41"/>
  <c r="J190" i="41"/>
  <c r="J189" i="41"/>
  <c r="M189" i="41" s="1"/>
  <c r="J188" i="41"/>
  <c r="M188" i="41" s="1"/>
  <c r="J187" i="41"/>
  <c r="M187" i="41" s="1"/>
  <c r="J186" i="41"/>
  <c r="M186" i="41" s="1"/>
  <c r="J185" i="41"/>
  <c r="M185" i="41" s="1"/>
  <c r="M184" i="41"/>
  <c r="J184" i="41"/>
  <c r="J183" i="41"/>
  <c r="M183" i="41" s="1"/>
  <c r="M182" i="41"/>
  <c r="J182" i="41"/>
  <c r="J181" i="41"/>
  <c r="M181" i="41" s="1"/>
  <c r="J180" i="41"/>
  <c r="M180" i="41" s="1"/>
  <c r="J179" i="41"/>
  <c r="M179" i="41" s="1"/>
  <c r="J178" i="41"/>
  <c r="M178" i="41" s="1"/>
  <c r="J177" i="41"/>
  <c r="M177" i="41" s="1"/>
  <c r="M176" i="41"/>
  <c r="J176" i="41"/>
  <c r="J175" i="41"/>
  <c r="M175" i="41" s="1"/>
  <c r="M174" i="41"/>
  <c r="J174" i="41"/>
  <c r="J173" i="41"/>
  <c r="M173" i="41" s="1"/>
  <c r="J172" i="41"/>
  <c r="M172" i="41" s="1"/>
  <c r="J171" i="41"/>
  <c r="M171" i="41" s="1"/>
  <c r="J170" i="41"/>
  <c r="M170" i="41" s="1"/>
  <c r="J169" i="41"/>
  <c r="M169" i="41" s="1"/>
  <c r="M168" i="41"/>
  <c r="J168" i="41"/>
  <c r="J167" i="41"/>
  <c r="M167" i="41" s="1"/>
  <c r="M166" i="41"/>
  <c r="J166" i="41"/>
  <c r="J165" i="41"/>
  <c r="M165" i="41" s="1"/>
  <c r="J164" i="41"/>
  <c r="M164" i="41" s="1"/>
  <c r="J163" i="41"/>
  <c r="M163" i="41" s="1"/>
  <c r="J162" i="41"/>
  <c r="M162" i="41" s="1"/>
  <c r="J161" i="41"/>
  <c r="M161" i="41" s="1"/>
  <c r="L160" i="41"/>
  <c r="O160" i="41" s="1"/>
  <c r="K160" i="41"/>
  <c r="N160" i="41" s="1"/>
  <c r="O159" i="41"/>
  <c r="L159" i="41"/>
  <c r="K159" i="41"/>
  <c r="N159" i="41" s="1"/>
  <c r="N158" i="41"/>
  <c r="L158" i="41"/>
  <c r="O158" i="41" s="1"/>
  <c r="K158" i="41"/>
  <c r="L157" i="41"/>
  <c r="O157" i="41" s="1"/>
  <c r="K157" i="41"/>
  <c r="N157" i="41" s="1"/>
  <c r="L156" i="41"/>
  <c r="O156" i="41" s="1"/>
  <c r="K156" i="41"/>
  <c r="N156" i="41" s="1"/>
  <c r="O155" i="41"/>
  <c r="L155" i="41"/>
  <c r="K155" i="41"/>
  <c r="N155" i="41" s="1"/>
  <c r="N154" i="41"/>
  <c r="L154" i="41"/>
  <c r="O154" i="41" s="1"/>
  <c r="K154" i="41"/>
  <c r="L153" i="41"/>
  <c r="O153" i="41" s="1"/>
  <c r="K153" i="41"/>
  <c r="N153" i="41" s="1"/>
  <c r="L152" i="41"/>
  <c r="O152" i="41" s="1"/>
  <c r="K152" i="41"/>
  <c r="N152" i="41" s="1"/>
  <c r="O151" i="41"/>
  <c r="L151" i="41"/>
  <c r="K151" i="41"/>
  <c r="N151" i="41" s="1"/>
  <c r="N150" i="41"/>
  <c r="L150" i="41"/>
  <c r="O150" i="41" s="1"/>
  <c r="K150" i="41"/>
  <c r="L149" i="41"/>
  <c r="O149" i="41" s="1"/>
  <c r="K149" i="41"/>
  <c r="N149" i="41" s="1"/>
  <c r="L148" i="41"/>
  <c r="O148" i="41" s="1"/>
  <c r="K148" i="41"/>
  <c r="N148" i="41" s="1"/>
  <c r="O147" i="41"/>
  <c r="L147" i="41"/>
  <c r="K147" i="41"/>
  <c r="N147" i="41" s="1"/>
  <c r="N146" i="41"/>
  <c r="L146" i="41"/>
  <c r="O146" i="41" s="1"/>
  <c r="K146" i="41"/>
  <c r="L145" i="41"/>
  <c r="O145" i="41" s="1"/>
  <c r="K145" i="41"/>
  <c r="N145" i="41" s="1"/>
  <c r="L144" i="41"/>
  <c r="O144" i="41" s="1"/>
  <c r="K144" i="41"/>
  <c r="N144" i="41" s="1"/>
  <c r="O143" i="41"/>
  <c r="L143" i="41"/>
  <c r="K143" i="41"/>
  <c r="N143" i="41" s="1"/>
  <c r="N142" i="41"/>
  <c r="L142" i="41"/>
  <c r="O142" i="41" s="1"/>
  <c r="K142" i="41"/>
  <c r="L141" i="41"/>
  <c r="O141" i="41" s="1"/>
  <c r="K141" i="41"/>
  <c r="N141" i="41" s="1"/>
  <c r="L140" i="41"/>
  <c r="O140" i="41" s="1"/>
  <c r="K140" i="41"/>
  <c r="N140" i="41" s="1"/>
  <c r="O139" i="41"/>
  <c r="L139" i="41"/>
  <c r="K139" i="41"/>
  <c r="N139" i="41" s="1"/>
  <c r="N138" i="41"/>
  <c r="L138" i="41"/>
  <c r="O138" i="41" s="1"/>
  <c r="K138" i="41"/>
  <c r="J137" i="41"/>
  <c r="M137" i="41" s="1"/>
  <c r="J136" i="41"/>
  <c r="M136" i="41" s="1"/>
  <c r="J135" i="41"/>
  <c r="M135" i="41" s="1"/>
  <c r="J134" i="41"/>
  <c r="M134" i="41" s="1"/>
  <c r="J133" i="41"/>
  <c r="M133" i="41" s="1"/>
  <c r="J132" i="41"/>
  <c r="M132" i="41" s="1"/>
  <c r="J131" i="41"/>
  <c r="M131" i="41" s="1"/>
  <c r="M130" i="41"/>
  <c r="J130" i="41"/>
  <c r="J129" i="41"/>
  <c r="M129" i="41" s="1"/>
  <c r="J128" i="41"/>
  <c r="M128" i="41" s="1"/>
  <c r="J127" i="41"/>
  <c r="M127" i="41" s="1"/>
  <c r="J126" i="41"/>
  <c r="M126" i="41" s="1"/>
  <c r="J125" i="41"/>
  <c r="M125" i="41" s="1"/>
  <c r="J124" i="41"/>
  <c r="M124" i="41" s="1"/>
  <c r="J123" i="41"/>
  <c r="M123" i="41" s="1"/>
  <c r="M122" i="41"/>
  <c r="J122" i="41"/>
  <c r="J121" i="41"/>
  <c r="M121" i="41" s="1"/>
  <c r="J120" i="41"/>
  <c r="M120" i="41" s="1"/>
  <c r="J119" i="41"/>
  <c r="M119" i="41" s="1"/>
  <c r="J118" i="41"/>
  <c r="M118" i="41" s="1"/>
  <c r="J117" i="41"/>
  <c r="M117" i="41" s="1"/>
  <c r="J116" i="41"/>
  <c r="M116" i="41" s="1"/>
  <c r="J115" i="41"/>
  <c r="M115" i="41" s="1"/>
  <c r="M114" i="41"/>
  <c r="L114" i="41"/>
  <c r="O114" i="41" s="1"/>
  <c r="J114" i="41"/>
  <c r="L113" i="41"/>
  <c r="O113" i="41" s="1"/>
  <c r="J113" i="41"/>
  <c r="M113" i="41" s="1"/>
  <c r="L112" i="41"/>
  <c r="O112" i="41" s="1"/>
  <c r="J112" i="41"/>
  <c r="M112" i="41" s="1"/>
  <c r="L111" i="41"/>
  <c r="O111" i="41" s="1"/>
  <c r="J111" i="41"/>
  <c r="M111" i="41" s="1"/>
  <c r="M110" i="41"/>
  <c r="L110" i="41"/>
  <c r="O110" i="41" s="1"/>
  <c r="J110" i="41"/>
  <c r="L109" i="41"/>
  <c r="O109" i="41" s="1"/>
  <c r="J109" i="41"/>
  <c r="M109" i="41" s="1"/>
  <c r="L108" i="41"/>
  <c r="O108" i="41" s="1"/>
  <c r="J108" i="41"/>
  <c r="M108" i="41" s="1"/>
  <c r="L107" i="41"/>
  <c r="O107" i="41" s="1"/>
  <c r="J107" i="41"/>
  <c r="M107" i="41" s="1"/>
  <c r="M106" i="41"/>
  <c r="L106" i="41"/>
  <c r="O106" i="41" s="1"/>
  <c r="J106" i="41"/>
  <c r="L105" i="41"/>
  <c r="O105" i="41" s="1"/>
  <c r="J105" i="41"/>
  <c r="M105" i="41" s="1"/>
  <c r="L104" i="41"/>
  <c r="O104" i="41" s="1"/>
  <c r="J104" i="41"/>
  <c r="M104" i="41" s="1"/>
  <c r="O103" i="41"/>
  <c r="L103" i="41"/>
  <c r="J103" i="41"/>
  <c r="M103" i="41" s="1"/>
  <c r="N102" i="41"/>
  <c r="L102" i="41"/>
  <c r="O102" i="41" s="1"/>
  <c r="K102" i="41"/>
  <c r="L101" i="41"/>
  <c r="O101" i="41" s="1"/>
  <c r="K101" i="41"/>
  <c r="N101" i="41" s="1"/>
  <c r="L100" i="41"/>
  <c r="O100" i="41" s="1"/>
  <c r="K100" i="41"/>
  <c r="N100" i="41" s="1"/>
  <c r="O99" i="41"/>
  <c r="L99" i="41"/>
  <c r="K99" i="41"/>
  <c r="N99" i="41" s="1"/>
  <c r="N98" i="41"/>
  <c r="L98" i="41"/>
  <c r="O98" i="41" s="1"/>
  <c r="K98" i="41"/>
  <c r="L97" i="41"/>
  <c r="O97" i="41" s="1"/>
  <c r="K97" i="41"/>
  <c r="N97" i="41" s="1"/>
  <c r="L96" i="41"/>
  <c r="O96" i="41" s="1"/>
  <c r="K96" i="41"/>
  <c r="N96" i="41" s="1"/>
  <c r="O95" i="41"/>
  <c r="L95" i="41"/>
  <c r="K95" i="41"/>
  <c r="N95" i="41" s="1"/>
  <c r="N94" i="41"/>
  <c r="L94" i="41"/>
  <c r="O94" i="41" s="1"/>
  <c r="K94" i="41"/>
  <c r="L93" i="41"/>
  <c r="O93" i="41" s="1"/>
  <c r="K93" i="41"/>
  <c r="N93" i="41" s="1"/>
  <c r="L92" i="41"/>
  <c r="O92" i="41" s="1"/>
  <c r="K92" i="41"/>
  <c r="N92" i="41" s="1"/>
  <c r="O91" i="41"/>
  <c r="L91" i="41"/>
  <c r="K91" i="41"/>
  <c r="N91" i="41" s="1"/>
  <c r="M90" i="41"/>
  <c r="L90" i="41"/>
  <c r="O90" i="41" s="1"/>
  <c r="J90" i="41"/>
  <c r="L89" i="41"/>
  <c r="O89" i="41" s="1"/>
  <c r="J89" i="41"/>
  <c r="M89" i="41" s="1"/>
  <c r="L88" i="41"/>
  <c r="O88" i="41" s="1"/>
  <c r="J88" i="41"/>
  <c r="M88" i="41" s="1"/>
  <c r="O87" i="41"/>
  <c r="L87" i="41"/>
  <c r="J87" i="41"/>
  <c r="M87" i="41" s="1"/>
  <c r="M86" i="41"/>
  <c r="L86" i="41"/>
  <c r="O86" i="41" s="1"/>
  <c r="J86" i="41"/>
  <c r="L85" i="41"/>
  <c r="O85" i="41" s="1"/>
  <c r="J85" i="41"/>
  <c r="M85" i="41" s="1"/>
  <c r="L84" i="41"/>
  <c r="O84" i="41" s="1"/>
  <c r="J84" i="41"/>
  <c r="M84" i="41" s="1"/>
  <c r="O83" i="41"/>
  <c r="L83" i="41"/>
  <c r="J83" i="41"/>
  <c r="M83" i="41" s="1"/>
  <c r="M82" i="41"/>
  <c r="L82" i="41"/>
  <c r="O82" i="41" s="1"/>
  <c r="J82" i="41"/>
  <c r="L81" i="41"/>
  <c r="O81" i="41" s="1"/>
  <c r="J81" i="41"/>
  <c r="M81" i="41" s="1"/>
  <c r="L80" i="41"/>
  <c r="O80" i="41" s="1"/>
  <c r="J80" i="41"/>
  <c r="M80" i="41" s="1"/>
  <c r="L79" i="41"/>
  <c r="O79" i="41" s="1"/>
  <c r="J79" i="41"/>
  <c r="M79" i="41" s="1"/>
  <c r="J78" i="41"/>
  <c r="M78" i="41" s="1"/>
  <c r="J77" i="41"/>
  <c r="M77" i="41" s="1"/>
  <c r="J76" i="41"/>
  <c r="M76" i="41" s="1"/>
  <c r="J75" i="41"/>
  <c r="M75" i="41" s="1"/>
  <c r="J74" i="41"/>
  <c r="M74" i="41" s="1"/>
  <c r="J73" i="41"/>
  <c r="M73" i="41" s="1"/>
  <c r="J72" i="41"/>
  <c r="M72" i="41" s="1"/>
  <c r="J71" i="41"/>
  <c r="M71" i="41" s="1"/>
  <c r="J70" i="41"/>
  <c r="M70" i="41" s="1"/>
  <c r="J69" i="41"/>
  <c r="M69" i="41" s="1"/>
  <c r="J68" i="41"/>
  <c r="M68" i="41" s="1"/>
  <c r="J67" i="41"/>
  <c r="M67" i="41" s="1"/>
  <c r="J66" i="41"/>
  <c r="M66" i="41" s="1"/>
  <c r="J65" i="41"/>
  <c r="M65" i="41" s="1"/>
  <c r="J64" i="41"/>
  <c r="M64" i="41" s="1"/>
  <c r="L63" i="41"/>
  <c r="O63" i="41" s="1"/>
  <c r="K63" i="41"/>
  <c r="N63" i="41" s="1"/>
  <c r="N62" i="41"/>
  <c r="L62" i="41"/>
  <c r="O62" i="41" s="1"/>
  <c r="K62" i="41"/>
  <c r="N61" i="41"/>
  <c r="L61" i="41"/>
  <c r="O61" i="41" s="1"/>
  <c r="K61" i="41"/>
  <c r="L60" i="41"/>
  <c r="O60" i="41" s="1"/>
  <c r="K60" i="41"/>
  <c r="N60" i="41" s="1"/>
  <c r="L59" i="41"/>
  <c r="O59" i="41" s="1"/>
  <c r="K59" i="41"/>
  <c r="N59" i="41" s="1"/>
  <c r="N58" i="41"/>
  <c r="L58" i="41"/>
  <c r="O58" i="41" s="1"/>
  <c r="K58" i="41"/>
  <c r="N57" i="41"/>
  <c r="L57" i="41"/>
  <c r="O57" i="41" s="1"/>
  <c r="K57" i="41"/>
  <c r="L56" i="41"/>
  <c r="O56" i="41" s="1"/>
  <c r="K56" i="41"/>
  <c r="N56" i="41" s="1"/>
  <c r="L55" i="41"/>
  <c r="O55" i="41" s="1"/>
  <c r="K55" i="41"/>
  <c r="N55" i="41" s="1"/>
  <c r="N54" i="41"/>
  <c r="L54" i="41"/>
  <c r="O54" i="41" s="1"/>
  <c r="K54" i="41"/>
  <c r="N53" i="41"/>
  <c r="L53" i="41"/>
  <c r="O53" i="41" s="1"/>
  <c r="K53" i="41"/>
  <c r="L52" i="41"/>
  <c r="O52" i="41" s="1"/>
  <c r="K52" i="41"/>
  <c r="N52" i="41" s="1"/>
  <c r="L51" i="41"/>
  <c r="O51" i="41" s="1"/>
  <c r="K51" i="41"/>
  <c r="N51" i="41" s="1"/>
  <c r="N50" i="41"/>
  <c r="L50" i="41"/>
  <c r="O50" i="41" s="1"/>
  <c r="K50" i="41"/>
  <c r="N49" i="41"/>
  <c r="L49" i="41"/>
  <c r="O49" i="41" s="1"/>
  <c r="K49" i="41"/>
  <c r="L48" i="41"/>
  <c r="O48" i="41" s="1"/>
  <c r="K48" i="41"/>
  <c r="N48" i="41" s="1"/>
  <c r="L47" i="41"/>
  <c r="O47" i="41" s="1"/>
  <c r="K47" i="41"/>
  <c r="N47" i="41" s="1"/>
  <c r="N46" i="41"/>
  <c r="L46" i="41"/>
  <c r="O46" i="41" s="1"/>
  <c r="K46" i="41"/>
  <c r="J45" i="41"/>
  <c r="M45" i="41" s="1"/>
  <c r="J44" i="41"/>
  <c r="M44" i="41" s="1"/>
  <c r="J43" i="41"/>
  <c r="M43" i="41" s="1"/>
  <c r="J42" i="41"/>
  <c r="M42" i="41" s="1"/>
  <c r="J41" i="41"/>
  <c r="M41" i="41" s="1"/>
  <c r="J40" i="41"/>
  <c r="M40" i="41" s="1"/>
  <c r="J39" i="41"/>
  <c r="M39" i="41" s="1"/>
  <c r="J38" i="41"/>
  <c r="M38" i="41" s="1"/>
  <c r="J37" i="41"/>
  <c r="M37" i="41" s="1"/>
  <c r="J36" i="41"/>
  <c r="M36" i="41" s="1"/>
  <c r="J35" i="41"/>
  <c r="M35" i="41" s="1"/>
  <c r="J34" i="41"/>
  <c r="M34" i="41" s="1"/>
  <c r="J33" i="41"/>
  <c r="M33" i="41" s="1"/>
  <c r="M32" i="41"/>
  <c r="J32" i="41"/>
  <c r="X730" i="37"/>
  <c r="W730" i="37"/>
  <c r="X729" i="37"/>
  <c r="W729" i="37"/>
  <c r="X728" i="37"/>
  <c r="W728" i="37"/>
  <c r="X727" i="37"/>
  <c r="W727" i="37"/>
  <c r="X726" i="37"/>
  <c r="W726" i="37"/>
  <c r="X725" i="37"/>
  <c r="W725" i="37"/>
  <c r="X724" i="37"/>
  <c r="W724" i="37"/>
  <c r="X723" i="37"/>
  <c r="W723" i="37"/>
  <c r="X722" i="37"/>
  <c r="W722" i="37"/>
  <c r="X721" i="37"/>
  <c r="W721" i="37"/>
  <c r="X720" i="37"/>
  <c r="W720" i="37"/>
  <c r="X719" i="37"/>
  <c r="W719" i="37"/>
  <c r="AD368" i="38"/>
  <c r="X368" i="38"/>
  <c r="W368" i="38"/>
  <c r="AD367" i="38"/>
  <c r="X367" i="38"/>
  <c r="W367" i="38"/>
  <c r="AD366" i="38"/>
  <c r="X366" i="38"/>
  <c r="W366" i="38"/>
  <c r="AD365" i="38"/>
  <c r="X365" i="38"/>
  <c r="W365" i="38"/>
  <c r="AD364" i="38"/>
  <c r="X364" i="38"/>
  <c r="W364" i="38"/>
  <c r="AD363" i="38"/>
  <c r="X363" i="38"/>
  <c r="W363" i="38"/>
  <c r="X363" i="37"/>
  <c r="W363" i="37"/>
  <c r="AD362" i="38"/>
  <c r="X362" i="38"/>
  <c r="W362" i="38"/>
  <c r="X362" i="37"/>
  <c r="W362" i="37"/>
  <c r="AD361" i="38"/>
  <c r="X361" i="38"/>
  <c r="W361" i="38"/>
  <c r="X361" i="37"/>
  <c r="W361" i="37"/>
  <c r="AD360" i="38"/>
  <c r="X360" i="38"/>
  <c r="W360" i="38"/>
  <c r="X360" i="37"/>
  <c r="W360" i="37"/>
  <c r="AD359" i="38"/>
  <c r="X359" i="38"/>
  <c r="W359" i="38"/>
  <c r="X359" i="37"/>
  <c r="W359" i="37"/>
  <c r="AD358" i="38"/>
  <c r="X358" i="38"/>
  <c r="W358" i="38"/>
  <c r="X358" i="37"/>
  <c r="W358" i="37"/>
  <c r="AD357" i="38"/>
  <c r="AD11" i="41" s="1"/>
  <c r="X357" i="38"/>
  <c r="W357" i="38"/>
  <c r="X357" i="37"/>
  <c r="W357" i="37"/>
  <c r="X356" i="37"/>
  <c r="W356" i="37"/>
  <c r="X355" i="37"/>
  <c r="W355" i="37"/>
  <c r="X354" i="37"/>
  <c r="W354" i="37"/>
  <c r="X353" i="37"/>
  <c r="W353" i="37"/>
  <c r="X352" i="37"/>
  <c r="W352" i="37"/>
  <c r="V351" i="37"/>
  <c r="V350" i="37"/>
  <c r="V349" i="37"/>
  <c r="V348" i="37"/>
  <c r="V347" i="37"/>
  <c r="V346" i="37"/>
  <c r="V345" i="37"/>
  <c r="V344" i="37"/>
  <c r="V343" i="37"/>
  <c r="V342" i="37"/>
  <c r="V341" i="37"/>
  <c r="V340" i="37"/>
  <c r="X339" i="37"/>
  <c r="W339" i="37"/>
  <c r="X338" i="37"/>
  <c r="W338" i="37"/>
  <c r="X337" i="37"/>
  <c r="W337" i="37"/>
  <c r="X336" i="37"/>
  <c r="W336" i="37"/>
  <c r="X335" i="37"/>
  <c r="W335" i="37"/>
  <c r="X334" i="37"/>
  <c r="W334" i="37"/>
  <c r="X333" i="37"/>
  <c r="W333" i="37"/>
  <c r="X332" i="37"/>
  <c r="W332" i="37"/>
  <c r="X331" i="37"/>
  <c r="W331" i="37"/>
  <c r="X330" i="37"/>
  <c r="W330" i="37"/>
  <c r="X329" i="37"/>
  <c r="W329" i="37"/>
  <c r="X328" i="37"/>
  <c r="W328" i="37"/>
  <c r="X327" i="37"/>
  <c r="W327" i="37"/>
  <c r="X326" i="37"/>
  <c r="W326" i="37"/>
  <c r="X325" i="37"/>
  <c r="W325" i="37"/>
  <c r="X324" i="37"/>
  <c r="W324" i="37"/>
  <c r="X323" i="37"/>
  <c r="W323" i="37"/>
  <c r="X322" i="37"/>
  <c r="W322" i="37"/>
  <c r="X321" i="37"/>
  <c r="W321" i="37"/>
  <c r="X320" i="37"/>
  <c r="W320" i="37"/>
  <c r="X319" i="37"/>
  <c r="W319" i="37"/>
  <c r="X318" i="37"/>
  <c r="W318" i="37"/>
  <c r="X317" i="37"/>
  <c r="W317" i="37"/>
  <c r="X316" i="37"/>
  <c r="W316" i="37"/>
  <c r="X315" i="37"/>
  <c r="W315" i="37"/>
  <c r="X314" i="37"/>
  <c r="W314" i="37"/>
  <c r="X313" i="37"/>
  <c r="W313" i="37"/>
  <c r="X312" i="37"/>
  <c r="W312" i="37"/>
  <c r="X311" i="37"/>
  <c r="W311" i="37"/>
  <c r="X310" i="37"/>
  <c r="W310" i="37"/>
  <c r="X309" i="37"/>
  <c r="W309" i="37"/>
  <c r="V308" i="37"/>
  <c r="V307" i="37"/>
  <c r="V306" i="37"/>
  <c r="V305" i="37"/>
  <c r="V304" i="37"/>
  <c r="V303" i="37"/>
  <c r="V302" i="37"/>
  <c r="V301" i="37"/>
  <c r="V300" i="37"/>
  <c r="V299" i="37"/>
  <c r="V298" i="37"/>
  <c r="V297" i="37"/>
  <c r="V296" i="37"/>
  <c r="V295" i="37"/>
  <c r="V294" i="37"/>
  <c r="V293" i="37"/>
  <c r="V292" i="37"/>
  <c r="V291" i="37"/>
  <c r="V290" i="37"/>
  <c r="V289" i="37"/>
  <c r="V288" i="37"/>
  <c r="V287" i="37"/>
  <c r="V286" i="37"/>
  <c r="X285" i="37"/>
  <c r="W285" i="37"/>
  <c r="X284" i="37"/>
  <c r="W284" i="37"/>
  <c r="X283" i="37"/>
  <c r="W283" i="37"/>
  <c r="X282" i="37"/>
  <c r="W282" i="37"/>
  <c r="X281" i="37"/>
  <c r="W281" i="37"/>
  <c r="X280" i="37"/>
  <c r="W280" i="37"/>
  <c r="X279" i="37"/>
  <c r="W279" i="37"/>
  <c r="X278" i="37"/>
  <c r="W278" i="37"/>
  <c r="X277" i="37"/>
  <c r="W277" i="37"/>
  <c r="X276" i="37"/>
  <c r="W276" i="37"/>
  <c r="X275" i="37"/>
  <c r="W275" i="37"/>
  <c r="X274" i="37"/>
  <c r="W274" i="37"/>
  <c r="X273" i="37"/>
  <c r="W273" i="37"/>
  <c r="X272" i="37"/>
  <c r="W272" i="37"/>
  <c r="X271" i="37"/>
  <c r="W271" i="37"/>
  <c r="X270" i="37"/>
  <c r="W270" i="37"/>
  <c r="X269" i="37"/>
  <c r="W269" i="37"/>
  <c r="X268" i="37"/>
  <c r="W268" i="37"/>
  <c r="X267" i="37"/>
  <c r="W267" i="37"/>
  <c r="X266" i="37"/>
  <c r="W266" i="37"/>
  <c r="X265" i="37"/>
  <c r="W265" i="37"/>
  <c r="X264" i="37"/>
  <c r="W264" i="37"/>
  <c r="X263" i="37"/>
  <c r="W263" i="37"/>
  <c r="X262" i="37"/>
  <c r="W262" i="37"/>
  <c r="X261" i="37"/>
  <c r="W261" i="37"/>
  <c r="X260" i="37"/>
  <c r="W260" i="37"/>
  <c r="X259" i="37"/>
  <c r="W259" i="37"/>
  <c r="X258" i="37"/>
  <c r="W258" i="37"/>
  <c r="X257" i="37"/>
  <c r="W257" i="37"/>
  <c r="X256" i="37"/>
  <c r="W256" i="37"/>
  <c r="V255" i="37"/>
  <c r="V254" i="37"/>
  <c r="V253" i="37"/>
  <c r="V252" i="37"/>
  <c r="V251" i="37"/>
  <c r="V250" i="37"/>
  <c r="V249" i="37"/>
  <c r="AB249" i="37" s="1"/>
  <c r="V248" i="37"/>
  <c r="V247" i="37"/>
  <c r="V246" i="37"/>
  <c r="V245" i="37"/>
  <c r="V244" i="37"/>
  <c r="X243" i="37"/>
  <c r="W243" i="37"/>
  <c r="X242" i="37"/>
  <c r="W242" i="37"/>
  <c r="X241" i="37"/>
  <c r="W241" i="37"/>
  <c r="X240" i="37"/>
  <c r="W240" i="37"/>
  <c r="X239" i="37"/>
  <c r="W239" i="37"/>
  <c r="X238" i="37"/>
  <c r="W238" i="37"/>
  <c r="X237" i="37"/>
  <c r="W237" i="37"/>
  <c r="X236" i="37"/>
  <c r="W236" i="37"/>
  <c r="X235" i="37"/>
  <c r="W235" i="37"/>
  <c r="X234" i="37"/>
  <c r="W234" i="37"/>
  <c r="X233" i="37"/>
  <c r="W233" i="37"/>
  <c r="X232" i="37"/>
  <c r="W232" i="37"/>
  <c r="AD181" i="38"/>
  <c r="X181" i="38"/>
  <c r="W181" i="38"/>
  <c r="AD180" i="38"/>
  <c r="X180" i="38"/>
  <c r="W180" i="38"/>
  <c r="AD179" i="38"/>
  <c r="X179" i="38"/>
  <c r="W179" i="38"/>
  <c r="AD178" i="38"/>
  <c r="X178" i="38"/>
  <c r="W178" i="38"/>
  <c r="AD177" i="38"/>
  <c r="X177" i="38"/>
  <c r="W177" i="38"/>
  <c r="AD176" i="38"/>
  <c r="X176" i="38"/>
  <c r="W176" i="38"/>
  <c r="AD175" i="38"/>
  <c r="X175" i="38"/>
  <c r="W175" i="38"/>
  <c r="AD174" i="38"/>
  <c r="X174" i="38"/>
  <c r="W174" i="38"/>
  <c r="AD173" i="38"/>
  <c r="X173" i="38"/>
  <c r="W173" i="38"/>
  <c r="AD172" i="38"/>
  <c r="X172" i="38"/>
  <c r="W172" i="38"/>
  <c r="AD171" i="38"/>
  <c r="X171" i="38"/>
  <c r="W171" i="38"/>
  <c r="AD170" i="38"/>
  <c r="X170" i="38"/>
  <c r="W170" i="38"/>
  <c r="AE169" i="38"/>
  <c r="V169" i="38"/>
  <c r="AB169" i="38" s="1"/>
  <c r="AE168" i="38"/>
  <c r="V168" i="38"/>
  <c r="AB168" i="38" s="1"/>
  <c r="AE167" i="38"/>
  <c r="V167" i="38"/>
  <c r="AB167" i="38" s="1"/>
  <c r="AE166" i="38"/>
  <c r="V166" i="38"/>
  <c r="AB166" i="38" s="1"/>
  <c r="AE165" i="38"/>
  <c r="V165" i="38"/>
  <c r="AB165" i="38" s="1"/>
  <c r="AE164" i="38"/>
  <c r="V164" i="38"/>
  <c r="AB164" i="38" s="1"/>
  <c r="AE163" i="38"/>
  <c r="AB163" i="38"/>
  <c r="V163" i="38"/>
  <c r="AE162" i="38"/>
  <c r="V162" i="38"/>
  <c r="AB162" i="38" s="1"/>
  <c r="AE161" i="38"/>
  <c r="V161" i="38"/>
  <c r="AB161" i="38" s="1"/>
  <c r="AE160" i="38"/>
  <c r="V160" i="38"/>
  <c r="AB160" i="38" s="1"/>
  <c r="AE159" i="38"/>
  <c r="V159" i="38"/>
  <c r="AB159" i="38" s="1"/>
  <c r="AE158" i="38"/>
  <c r="V158" i="38"/>
  <c r="AB158" i="38" s="1"/>
  <c r="AD157" i="38"/>
  <c r="X157" i="38"/>
  <c r="W157" i="38"/>
  <c r="AD156" i="38"/>
  <c r="X156" i="38"/>
  <c r="W156" i="38"/>
  <c r="AD155" i="38"/>
  <c r="X155" i="38"/>
  <c r="W155" i="38"/>
  <c r="AD154" i="38"/>
  <c r="X154" i="38"/>
  <c r="W154" i="38"/>
  <c r="AD153" i="38"/>
  <c r="X153" i="38"/>
  <c r="W153" i="38"/>
  <c r="AD152" i="38"/>
  <c r="X152" i="38"/>
  <c r="W152" i="38"/>
  <c r="AD151" i="38"/>
  <c r="X151" i="38"/>
  <c r="W151" i="38"/>
  <c r="AD150" i="38"/>
  <c r="X150" i="38"/>
  <c r="W150" i="38"/>
  <c r="AD149" i="38"/>
  <c r="X149" i="38"/>
  <c r="W149" i="38"/>
  <c r="AD148" i="38"/>
  <c r="X148" i="38"/>
  <c r="W148" i="38"/>
  <c r="AD147" i="38"/>
  <c r="X147" i="38"/>
  <c r="W147" i="38"/>
  <c r="AD146" i="38"/>
  <c r="X146" i="38"/>
  <c r="W146" i="38"/>
  <c r="AD145" i="38"/>
  <c r="X145" i="38"/>
  <c r="W145" i="38"/>
  <c r="AD144" i="38"/>
  <c r="X144" i="38"/>
  <c r="W144" i="38"/>
  <c r="AD143" i="38"/>
  <c r="X143" i="38"/>
  <c r="W143" i="38"/>
  <c r="AD142" i="38"/>
  <c r="X142" i="38"/>
  <c r="W142" i="38"/>
  <c r="AD141" i="38"/>
  <c r="X141" i="38"/>
  <c r="W141" i="38"/>
  <c r="AD140" i="38"/>
  <c r="X140" i="38"/>
  <c r="W140" i="38"/>
  <c r="AD139" i="38"/>
  <c r="X139" i="38"/>
  <c r="W139" i="38"/>
  <c r="AD138" i="38"/>
  <c r="X138" i="38"/>
  <c r="W138" i="38"/>
  <c r="AD137" i="38"/>
  <c r="X137" i="38"/>
  <c r="W137" i="38"/>
  <c r="AD136" i="38"/>
  <c r="X136" i="38"/>
  <c r="W136" i="38"/>
  <c r="AD135" i="38"/>
  <c r="X135" i="38"/>
  <c r="W135" i="38"/>
  <c r="AD134" i="38"/>
  <c r="X134" i="38"/>
  <c r="W134" i="38"/>
  <c r="AD133" i="38"/>
  <c r="X133" i="38"/>
  <c r="W133" i="38"/>
  <c r="AD132" i="38"/>
  <c r="X132" i="38"/>
  <c r="W132" i="38"/>
  <c r="AD131" i="38"/>
  <c r="X131" i="38"/>
  <c r="W131" i="38"/>
  <c r="AD130" i="38"/>
  <c r="X130" i="38"/>
  <c r="W130" i="38"/>
  <c r="AD129" i="38"/>
  <c r="X129" i="38"/>
  <c r="W129" i="38"/>
  <c r="AD128" i="38"/>
  <c r="X128" i="38"/>
  <c r="W128" i="38"/>
  <c r="AD127" i="38"/>
  <c r="X127" i="38"/>
  <c r="W127" i="38"/>
  <c r="AE126" i="38"/>
  <c r="V126" i="38"/>
  <c r="AB126" i="38" s="1"/>
  <c r="AE125" i="38"/>
  <c r="V125" i="38"/>
  <c r="AB125" i="38" s="1"/>
  <c r="AE124" i="38"/>
  <c r="V124" i="38"/>
  <c r="AB124" i="38" s="1"/>
  <c r="AE123" i="38"/>
  <c r="V123" i="38"/>
  <c r="AB123" i="38" s="1"/>
  <c r="AE122" i="38"/>
  <c r="V122" i="38"/>
  <c r="AB122" i="38" s="1"/>
  <c r="AE121" i="38"/>
  <c r="AB121" i="38"/>
  <c r="V121" i="38"/>
  <c r="AE120" i="38"/>
  <c r="V120" i="38"/>
  <c r="AB120" i="38" s="1"/>
  <c r="AE119" i="38"/>
  <c r="V119" i="38"/>
  <c r="AB119" i="38" s="1"/>
  <c r="AE118" i="38"/>
  <c r="V118" i="38"/>
  <c r="AB118" i="38" s="1"/>
  <c r="AE117" i="38"/>
  <c r="AB117" i="38"/>
  <c r="V117" i="38"/>
  <c r="AE116" i="38"/>
  <c r="V116" i="38"/>
  <c r="AB116" i="38" s="1"/>
  <c r="AE115" i="38"/>
  <c r="V115" i="38"/>
  <c r="AB115" i="38" s="1"/>
  <c r="AE114" i="38"/>
  <c r="V114" i="38"/>
  <c r="AB114" i="38" s="1"/>
  <c r="AE113" i="38"/>
  <c r="V113" i="38"/>
  <c r="AB113" i="38" s="1"/>
  <c r="AE112" i="38"/>
  <c r="V112" i="38"/>
  <c r="AB112" i="38" s="1"/>
  <c r="AE111" i="38"/>
  <c r="V111" i="38"/>
  <c r="AB111" i="38" s="1"/>
  <c r="AE110" i="38"/>
  <c r="V110" i="38"/>
  <c r="AB110" i="38" s="1"/>
  <c r="AE109" i="38"/>
  <c r="V109" i="38"/>
  <c r="AB109" i="38" s="1"/>
  <c r="AE108" i="38"/>
  <c r="V108" i="38"/>
  <c r="AB108" i="38" s="1"/>
  <c r="AE107" i="38"/>
  <c r="V107" i="38"/>
  <c r="AB107" i="38" s="1"/>
  <c r="AE106" i="38"/>
  <c r="V106" i="38"/>
  <c r="AB106" i="38" s="1"/>
  <c r="AE105" i="38"/>
  <c r="V105" i="38"/>
  <c r="AB105" i="38" s="1"/>
  <c r="AE104" i="38"/>
  <c r="V104" i="38"/>
  <c r="AB104" i="38" s="1"/>
  <c r="AD103" i="38"/>
  <c r="X103" i="38"/>
  <c r="W103" i="38"/>
  <c r="AD102" i="38"/>
  <c r="X102" i="38"/>
  <c r="W102" i="38"/>
  <c r="AC102" i="38" s="1"/>
  <c r="AD101" i="38"/>
  <c r="X101" i="38"/>
  <c r="W101" i="38"/>
  <c r="AD100" i="38"/>
  <c r="X100" i="38"/>
  <c r="W100" i="38"/>
  <c r="AC100" i="38" s="1"/>
  <c r="AD99" i="38"/>
  <c r="X99" i="38"/>
  <c r="W99" i="38"/>
  <c r="AD98" i="38"/>
  <c r="X98" i="38"/>
  <c r="W98" i="38"/>
  <c r="AC98" i="38" s="1"/>
  <c r="AD97" i="38"/>
  <c r="X97" i="38"/>
  <c r="W97" i="38"/>
  <c r="AD96" i="38"/>
  <c r="X96" i="38"/>
  <c r="W96" i="38"/>
  <c r="AC96" i="38" s="1"/>
  <c r="AD95" i="38"/>
  <c r="X95" i="38"/>
  <c r="W95" i="38"/>
  <c r="AD94" i="38"/>
  <c r="X94" i="38"/>
  <c r="W94" i="38"/>
  <c r="AC94" i="38" s="1"/>
  <c r="AD93" i="38"/>
  <c r="X93" i="38"/>
  <c r="W93" i="38"/>
  <c r="AD92" i="38"/>
  <c r="X92" i="38"/>
  <c r="W92" i="38"/>
  <c r="AC92" i="38" s="1"/>
  <c r="AD91" i="38"/>
  <c r="X91" i="38"/>
  <c r="W91" i="38"/>
  <c r="AD90" i="38"/>
  <c r="X90" i="38"/>
  <c r="W90" i="38"/>
  <c r="AC90" i="38" s="1"/>
  <c r="AD89" i="38"/>
  <c r="X89" i="38"/>
  <c r="W89" i="38"/>
  <c r="AD88" i="38"/>
  <c r="X88" i="38"/>
  <c r="W88" i="38"/>
  <c r="AD87" i="38"/>
  <c r="X87" i="38"/>
  <c r="W87" i="38"/>
  <c r="AD86" i="38"/>
  <c r="X86" i="38"/>
  <c r="W86" i="38"/>
  <c r="AD85" i="38"/>
  <c r="X85" i="38"/>
  <c r="W85" i="38"/>
  <c r="AD84" i="38"/>
  <c r="X84" i="38"/>
  <c r="W84" i="38"/>
  <c r="AD83" i="38"/>
  <c r="X83" i="38"/>
  <c r="W83" i="38"/>
  <c r="AD82" i="38"/>
  <c r="X82" i="38"/>
  <c r="W82" i="38"/>
  <c r="AD81" i="38"/>
  <c r="X81" i="38"/>
  <c r="W81" i="38"/>
  <c r="AD80" i="38"/>
  <c r="X80" i="38"/>
  <c r="W80" i="38"/>
  <c r="AD79" i="38"/>
  <c r="X79" i="38"/>
  <c r="W79" i="38"/>
  <c r="AD78" i="38"/>
  <c r="X78" i="38"/>
  <c r="W78" i="38"/>
  <c r="AD77" i="38"/>
  <c r="X77" i="38"/>
  <c r="W77" i="38"/>
  <c r="AD76" i="38"/>
  <c r="X76" i="38"/>
  <c r="W76" i="38"/>
  <c r="AD75" i="38"/>
  <c r="X75" i="38"/>
  <c r="W75" i="38"/>
  <c r="AD74" i="38"/>
  <c r="X74" i="38"/>
  <c r="W74" i="38"/>
  <c r="AE73" i="38"/>
  <c r="V73" i="38"/>
  <c r="AB73" i="38" s="1"/>
  <c r="AE72" i="38"/>
  <c r="V72" i="38"/>
  <c r="AB72" i="38" s="1"/>
  <c r="AE71" i="38"/>
  <c r="V71" i="38"/>
  <c r="AB71" i="38" s="1"/>
  <c r="AE70" i="38"/>
  <c r="V70" i="38"/>
  <c r="AB70" i="38" s="1"/>
  <c r="AE69" i="38"/>
  <c r="V69" i="38"/>
  <c r="AB69" i="38" s="1"/>
  <c r="AE68" i="38"/>
  <c r="V68" i="38"/>
  <c r="AB68" i="38" s="1"/>
  <c r="AE67" i="38"/>
  <c r="V67" i="38"/>
  <c r="AB67" i="38" s="1"/>
  <c r="AE66" i="38"/>
  <c r="V66" i="38"/>
  <c r="AB66" i="38" s="1"/>
  <c r="AE65" i="38"/>
  <c r="V65" i="38"/>
  <c r="AB65" i="38" s="1"/>
  <c r="AE64" i="38"/>
  <c r="V64" i="38"/>
  <c r="AB64" i="38" s="1"/>
  <c r="AE63" i="38"/>
  <c r="V63" i="38"/>
  <c r="AB63" i="38" s="1"/>
  <c r="AE62" i="38"/>
  <c r="V62" i="38"/>
  <c r="AB62" i="38" s="1"/>
  <c r="AD61" i="38"/>
  <c r="X61" i="38"/>
  <c r="W61" i="38"/>
  <c r="AD60" i="38"/>
  <c r="X60" i="38"/>
  <c r="W60" i="38"/>
  <c r="AD59" i="38"/>
  <c r="X59" i="38"/>
  <c r="W59" i="38"/>
  <c r="AD58" i="38"/>
  <c r="X58" i="38"/>
  <c r="W58" i="38"/>
  <c r="AD57" i="38"/>
  <c r="X57" i="38"/>
  <c r="W57" i="38"/>
  <c r="AD56" i="38"/>
  <c r="X56" i="38"/>
  <c r="W56" i="38"/>
  <c r="AD55" i="38"/>
  <c r="X55" i="38"/>
  <c r="W55" i="38"/>
  <c r="AD54" i="38"/>
  <c r="X54" i="38"/>
  <c r="W54" i="38"/>
  <c r="AD53" i="38"/>
  <c r="X53" i="38"/>
  <c r="W53" i="38"/>
  <c r="AD52" i="38"/>
  <c r="X52" i="38"/>
  <c r="W52" i="38"/>
  <c r="AD51" i="38"/>
  <c r="X51" i="38"/>
  <c r="W51" i="38"/>
  <c r="AD50" i="38"/>
  <c r="X50" i="38"/>
  <c r="W50" i="38"/>
  <c r="M40" i="5"/>
  <c r="M39" i="5"/>
  <c r="M38" i="5"/>
  <c r="J520" i="41" s="1"/>
  <c r="M520" i="41" s="1"/>
  <c r="AJ9" i="38"/>
  <c r="AI9" i="38"/>
  <c r="AJ4" i="38"/>
  <c r="AI4" i="38"/>
  <c r="AJ3" i="38"/>
  <c r="AI3" i="38"/>
  <c r="AD356" i="38"/>
  <c r="AD355" i="38"/>
  <c r="AD354" i="38"/>
  <c r="AD353" i="38"/>
  <c r="AD352" i="38"/>
  <c r="AD351" i="38"/>
  <c r="AD350" i="38"/>
  <c r="AD349" i="38"/>
  <c r="AD348" i="38"/>
  <c r="AD347" i="38"/>
  <c r="AD346" i="38"/>
  <c r="AD345" i="38"/>
  <c r="AD344" i="38"/>
  <c r="AD343" i="38"/>
  <c r="AD342" i="38"/>
  <c r="AD341" i="38"/>
  <c r="AD340" i="38"/>
  <c r="AD339" i="38"/>
  <c r="AD338" i="38"/>
  <c r="AD337" i="38"/>
  <c r="AD336" i="38"/>
  <c r="AD335" i="38"/>
  <c r="AD334" i="38"/>
  <c r="AD333" i="38"/>
  <c r="AD332" i="38"/>
  <c r="AD331" i="38"/>
  <c r="AD330" i="38"/>
  <c r="AD329" i="38"/>
  <c r="AD328" i="38"/>
  <c r="AD327" i="38"/>
  <c r="AD326" i="38"/>
  <c r="AD325" i="38"/>
  <c r="AD324" i="38"/>
  <c r="AD323" i="38"/>
  <c r="AD322" i="38"/>
  <c r="AD321" i="38"/>
  <c r="AD320" i="38"/>
  <c r="AD319" i="38"/>
  <c r="AD318" i="38"/>
  <c r="AD317" i="38"/>
  <c r="AD316" i="38"/>
  <c r="AD315" i="38"/>
  <c r="AD314" i="38"/>
  <c r="AD313" i="38"/>
  <c r="AD312" i="38"/>
  <c r="AD311" i="38"/>
  <c r="AD310" i="38"/>
  <c r="AD309" i="38"/>
  <c r="AD308" i="38"/>
  <c r="AD307" i="38"/>
  <c r="AD306" i="38"/>
  <c r="AD305" i="38"/>
  <c r="AD304" i="38"/>
  <c r="AD303" i="38"/>
  <c r="AD302" i="38"/>
  <c r="AD301" i="38"/>
  <c r="AD300" i="38"/>
  <c r="AD299" i="38"/>
  <c r="AD298" i="38"/>
  <c r="AD297" i="38"/>
  <c r="AD296" i="38"/>
  <c r="AD295" i="38"/>
  <c r="AD294" i="38"/>
  <c r="AD293" i="38"/>
  <c r="AD292" i="38"/>
  <c r="AD291" i="38"/>
  <c r="AD290" i="38"/>
  <c r="AD289" i="38"/>
  <c r="AD288" i="38"/>
  <c r="AD287" i="38"/>
  <c r="AD286" i="38"/>
  <c r="AD285" i="38"/>
  <c r="AD284" i="38"/>
  <c r="AD283" i="38"/>
  <c r="AD282" i="38"/>
  <c r="AD281" i="38"/>
  <c r="AD280" i="38"/>
  <c r="AD279" i="38"/>
  <c r="AD278" i="38"/>
  <c r="AD277" i="38"/>
  <c r="AD276" i="38"/>
  <c r="AD275" i="38"/>
  <c r="AD274" i="38"/>
  <c r="AD273" i="38"/>
  <c r="AD272" i="38"/>
  <c r="AD271" i="38"/>
  <c r="AD270" i="38"/>
  <c r="AD269" i="38"/>
  <c r="AD268" i="38"/>
  <c r="AD267" i="38"/>
  <c r="AD266" i="38"/>
  <c r="AD265" i="38"/>
  <c r="AD264" i="38"/>
  <c r="AD263" i="38"/>
  <c r="AD262" i="38"/>
  <c r="AD261" i="38"/>
  <c r="AD260" i="38"/>
  <c r="AD259" i="38"/>
  <c r="AD258" i="38"/>
  <c r="AD257" i="38"/>
  <c r="AD256" i="38"/>
  <c r="AD255" i="38"/>
  <c r="AD254" i="38"/>
  <c r="AD253" i="38"/>
  <c r="AD252" i="38"/>
  <c r="AD251" i="38"/>
  <c r="AD250" i="38"/>
  <c r="AD249" i="38"/>
  <c r="AD248" i="38"/>
  <c r="AD247" i="38"/>
  <c r="AD246" i="38"/>
  <c r="AD245" i="38"/>
  <c r="AD244" i="38"/>
  <c r="AD243" i="38"/>
  <c r="AD242" i="38"/>
  <c r="AD241" i="38"/>
  <c r="AD240" i="38"/>
  <c r="AD239" i="38"/>
  <c r="AD238" i="38"/>
  <c r="AD237" i="38"/>
  <c r="AD236" i="38"/>
  <c r="AD235" i="38"/>
  <c r="AD234" i="38"/>
  <c r="AD233" i="38"/>
  <c r="AD10" i="41" s="1"/>
  <c r="AD232" i="38"/>
  <c r="AD231" i="38"/>
  <c r="AD230" i="38"/>
  <c r="AD229" i="38"/>
  <c r="AD228" i="38"/>
  <c r="AD227" i="38"/>
  <c r="AD226" i="38"/>
  <c r="AD225" i="38"/>
  <c r="AD224" i="38"/>
  <c r="AD223" i="38"/>
  <c r="AD222" i="38"/>
  <c r="AD221" i="38"/>
  <c r="AD220" i="38"/>
  <c r="AD219" i="38"/>
  <c r="AD218" i="38"/>
  <c r="AD217" i="38"/>
  <c r="AD216" i="38"/>
  <c r="AD215" i="38"/>
  <c r="AD214" i="38"/>
  <c r="AD213" i="38"/>
  <c r="AD212" i="38"/>
  <c r="AD211" i="38"/>
  <c r="AD210" i="38"/>
  <c r="AD209" i="38"/>
  <c r="AD208" i="38"/>
  <c r="AD207" i="38"/>
  <c r="AD206" i="38"/>
  <c r="AD205" i="38"/>
  <c r="AD204" i="38"/>
  <c r="AD203" i="38"/>
  <c r="AD202" i="38"/>
  <c r="AD201" i="38"/>
  <c r="AD200" i="38"/>
  <c r="AD199" i="38"/>
  <c r="AD198" i="38"/>
  <c r="AD197" i="38"/>
  <c r="AD196" i="38"/>
  <c r="AD195" i="38"/>
  <c r="AD194" i="38"/>
  <c r="AD193" i="38"/>
  <c r="AD192" i="38"/>
  <c r="AD191" i="38"/>
  <c r="AD190" i="38"/>
  <c r="AD189" i="38"/>
  <c r="AD188" i="38"/>
  <c r="AD187" i="38"/>
  <c r="AD186" i="38"/>
  <c r="AD185" i="38"/>
  <c r="AD184" i="38"/>
  <c r="AD183" i="38"/>
  <c r="AD182" i="38"/>
  <c r="AD9" i="41" s="1"/>
  <c r="AD49" i="38"/>
  <c r="AD48" i="38"/>
  <c r="AD47" i="38"/>
  <c r="AD46" i="38"/>
  <c r="AD45" i="38"/>
  <c r="AD44" i="38"/>
  <c r="AD43" i="38"/>
  <c r="AD42" i="38"/>
  <c r="AD41" i="38"/>
  <c r="AD40" i="38"/>
  <c r="AD39" i="38"/>
  <c r="AD38" i="38"/>
  <c r="AD37" i="38"/>
  <c r="AD36" i="38"/>
  <c r="AD35" i="38"/>
  <c r="AD34" i="38"/>
  <c r="AD33" i="38"/>
  <c r="AD32" i="38"/>
  <c r="AD31" i="38"/>
  <c r="AD30" i="38"/>
  <c r="AD29" i="38"/>
  <c r="AD28" i="38"/>
  <c r="AD27" i="38"/>
  <c r="AD26" i="38"/>
  <c r="AE25" i="38"/>
  <c r="AE24" i="38"/>
  <c r="AE23" i="38"/>
  <c r="AE22" i="38"/>
  <c r="AE21" i="38"/>
  <c r="AE20" i="38"/>
  <c r="AE19" i="38"/>
  <c r="AE18" i="38"/>
  <c r="AE17" i="38"/>
  <c r="AE16" i="38"/>
  <c r="AE15" i="38"/>
  <c r="AE14" i="38"/>
  <c r="AD13" i="38"/>
  <c r="AD12" i="38"/>
  <c r="AD11" i="38"/>
  <c r="AD10" i="38"/>
  <c r="AD9" i="38"/>
  <c r="AD8" i="38"/>
  <c r="AD7" i="38"/>
  <c r="AD6" i="38"/>
  <c r="AD5" i="38"/>
  <c r="AD4" i="38"/>
  <c r="AD3" i="38"/>
  <c r="AD2" i="38"/>
  <c r="V368" i="38"/>
  <c r="AB368" i="38" s="1"/>
  <c r="V367" i="38"/>
  <c r="AB367" i="38" s="1"/>
  <c r="V366" i="38"/>
  <c r="AB366" i="38" s="1"/>
  <c r="V365" i="38"/>
  <c r="AB365" i="38" s="1"/>
  <c r="V364" i="38"/>
  <c r="AB364" i="38" s="1"/>
  <c r="V363" i="38"/>
  <c r="AB363" i="38" s="1"/>
  <c r="V362" i="38"/>
  <c r="AB362" i="38" s="1"/>
  <c r="V361" i="38"/>
  <c r="AB361" i="38" s="1"/>
  <c r="V360" i="38"/>
  <c r="AB360" i="38" s="1"/>
  <c r="V359" i="38"/>
  <c r="AB359" i="38" s="1"/>
  <c r="V358" i="38"/>
  <c r="AB358" i="38" s="1"/>
  <c r="V357" i="38"/>
  <c r="AB357" i="38" s="1"/>
  <c r="X356" i="38"/>
  <c r="W356" i="38"/>
  <c r="V356" i="38"/>
  <c r="AB356" i="38" s="1"/>
  <c r="X355" i="38"/>
  <c r="W355" i="38"/>
  <c r="V355" i="38"/>
  <c r="AB355" i="38" s="1"/>
  <c r="X354" i="38"/>
  <c r="W354" i="38"/>
  <c r="V354" i="38"/>
  <c r="AB354" i="38" s="1"/>
  <c r="X353" i="38"/>
  <c r="W353" i="38"/>
  <c r="V353" i="38"/>
  <c r="AB353" i="38" s="1"/>
  <c r="X352" i="38"/>
  <c r="W352" i="38"/>
  <c r="V352" i="38"/>
  <c r="AB352" i="38" s="1"/>
  <c r="X351" i="38"/>
  <c r="W351" i="38"/>
  <c r="V351" i="38"/>
  <c r="AB351" i="38" s="1"/>
  <c r="X350" i="38"/>
  <c r="W350" i="38"/>
  <c r="V350" i="38"/>
  <c r="AB350" i="38" s="1"/>
  <c r="X349" i="38"/>
  <c r="W349" i="38"/>
  <c r="V349" i="38"/>
  <c r="AB349" i="38" s="1"/>
  <c r="X348" i="38"/>
  <c r="W348" i="38"/>
  <c r="V348" i="38"/>
  <c r="AB348" i="38" s="1"/>
  <c r="X347" i="38"/>
  <c r="W347" i="38"/>
  <c r="V347" i="38"/>
  <c r="AB347" i="38" s="1"/>
  <c r="X346" i="38"/>
  <c r="W346" i="38"/>
  <c r="V346" i="38"/>
  <c r="AB346" i="38" s="1"/>
  <c r="X345" i="38"/>
  <c r="W345" i="38"/>
  <c r="V345" i="38"/>
  <c r="AB345" i="38" s="1"/>
  <c r="X344" i="38"/>
  <c r="W344" i="38"/>
  <c r="V344" i="38"/>
  <c r="AB344" i="38" s="1"/>
  <c r="X343" i="38"/>
  <c r="W343" i="38"/>
  <c r="V343" i="38"/>
  <c r="AB343" i="38" s="1"/>
  <c r="X342" i="38"/>
  <c r="W342" i="38"/>
  <c r="V342" i="38"/>
  <c r="AB342" i="38" s="1"/>
  <c r="X341" i="38"/>
  <c r="W341" i="38"/>
  <c r="V341" i="38"/>
  <c r="AB341" i="38" s="1"/>
  <c r="X340" i="38"/>
  <c r="W340" i="38"/>
  <c r="V340" i="38"/>
  <c r="AB340" i="38" s="1"/>
  <c r="X339" i="38"/>
  <c r="W339" i="38"/>
  <c r="V339" i="38"/>
  <c r="AB339" i="38" s="1"/>
  <c r="X338" i="38"/>
  <c r="W338" i="38"/>
  <c r="V338" i="38"/>
  <c r="AB338" i="38" s="1"/>
  <c r="X337" i="38"/>
  <c r="W337" i="38"/>
  <c r="V337" i="38"/>
  <c r="AB337" i="38" s="1"/>
  <c r="X336" i="38"/>
  <c r="W336" i="38"/>
  <c r="V336" i="38"/>
  <c r="AB336" i="38" s="1"/>
  <c r="X335" i="38"/>
  <c r="W335" i="38"/>
  <c r="V335" i="38"/>
  <c r="AB335" i="38" s="1"/>
  <c r="X334" i="38"/>
  <c r="W334" i="38"/>
  <c r="V334" i="38"/>
  <c r="AB334" i="38" s="1"/>
  <c r="X333" i="38"/>
  <c r="W333" i="38"/>
  <c r="V333" i="38"/>
  <c r="AB333" i="38" s="1"/>
  <c r="X332" i="38"/>
  <c r="W332" i="38"/>
  <c r="V332" i="38"/>
  <c r="AB332" i="38" s="1"/>
  <c r="X331" i="38"/>
  <c r="W331" i="38"/>
  <c r="V331" i="38"/>
  <c r="AB331" i="38" s="1"/>
  <c r="X330" i="38"/>
  <c r="W330" i="38"/>
  <c r="V330" i="38"/>
  <c r="AB330" i="38" s="1"/>
  <c r="X329" i="38"/>
  <c r="W329" i="38"/>
  <c r="V329" i="38"/>
  <c r="AB329" i="38" s="1"/>
  <c r="X328" i="38"/>
  <c r="W328" i="38"/>
  <c r="V328" i="38"/>
  <c r="AB328" i="38" s="1"/>
  <c r="X327" i="38"/>
  <c r="W327" i="38"/>
  <c r="V327" i="38"/>
  <c r="AB327" i="38" s="1"/>
  <c r="X326" i="38"/>
  <c r="W326" i="38"/>
  <c r="V326" i="38"/>
  <c r="AB326" i="38" s="1"/>
  <c r="X325" i="38"/>
  <c r="W325" i="38"/>
  <c r="V325" i="38"/>
  <c r="AB325" i="38" s="1"/>
  <c r="X324" i="38"/>
  <c r="W324" i="38"/>
  <c r="V324" i="38"/>
  <c r="AB324" i="38" s="1"/>
  <c r="X323" i="38"/>
  <c r="W323" i="38"/>
  <c r="V323" i="38"/>
  <c r="AB323" i="38" s="1"/>
  <c r="X322" i="38"/>
  <c r="W322" i="38"/>
  <c r="V322" i="38"/>
  <c r="AB322" i="38" s="1"/>
  <c r="X321" i="38"/>
  <c r="W321" i="38"/>
  <c r="V321" i="38"/>
  <c r="AB321" i="38" s="1"/>
  <c r="X320" i="38"/>
  <c r="W320" i="38"/>
  <c r="V320" i="38"/>
  <c r="AB320" i="38" s="1"/>
  <c r="X319" i="38"/>
  <c r="W319" i="38"/>
  <c r="V319" i="38"/>
  <c r="AB319" i="38" s="1"/>
  <c r="X318" i="38"/>
  <c r="W318" i="38"/>
  <c r="V318" i="38"/>
  <c r="AB318" i="38" s="1"/>
  <c r="X317" i="38"/>
  <c r="W317" i="38"/>
  <c r="V317" i="38"/>
  <c r="AB317" i="38" s="1"/>
  <c r="X316" i="38"/>
  <c r="W316" i="38"/>
  <c r="V316" i="38"/>
  <c r="AB316" i="38" s="1"/>
  <c r="X315" i="38"/>
  <c r="W315" i="38"/>
  <c r="V315" i="38"/>
  <c r="AB315" i="38" s="1"/>
  <c r="X314" i="38"/>
  <c r="W314" i="38"/>
  <c r="V314" i="38"/>
  <c r="AB314" i="38" s="1"/>
  <c r="X313" i="38"/>
  <c r="W313" i="38"/>
  <c r="V313" i="38"/>
  <c r="AB313" i="38" s="1"/>
  <c r="X312" i="38"/>
  <c r="W312" i="38"/>
  <c r="V312" i="38"/>
  <c r="AB312" i="38" s="1"/>
  <c r="X311" i="38"/>
  <c r="W311" i="38"/>
  <c r="V311" i="38"/>
  <c r="AB311" i="38" s="1"/>
  <c r="X310" i="38"/>
  <c r="W310" i="38"/>
  <c r="V310" i="38"/>
  <c r="AB310" i="38" s="1"/>
  <c r="X309" i="38"/>
  <c r="W309" i="38"/>
  <c r="V309" i="38"/>
  <c r="AB309" i="38" s="1"/>
  <c r="X308" i="38"/>
  <c r="W308" i="38"/>
  <c r="V308" i="38"/>
  <c r="AB308" i="38" s="1"/>
  <c r="X307" i="38"/>
  <c r="W307" i="38"/>
  <c r="V307" i="38"/>
  <c r="AB307" i="38" s="1"/>
  <c r="X306" i="38"/>
  <c r="W306" i="38"/>
  <c r="V306" i="38"/>
  <c r="AB306" i="38" s="1"/>
  <c r="X305" i="38"/>
  <c r="W305" i="38"/>
  <c r="V305" i="38"/>
  <c r="AB305" i="38" s="1"/>
  <c r="X304" i="38"/>
  <c r="W304" i="38"/>
  <c r="V304" i="38"/>
  <c r="AB304" i="38" s="1"/>
  <c r="X303" i="38"/>
  <c r="W303" i="38"/>
  <c r="V303" i="38"/>
  <c r="AB303" i="38" s="1"/>
  <c r="X302" i="38"/>
  <c r="W302" i="38"/>
  <c r="V302" i="38"/>
  <c r="AB302" i="38" s="1"/>
  <c r="X301" i="38"/>
  <c r="W301" i="38"/>
  <c r="V301" i="38"/>
  <c r="AB301" i="38" s="1"/>
  <c r="X300" i="38"/>
  <c r="W300" i="38"/>
  <c r="V300" i="38"/>
  <c r="AB300" i="38" s="1"/>
  <c r="X299" i="38"/>
  <c r="W299" i="38"/>
  <c r="V299" i="38"/>
  <c r="AB299" i="38" s="1"/>
  <c r="X298" i="38"/>
  <c r="W298" i="38"/>
  <c r="V298" i="38"/>
  <c r="AB298" i="38" s="1"/>
  <c r="X297" i="38"/>
  <c r="W297" i="38"/>
  <c r="V297" i="38"/>
  <c r="AB297" i="38" s="1"/>
  <c r="X296" i="38"/>
  <c r="W296" i="38"/>
  <c r="V296" i="38"/>
  <c r="AB296" i="38" s="1"/>
  <c r="X295" i="38"/>
  <c r="W295" i="38"/>
  <c r="V295" i="38"/>
  <c r="AB295" i="38" s="1"/>
  <c r="X294" i="38"/>
  <c r="W294" i="38"/>
  <c r="V294" i="38"/>
  <c r="AB294" i="38" s="1"/>
  <c r="X293" i="38"/>
  <c r="W293" i="38"/>
  <c r="V293" i="38"/>
  <c r="AB293" i="38" s="1"/>
  <c r="X292" i="38"/>
  <c r="W292" i="38"/>
  <c r="V292" i="38"/>
  <c r="AB292" i="38" s="1"/>
  <c r="X291" i="38"/>
  <c r="W291" i="38"/>
  <c r="V291" i="38"/>
  <c r="AB291" i="38" s="1"/>
  <c r="X290" i="38"/>
  <c r="W290" i="38"/>
  <c r="V290" i="38"/>
  <c r="AB290" i="38" s="1"/>
  <c r="X289" i="38"/>
  <c r="W289" i="38"/>
  <c r="V289" i="38"/>
  <c r="AB289" i="38" s="1"/>
  <c r="X288" i="38"/>
  <c r="W288" i="38"/>
  <c r="V288" i="38"/>
  <c r="AB288" i="38" s="1"/>
  <c r="X287" i="38"/>
  <c r="W287" i="38"/>
  <c r="V287" i="38"/>
  <c r="AB287" i="38" s="1"/>
  <c r="X286" i="38"/>
  <c r="W286" i="38"/>
  <c r="V286" i="38"/>
  <c r="AB286" i="38" s="1"/>
  <c r="X285" i="38"/>
  <c r="W285" i="38"/>
  <c r="V285" i="38"/>
  <c r="AB285" i="38" s="1"/>
  <c r="X284" i="38"/>
  <c r="W284" i="38"/>
  <c r="V284" i="38"/>
  <c r="AB284" i="38" s="1"/>
  <c r="X283" i="38"/>
  <c r="W283" i="38"/>
  <c r="V283" i="38"/>
  <c r="AB283" i="38" s="1"/>
  <c r="X282" i="38"/>
  <c r="W282" i="38"/>
  <c r="V282" i="38"/>
  <c r="AB282" i="38" s="1"/>
  <c r="X281" i="38"/>
  <c r="W281" i="38"/>
  <c r="V281" i="38"/>
  <c r="AB281" i="38" s="1"/>
  <c r="X280" i="38"/>
  <c r="W280" i="38"/>
  <c r="V280" i="38"/>
  <c r="AB280" i="38" s="1"/>
  <c r="X279" i="38"/>
  <c r="W279" i="38"/>
  <c r="V279" i="38"/>
  <c r="AB279" i="38" s="1"/>
  <c r="X278" i="38"/>
  <c r="W278" i="38"/>
  <c r="V278" i="38"/>
  <c r="AB278" i="38" s="1"/>
  <c r="X277" i="38"/>
  <c r="W277" i="38"/>
  <c r="V277" i="38"/>
  <c r="AB277" i="38" s="1"/>
  <c r="X276" i="38"/>
  <c r="W276" i="38"/>
  <c r="V276" i="38"/>
  <c r="AB276" i="38" s="1"/>
  <c r="X275" i="38"/>
  <c r="W275" i="38"/>
  <c r="V275" i="38"/>
  <c r="AB275" i="38" s="1"/>
  <c r="X274" i="38"/>
  <c r="W274" i="38"/>
  <c r="V274" i="38"/>
  <c r="AB274" i="38" s="1"/>
  <c r="X273" i="38"/>
  <c r="W273" i="38"/>
  <c r="V273" i="38"/>
  <c r="AB273" i="38" s="1"/>
  <c r="X272" i="38"/>
  <c r="W272" i="38"/>
  <c r="V272" i="38"/>
  <c r="AB272" i="38" s="1"/>
  <c r="X271" i="38"/>
  <c r="W271" i="38"/>
  <c r="V271" i="38"/>
  <c r="AB271" i="38" s="1"/>
  <c r="X270" i="38"/>
  <c r="W270" i="38"/>
  <c r="V270" i="38"/>
  <c r="AB270" i="38" s="1"/>
  <c r="X269" i="38"/>
  <c r="W269" i="38"/>
  <c r="V269" i="38"/>
  <c r="AB269" i="38" s="1"/>
  <c r="X268" i="38"/>
  <c r="W268" i="38"/>
  <c r="AC268" i="38" s="1"/>
  <c r="V268" i="38"/>
  <c r="AB268" i="38" s="1"/>
  <c r="X267" i="38"/>
  <c r="W267" i="38"/>
  <c r="V267" i="38"/>
  <c r="AB267" i="38" s="1"/>
  <c r="X266" i="38"/>
  <c r="W266" i="38"/>
  <c r="V266" i="38"/>
  <c r="AB266" i="38" s="1"/>
  <c r="X265" i="38"/>
  <c r="W265" i="38"/>
  <c r="V265" i="38"/>
  <c r="AB265" i="38" s="1"/>
  <c r="X264" i="38"/>
  <c r="W264" i="38"/>
  <c r="AC264" i="38" s="1"/>
  <c r="V264" i="38"/>
  <c r="AB264" i="38" s="1"/>
  <c r="X263" i="38"/>
  <c r="W263" i="38"/>
  <c r="V263" i="38"/>
  <c r="AB263" i="38" s="1"/>
  <c r="X262" i="38"/>
  <c r="W262" i="38"/>
  <c r="V262" i="38"/>
  <c r="AB262" i="38" s="1"/>
  <c r="X261" i="38"/>
  <c r="W261" i="38"/>
  <c r="V261" i="38"/>
  <c r="AB261" i="38" s="1"/>
  <c r="X260" i="38"/>
  <c r="W260" i="38"/>
  <c r="AC260" i="38" s="1"/>
  <c r="V260" i="38"/>
  <c r="AB260" i="38" s="1"/>
  <c r="X259" i="38"/>
  <c r="W259" i="38"/>
  <c r="V259" i="38"/>
  <c r="AB259" i="38" s="1"/>
  <c r="X258" i="38"/>
  <c r="W258" i="38"/>
  <c r="V258" i="38"/>
  <c r="AB258" i="38" s="1"/>
  <c r="X257" i="38"/>
  <c r="W257" i="38"/>
  <c r="V257" i="38"/>
  <c r="AB257" i="38" s="1"/>
  <c r="X256" i="38"/>
  <c r="W256" i="38"/>
  <c r="AC256" i="38" s="1"/>
  <c r="V256" i="38"/>
  <c r="AB256" i="38" s="1"/>
  <c r="X255" i="38"/>
  <c r="W255" i="38"/>
  <c r="V255" i="38"/>
  <c r="AB255" i="38" s="1"/>
  <c r="X254" i="38"/>
  <c r="W254" i="38"/>
  <c r="V254" i="38"/>
  <c r="AB254" i="38" s="1"/>
  <c r="X253" i="38"/>
  <c r="W253" i="38"/>
  <c r="V253" i="38"/>
  <c r="AB253" i="38" s="1"/>
  <c r="X252" i="38"/>
  <c r="W252" i="38"/>
  <c r="AC252" i="38" s="1"/>
  <c r="V252" i="38"/>
  <c r="AB252" i="38" s="1"/>
  <c r="X251" i="38"/>
  <c r="W251" i="38"/>
  <c r="V251" i="38"/>
  <c r="AB251" i="38" s="1"/>
  <c r="X250" i="38"/>
  <c r="W250" i="38"/>
  <c r="V250" i="38"/>
  <c r="AB250" i="38" s="1"/>
  <c r="X249" i="38"/>
  <c r="W249" i="38"/>
  <c r="V249" i="38"/>
  <c r="AB249" i="38" s="1"/>
  <c r="X248" i="38"/>
  <c r="W248" i="38"/>
  <c r="AC248" i="38" s="1"/>
  <c r="V248" i="38"/>
  <c r="AB248" i="38" s="1"/>
  <c r="X247" i="38"/>
  <c r="W247" i="38"/>
  <c r="V247" i="38"/>
  <c r="AB247" i="38" s="1"/>
  <c r="X246" i="38"/>
  <c r="W246" i="38"/>
  <c r="V246" i="38"/>
  <c r="AB246" i="38" s="1"/>
  <c r="X245" i="38"/>
  <c r="W245" i="38"/>
  <c r="V245" i="38"/>
  <c r="AB245" i="38" s="1"/>
  <c r="X244" i="38"/>
  <c r="W244" i="38"/>
  <c r="AC244" i="38" s="1"/>
  <c r="V244" i="38"/>
  <c r="AB244" i="38" s="1"/>
  <c r="X243" i="38"/>
  <c r="W243" i="38"/>
  <c r="V243" i="38"/>
  <c r="AB243" i="38" s="1"/>
  <c r="X242" i="38"/>
  <c r="W242" i="38"/>
  <c r="V242" i="38"/>
  <c r="AB242" i="38" s="1"/>
  <c r="X241" i="38"/>
  <c r="W241" i="38"/>
  <c r="V241" i="38"/>
  <c r="AB241" i="38" s="1"/>
  <c r="X240" i="38"/>
  <c r="W240" i="38"/>
  <c r="AC240" i="38" s="1"/>
  <c r="V240" i="38"/>
  <c r="AB240" i="38" s="1"/>
  <c r="X239" i="38"/>
  <c r="W239" i="38"/>
  <c r="V239" i="38"/>
  <c r="AB239" i="38" s="1"/>
  <c r="X238" i="38"/>
  <c r="W238" i="38"/>
  <c r="V238" i="38"/>
  <c r="AB238" i="38" s="1"/>
  <c r="X237" i="38"/>
  <c r="W237" i="38"/>
  <c r="V237" i="38"/>
  <c r="AB237" i="38" s="1"/>
  <c r="X236" i="38"/>
  <c r="W236" i="38"/>
  <c r="AC236" i="38" s="1"/>
  <c r="V236" i="38"/>
  <c r="AB236" i="38" s="1"/>
  <c r="X235" i="38"/>
  <c r="W235" i="38"/>
  <c r="V235" i="38"/>
  <c r="AB235" i="38" s="1"/>
  <c r="X234" i="38"/>
  <c r="W234" i="38"/>
  <c r="V234" i="38"/>
  <c r="AB234" i="38" s="1"/>
  <c r="X233" i="38"/>
  <c r="W233" i="38"/>
  <c r="V233" i="38"/>
  <c r="AB233" i="38" s="1"/>
  <c r="X232" i="38"/>
  <c r="W232" i="38"/>
  <c r="V232" i="38"/>
  <c r="AB232" i="38" s="1"/>
  <c r="X231" i="38"/>
  <c r="W231" i="38"/>
  <c r="V231" i="38"/>
  <c r="AB231" i="38" s="1"/>
  <c r="X230" i="38"/>
  <c r="W230" i="38"/>
  <c r="V230" i="38"/>
  <c r="AB230" i="38" s="1"/>
  <c r="X229" i="38"/>
  <c r="W229" i="38"/>
  <c r="V229" i="38"/>
  <c r="AB229" i="38" s="1"/>
  <c r="X228" i="38"/>
  <c r="W228" i="38"/>
  <c r="V228" i="38"/>
  <c r="AB228" i="38" s="1"/>
  <c r="X227" i="38"/>
  <c r="W227" i="38"/>
  <c r="V227" i="38"/>
  <c r="AB227" i="38" s="1"/>
  <c r="X226" i="38"/>
  <c r="W226" i="38"/>
  <c r="V226" i="38"/>
  <c r="AB226" i="38" s="1"/>
  <c r="X225" i="38"/>
  <c r="W225" i="38"/>
  <c r="V225" i="38"/>
  <c r="AB225" i="38" s="1"/>
  <c r="X224" i="38"/>
  <c r="W224" i="38"/>
  <c r="V224" i="38"/>
  <c r="AB224" i="38" s="1"/>
  <c r="X223" i="38"/>
  <c r="W223" i="38"/>
  <c r="V223" i="38"/>
  <c r="AB223" i="38" s="1"/>
  <c r="X222" i="38"/>
  <c r="W222" i="38"/>
  <c r="V222" i="38"/>
  <c r="AB222" i="38" s="1"/>
  <c r="X221" i="38"/>
  <c r="W221" i="38"/>
  <c r="V221" i="38"/>
  <c r="AB221" i="38" s="1"/>
  <c r="X220" i="38"/>
  <c r="W220" i="38"/>
  <c r="AC220" i="38" s="1"/>
  <c r="V220" i="38"/>
  <c r="AB220" i="38" s="1"/>
  <c r="X219" i="38"/>
  <c r="W219" i="38"/>
  <c r="V219" i="38"/>
  <c r="AB219" i="38" s="1"/>
  <c r="X218" i="38"/>
  <c r="W218" i="38"/>
  <c r="V218" i="38"/>
  <c r="AB218" i="38" s="1"/>
  <c r="X217" i="38"/>
  <c r="W217" i="38"/>
  <c r="V217" i="38"/>
  <c r="AB217" i="38" s="1"/>
  <c r="X216" i="38"/>
  <c r="W216" i="38"/>
  <c r="AC216" i="38" s="1"/>
  <c r="V216" i="38"/>
  <c r="AB216" i="38" s="1"/>
  <c r="X215" i="38"/>
  <c r="W215" i="38"/>
  <c r="V215" i="38"/>
  <c r="AB215" i="38" s="1"/>
  <c r="X214" i="38"/>
  <c r="W214" i="38"/>
  <c r="V214" i="38"/>
  <c r="AB214" i="38" s="1"/>
  <c r="X213" i="38"/>
  <c r="W213" i="38"/>
  <c r="V213" i="38"/>
  <c r="AB213" i="38" s="1"/>
  <c r="X212" i="38"/>
  <c r="W212" i="38"/>
  <c r="AC212" i="38" s="1"/>
  <c r="V212" i="38"/>
  <c r="AB212" i="38" s="1"/>
  <c r="X211" i="38"/>
  <c r="W211" i="38"/>
  <c r="V211" i="38"/>
  <c r="AB211" i="38" s="1"/>
  <c r="X210" i="38"/>
  <c r="W210" i="38"/>
  <c r="V210" i="38"/>
  <c r="AB210" i="38" s="1"/>
  <c r="X209" i="38"/>
  <c r="W209" i="38"/>
  <c r="V209" i="38"/>
  <c r="AB209" i="38" s="1"/>
  <c r="X208" i="38"/>
  <c r="W208" i="38"/>
  <c r="AC208" i="38" s="1"/>
  <c r="V208" i="38"/>
  <c r="AB208" i="38" s="1"/>
  <c r="X207" i="38"/>
  <c r="W207" i="38"/>
  <c r="V207" i="38"/>
  <c r="AB207" i="38" s="1"/>
  <c r="X206" i="38"/>
  <c r="W206" i="38"/>
  <c r="V206" i="38"/>
  <c r="AB206" i="38" s="1"/>
  <c r="X205" i="38"/>
  <c r="W205" i="38"/>
  <c r="V205" i="38"/>
  <c r="AB205" i="38" s="1"/>
  <c r="X204" i="38"/>
  <c r="W204" i="38"/>
  <c r="AC204" i="38" s="1"/>
  <c r="V204" i="38"/>
  <c r="AB204" i="38" s="1"/>
  <c r="X203" i="38"/>
  <c r="W203" i="38"/>
  <c r="V203" i="38"/>
  <c r="AB203" i="38" s="1"/>
  <c r="X202" i="38"/>
  <c r="W202" i="38"/>
  <c r="V202" i="38"/>
  <c r="AB202" i="38" s="1"/>
  <c r="X201" i="38"/>
  <c r="W201" i="38"/>
  <c r="V201" i="38"/>
  <c r="AB201" i="38" s="1"/>
  <c r="X200" i="38"/>
  <c r="W200" i="38"/>
  <c r="AC200" i="38" s="1"/>
  <c r="V200" i="38"/>
  <c r="AB200" i="38" s="1"/>
  <c r="X199" i="38"/>
  <c r="W199" i="38"/>
  <c r="V199" i="38"/>
  <c r="AB199" i="38" s="1"/>
  <c r="X198" i="38"/>
  <c r="W198" i="38"/>
  <c r="V198" i="38"/>
  <c r="AB198" i="38" s="1"/>
  <c r="X197" i="38"/>
  <c r="W197" i="38"/>
  <c r="V197" i="38"/>
  <c r="AB197" i="38" s="1"/>
  <c r="X196" i="38"/>
  <c r="W196" i="38"/>
  <c r="AC196" i="38" s="1"/>
  <c r="V196" i="38"/>
  <c r="AB196" i="38" s="1"/>
  <c r="X195" i="38"/>
  <c r="W195" i="38"/>
  <c r="V195" i="38"/>
  <c r="AB195" i="38" s="1"/>
  <c r="X194" i="38"/>
  <c r="W194" i="38"/>
  <c r="V194" i="38"/>
  <c r="AB194" i="38" s="1"/>
  <c r="X193" i="38"/>
  <c r="W193" i="38"/>
  <c r="V193" i="38"/>
  <c r="AB193" i="38" s="1"/>
  <c r="X192" i="38"/>
  <c r="W192" i="38"/>
  <c r="AC192" i="38" s="1"/>
  <c r="V192" i="38"/>
  <c r="AB192" i="38" s="1"/>
  <c r="X191" i="38"/>
  <c r="W191" i="38"/>
  <c r="V191" i="38"/>
  <c r="AB191" i="38" s="1"/>
  <c r="X190" i="38"/>
  <c r="W190" i="38"/>
  <c r="V190" i="38"/>
  <c r="AB190" i="38" s="1"/>
  <c r="X189" i="38"/>
  <c r="W189" i="38"/>
  <c r="V189" i="38"/>
  <c r="AB189" i="38" s="1"/>
  <c r="X188" i="38"/>
  <c r="W188" i="38"/>
  <c r="AC188" i="38" s="1"/>
  <c r="V188" i="38"/>
  <c r="AB188" i="38" s="1"/>
  <c r="X187" i="38"/>
  <c r="W187" i="38"/>
  <c r="V187" i="38"/>
  <c r="AB187" i="38" s="1"/>
  <c r="X186" i="38"/>
  <c r="W186" i="38"/>
  <c r="V186" i="38"/>
  <c r="AB186" i="38" s="1"/>
  <c r="X185" i="38"/>
  <c r="W185" i="38"/>
  <c r="V185" i="38"/>
  <c r="AB185" i="38" s="1"/>
  <c r="X184" i="38"/>
  <c r="W184" i="38"/>
  <c r="AC184" i="38" s="1"/>
  <c r="V184" i="38"/>
  <c r="AB184" i="38" s="1"/>
  <c r="X183" i="38"/>
  <c r="W183" i="38"/>
  <c r="V183" i="38"/>
  <c r="AB183" i="38" s="1"/>
  <c r="X182" i="38"/>
  <c r="W182" i="38"/>
  <c r="V182" i="38"/>
  <c r="AB182" i="38" s="1"/>
  <c r="V181" i="38"/>
  <c r="AB181" i="38" s="1"/>
  <c r="V180" i="38"/>
  <c r="AB180" i="38" s="1"/>
  <c r="V179" i="38"/>
  <c r="AB179" i="38" s="1"/>
  <c r="V178" i="38"/>
  <c r="AB178" i="38" s="1"/>
  <c r="V177" i="38"/>
  <c r="AB177" i="38" s="1"/>
  <c r="V176" i="38"/>
  <c r="AB176" i="38" s="1"/>
  <c r="V175" i="38"/>
  <c r="AB175" i="38" s="1"/>
  <c r="V174" i="38"/>
  <c r="AB174" i="38" s="1"/>
  <c r="V173" i="38"/>
  <c r="AB173" i="38" s="1"/>
  <c r="V172" i="38"/>
  <c r="AB172" i="38" s="1"/>
  <c r="V171" i="38"/>
  <c r="AB171" i="38" s="1"/>
  <c r="V170" i="38"/>
  <c r="AB170" i="38" s="1"/>
  <c r="X169" i="38"/>
  <c r="W169" i="38"/>
  <c r="X168" i="38"/>
  <c r="W168" i="38"/>
  <c r="AC168" i="38" s="1"/>
  <c r="X167" i="38"/>
  <c r="W167" i="38"/>
  <c r="X166" i="38"/>
  <c r="W166" i="38"/>
  <c r="AC166" i="38" s="1"/>
  <c r="X165" i="38"/>
  <c r="W165" i="38"/>
  <c r="X164" i="38"/>
  <c r="W164" i="38"/>
  <c r="AC164" i="38" s="1"/>
  <c r="X163" i="38"/>
  <c r="W163" i="38"/>
  <c r="X162" i="38"/>
  <c r="W162" i="38"/>
  <c r="AC162" i="38" s="1"/>
  <c r="X161" i="38"/>
  <c r="W161" i="38"/>
  <c r="X160" i="38"/>
  <c r="W160" i="38"/>
  <c r="AC160" i="38" s="1"/>
  <c r="X159" i="38"/>
  <c r="W159" i="38"/>
  <c r="X158" i="38"/>
  <c r="W158" i="38"/>
  <c r="AC158" i="38" s="1"/>
  <c r="V157" i="38"/>
  <c r="AB157" i="38" s="1"/>
  <c r="V156" i="38"/>
  <c r="AB156" i="38" s="1"/>
  <c r="V155" i="38"/>
  <c r="AB155" i="38" s="1"/>
  <c r="V154" i="38"/>
  <c r="AB154" i="38" s="1"/>
  <c r="V153" i="38"/>
  <c r="AB153" i="38" s="1"/>
  <c r="V152" i="38"/>
  <c r="AB152" i="38" s="1"/>
  <c r="V151" i="38"/>
  <c r="AB151" i="38" s="1"/>
  <c r="V150" i="38"/>
  <c r="AB150" i="38" s="1"/>
  <c r="V149" i="38"/>
  <c r="AB149" i="38" s="1"/>
  <c r="V148" i="38"/>
  <c r="AB148" i="38" s="1"/>
  <c r="V147" i="38"/>
  <c r="AB147" i="38" s="1"/>
  <c r="V146" i="38"/>
  <c r="AB146" i="38" s="1"/>
  <c r="V145" i="38"/>
  <c r="AB145" i="38" s="1"/>
  <c r="V144" i="38"/>
  <c r="AB144" i="38" s="1"/>
  <c r="V143" i="38"/>
  <c r="AB143" i="38" s="1"/>
  <c r="V142" i="38"/>
  <c r="AB142" i="38" s="1"/>
  <c r="V141" i="38"/>
  <c r="AB141" i="38" s="1"/>
  <c r="V140" i="38"/>
  <c r="AB140" i="38" s="1"/>
  <c r="V139" i="38"/>
  <c r="AB139" i="38" s="1"/>
  <c r="V138" i="38"/>
  <c r="AB138" i="38" s="1"/>
  <c r="V137" i="38"/>
  <c r="AB137" i="38" s="1"/>
  <c r="V136" i="38"/>
  <c r="AB136" i="38" s="1"/>
  <c r="V135" i="38"/>
  <c r="AB135" i="38" s="1"/>
  <c r="V134" i="38"/>
  <c r="AB134" i="38" s="1"/>
  <c r="V133" i="38"/>
  <c r="AB133" i="38" s="1"/>
  <c r="V132" i="38"/>
  <c r="AB132" i="38" s="1"/>
  <c r="V131" i="38"/>
  <c r="AB131" i="38" s="1"/>
  <c r="V130" i="38"/>
  <c r="AB130" i="38" s="1"/>
  <c r="V129" i="38"/>
  <c r="AB129" i="38" s="1"/>
  <c r="V128" i="38"/>
  <c r="AB128" i="38" s="1"/>
  <c r="V127" i="38"/>
  <c r="AB127" i="38" s="1"/>
  <c r="X126" i="38"/>
  <c r="W126" i="38"/>
  <c r="AC126" i="38" s="1"/>
  <c r="X125" i="38"/>
  <c r="W125" i="38"/>
  <c r="AC125" i="38" s="1"/>
  <c r="X124" i="38"/>
  <c r="W124" i="38"/>
  <c r="AC124" i="38" s="1"/>
  <c r="X123" i="38"/>
  <c r="W123" i="38"/>
  <c r="AC123" i="38" s="1"/>
  <c r="X122" i="38"/>
  <c r="W122" i="38"/>
  <c r="AC122" i="38" s="1"/>
  <c r="X121" i="38"/>
  <c r="W121" i="38"/>
  <c r="AC121" i="38" s="1"/>
  <c r="X120" i="38"/>
  <c r="W120" i="38"/>
  <c r="AC120" i="38" s="1"/>
  <c r="X119" i="38"/>
  <c r="W119" i="38"/>
  <c r="AC119" i="38" s="1"/>
  <c r="X118" i="38"/>
  <c r="W118" i="38"/>
  <c r="AC118" i="38" s="1"/>
  <c r="X117" i="38"/>
  <c r="W117" i="38"/>
  <c r="AC117" i="38" s="1"/>
  <c r="X116" i="38"/>
  <c r="W116" i="38"/>
  <c r="AC116" i="38" s="1"/>
  <c r="X115" i="38"/>
  <c r="W115" i="38"/>
  <c r="AC115" i="38" s="1"/>
  <c r="X114" i="38"/>
  <c r="W114" i="38"/>
  <c r="AC114" i="38" s="1"/>
  <c r="X113" i="38"/>
  <c r="W113" i="38"/>
  <c r="AC113" i="38" s="1"/>
  <c r="X112" i="38"/>
  <c r="W112" i="38"/>
  <c r="AC112" i="38" s="1"/>
  <c r="X111" i="38"/>
  <c r="W111" i="38"/>
  <c r="AC111" i="38" s="1"/>
  <c r="X110" i="38"/>
  <c r="W110" i="38"/>
  <c r="AC110" i="38" s="1"/>
  <c r="X109" i="38"/>
  <c r="W109" i="38"/>
  <c r="AC109" i="38" s="1"/>
  <c r="X108" i="38"/>
  <c r="W108" i="38"/>
  <c r="AC108" i="38" s="1"/>
  <c r="X107" i="38"/>
  <c r="W107" i="38"/>
  <c r="AC107" i="38" s="1"/>
  <c r="X106" i="38"/>
  <c r="W106" i="38"/>
  <c r="AC106" i="38" s="1"/>
  <c r="X105" i="38"/>
  <c r="W105" i="38"/>
  <c r="AC105" i="38" s="1"/>
  <c r="X104" i="38"/>
  <c r="W104" i="38"/>
  <c r="AC104" i="38" s="1"/>
  <c r="V103" i="38"/>
  <c r="AB103" i="38" s="1"/>
  <c r="V102" i="38"/>
  <c r="AB102" i="38" s="1"/>
  <c r="V101" i="38"/>
  <c r="AB101" i="38" s="1"/>
  <c r="V100" i="38"/>
  <c r="AB100" i="38" s="1"/>
  <c r="V99" i="38"/>
  <c r="AB99" i="38" s="1"/>
  <c r="V98" i="38"/>
  <c r="AB98" i="38" s="1"/>
  <c r="V97" i="38"/>
  <c r="AB97" i="38" s="1"/>
  <c r="V96" i="38"/>
  <c r="AB96" i="38" s="1"/>
  <c r="V95" i="38"/>
  <c r="AB95" i="38" s="1"/>
  <c r="V94" i="38"/>
  <c r="AB94" i="38" s="1"/>
  <c r="V93" i="38"/>
  <c r="AB93" i="38" s="1"/>
  <c r="V92" i="38"/>
  <c r="AB92" i="38" s="1"/>
  <c r="V91" i="38"/>
  <c r="AB91" i="38" s="1"/>
  <c r="V90" i="38"/>
  <c r="AB90" i="38" s="1"/>
  <c r="V89" i="38"/>
  <c r="AB89" i="38" s="1"/>
  <c r="V88" i="38"/>
  <c r="AB88" i="38" s="1"/>
  <c r="V87" i="38"/>
  <c r="AB87" i="38" s="1"/>
  <c r="V86" i="38"/>
  <c r="AB86" i="38" s="1"/>
  <c r="V85" i="38"/>
  <c r="AB85" i="38" s="1"/>
  <c r="V84" i="38"/>
  <c r="AB84" i="38" s="1"/>
  <c r="V83" i="38"/>
  <c r="AB83" i="38" s="1"/>
  <c r="V82" i="38"/>
  <c r="AB82" i="38" s="1"/>
  <c r="V81" i="38"/>
  <c r="AB81" i="38" s="1"/>
  <c r="V80" i="38"/>
  <c r="AB80" i="38" s="1"/>
  <c r="V79" i="38"/>
  <c r="AB79" i="38" s="1"/>
  <c r="V78" i="38"/>
  <c r="AB78" i="38" s="1"/>
  <c r="V77" i="38"/>
  <c r="AB77" i="38" s="1"/>
  <c r="V76" i="38"/>
  <c r="AB76" i="38" s="1"/>
  <c r="V75" i="38"/>
  <c r="AB75" i="38" s="1"/>
  <c r="V74" i="38"/>
  <c r="AB74" i="38" s="1"/>
  <c r="X73" i="38"/>
  <c r="W73" i="38"/>
  <c r="AC73" i="38" s="1"/>
  <c r="X72" i="38"/>
  <c r="W72" i="38"/>
  <c r="X71" i="38"/>
  <c r="W71" i="38"/>
  <c r="AC71" i="38" s="1"/>
  <c r="X70" i="38"/>
  <c r="W70" i="38"/>
  <c r="X69" i="38"/>
  <c r="W69" i="38"/>
  <c r="AC69" i="38" s="1"/>
  <c r="X68" i="38"/>
  <c r="W68" i="38"/>
  <c r="X67" i="38"/>
  <c r="W67" i="38"/>
  <c r="AC67" i="38" s="1"/>
  <c r="X66" i="38"/>
  <c r="W66" i="38"/>
  <c r="X65" i="38"/>
  <c r="W65" i="38"/>
  <c r="AC65" i="38" s="1"/>
  <c r="X64" i="38"/>
  <c r="W64" i="38"/>
  <c r="X63" i="38"/>
  <c r="W63" i="38"/>
  <c r="AC63" i="38" s="1"/>
  <c r="X62" i="38"/>
  <c r="W62" i="38"/>
  <c r="V61" i="38"/>
  <c r="AB61" i="38" s="1"/>
  <c r="V60" i="38"/>
  <c r="AB60" i="38" s="1"/>
  <c r="V59" i="38"/>
  <c r="AB59" i="38" s="1"/>
  <c r="V58" i="38"/>
  <c r="AB58" i="38" s="1"/>
  <c r="V57" i="38"/>
  <c r="AB57" i="38" s="1"/>
  <c r="V56" i="38"/>
  <c r="AB56" i="38" s="1"/>
  <c r="V55" i="38"/>
  <c r="AB55" i="38" s="1"/>
  <c r="V54" i="38"/>
  <c r="AB54" i="38" s="1"/>
  <c r="V53" i="38"/>
  <c r="AB53" i="38" s="1"/>
  <c r="V52" i="38"/>
  <c r="AB52" i="38" s="1"/>
  <c r="V51" i="38"/>
  <c r="AB51" i="38" s="1"/>
  <c r="V50" i="38"/>
  <c r="AB50" i="38" s="1"/>
  <c r="X49" i="38"/>
  <c r="W49" i="38"/>
  <c r="AC49" i="38" s="1"/>
  <c r="V49" i="38"/>
  <c r="AB49" i="38" s="1"/>
  <c r="X48" i="38"/>
  <c r="W48" i="38"/>
  <c r="V48" i="38"/>
  <c r="AB48" i="38" s="1"/>
  <c r="X47" i="38"/>
  <c r="W47" i="38"/>
  <c r="V47" i="38"/>
  <c r="AB47" i="38" s="1"/>
  <c r="X46" i="38"/>
  <c r="W46" i="38"/>
  <c r="V46" i="38"/>
  <c r="AB46" i="38" s="1"/>
  <c r="X45" i="38"/>
  <c r="W45" i="38"/>
  <c r="AC45" i="38" s="1"/>
  <c r="V45" i="38"/>
  <c r="AB45" i="38" s="1"/>
  <c r="X44" i="38"/>
  <c r="W44" i="38"/>
  <c r="AC44" i="38" s="1"/>
  <c r="V44" i="38"/>
  <c r="AB44" i="38" s="1"/>
  <c r="X43" i="38"/>
  <c r="W43" i="38"/>
  <c r="V43" i="38"/>
  <c r="AB43" i="38" s="1"/>
  <c r="X42" i="38"/>
  <c r="W42" i="38"/>
  <c r="V42" i="38"/>
  <c r="AB42" i="38" s="1"/>
  <c r="X41" i="38"/>
  <c r="W41" i="38"/>
  <c r="AC41" i="38" s="1"/>
  <c r="V41" i="38"/>
  <c r="AB41" i="38" s="1"/>
  <c r="X40" i="38"/>
  <c r="W40" i="38"/>
  <c r="V40" i="38"/>
  <c r="AB40" i="38" s="1"/>
  <c r="X39" i="38"/>
  <c r="W39" i="38"/>
  <c r="V39" i="38"/>
  <c r="AB39" i="38" s="1"/>
  <c r="X38" i="38"/>
  <c r="W38" i="38"/>
  <c r="V38" i="38"/>
  <c r="AB38" i="38" s="1"/>
  <c r="X37" i="38"/>
  <c r="W37" i="38"/>
  <c r="V37" i="38"/>
  <c r="AB37" i="38" s="1"/>
  <c r="X36" i="38"/>
  <c r="W36" i="38"/>
  <c r="V36" i="38"/>
  <c r="AB36" i="38" s="1"/>
  <c r="X35" i="38"/>
  <c r="W35" i="38"/>
  <c r="V35" i="38"/>
  <c r="AB35" i="38" s="1"/>
  <c r="X34" i="38"/>
  <c r="W34" i="38"/>
  <c r="V34" i="38"/>
  <c r="AB34" i="38" s="1"/>
  <c r="X33" i="38"/>
  <c r="W33" i="38"/>
  <c r="V33" i="38"/>
  <c r="AB33" i="38" s="1"/>
  <c r="X32" i="38"/>
  <c r="W32" i="38"/>
  <c r="V32" i="38"/>
  <c r="AB32" i="38" s="1"/>
  <c r="X31" i="38"/>
  <c r="W31" i="38"/>
  <c r="V31" i="38"/>
  <c r="AB31" i="38" s="1"/>
  <c r="X30" i="38"/>
  <c r="W30" i="38"/>
  <c r="V30" i="38"/>
  <c r="AB30" i="38" s="1"/>
  <c r="X29" i="38"/>
  <c r="W29" i="38"/>
  <c r="V29" i="38"/>
  <c r="AB29" i="38" s="1"/>
  <c r="X28" i="38"/>
  <c r="W28" i="38"/>
  <c r="V28" i="38"/>
  <c r="AB28" i="38" s="1"/>
  <c r="X27" i="38"/>
  <c r="W27" i="38"/>
  <c r="V27" i="38"/>
  <c r="AB27" i="38" s="1"/>
  <c r="X26" i="38"/>
  <c r="W26" i="38"/>
  <c r="V26" i="38"/>
  <c r="AB26" i="38" s="1"/>
  <c r="X25" i="38"/>
  <c r="W25" i="38"/>
  <c r="V25" i="38"/>
  <c r="AB25" i="38" s="1"/>
  <c r="X24" i="38"/>
  <c r="W24" i="38"/>
  <c r="V24" i="38"/>
  <c r="AB24" i="38" s="1"/>
  <c r="X23" i="38"/>
  <c r="W23" i="38"/>
  <c r="V23" i="38"/>
  <c r="AB23" i="38" s="1"/>
  <c r="X22" i="38"/>
  <c r="W22" i="38"/>
  <c r="V22" i="38"/>
  <c r="AB22" i="38" s="1"/>
  <c r="X21" i="38"/>
  <c r="W21" i="38"/>
  <c r="V21" i="38"/>
  <c r="AB21" i="38" s="1"/>
  <c r="X20" i="38"/>
  <c r="W20" i="38"/>
  <c r="V20" i="38"/>
  <c r="AB20" i="38" s="1"/>
  <c r="X19" i="38"/>
  <c r="W19" i="38"/>
  <c r="V19" i="38"/>
  <c r="AB19" i="38" s="1"/>
  <c r="X18" i="38"/>
  <c r="W18" i="38"/>
  <c r="V18" i="38"/>
  <c r="AB18" i="38" s="1"/>
  <c r="X17" i="38"/>
  <c r="W17" i="38"/>
  <c r="V17" i="38"/>
  <c r="AB17" i="38" s="1"/>
  <c r="X16" i="38"/>
  <c r="W16" i="38"/>
  <c r="V16" i="38"/>
  <c r="AB16" i="38" s="1"/>
  <c r="X15" i="38"/>
  <c r="W15" i="38"/>
  <c r="V15" i="38"/>
  <c r="AB15" i="38" s="1"/>
  <c r="X14" i="38"/>
  <c r="W14" i="38"/>
  <c r="V14" i="38"/>
  <c r="AB14" i="38" s="1"/>
  <c r="X13" i="38"/>
  <c r="W13" i="38"/>
  <c r="V13" i="38"/>
  <c r="AB13" i="38" s="1"/>
  <c r="X12" i="38"/>
  <c r="W12" i="38"/>
  <c r="V12" i="38"/>
  <c r="AB12" i="38" s="1"/>
  <c r="X11" i="38"/>
  <c r="W11" i="38"/>
  <c r="V11" i="38"/>
  <c r="AB11" i="38" s="1"/>
  <c r="X10" i="38"/>
  <c r="W10" i="38"/>
  <c r="V10" i="38"/>
  <c r="AB10" i="38" s="1"/>
  <c r="X9" i="38"/>
  <c r="W9" i="38"/>
  <c r="V9" i="38"/>
  <c r="AB9" i="38" s="1"/>
  <c r="X8" i="38"/>
  <c r="W8" i="38"/>
  <c r="V8" i="38"/>
  <c r="AB8" i="38" s="1"/>
  <c r="X7" i="38"/>
  <c r="W7" i="38"/>
  <c r="V7" i="38"/>
  <c r="AB7" i="38" s="1"/>
  <c r="X6" i="38"/>
  <c r="W6" i="38"/>
  <c r="V6" i="38"/>
  <c r="AB6" i="38" s="1"/>
  <c r="X5" i="38"/>
  <c r="W5" i="38"/>
  <c r="V5" i="38"/>
  <c r="AB5" i="38" s="1"/>
  <c r="X4" i="38"/>
  <c r="W4" i="38"/>
  <c r="V4" i="38"/>
  <c r="AB4" i="38" s="1"/>
  <c r="X3" i="38"/>
  <c r="W3" i="38"/>
  <c r="V3" i="38"/>
  <c r="AB3" i="38" s="1"/>
  <c r="X2" i="38"/>
  <c r="W2" i="38"/>
  <c r="V2" i="38"/>
  <c r="AB2" i="38" s="1"/>
  <c r="AE754" i="37"/>
  <c r="AE753" i="37"/>
  <c r="AE752" i="37"/>
  <c r="AE751" i="37"/>
  <c r="AE750" i="37"/>
  <c r="AE749" i="37"/>
  <c r="AE748" i="37"/>
  <c r="AE747" i="37"/>
  <c r="AE746" i="37"/>
  <c r="AE745" i="37"/>
  <c r="AE744" i="37"/>
  <c r="AE743" i="37"/>
  <c r="AE742" i="37"/>
  <c r="AE741" i="37"/>
  <c r="AE740" i="37"/>
  <c r="AE739" i="37"/>
  <c r="AE738" i="37"/>
  <c r="AE737" i="37"/>
  <c r="AE736" i="37"/>
  <c r="AE735" i="37"/>
  <c r="AE734" i="37"/>
  <c r="AE733" i="37"/>
  <c r="AE732" i="37"/>
  <c r="AE731" i="37"/>
  <c r="AE730" i="37"/>
  <c r="AD730" i="37"/>
  <c r="AC730" i="37"/>
  <c r="AE729" i="37"/>
  <c r="AD729" i="37"/>
  <c r="AC729" i="37"/>
  <c r="AE728" i="37"/>
  <c r="AD728" i="37"/>
  <c r="AC728" i="37"/>
  <c r="AE727" i="37"/>
  <c r="AD727" i="37"/>
  <c r="AC727" i="37"/>
  <c r="AE726" i="37"/>
  <c r="AD726" i="37"/>
  <c r="AC726" i="37"/>
  <c r="AE725" i="37"/>
  <c r="AD725" i="37"/>
  <c r="AC725" i="37"/>
  <c r="AE724" i="37"/>
  <c r="AD724" i="37"/>
  <c r="AC724" i="37"/>
  <c r="AE723" i="37"/>
  <c r="AD723" i="37"/>
  <c r="AC723" i="37"/>
  <c r="AE722" i="37"/>
  <c r="AD722" i="37"/>
  <c r="AC722" i="37"/>
  <c r="AE721" i="37"/>
  <c r="AD721" i="37"/>
  <c r="AC721" i="37"/>
  <c r="AE720" i="37"/>
  <c r="AD720" i="37"/>
  <c r="AC720" i="37"/>
  <c r="AE719" i="37"/>
  <c r="AD719" i="37"/>
  <c r="AC719" i="37"/>
  <c r="AE718" i="37"/>
  <c r="AE717" i="37"/>
  <c r="AE716" i="37"/>
  <c r="AE715" i="37"/>
  <c r="AE714" i="37"/>
  <c r="AE713" i="37"/>
  <c r="AE712" i="37"/>
  <c r="AE711" i="37"/>
  <c r="AE710" i="37"/>
  <c r="AE709" i="37"/>
  <c r="AE708" i="37"/>
  <c r="AE707" i="37"/>
  <c r="AE706" i="37"/>
  <c r="AE705" i="37"/>
  <c r="AE704" i="37"/>
  <c r="AE703" i="37"/>
  <c r="AE702" i="37"/>
  <c r="AE701" i="37"/>
  <c r="AE700" i="37"/>
  <c r="AE699" i="37"/>
  <c r="AE698" i="37"/>
  <c r="AE697" i="37"/>
  <c r="AE696" i="37"/>
  <c r="AE695" i="37"/>
  <c r="AE694" i="37"/>
  <c r="AE693" i="37"/>
  <c r="AE692" i="37"/>
  <c r="AE691" i="37"/>
  <c r="AE690" i="37"/>
  <c r="AE689" i="37"/>
  <c r="AE688" i="37"/>
  <c r="AE687" i="37"/>
  <c r="AE686" i="37"/>
  <c r="AE685" i="37"/>
  <c r="AE684" i="37"/>
  <c r="AE683" i="37"/>
  <c r="AE682" i="37"/>
  <c r="AE681" i="37"/>
  <c r="AE680" i="37"/>
  <c r="AE679" i="37"/>
  <c r="AE678" i="37"/>
  <c r="AE677" i="37"/>
  <c r="AE676" i="37"/>
  <c r="AE675" i="37"/>
  <c r="AE674" i="37"/>
  <c r="AE673" i="37"/>
  <c r="AE672" i="37"/>
  <c r="AE671" i="37"/>
  <c r="AE670" i="37"/>
  <c r="AE669" i="37"/>
  <c r="AE668" i="37"/>
  <c r="AE667" i="37"/>
  <c r="AE666" i="37"/>
  <c r="AE665" i="37"/>
  <c r="AE664" i="37"/>
  <c r="AE663" i="37"/>
  <c r="AE662" i="37"/>
  <c r="AE661" i="37"/>
  <c r="AE660" i="37"/>
  <c r="AE659" i="37"/>
  <c r="AE658" i="37"/>
  <c r="AE657" i="37"/>
  <c r="AE656" i="37"/>
  <c r="AE655" i="37"/>
  <c r="AE654" i="37"/>
  <c r="AE653" i="37"/>
  <c r="AE652" i="37"/>
  <c r="AE651" i="37"/>
  <c r="AE650" i="37"/>
  <c r="AE649" i="37"/>
  <c r="AE648" i="37"/>
  <c r="AE647" i="37"/>
  <c r="AE646" i="37"/>
  <c r="AE645" i="37"/>
  <c r="AE644" i="37"/>
  <c r="AE643" i="37"/>
  <c r="AE642" i="37"/>
  <c r="AE641" i="37"/>
  <c r="AE640" i="37"/>
  <c r="AE639" i="37"/>
  <c r="AE638" i="37"/>
  <c r="AE637" i="37"/>
  <c r="AE636" i="37"/>
  <c r="AE635" i="37"/>
  <c r="AE634" i="37"/>
  <c r="AE633" i="37"/>
  <c r="AE632" i="37"/>
  <c r="AE631" i="37"/>
  <c r="AE630" i="37"/>
  <c r="AE629" i="37"/>
  <c r="AE628" i="37"/>
  <c r="AE627" i="37"/>
  <c r="AE626" i="37"/>
  <c r="AE625" i="37"/>
  <c r="AE624" i="37"/>
  <c r="AE623" i="37"/>
  <c r="AE622" i="37"/>
  <c r="AE621" i="37"/>
  <c r="AE620" i="37"/>
  <c r="AE619" i="37"/>
  <c r="AE618" i="37"/>
  <c r="AE617" i="37"/>
  <c r="AE616" i="37"/>
  <c r="AE615" i="37"/>
  <c r="AE614" i="37"/>
  <c r="AE613" i="37"/>
  <c r="AE612" i="37"/>
  <c r="AE611" i="37"/>
  <c r="AE610" i="37"/>
  <c r="AE609" i="37"/>
  <c r="AE608" i="37"/>
  <c r="AE607" i="37"/>
  <c r="AE606" i="37"/>
  <c r="AE605" i="37"/>
  <c r="AE604" i="37"/>
  <c r="AE603" i="37"/>
  <c r="AE602" i="37"/>
  <c r="AE601" i="37"/>
  <c r="AE600" i="37"/>
  <c r="AE599" i="37"/>
  <c r="AE598" i="37"/>
  <c r="AE597" i="37"/>
  <c r="AE596" i="37"/>
  <c r="AE595" i="37"/>
  <c r="AE594" i="37"/>
  <c r="AE593" i="37"/>
  <c r="AE592" i="37"/>
  <c r="AE591" i="37"/>
  <c r="AE590" i="37"/>
  <c r="AE589" i="37"/>
  <c r="AE588" i="37"/>
  <c r="AE587" i="37"/>
  <c r="AE586" i="37"/>
  <c r="AE585" i="37"/>
  <c r="AE584" i="37"/>
  <c r="AE583" i="37"/>
  <c r="AE582" i="37"/>
  <c r="AE581" i="37"/>
  <c r="AE580" i="37"/>
  <c r="AE579" i="37"/>
  <c r="AE578" i="37"/>
  <c r="AE577" i="37"/>
  <c r="AE576" i="37"/>
  <c r="AE575" i="37"/>
  <c r="AE574" i="37"/>
  <c r="AE573" i="37"/>
  <c r="AE572" i="37"/>
  <c r="AE571" i="37"/>
  <c r="AE570" i="37"/>
  <c r="AE569" i="37"/>
  <c r="AE568" i="37"/>
  <c r="AE567" i="37"/>
  <c r="AE566" i="37"/>
  <c r="AE565" i="37"/>
  <c r="AE564" i="37"/>
  <c r="AE563" i="37"/>
  <c r="AE562" i="37"/>
  <c r="AE561" i="37"/>
  <c r="AE560" i="37"/>
  <c r="AE559" i="37"/>
  <c r="AE558" i="37"/>
  <c r="AE557" i="37"/>
  <c r="AE556" i="37"/>
  <c r="AE555" i="37"/>
  <c r="AE554" i="37"/>
  <c r="AE553" i="37"/>
  <c r="AE552" i="37"/>
  <c r="AE551" i="37"/>
  <c r="AE550" i="37"/>
  <c r="AE549" i="37"/>
  <c r="AE548" i="37"/>
  <c r="AE547" i="37"/>
  <c r="AE546" i="37"/>
  <c r="AE545" i="37"/>
  <c r="AE544" i="37"/>
  <c r="AE543" i="37"/>
  <c r="AE542" i="37"/>
  <c r="AE541" i="37"/>
  <c r="AE540" i="37"/>
  <c r="AE539" i="37"/>
  <c r="AE538" i="37"/>
  <c r="AE537" i="37"/>
  <c r="AE536" i="37"/>
  <c r="AE535" i="37"/>
  <c r="AE534" i="37"/>
  <c r="AE533" i="37"/>
  <c r="AE532" i="37"/>
  <c r="AE531" i="37"/>
  <c r="AE530" i="37"/>
  <c r="AE529" i="37"/>
  <c r="AE528" i="37"/>
  <c r="AE527" i="37"/>
  <c r="AE526" i="37"/>
  <c r="AE525" i="37"/>
  <c r="AE524" i="37"/>
  <c r="AE523" i="37"/>
  <c r="AE522" i="37"/>
  <c r="AE521" i="37"/>
  <c r="AE520" i="37"/>
  <c r="AE519" i="37"/>
  <c r="AE518" i="37"/>
  <c r="AE517" i="37"/>
  <c r="AE516" i="37"/>
  <c r="AE515" i="37"/>
  <c r="AE514" i="37"/>
  <c r="AE513" i="37"/>
  <c r="AE512" i="37"/>
  <c r="AE511" i="37"/>
  <c r="AE510" i="37"/>
  <c r="AE509" i="37"/>
  <c r="AE508" i="37"/>
  <c r="AE507" i="37"/>
  <c r="AE506" i="37"/>
  <c r="AE505" i="37"/>
  <c r="AE504" i="37"/>
  <c r="AE503" i="37"/>
  <c r="AE502" i="37"/>
  <c r="AE501" i="37"/>
  <c r="AE500" i="37"/>
  <c r="AE499" i="37"/>
  <c r="AE498" i="37"/>
  <c r="AE497" i="37"/>
  <c r="AE496" i="37"/>
  <c r="AE495" i="37"/>
  <c r="AE494" i="37"/>
  <c r="AE493" i="37"/>
  <c r="AE492" i="37"/>
  <c r="AE491" i="37"/>
  <c r="AE490" i="37"/>
  <c r="AE489" i="37"/>
  <c r="AE488" i="37"/>
  <c r="AE487" i="37"/>
  <c r="AE486" i="37"/>
  <c r="AA10" i="41" s="1"/>
  <c r="AE485" i="37"/>
  <c r="AE484" i="37"/>
  <c r="AE483" i="37"/>
  <c r="AE482" i="37"/>
  <c r="AE481" i="37"/>
  <c r="AE480" i="37"/>
  <c r="AE479" i="37"/>
  <c r="AE478" i="37"/>
  <c r="AE477" i="37"/>
  <c r="AE476" i="37"/>
  <c r="AE475" i="37"/>
  <c r="AE474" i="37"/>
  <c r="AE473" i="37"/>
  <c r="AE472" i="37"/>
  <c r="AE471" i="37"/>
  <c r="AE470" i="37"/>
  <c r="AE469" i="37"/>
  <c r="AE468" i="37"/>
  <c r="AE467" i="37"/>
  <c r="AE466" i="37"/>
  <c r="AE465" i="37"/>
  <c r="AE464" i="37"/>
  <c r="AE463" i="37"/>
  <c r="AE462" i="37"/>
  <c r="AE461" i="37"/>
  <c r="AE460" i="37"/>
  <c r="AE459" i="37"/>
  <c r="AE458" i="37"/>
  <c r="AE457" i="37"/>
  <c r="AE456" i="37"/>
  <c r="AE455" i="37"/>
  <c r="AE454" i="37"/>
  <c r="AE453" i="37"/>
  <c r="AE452" i="37"/>
  <c r="AE451" i="37"/>
  <c r="AE450" i="37"/>
  <c r="AE449" i="37"/>
  <c r="AE448" i="37"/>
  <c r="AE447" i="37"/>
  <c r="AE446" i="37"/>
  <c r="AE445" i="37"/>
  <c r="AE444" i="37"/>
  <c r="AE443" i="37"/>
  <c r="AE442" i="37"/>
  <c r="AE441" i="37"/>
  <c r="AE440" i="37"/>
  <c r="AE439" i="37"/>
  <c r="AE438" i="37"/>
  <c r="AE437" i="37"/>
  <c r="AE436" i="37"/>
  <c r="AE435" i="37"/>
  <c r="AE434" i="37"/>
  <c r="AE433" i="37"/>
  <c r="AE432" i="37"/>
  <c r="AE431" i="37"/>
  <c r="AE430" i="37"/>
  <c r="AE429" i="37"/>
  <c r="AE428" i="37"/>
  <c r="AE427" i="37"/>
  <c r="AE426" i="37"/>
  <c r="AE425" i="37"/>
  <c r="AE424" i="37"/>
  <c r="AE423" i="37"/>
  <c r="AE422" i="37"/>
  <c r="AE421" i="37"/>
  <c r="AE420" i="37"/>
  <c r="AE419" i="37"/>
  <c r="AE418" i="37"/>
  <c r="AE417" i="37"/>
  <c r="AE416" i="37"/>
  <c r="AE415" i="37"/>
  <c r="AE414" i="37"/>
  <c r="AE413" i="37"/>
  <c r="AE412" i="37"/>
  <c r="AE411" i="37"/>
  <c r="AE410" i="37"/>
  <c r="AE409" i="37"/>
  <c r="AE408" i="37"/>
  <c r="AE407" i="37"/>
  <c r="AE406" i="37"/>
  <c r="AE405" i="37"/>
  <c r="AE404" i="37"/>
  <c r="AE403" i="37"/>
  <c r="AE402" i="37"/>
  <c r="AE401" i="37"/>
  <c r="AE400" i="37"/>
  <c r="AE399" i="37"/>
  <c r="AE398" i="37"/>
  <c r="AE397" i="37"/>
  <c r="AE396" i="37"/>
  <c r="AE395" i="37"/>
  <c r="AE394" i="37"/>
  <c r="AE393" i="37"/>
  <c r="AE392" i="37"/>
  <c r="AE391" i="37"/>
  <c r="AE390" i="37"/>
  <c r="AE389" i="37"/>
  <c r="AE388" i="37"/>
  <c r="AE387" i="37"/>
  <c r="AE386" i="37"/>
  <c r="AE385" i="37"/>
  <c r="AE384" i="37"/>
  <c r="AE383" i="37"/>
  <c r="AE382" i="37"/>
  <c r="AE381" i="37"/>
  <c r="AE380" i="37"/>
  <c r="AE379" i="37"/>
  <c r="AE378" i="37"/>
  <c r="AE377" i="37"/>
  <c r="AE376" i="37"/>
  <c r="AE375" i="37"/>
  <c r="AE374" i="37"/>
  <c r="AE373" i="37"/>
  <c r="AE372" i="37"/>
  <c r="AE371" i="37"/>
  <c r="AE370" i="37"/>
  <c r="AE369" i="37"/>
  <c r="AE368" i="37"/>
  <c r="AE367" i="37"/>
  <c r="AE366" i="37"/>
  <c r="AE365" i="37"/>
  <c r="AE364" i="37"/>
  <c r="AE363" i="37"/>
  <c r="AD363" i="37"/>
  <c r="AC363" i="37"/>
  <c r="AE362" i="37"/>
  <c r="AD362" i="37"/>
  <c r="AC362" i="37"/>
  <c r="AE361" i="37"/>
  <c r="AD361" i="37"/>
  <c r="AC361" i="37"/>
  <c r="AE360" i="37"/>
  <c r="AD360" i="37"/>
  <c r="AC360" i="37"/>
  <c r="AE359" i="37"/>
  <c r="AD359" i="37"/>
  <c r="AC359" i="37"/>
  <c r="AE358" i="37"/>
  <c r="AD358" i="37"/>
  <c r="AC358" i="37"/>
  <c r="AE357" i="37"/>
  <c r="AD357" i="37"/>
  <c r="AC357" i="37"/>
  <c r="AE356" i="37"/>
  <c r="AD356" i="37"/>
  <c r="AC356" i="37"/>
  <c r="AE355" i="37"/>
  <c r="AD355" i="37"/>
  <c r="AC355" i="37"/>
  <c r="AE354" i="37"/>
  <c r="AD354" i="37"/>
  <c r="AC354" i="37"/>
  <c r="AE353" i="37"/>
  <c r="AD353" i="37"/>
  <c r="AC353" i="37"/>
  <c r="AE352" i="37"/>
  <c r="AD352" i="37"/>
  <c r="AC352" i="37"/>
  <c r="AG351" i="37"/>
  <c r="AF351" i="37"/>
  <c r="AB351" i="37"/>
  <c r="AG350" i="37"/>
  <c r="AF350" i="37"/>
  <c r="AB350" i="37"/>
  <c r="AG349" i="37"/>
  <c r="AF349" i="37"/>
  <c r="AB349" i="37"/>
  <c r="AG348" i="37"/>
  <c r="AF348" i="37"/>
  <c r="AB348" i="37"/>
  <c r="AG347" i="37"/>
  <c r="AF347" i="37"/>
  <c r="AB347" i="37"/>
  <c r="AG346" i="37"/>
  <c r="AF346" i="37"/>
  <c r="AB346" i="37"/>
  <c r="AG345" i="37"/>
  <c r="AF345" i="37"/>
  <c r="AB345" i="37"/>
  <c r="AG344" i="37"/>
  <c r="AF344" i="37"/>
  <c r="AB344" i="37"/>
  <c r="AG343" i="37"/>
  <c r="AF343" i="37"/>
  <c r="AB343" i="37"/>
  <c r="AG342" i="37"/>
  <c r="AF342" i="37"/>
  <c r="AB342" i="37"/>
  <c r="AG341" i="37"/>
  <c r="AF341" i="37"/>
  <c r="AB341" i="37"/>
  <c r="AG340" i="37"/>
  <c r="AF340" i="37"/>
  <c r="AB340" i="37"/>
  <c r="AE339" i="37"/>
  <c r="AD339" i="37"/>
  <c r="AC339" i="37"/>
  <c r="AE338" i="37"/>
  <c r="AD338" i="37"/>
  <c r="AC338" i="37"/>
  <c r="AE337" i="37"/>
  <c r="AD337" i="37"/>
  <c r="AC337" i="37"/>
  <c r="AE336" i="37"/>
  <c r="AD336" i="37"/>
  <c r="AC336" i="37"/>
  <c r="AE335" i="37"/>
  <c r="AD335" i="37"/>
  <c r="AC335" i="37"/>
  <c r="AE334" i="37"/>
  <c r="AD334" i="37"/>
  <c r="AC334" i="37"/>
  <c r="AE333" i="37"/>
  <c r="AD333" i="37"/>
  <c r="AC333" i="37"/>
  <c r="AE332" i="37"/>
  <c r="AD332" i="37"/>
  <c r="AC332" i="37"/>
  <c r="AE331" i="37"/>
  <c r="AD331" i="37"/>
  <c r="AC331" i="37"/>
  <c r="AE330" i="37"/>
  <c r="AD330" i="37"/>
  <c r="AC330" i="37"/>
  <c r="AE329" i="37"/>
  <c r="AD329" i="37"/>
  <c r="AC329" i="37"/>
  <c r="AE328" i="37"/>
  <c r="AD328" i="37"/>
  <c r="AC328" i="37"/>
  <c r="AE327" i="37"/>
  <c r="AD327" i="37"/>
  <c r="AC327" i="37"/>
  <c r="AE326" i="37"/>
  <c r="AD326" i="37"/>
  <c r="AC326" i="37"/>
  <c r="AE325" i="37"/>
  <c r="AD325" i="37"/>
  <c r="AC325" i="37"/>
  <c r="AE324" i="37"/>
  <c r="AD324" i="37"/>
  <c r="AC324" i="37"/>
  <c r="AE323" i="37"/>
  <c r="AD323" i="37"/>
  <c r="AC323" i="37"/>
  <c r="AE322" i="37"/>
  <c r="AD322" i="37"/>
  <c r="AC322" i="37"/>
  <c r="AE321" i="37"/>
  <c r="AD321" i="37"/>
  <c r="AC321" i="37"/>
  <c r="AE320" i="37"/>
  <c r="AD320" i="37"/>
  <c r="AC320" i="37"/>
  <c r="AE319" i="37"/>
  <c r="AD319" i="37"/>
  <c r="AC319" i="37"/>
  <c r="AE318" i="37"/>
  <c r="AD318" i="37"/>
  <c r="AC318" i="37"/>
  <c r="AE317" i="37"/>
  <c r="AD317" i="37"/>
  <c r="AC317" i="37"/>
  <c r="AE316" i="37"/>
  <c r="AD316" i="37"/>
  <c r="AC316" i="37"/>
  <c r="AE315" i="37"/>
  <c r="AD315" i="37"/>
  <c r="AC315" i="37"/>
  <c r="AE314" i="37"/>
  <c r="AD314" i="37"/>
  <c r="AC314" i="37"/>
  <c r="AE313" i="37"/>
  <c r="AD313" i="37"/>
  <c r="AC313" i="37"/>
  <c r="AE312" i="37"/>
  <c r="AD312" i="37"/>
  <c r="AC312" i="37"/>
  <c r="AE311" i="37"/>
  <c r="AD311" i="37"/>
  <c r="AC311" i="37"/>
  <c r="AE310" i="37"/>
  <c r="AD310" i="37"/>
  <c r="AC310" i="37"/>
  <c r="AE309" i="37"/>
  <c r="AD309" i="37"/>
  <c r="AC309" i="37"/>
  <c r="AG308" i="37"/>
  <c r="AF308" i="37"/>
  <c r="AB308" i="37"/>
  <c r="AG307" i="37"/>
  <c r="AF307" i="37"/>
  <c r="AB307" i="37"/>
  <c r="AG306" i="37"/>
  <c r="AF306" i="37"/>
  <c r="AB306" i="37"/>
  <c r="AG305" i="37"/>
  <c r="AF305" i="37"/>
  <c r="AB305" i="37"/>
  <c r="AG304" i="37"/>
  <c r="AF304" i="37"/>
  <c r="AB304" i="37"/>
  <c r="AG303" i="37"/>
  <c r="AF303" i="37"/>
  <c r="AB303" i="37"/>
  <c r="AG302" i="37"/>
  <c r="AF302" i="37"/>
  <c r="AB302" i="37"/>
  <c r="AG301" i="37"/>
  <c r="AF301" i="37"/>
  <c r="AB301" i="37"/>
  <c r="AG300" i="37"/>
  <c r="AF300" i="37"/>
  <c r="AB300" i="37"/>
  <c r="AG299" i="37"/>
  <c r="AF299" i="37"/>
  <c r="AB299" i="37"/>
  <c r="AG298" i="37"/>
  <c r="AF298" i="37"/>
  <c r="AB298" i="37"/>
  <c r="AG297" i="37"/>
  <c r="AF297" i="37"/>
  <c r="AB297" i="37"/>
  <c r="AG296" i="37"/>
  <c r="AF296" i="37"/>
  <c r="AB296" i="37"/>
  <c r="AG295" i="37"/>
  <c r="AF295" i="37"/>
  <c r="AB295" i="37"/>
  <c r="AG294" i="37"/>
  <c r="AF294" i="37"/>
  <c r="AB294" i="37"/>
  <c r="AG293" i="37"/>
  <c r="AF293" i="37"/>
  <c r="AB293" i="37"/>
  <c r="AG292" i="37"/>
  <c r="AF292" i="37"/>
  <c r="AB292" i="37"/>
  <c r="AG291" i="37"/>
  <c r="AF291" i="37"/>
  <c r="AB291" i="37"/>
  <c r="AG290" i="37"/>
  <c r="AF290" i="37"/>
  <c r="AB290" i="37"/>
  <c r="AG289" i="37"/>
  <c r="AF289" i="37"/>
  <c r="AB289" i="37"/>
  <c r="AG288" i="37"/>
  <c r="AF288" i="37"/>
  <c r="AB288" i="37"/>
  <c r="AG287" i="37"/>
  <c r="AF287" i="37"/>
  <c r="AB287" i="37"/>
  <c r="AG286" i="37"/>
  <c r="AF286" i="37"/>
  <c r="AB286" i="37"/>
  <c r="AE285" i="37"/>
  <c r="AD285" i="37"/>
  <c r="AC285" i="37"/>
  <c r="AE284" i="37"/>
  <c r="AD284" i="37"/>
  <c r="AC284" i="37"/>
  <c r="AE283" i="37"/>
  <c r="AD283" i="37"/>
  <c r="AC283" i="37"/>
  <c r="AE282" i="37"/>
  <c r="AD282" i="37"/>
  <c r="AC282" i="37"/>
  <c r="AE281" i="37"/>
  <c r="AD281" i="37"/>
  <c r="AC281" i="37"/>
  <c r="AE280" i="37"/>
  <c r="AD280" i="37"/>
  <c r="AC280" i="37"/>
  <c r="AE279" i="37"/>
  <c r="AD279" i="37"/>
  <c r="AC279" i="37"/>
  <c r="AE278" i="37"/>
  <c r="AD278" i="37"/>
  <c r="AC278" i="37"/>
  <c r="AE277" i="37"/>
  <c r="AD277" i="37"/>
  <c r="AC277" i="37"/>
  <c r="AE276" i="37"/>
  <c r="AD276" i="37"/>
  <c r="AC276" i="37"/>
  <c r="AE275" i="37"/>
  <c r="AD275" i="37"/>
  <c r="AC275" i="37"/>
  <c r="AE274" i="37"/>
  <c r="AD274" i="37"/>
  <c r="AC274" i="37"/>
  <c r="AE273" i="37"/>
  <c r="AD273" i="37"/>
  <c r="AC273" i="37"/>
  <c r="AE272" i="37"/>
  <c r="AD272" i="37"/>
  <c r="AC272" i="37"/>
  <c r="AE271" i="37"/>
  <c r="AD271" i="37"/>
  <c r="AC271" i="37"/>
  <c r="AE270" i="37"/>
  <c r="AD270" i="37"/>
  <c r="AC270" i="37"/>
  <c r="AE269" i="37"/>
  <c r="AD269" i="37"/>
  <c r="AC269" i="37"/>
  <c r="AE268" i="37"/>
  <c r="AD268" i="37"/>
  <c r="AC268" i="37"/>
  <c r="AE267" i="37"/>
  <c r="AD267" i="37"/>
  <c r="AC267" i="37"/>
  <c r="AE266" i="37"/>
  <c r="AD266" i="37"/>
  <c r="AC266" i="37"/>
  <c r="AE265" i="37"/>
  <c r="AD265" i="37"/>
  <c r="AC265" i="37"/>
  <c r="AE264" i="37"/>
  <c r="AD264" i="37"/>
  <c r="AC264" i="37"/>
  <c r="AE263" i="37"/>
  <c r="AD263" i="37"/>
  <c r="AC263" i="37"/>
  <c r="AE262" i="37"/>
  <c r="AD262" i="37"/>
  <c r="AC262" i="37"/>
  <c r="AE261" i="37"/>
  <c r="AD261" i="37"/>
  <c r="AC261" i="37"/>
  <c r="AE260" i="37"/>
  <c r="AD260" i="37"/>
  <c r="AC260" i="37"/>
  <c r="AE259" i="37"/>
  <c r="AD259" i="37"/>
  <c r="AC259" i="37"/>
  <c r="AE258" i="37"/>
  <c r="AD258" i="37"/>
  <c r="AC258" i="37"/>
  <c r="AE257" i="37"/>
  <c r="AD257" i="37"/>
  <c r="AC257" i="37"/>
  <c r="AE256" i="37"/>
  <c r="AD256" i="37"/>
  <c r="AC256" i="37"/>
  <c r="AG255" i="37"/>
  <c r="AF255" i="37"/>
  <c r="AB255" i="37"/>
  <c r="AG254" i="37"/>
  <c r="AF254" i="37"/>
  <c r="AB254" i="37"/>
  <c r="AG253" i="37"/>
  <c r="AF253" i="37"/>
  <c r="AB253" i="37"/>
  <c r="AG252" i="37"/>
  <c r="AF252" i="37"/>
  <c r="AB252" i="37"/>
  <c r="AG251" i="37"/>
  <c r="AF251" i="37"/>
  <c r="AB251" i="37"/>
  <c r="AG250" i="37"/>
  <c r="AF250" i="37"/>
  <c r="AB250" i="37"/>
  <c r="AG249" i="37"/>
  <c r="AF249" i="37"/>
  <c r="AG248" i="37"/>
  <c r="AF248" i="37"/>
  <c r="AB248" i="37"/>
  <c r="AG247" i="37"/>
  <c r="AF247" i="37"/>
  <c r="AB247" i="37"/>
  <c r="AG246" i="37"/>
  <c r="AF246" i="37"/>
  <c r="AB246" i="37"/>
  <c r="AG245" i="37"/>
  <c r="AF245" i="37"/>
  <c r="AB245" i="37"/>
  <c r="AG244" i="37"/>
  <c r="AF244" i="37"/>
  <c r="AB244" i="37"/>
  <c r="AE243" i="37"/>
  <c r="AD243" i="37"/>
  <c r="AC243" i="37"/>
  <c r="AE242" i="37"/>
  <c r="AD242" i="37"/>
  <c r="AC242" i="37"/>
  <c r="AE241" i="37"/>
  <c r="AD241" i="37"/>
  <c r="AC241" i="37"/>
  <c r="AE240" i="37"/>
  <c r="AD240" i="37"/>
  <c r="AC240" i="37"/>
  <c r="AE239" i="37"/>
  <c r="AD239" i="37"/>
  <c r="AC239" i="37"/>
  <c r="AE238" i="37"/>
  <c r="AD238" i="37"/>
  <c r="AC238" i="37"/>
  <c r="AE237" i="37"/>
  <c r="AD237" i="37"/>
  <c r="AC237" i="37"/>
  <c r="AE236" i="37"/>
  <c r="AD236" i="37"/>
  <c r="AC236" i="37"/>
  <c r="AE235" i="37"/>
  <c r="AD235" i="37"/>
  <c r="AC235" i="37"/>
  <c r="AE234" i="37"/>
  <c r="AD234" i="37"/>
  <c r="AC234" i="37"/>
  <c r="AE233" i="37"/>
  <c r="AD233" i="37"/>
  <c r="AC233" i="37"/>
  <c r="AE232" i="37"/>
  <c r="AD232" i="37"/>
  <c r="AC232" i="37"/>
  <c r="AE231" i="37"/>
  <c r="AE230" i="37"/>
  <c r="AE229" i="37"/>
  <c r="AE228" i="37"/>
  <c r="AE227" i="37"/>
  <c r="AE226" i="37"/>
  <c r="AE225" i="37"/>
  <c r="AE224" i="37"/>
  <c r="AE223" i="37"/>
  <c r="AE222" i="37"/>
  <c r="AE221" i="37"/>
  <c r="AE220" i="37"/>
  <c r="AE219" i="37"/>
  <c r="AE218" i="37"/>
  <c r="AE217" i="37"/>
  <c r="AE216" i="37"/>
  <c r="AE215" i="37"/>
  <c r="AE214" i="37"/>
  <c r="AE213" i="37"/>
  <c r="AE212" i="37"/>
  <c r="AE211" i="37"/>
  <c r="AE210" i="37"/>
  <c r="AE209" i="37"/>
  <c r="AE208" i="37"/>
  <c r="AG207" i="37"/>
  <c r="AF207" i="37"/>
  <c r="AG206" i="37"/>
  <c r="AF206" i="37"/>
  <c r="AG205" i="37"/>
  <c r="AF205" i="37"/>
  <c r="AG204" i="37"/>
  <c r="AF204" i="37"/>
  <c r="AG203" i="37"/>
  <c r="AF203" i="37"/>
  <c r="AG202" i="37"/>
  <c r="AF202" i="37"/>
  <c r="AG201" i="37"/>
  <c r="AF201" i="37"/>
  <c r="AG200" i="37"/>
  <c r="AF200" i="37"/>
  <c r="AG199" i="37"/>
  <c r="AF199" i="37"/>
  <c r="AG198" i="37"/>
  <c r="AF198" i="37"/>
  <c r="AG197" i="37"/>
  <c r="AF197" i="37"/>
  <c r="AG196" i="37"/>
  <c r="AF196" i="37"/>
  <c r="AE195" i="37"/>
  <c r="AE194" i="37"/>
  <c r="AE193" i="37"/>
  <c r="AE192" i="37"/>
  <c r="AE191" i="37"/>
  <c r="AE190" i="37"/>
  <c r="AE189" i="37"/>
  <c r="AE188" i="37"/>
  <c r="AE187" i="37"/>
  <c r="AE186" i="37"/>
  <c r="AE185" i="37"/>
  <c r="AE184" i="37"/>
  <c r="AE183" i="37"/>
  <c r="AE182" i="37"/>
  <c r="AE181" i="37"/>
  <c r="AE180" i="37"/>
  <c r="AE179" i="37"/>
  <c r="AE178" i="37"/>
  <c r="AE177" i="37"/>
  <c r="AE176" i="37"/>
  <c r="AE175" i="37"/>
  <c r="AE174" i="37"/>
  <c r="AE173" i="37"/>
  <c r="AE172" i="37"/>
  <c r="AE171" i="37"/>
  <c r="AE170" i="37"/>
  <c r="AE169" i="37"/>
  <c r="AE168" i="37"/>
  <c r="AE167" i="37"/>
  <c r="AE166" i="37"/>
  <c r="AE165" i="37"/>
  <c r="AE164" i="37"/>
  <c r="AE163" i="37"/>
  <c r="AE162" i="37"/>
  <c r="AE161" i="37"/>
  <c r="AG160" i="37"/>
  <c r="AF160" i="37"/>
  <c r="AG159" i="37"/>
  <c r="AF159" i="37"/>
  <c r="AG158" i="37"/>
  <c r="AF158" i="37"/>
  <c r="AG157" i="37"/>
  <c r="AF157" i="37"/>
  <c r="AG156" i="37"/>
  <c r="AF156" i="37"/>
  <c r="AG155" i="37"/>
  <c r="AF155" i="37"/>
  <c r="AG154" i="37"/>
  <c r="AF154" i="37"/>
  <c r="AG153" i="37"/>
  <c r="AF153" i="37"/>
  <c r="AG152" i="37"/>
  <c r="AF152" i="37"/>
  <c r="AG151" i="37"/>
  <c r="AF151" i="37"/>
  <c r="AG150" i="37"/>
  <c r="AF150" i="37"/>
  <c r="AG149" i="37"/>
  <c r="AF149" i="37"/>
  <c r="AG148" i="37"/>
  <c r="AF148" i="37"/>
  <c r="AG147" i="37"/>
  <c r="AF147" i="37"/>
  <c r="AG146" i="37"/>
  <c r="AF146" i="37"/>
  <c r="AG145" i="37"/>
  <c r="AF145" i="37"/>
  <c r="AG144" i="37"/>
  <c r="AF144" i="37"/>
  <c r="AG143" i="37"/>
  <c r="AF143" i="37"/>
  <c r="AG142" i="37"/>
  <c r="AF142" i="37"/>
  <c r="AG141" i="37"/>
  <c r="AF141" i="37"/>
  <c r="AG140" i="37"/>
  <c r="AF140" i="37"/>
  <c r="AG139" i="37"/>
  <c r="AF139" i="37"/>
  <c r="AG138" i="37"/>
  <c r="AF138" i="37"/>
  <c r="AE137" i="37"/>
  <c r="AE136" i="37"/>
  <c r="AE135" i="37"/>
  <c r="AE134" i="37"/>
  <c r="AE133" i="37"/>
  <c r="AE132" i="37"/>
  <c r="AE131" i="37"/>
  <c r="AE130" i="37"/>
  <c r="AE129" i="37"/>
  <c r="AE128" i="37"/>
  <c r="AE127" i="37"/>
  <c r="AE126" i="37"/>
  <c r="AE125" i="37"/>
  <c r="AE124" i="37"/>
  <c r="AE123" i="37"/>
  <c r="AE122" i="37"/>
  <c r="AE121" i="37"/>
  <c r="AE120" i="37"/>
  <c r="AE119" i="37"/>
  <c r="AE118" i="37"/>
  <c r="AE117" i="37"/>
  <c r="AE116" i="37"/>
  <c r="AE115" i="37"/>
  <c r="AG114" i="37"/>
  <c r="AE114" i="37"/>
  <c r="AG113" i="37"/>
  <c r="AE113" i="37"/>
  <c r="AG112" i="37"/>
  <c r="AE112" i="37"/>
  <c r="AG111" i="37"/>
  <c r="AE111" i="37"/>
  <c r="AG110" i="37"/>
  <c r="AE110" i="37"/>
  <c r="AG109" i="37"/>
  <c r="AE109" i="37"/>
  <c r="AG108" i="37"/>
  <c r="AE108" i="37"/>
  <c r="AG107" i="37"/>
  <c r="AE107" i="37"/>
  <c r="AG106" i="37"/>
  <c r="AE106" i="37"/>
  <c r="AG105" i="37"/>
  <c r="AE105" i="37"/>
  <c r="AG104" i="37"/>
  <c r="AE104" i="37"/>
  <c r="AG103" i="37"/>
  <c r="AE103" i="37"/>
  <c r="AG102" i="37"/>
  <c r="AF102" i="37"/>
  <c r="AG101" i="37"/>
  <c r="AF101" i="37"/>
  <c r="AG100" i="37"/>
  <c r="AF100" i="37"/>
  <c r="AG99" i="37"/>
  <c r="AF99" i="37"/>
  <c r="AG98" i="37"/>
  <c r="AF98" i="37"/>
  <c r="AG97" i="37"/>
  <c r="AF97" i="37"/>
  <c r="AG96" i="37"/>
  <c r="AF96" i="37"/>
  <c r="AG95" i="37"/>
  <c r="AF95" i="37"/>
  <c r="AG94" i="37"/>
  <c r="AF94" i="37"/>
  <c r="AG93" i="37"/>
  <c r="AF93" i="37"/>
  <c r="AG92" i="37"/>
  <c r="AF92" i="37"/>
  <c r="AG91" i="37"/>
  <c r="AF91" i="37"/>
  <c r="AG90" i="37"/>
  <c r="AE90" i="37"/>
  <c r="AG89" i="37"/>
  <c r="AE89" i="37"/>
  <c r="AG88" i="37"/>
  <c r="AE88" i="37"/>
  <c r="AG87" i="37"/>
  <c r="AE87" i="37"/>
  <c r="AG86" i="37"/>
  <c r="AE86" i="37"/>
  <c r="AG85" i="37"/>
  <c r="AE85" i="37"/>
  <c r="AG84" i="37"/>
  <c r="AE84" i="37"/>
  <c r="AG83" i="37"/>
  <c r="AE83" i="37"/>
  <c r="AG82" i="37"/>
  <c r="AE82" i="37"/>
  <c r="AG81" i="37"/>
  <c r="AE81" i="37"/>
  <c r="AG80" i="37"/>
  <c r="AE80" i="37"/>
  <c r="AG79" i="37"/>
  <c r="AE79" i="37"/>
  <c r="AE78" i="37"/>
  <c r="AE77" i="37"/>
  <c r="AE76" i="37"/>
  <c r="AE75" i="37"/>
  <c r="AE74" i="37"/>
  <c r="AE73" i="37"/>
  <c r="AE72" i="37"/>
  <c r="AE71" i="37"/>
  <c r="AE70" i="37"/>
  <c r="AE69" i="37"/>
  <c r="AE68" i="37"/>
  <c r="AE67" i="37"/>
  <c r="AE66" i="37"/>
  <c r="AE65" i="37"/>
  <c r="AE64" i="37"/>
  <c r="AG63" i="37"/>
  <c r="AF63" i="37"/>
  <c r="AG62" i="37"/>
  <c r="AF62" i="37"/>
  <c r="AG61" i="37"/>
  <c r="AF61" i="37"/>
  <c r="AG60" i="37"/>
  <c r="AF60" i="37"/>
  <c r="AG59" i="37"/>
  <c r="AF59" i="37"/>
  <c r="AG58" i="37"/>
  <c r="AF58" i="37"/>
  <c r="AG57" i="37"/>
  <c r="AF57" i="37"/>
  <c r="AG56" i="37"/>
  <c r="AF56" i="37"/>
  <c r="AG55" i="37"/>
  <c r="AF55" i="37"/>
  <c r="AG54" i="37"/>
  <c r="AF54" i="37"/>
  <c r="AG53" i="37"/>
  <c r="AF53" i="37"/>
  <c r="AG52" i="37"/>
  <c r="AF52" i="37"/>
  <c r="AG51" i="37"/>
  <c r="AF51" i="37"/>
  <c r="AG50" i="37"/>
  <c r="AF50" i="37"/>
  <c r="AG49" i="37"/>
  <c r="AF49" i="37"/>
  <c r="AG48" i="37"/>
  <c r="AF48" i="37"/>
  <c r="AG47" i="37"/>
  <c r="AF47" i="37"/>
  <c r="AG46" i="37"/>
  <c r="AF46" i="37"/>
  <c r="AE45" i="37"/>
  <c r="AE44" i="37"/>
  <c r="AE43" i="37"/>
  <c r="AE42" i="37"/>
  <c r="AE41" i="37"/>
  <c r="AE40" i="37"/>
  <c r="AE39" i="37"/>
  <c r="AE38" i="37"/>
  <c r="AE37" i="37"/>
  <c r="AE36" i="37"/>
  <c r="AE35" i="37"/>
  <c r="AE34" i="37"/>
  <c r="AE33" i="37"/>
  <c r="AE32" i="37"/>
  <c r="X754" i="37"/>
  <c r="AD754" i="37" s="1"/>
  <c r="W754" i="37"/>
  <c r="AC754" i="37" s="1"/>
  <c r="V754" i="37"/>
  <c r="AB754" i="37" s="1"/>
  <c r="X753" i="37"/>
  <c r="AD753" i="37" s="1"/>
  <c r="W753" i="37"/>
  <c r="AC753" i="37" s="1"/>
  <c r="V753" i="37"/>
  <c r="AB753" i="37" s="1"/>
  <c r="X752" i="37"/>
  <c r="AD752" i="37" s="1"/>
  <c r="W752" i="37"/>
  <c r="AC752" i="37" s="1"/>
  <c r="V752" i="37"/>
  <c r="AB752" i="37" s="1"/>
  <c r="X751" i="37"/>
  <c r="AD751" i="37" s="1"/>
  <c r="W751" i="37"/>
  <c r="AC751" i="37" s="1"/>
  <c r="V751" i="37"/>
  <c r="AB751" i="37" s="1"/>
  <c r="X750" i="37"/>
  <c r="AD750" i="37" s="1"/>
  <c r="W750" i="37"/>
  <c r="AC750" i="37" s="1"/>
  <c r="V750" i="37"/>
  <c r="AB750" i="37" s="1"/>
  <c r="X749" i="37"/>
  <c r="AD749" i="37" s="1"/>
  <c r="W749" i="37"/>
  <c r="AC749" i="37" s="1"/>
  <c r="V749" i="37"/>
  <c r="AB749" i="37" s="1"/>
  <c r="X748" i="37"/>
  <c r="AD748" i="37" s="1"/>
  <c r="W748" i="37"/>
  <c r="AC748" i="37" s="1"/>
  <c r="V748" i="37"/>
  <c r="AB748" i="37" s="1"/>
  <c r="X747" i="37"/>
  <c r="AD747" i="37" s="1"/>
  <c r="W747" i="37"/>
  <c r="AC747" i="37" s="1"/>
  <c r="V747" i="37"/>
  <c r="AB747" i="37" s="1"/>
  <c r="X746" i="37"/>
  <c r="AD746" i="37" s="1"/>
  <c r="W746" i="37"/>
  <c r="AC746" i="37" s="1"/>
  <c r="V746" i="37"/>
  <c r="AB746" i="37" s="1"/>
  <c r="X745" i="37"/>
  <c r="AD745" i="37" s="1"/>
  <c r="W745" i="37"/>
  <c r="AC745" i="37" s="1"/>
  <c r="V745" i="37"/>
  <c r="AB745" i="37" s="1"/>
  <c r="X744" i="37"/>
  <c r="AD744" i="37" s="1"/>
  <c r="W744" i="37"/>
  <c r="AC744" i="37" s="1"/>
  <c r="V744" i="37"/>
  <c r="AB744" i="37" s="1"/>
  <c r="X743" i="37"/>
  <c r="AD743" i="37" s="1"/>
  <c r="W743" i="37"/>
  <c r="AC743" i="37" s="1"/>
  <c r="V743" i="37"/>
  <c r="AB743" i="37" s="1"/>
  <c r="X742" i="37"/>
  <c r="AD742" i="37" s="1"/>
  <c r="W742" i="37"/>
  <c r="AC742" i="37" s="1"/>
  <c r="V742" i="37"/>
  <c r="AB742" i="37" s="1"/>
  <c r="X741" i="37"/>
  <c r="AD741" i="37" s="1"/>
  <c r="W741" i="37"/>
  <c r="AC741" i="37" s="1"/>
  <c r="V741" i="37"/>
  <c r="AB741" i="37" s="1"/>
  <c r="X740" i="37"/>
  <c r="AD740" i="37" s="1"/>
  <c r="W740" i="37"/>
  <c r="AC740" i="37" s="1"/>
  <c r="V740" i="37"/>
  <c r="AB740" i="37" s="1"/>
  <c r="X739" i="37"/>
  <c r="AD739" i="37" s="1"/>
  <c r="W739" i="37"/>
  <c r="AC739" i="37" s="1"/>
  <c r="V739" i="37"/>
  <c r="AB739" i="37" s="1"/>
  <c r="X738" i="37"/>
  <c r="AD738" i="37" s="1"/>
  <c r="W738" i="37"/>
  <c r="AC738" i="37" s="1"/>
  <c r="V738" i="37"/>
  <c r="AB738" i="37" s="1"/>
  <c r="X737" i="37"/>
  <c r="AD737" i="37" s="1"/>
  <c r="W737" i="37"/>
  <c r="AC737" i="37" s="1"/>
  <c r="V737" i="37"/>
  <c r="AB737" i="37" s="1"/>
  <c r="X736" i="37"/>
  <c r="AD736" i="37" s="1"/>
  <c r="W736" i="37"/>
  <c r="AC736" i="37" s="1"/>
  <c r="V736" i="37"/>
  <c r="AB736" i="37" s="1"/>
  <c r="X735" i="37"/>
  <c r="AD735" i="37" s="1"/>
  <c r="W735" i="37"/>
  <c r="AC735" i="37" s="1"/>
  <c r="V735" i="37"/>
  <c r="AB735" i="37" s="1"/>
  <c r="X734" i="37"/>
  <c r="AD734" i="37" s="1"/>
  <c r="W734" i="37"/>
  <c r="AC734" i="37" s="1"/>
  <c r="V734" i="37"/>
  <c r="AB734" i="37" s="1"/>
  <c r="X733" i="37"/>
  <c r="AD733" i="37" s="1"/>
  <c r="W733" i="37"/>
  <c r="AC733" i="37" s="1"/>
  <c r="V733" i="37"/>
  <c r="AB733" i="37" s="1"/>
  <c r="X732" i="37"/>
  <c r="AD732" i="37" s="1"/>
  <c r="W732" i="37"/>
  <c r="AC732" i="37" s="1"/>
  <c r="V732" i="37"/>
  <c r="AB732" i="37" s="1"/>
  <c r="X731" i="37"/>
  <c r="AD731" i="37" s="1"/>
  <c r="W731" i="37"/>
  <c r="AC731" i="37" s="1"/>
  <c r="V731" i="37"/>
  <c r="AB731" i="37" s="1"/>
  <c r="V730" i="37"/>
  <c r="AB730" i="37" s="1"/>
  <c r="V729" i="37"/>
  <c r="AB729" i="37" s="1"/>
  <c r="V728" i="37"/>
  <c r="AB728" i="37" s="1"/>
  <c r="V727" i="37"/>
  <c r="AB727" i="37" s="1"/>
  <c r="V726" i="37"/>
  <c r="AB726" i="37" s="1"/>
  <c r="V725" i="37"/>
  <c r="AB725" i="37" s="1"/>
  <c r="V724" i="37"/>
  <c r="AB724" i="37" s="1"/>
  <c r="V723" i="37"/>
  <c r="AB723" i="37" s="1"/>
  <c r="V722" i="37"/>
  <c r="AB722" i="37" s="1"/>
  <c r="V721" i="37"/>
  <c r="AB721" i="37" s="1"/>
  <c r="V720" i="37"/>
  <c r="AB720" i="37" s="1"/>
  <c r="V719" i="37"/>
  <c r="AB719" i="37" s="1"/>
  <c r="X718" i="37"/>
  <c r="AD718" i="37" s="1"/>
  <c r="W718" i="37"/>
  <c r="AC718" i="37" s="1"/>
  <c r="V718" i="37"/>
  <c r="AB718" i="37" s="1"/>
  <c r="X717" i="37"/>
  <c r="AD717" i="37" s="1"/>
  <c r="W717" i="37"/>
  <c r="AC717" i="37" s="1"/>
  <c r="V717" i="37"/>
  <c r="AB717" i="37" s="1"/>
  <c r="X716" i="37"/>
  <c r="AD716" i="37" s="1"/>
  <c r="W716" i="37"/>
  <c r="AC716" i="37" s="1"/>
  <c r="V716" i="37"/>
  <c r="AB716" i="37" s="1"/>
  <c r="X715" i="37"/>
  <c r="AD715" i="37" s="1"/>
  <c r="W715" i="37"/>
  <c r="AC715" i="37" s="1"/>
  <c r="V715" i="37"/>
  <c r="AB715" i="37" s="1"/>
  <c r="X714" i="37"/>
  <c r="AD714" i="37" s="1"/>
  <c r="W714" i="37"/>
  <c r="AC714" i="37" s="1"/>
  <c r="V714" i="37"/>
  <c r="AB714" i="37" s="1"/>
  <c r="X713" i="37"/>
  <c r="AD713" i="37" s="1"/>
  <c r="W713" i="37"/>
  <c r="AC713" i="37" s="1"/>
  <c r="V713" i="37"/>
  <c r="AB713" i="37" s="1"/>
  <c r="X712" i="37"/>
  <c r="AD712" i="37" s="1"/>
  <c r="W712" i="37"/>
  <c r="AC712" i="37" s="1"/>
  <c r="V712" i="37"/>
  <c r="AB712" i="37" s="1"/>
  <c r="X711" i="37"/>
  <c r="AD711" i="37" s="1"/>
  <c r="W711" i="37"/>
  <c r="AC711" i="37" s="1"/>
  <c r="V711" i="37"/>
  <c r="AB711" i="37" s="1"/>
  <c r="X710" i="37"/>
  <c r="AD710" i="37" s="1"/>
  <c r="W710" i="37"/>
  <c r="AC710" i="37" s="1"/>
  <c r="V710" i="37"/>
  <c r="AB710" i="37" s="1"/>
  <c r="X709" i="37"/>
  <c r="AD709" i="37" s="1"/>
  <c r="W709" i="37"/>
  <c r="AC709" i="37" s="1"/>
  <c r="V709" i="37"/>
  <c r="AB709" i="37" s="1"/>
  <c r="X708" i="37"/>
  <c r="AD708" i="37" s="1"/>
  <c r="W708" i="37"/>
  <c r="AC708" i="37" s="1"/>
  <c r="V708" i="37"/>
  <c r="AB708" i="37" s="1"/>
  <c r="X707" i="37"/>
  <c r="AD707" i="37" s="1"/>
  <c r="W707" i="37"/>
  <c r="AC707" i="37" s="1"/>
  <c r="V707" i="37"/>
  <c r="AB707" i="37" s="1"/>
  <c r="X706" i="37"/>
  <c r="AD706" i="37" s="1"/>
  <c r="W706" i="37"/>
  <c r="AC706" i="37" s="1"/>
  <c r="V706" i="37"/>
  <c r="AB706" i="37" s="1"/>
  <c r="X705" i="37"/>
  <c r="AD705" i="37" s="1"/>
  <c r="W705" i="37"/>
  <c r="AC705" i="37" s="1"/>
  <c r="V705" i="37"/>
  <c r="AB705" i="37" s="1"/>
  <c r="X704" i="37"/>
  <c r="AD704" i="37" s="1"/>
  <c r="W704" i="37"/>
  <c r="AC704" i="37" s="1"/>
  <c r="V704" i="37"/>
  <c r="AB704" i="37" s="1"/>
  <c r="X703" i="37"/>
  <c r="AD703" i="37" s="1"/>
  <c r="W703" i="37"/>
  <c r="AC703" i="37" s="1"/>
  <c r="V703" i="37"/>
  <c r="AB703" i="37" s="1"/>
  <c r="X702" i="37"/>
  <c r="AD702" i="37" s="1"/>
  <c r="W702" i="37"/>
  <c r="AC702" i="37" s="1"/>
  <c r="V702" i="37"/>
  <c r="AB702" i="37" s="1"/>
  <c r="X701" i="37"/>
  <c r="AD701" i="37" s="1"/>
  <c r="W701" i="37"/>
  <c r="AC701" i="37" s="1"/>
  <c r="V701" i="37"/>
  <c r="AB701" i="37" s="1"/>
  <c r="X700" i="37"/>
  <c r="AD700" i="37" s="1"/>
  <c r="W700" i="37"/>
  <c r="AC700" i="37" s="1"/>
  <c r="V700" i="37"/>
  <c r="AB700" i="37" s="1"/>
  <c r="X699" i="37"/>
  <c r="AD699" i="37" s="1"/>
  <c r="W699" i="37"/>
  <c r="AC699" i="37" s="1"/>
  <c r="V699" i="37"/>
  <c r="AB699" i="37" s="1"/>
  <c r="X698" i="37"/>
  <c r="AD698" i="37" s="1"/>
  <c r="W698" i="37"/>
  <c r="AC698" i="37" s="1"/>
  <c r="V698" i="37"/>
  <c r="AB698" i="37" s="1"/>
  <c r="X697" i="37"/>
  <c r="AD697" i="37" s="1"/>
  <c r="W697" i="37"/>
  <c r="AC697" i="37" s="1"/>
  <c r="V697" i="37"/>
  <c r="AB697" i="37" s="1"/>
  <c r="X696" i="37"/>
  <c r="AD696" i="37" s="1"/>
  <c r="W696" i="37"/>
  <c r="AC696" i="37" s="1"/>
  <c r="V696" i="37"/>
  <c r="AB696" i="37" s="1"/>
  <c r="X695" i="37"/>
  <c r="AD695" i="37" s="1"/>
  <c r="W695" i="37"/>
  <c r="AC695" i="37" s="1"/>
  <c r="V695" i="37"/>
  <c r="AB695" i="37" s="1"/>
  <c r="X694" i="37"/>
  <c r="AD694" i="37" s="1"/>
  <c r="W694" i="37"/>
  <c r="AC694" i="37" s="1"/>
  <c r="V694" i="37"/>
  <c r="AB694" i="37" s="1"/>
  <c r="X693" i="37"/>
  <c r="AD693" i="37" s="1"/>
  <c r="W693" i="37"/>
  <c r="AC693" i="37" s="1"/>
  <c r="V693" i="37"/>
  <c r="AB693" i="37" s="1"/>
  <c r="X692" i="37"/>
  <c r="AD692" i="37" s="1"/>
  <c r="W692" i="37"/>
  <c r="AC692" i="37" s="1"/>
  <c r="V692" i="37"/>
  <c r="AB692" i="37" s="1"/>
  <c r="X691" i="37"/>
  <c r="AD691" i="37" s="1"/>
  <c r="W691" i="37"/>
  <c r="AC691" i="37" s="1"/>
  <c r="V691" i="37"/>
  <c r="AB691" i="37" s="1"/>
  <c r="X690" i="37"/>
  <c r="AD690" i="37" s="1"/>
  <c r="W690" i="37"/>
  <c r="AC690" i="37" s="1"/>
  <c r="V690" i="37"/>
  <c r="AB690" i="37" s="1"/>
  <c r="X689" i="37"/>
  <c r="AD689" i="37" s="1"/>
  <c r="W689" i="37"/>
  <c r="AC689" i="37" s="1"/>
  <c r="V689" i="37"/>
  <c r="AB689" i="37" s="1"/>
  <c r="X688" i="37"/>
  <c r="AD688" i="37" s="1"/>
  <c r="W688" i="37"/>
  <c r="AC688" i="37" s="1"/>
  <c r="V688" i="37"/>
  <c r="AB688" i="37" s="1"/>
  <c r="X687" i="37"/>
  <c r="AD687" i="37" s="1"/>
  <c r="W687" i="37"/>
  <c r="AC687" i="37" s="1"/>
  <c r="V687" i="37"/>
  <c r="AB687" i="37" s="1"/>
  <c r="X686" i="37"/>
  <c r="AD686" i="37" s="1"/>
  <c r="W686" i="37"/>
  <c r="AC686" i="37" s="1"/>
  <c r="V686" i="37"/>
  <c r="AB686" i="37" s="1"/>
  <c r="X685" i="37"/>
  <c r="AD685" i="37" s="1"/>
  <c r="W685" i="37"/>
  <c r="AC685" i="37" s="1"/>
  <c r="V685" i="37"/>
  <c r="AB685" i="37" s="1"/>
  <c r="X684" i="37"/>
  <c r="AD684" i="37" s="1"/>
  <c r="W684" i="37"/>
  <c r="AC684" i="37" s="1"/>
  <c r="V684" i="37"/>
  <c r="AB684" i="37" s="1"/>
  <c r="X683" i="37"/>
  <c r="AD683" i="37" s="1"/>
  <c r="W683" i="37"/>
  <c r="AC683" i="37" s="1"/>
  <c r="V683" i="37"/>
  <c r="AB683" i="37" s="1"/>
  <c r="X682" i="37"/>
  <c r="AD682" i="37" s="1"/>
  <c r="W682" i="37"/>
  <c r="AC682" i="37" s="1"/>
  <c r="V682" i="37"/>
  <c r="AB682" i="37" s="1"/>
  <c r="X681" i="37"/>
  <c r="AD681" i="37" s="1"/>
  <c r="W681" i="37"/>
  <c r="AC681" i="37" s="1"/>
  <c r="V681" i="37"/>
  <c r="AB681" i="37" s="1"/>
  <c r="X680" i="37"/>
  <c r="AD680" i="37" s="1"/>
  <c r="W680" i="37"/>
  <c r="AC680" i="37" s="1"/>
  <c r="V680" i="37"/>
  <c r="AB680" i="37" s="1"/>
  <c r="X679" i="37"/>
  <c r="AD679" i="37" s="1"/>
  <c r="W679" i="37"/>
  <c r="AC679" i="37" s="1"/>
  <c r="V679" i="37"/>
  <c r="AB679" i="37" s="1"/>
  <c r="X678" i="37"/>
  <c r="AD678" i="37" s="1"/>
  <c r="W678" i="37"/>
  <c r="AC678" i="37" s="1"/>
  <c r="V678" i="37"/>
  <c r="AB678" i="37" s="1"/>
  <c r="X677" i="37"/>
  <c r="AD677" i="37" s="1"/>
  <c r="W677" i="37"/>
  <c r="AC677" i="37" s="1"/>
  <c r="V677" i="37"/>
  <c r="AB677" i="37" s="1"/>
  <c r="X676" i="37"/>
  <c r="AD676" i="37" s="1"/>
  <c r="W676" i="37"/>
  <c r="AC676" i="37" s="1"/>
  <c r="V676" i="37"/>
  <c r="AB676" i="37" s="1"/>
  <c r="X675" i="37"/>
  <c r="AD675" i="37" s="1"/>
  <c r="W675" i="37"/>
  <c r="AC675" i="37" s="1"/>
  <c r="V675" i="37"/>
  <c r="AB675" i="37" s="1"/>
  <c r="X674" i="37"/>
  <c r="AD674" i="37" s="1"/>
  <c r="W674" i="37"/>
  <c r="AC674" i="37" s="1"/>
  <c r="V674" i="37"/>
  <c r="AB674" i="37" s="1"/>
  <c r="X673" i="37"/>
  <c r="AD673" i="37" s="1"/>
  <c r="W673" i="37"/>
  <c r="AC673" i="37" s="1"/>
  <c r="V673" i="37"/>
  <c r="AB673" i="37" s="1"/>
  <c r="X672" i="37"/>
  <c r="AD672" i="37" s="1"/>
  <c r="W672" i="37"/>
  <c r="AC672" i="37" s="1"/>
  <c r="V672" i="37"/>
  <c r="AB672" i="37" s="1"/>
  <c r="X671" i="37"/>
  <c r="AD671" i="37" s="1"/>
  <c r="W671" i="37"/>
  <c r="AC671" i="37" s="1"/>
  <c r="V671" i="37"/>
  <c r="AB671" i="37" s="1"/>
  <c r="X670" i="37"/>
  <c r="AD670" i="37" s="1"/>
  <c r="W670" i="37"/>
  <c r="AC670" i="37" s="1"/>
  <c r="V670" i="37"/>
  <c r="AB670" i="37" s="1"/>
  <c r="X669" i="37"/>
  <c r="AD669" i="37" s="1"/>
  <c r="W669" i="37"/>
  <c r="AC669" i="37" s="1"/>
  <c r="V669" i="37"/>
  <c r="AB669" i="37" s="1"/>
  <c r="X668" i="37"/>
  <c r="AD668" i="37" s="1"/>
  <c r="W668" i="37"/>
  <c r="AC668" i="37" s="1"/>
  <c r="V668" i="37"/>
  <c r="AB668" i="37" s="1"/>
  <c r="X667" i="37"/>
  <c r="AD667" i="37" s="1"/>
  <c r="W667" i="37"/>
  <c r="AC667" i="37" s="1"/>
  <c r="V667" i="37"/>
  <c r="AB667" i="37" s="1"/>
  <c r="X666" i="37"/>
  <c r="AD666" i="37" s="1"/>
  <c r="W666" i="37"/>
  <c r="AC666" i="37" s="1"/>
  <c r="V666" i="37"/>
  <c r="AB666" i="37" s="1"/>
  <c r="X665" i="37"/>
  <c r="AD665" i="37" s="1"/>
  <c r="W665" i="37"/>
  <c r="AC665" i="37" s="1"/>
  <c r="V665" i="37"/>
  <c r="AB665" i="37" s="1"/>
  <c r="X664" i="37"/>
  <c r="AD664" i="37" s="1"/>
  <c r="W664" i="37"/>
  <c r="AC664" i="37" s="1"/>
  <c r="V664" i="37"/>
  <c r="AB664" i="37" s="1"/>
  <c r="X663" i="37"/>
  <c r="AD663" i="37" s="1"/>
  <c r="W663" i="37"/>
  <c r="AC663" i="37" s="1"/>
  <c r="V663" i="37"/>
  <c r="AB663" i="37" s="1"/>
  <c r="X662" i="37"/>
  <c r="AD662" i="37" s="1"/>
  <c r="W662" i="37"/>
  <c r="AC662" i="37" s="1"/>
  <c r="V662" i="37"/>
  <c r="AB662" i="37" s="1"/>
  <c r="X661" i="37"/>
  <c r="AD661" i="37" s="1"/>
  <c r="W661" i="37"/>
  <c r="AC661" i="37" s="1"/>
  <c r="V661" i="37"/>
  <c r="AB661" i="37" s="1"/>
  <c r="X660" i="37"/>
  <c r="AD660" i="37" s="1"/>
  <c r="W660" i="37"/>
  <c r="AC660" i="37" s="1"/>
  <c r="V660" i="37"/>
  <c r="AB660" i="37" s="1"/>
  <c r="X659" i="37"/>
  <c r="AD659" i="37" s="1"/>
  <c r="W659" i="37"/>
  <c r="AC659" i="37" s="1"/>
  <c r="V659" i="37"/>
  <c r="AB659" i="37" s="1"/>
  <c r="X658" i="37"/>
  <c r="AD658" i="37" s="1"/>
  <c r="W658" i="37"/>
  <c r="AC658" i="37" s="1"/>
  <c r="V658" i="37"/>
  <c r="AB658" i="37" s="1"/>
  <c r="X657" i="37"/>
  <c r="AD657" i="37" s="1"/>
  <c r="W657" i="37"/>
  <c r="AC657" i="37" s="1"/>
  <c r="V657" i="37"/>
  <c r="AB657" i="37" s="1"/>
  <c r="X656" i="37"/>
  <c r="AD656" i="37" s="1"/>
  <c r="W656" i="37"/>
  <c r="AC656" i="37" s="1"/>
  <c r="V656" i="37"/>
  <c r="AB656" i="37" s="1"/>
  <c r="X655" i="37"/>
  <c r="AD655" i="37" s="1"/>
  <c r="W655" i="37"/>
  <c r="AC655" i="37" s="1"/>
  <c r="V655" i="37"/>
  <c r="AB655" i="37" s="1"/>
  <c r="X654" i="37"/>
  <c r="AD654" i="37" s="1"/>
  <c r="W654" i="37"/>
  <c r="AC654" i="37" s="1"/>
  <c r="V654" i="37"/>
  <c r="AB654" i="37" s="1"/>
  <c r="X653" i="37"/>
  <c r="AD653" i="37" s="1"/>
  <c r="W653" i="37"/>
  <c r="AC653" i="37" s="1"/>
  <c r="V653" i="37"/>
  <c r="AB653" i="37" s="1"/>
  <c r="X652" i="37"/>
  <c r="AD652" i="37" s="1"/>
  <c r="W652" i="37"/>
  <c r="AC652" i="37" s="1"/>
  <c r="V652" i="37"/>
  <c r="AB652" i="37" s="1"/>
  <c r="X651" i="37"/>
  <c r="AD651" i="37" s="1"/>
  <c r="W651" i="37"/>
  <c r="AC651" i="37" s="1"/>
  <c r="V651" i="37"/>
  <c r="AB651" i="37" s="1"/>
  <c r="X650" i="37"/>
  <c r="AD650" i="37" s="1"/>
  <c r="W650" i="37"/>
  <c r="AC650" i="37" s="1"/>
  <c r="V650" i="37"/>
  <c r="AB650" i="37" s="1"/>
  <c r="X649" i="37"/>
  <c r="AD649" i="37" s="1"/>
  <c r="W649" i="37"/>
  <c r="AC649" i="37" s="1"/>
  <c r="V649" i="37"/>
  <c r="AB649" i="37" s="1"/>
  <c r="X648" i="37"/>
  <c r="AD648" i="37" s="1"/>
  <c r="W648" i="37"/>
  <c r="AC648" i="37" s="1"/>
  <c r="V648" i="37"/>
  <c r="AB648" i="37" s="1"/>
  <c r="X647" i="37"/>
  <c r="AD647" i="37" s="1"/>
  <c r="W647" i="37"/>
  <c r="AC647" i="37" s="1"/>
  <c r="V647" i="37"/>
  <c r="AB647" i="37" s="1"/>
  <c r="X646" i="37"/>
  <c r="AD646" i="37" s="1"/>
  <c r="W646" i="37"/>
  <c r="AC646" i="37" s="1"/>
  <c r="V646" i="37"/>
  <c r="AB646" i="37" s="1"/>
  <c r="X645" i="37"/>
  <c r="AD645" i="37" s="1"/>
  <c r="W645" i="37"/>
  <c r="AC645" i="37" s="1"/>
  <c r="V645" i="37"/>
  <c r="AB645" i="37" s="1"/>
  <c r="X644" i="37"/>
  <c r="AD644" i="37" s="1"/>
  <c r="W644" i="37"/>
  <c r="AC644" i="37" s="1"/>
  <c r="V644" i="37"/>
  <c r="AB644" i="37" s="1"/>
  <c r="X643" i="37"/>
  <c r="AD643" i="37" s="1"/>
  <c r="W643" i="37"/>
  <c r="AC643" i="37" s="1"/>
  <c r="V643" i="37"/>
  <c r="AB643" i="37" s="1"/>
  <c r="X642" i="37"/>
  <c r="AD642" i="37" s="1"/>
  <c r="W642" i="37"/>
  <c r="AC642" i="37" s="1"/>
  <c r="V642" i="37"/>
  <c r="AB642" i="37" s="1"/>
  <c r="X641" i="37"/>
  <c r="AD641" i="37" s="1"/>
  <c r="W641" i="37"/>
  <c r="AC641" i="37" s="1"/>
  <c r="V641" i="37"/>
  <c r="AB641" i="37" s="1"/>
  <c r="X640" i="37"/>
  <c r="AD640" i="37" s="1"/>
  <c r="W640" i="37"/>
  <c r="AC640" i="37" s="1"/>
  <c r="V640" i="37"/>
  <c r="AB640" i="37" s="1"/>
  <c r="X639" i="37"/>
  <c r="AD639" i="37" s="1"/>
  <c r="W639" i="37"/>
  <c r="AC639" i="37" s="1"/>
  <c r="V639" i="37"/>
  <c r="AB639" i="37" s="1"/>
  <c r="X638" i="37"/>
  <c r="AD638" i="37" s="1"/>
  <c r="W638" i="37"/>
  <c r="AC638" i="37" s="1"/>
  <c r="V638" i="37"/>
  <c r="AB638" i="37" s="1"/>
  <c r="X637" i="37"/>
  <c r="AD637" i="37" s="1"/>
  <c r="W637" i="37"/>
  <c r="AC637" i="37" s="1"/>
  <c r="V637" i="37"/>
  <c r="AB637" i="37" s="1"/>
  <c r="X636" i="37"/>
  <c r="AD636" i="37" s="1"/>
  <c r="W636" i="37"/>
  <c r="AC636" i="37" s="1"/>
  <c r="V636" i="37"/>
  <c r="AB636" i="37" s="1"/>
  <c r="X635" i="37"/>
  <c r="AD635" i="37" s="1"/>
  <c r="W635" i="37"/>
  <c r="AC635" i="37" s="1"/>
  <c r="V635" i="37"/>
  <c r="AB635" i="37" s="1"/>
  <c r="X634" i="37"/>
  <c r="AD634" i="37" s="1"/>
  <c r="W634" i="37"/>
  <c r="AC634" i="37" s="1"/>
  <c r="V634" i="37"/>
  <c r="AB634" i="37" s="1"/>
  <c r="X633" i="37"/>
  <c r="AD633" i="37" s="1"/>
  <c r="W633" i="37"/>
  <c r="AC633" i="37" s="1"/>
  <c r="V633" i="37"/>
  <c r="AB633" i="37" s="1"/>
  <c r="X632" i="37"/>
  <c r="AD632" i="37" s="1"/>
  <c r="W632" i="37"/>
  <c r="AC632" i="37" s="1"/>
  <c r="V632" i="37"/>
  <c r="AB632" i="37" s="1"/>
  <c r="X631" i="37"/>
  <c r="AD631" i="37" s="1"/>
  <c r="W631" i="37"/>
  <c r="AC631" i="37" s="1"/>
  <c r="V631" i="37"/>
  <c r="AB631" i="37" s="1"/>
  <c r="X630" i="37"/>
  <c r="AD630" i="37" s="1"/>
  <c r="W630" i="37"/>
  <c r="AC630" i="37" s="1"/>
  <c r="V630" i="37"/>
  <c r="AB630" i="37" s="1"/>
  <c r="X629" i="37"/>
  <c r="AD629" i="37" s="1"/>
  <c r="W629" i="37"/>
  <c r="AC629" i="37" s="1"/>
  <c r="V629" i="37"/>
  <c r="AB629" i="37" s="1"/>
  <c r="X628" i="37"/>
  <c r="AD628" i="37" s="1"/>
  <c r="W628" i="37"/>
  <c r="AC628" i="37" s="1"/>
  <c r="V628" i="37"/>
  <c r="AB628" i="37" s="1"/>
  <c r="X627" i="37"/>
  <c r="AD627" i="37" s="1"/>
  <c r="W627" i="37"/>
  <c r="AC627" i="37" s="1"/>
  <c r="V627" i="37"/>
  <c r="AB627" i="37" s="1"/>
  <c r="X626" i="37"/>
  <c r="AD626" i="37" s="1"/>
  <c r="W626" i="37"/>
  <c r="AC626" i="37" s="1"/>
  <c r="V626" i="37"/>
  <c r="AB626" i="37" s="1"/>
  <c r="X625" i="37"/>
  <c r="AD625" i="37" s="1"/>
  <c r="W625" i="37"/>
  <c r="AC625" i="37" s="1"/>
  <c r="V625" i="37"/>
  <c r="AB625" i="37" s="1"/>
  <c r="X624" i="37"/>
  <c r="AD624" i="37" s="1"/>
  <c r="W624" i="37"/>
  <c r="AC624" i="37" s="1"/>
  <c r="V624" i="37"/>
  <c r="AB624" i="37" s="1"/>
  <c r="X623" i="37"/>
  <c r="AD623" i="37" s="1"/>
  <c r="W623" i="37"/>
  <c r="AC623" i="37" s="1"/>
  <c r="V623" i="37"/>
  <c r="AB623" i="37" s="1"/>
  <c r="X622" i="37"/>
  <c r="AD622" i="37" s="1"/>
  <c r="W622" i="37"/>
  <c r="AC622" i="37" s="1"/>
  <c r="V622" i="37"/>
  <c r="AB622" i="37" s="1"/>
  <c r="X621" i="37"/>
  <c r="AD621" i="37" s="1"/>
  <c r="W621" i="37"/>
  <c r="AC621" i="37" s="1"/>
  <c r="V621" i="37"/>
  <c r="AB621" i="37" s="1"/>
  <c r="X620" i="37"/>
  <c r="AD620" i="37" s="1"/>
  <c r="W620" i="37"/>
  <c r="AC620" i="37" s="1"/>
  <c r="V620" i="37"/>
  <c r="AB620" i="37" s="1"/>
  <c r="X619" i="37"/>
  <c r="AD619" i="37" s="1"/>
  <c r="W619" i="37"/>
  <c r="AC619" i="37" s="1"/>
  <c r="V619" i="37"/>
  <c r="AB619" i="37" s="1"/>
  <c r="X618" i="37"/>
  <c r="AD618" i="37" s="1"/>
  <c r="W618" i="37"/>
  <c r="AC618" i="37" s="1"/>
  <c r="V618" i="37"/>
  <c r="AB618" i="37" s="1"/>
  <c r="X617" i="37"/>
  <c r="AD617" i="37" s="1"/>
  <c r="W617" i="37"/>
  <c r="AC617" i="37" s="1"/>
  <c r="V617" i="37"/>
  <c r="AB617" i="37" s="1"/>
  <c r="X616" i="37"/>
  <c r="AD616" i="37" s="1"/>
  <c r="W616" i="37"/>
  <c r="AC616" i="37" s="1"/>
  <c r="V616" i="37"/>
  <c r="AB616" i="37" s="1"/>
  <c r="X615" i="37"/>
  <c r="AD615" i="37" s="1"/>
  <c r="W615" i="37"/>
  <c r="AC615" i="37" s="1"/>
  <c r="V615" i="37"/>
  <c r="AB615" i="37" s="1"/>
  <c r="X614" i="37"/>
  <c r="AD614" i="37" s="1"/>
  <c r="W614" i="37"/>
  <c r="AC614" i="37" s="1"/>
  <c r="V614" i="37"/>
  <c r="AB614" i="37" s="1"/>
  <c r="X613" i="37"/>
  <c r="AD613" i="37" s="1"/>
  <c r="W613" i="37"/>
  <c r="AC613" i="37" s="1"/>
  <c r="V613" i="37"/>
  <c r="AB613" i="37" s="1"/>
  <c r="X612" i="37"/>
  <c r="AD612" i="37" s="1"/>
  <c r="W612" i="37"/>
  <c r="AC612" i="37" s="1"/>
  <c r="V612" i="37"/>
  <c r="AB612" i="37" s="1"/>
  <c r="X611" i="37"/>
  <c r="AD611" i="37" s="1"/>
  <c r="W611" i="37"/>
  <c r="AC611" i="37" s="1"/>
  <c r="V611" i="37"/>
  <c r="AB611" i="37" s="1"/>
  <c r="X610" i="37"/>
  <c r="AD610" i="37" s="1"/>
  <c r="AO5" i="37" s="1"/>
  <c r="W610" i="37"/>
  <c r="AC610" i="37" s="1"/>
  <c r="V610" i="37"/>
  <c r="AB610" i="37" s="1"/>
  <c r="X609" i="37"/>
  <c r="AD609" i="37" s="1"/>
  <c r="W609" i="37"/>
  <c r="AC609" i="37" s="1"/>
  <c r="V609" i="37"/>
  <c r="AB609" i="37" s="1"/>
  <c r="X608" i="37"/>
  <c r="AD608" i="37" s="1"/>
  <c r="W608" i="37"/>
  <c r="AC608" i="37" s="1"/>
  <c r="V608" i="37"/>
  <c r="AB608" i="37" s="1"/>
  <c r="X607" i="37"/>
  <c r="AD607" i="37" s="1"/>
  <c r="W607" i="37"/>
  <c r="AC607" i="37" s="1"/>
  <c r="V607" i="37"/>
  <c r="AB607" i="37" s="1"/>
  <c r="X606" i="37"/>
  <c r="AD606" i="37" s="1"/>
  <c r="W606" i="37"/>
  <c r="AC606" i="37" s="1"/>
  <c r="V606" i="37"/>
  <c r="AB606" i="37" s="1"/>
  <c r="X605" i="37"/>
  <c r="AD605" i="37" s="1"/>
  <c r="W605" i="37"/>
  <c r="AC605" i="37" s="1"/>
  <c r="V605" i="37"/>
  <c r="AB605" i="37" s="1"/>
  <c r="X604" i="37"/>
  <c r="AD604" i="37" s="1"/>
  <c r="W604" i="37"/>
  <c r="AC604" i="37" s="1"/>
  <c r="V604" i="37"/>
  <c r="AB604" i="37" s="1"/>
  <c r="X603" i="37"/>
  <c r="AD603" i="37" s="1"/>
  <c r="W603" i="37"/>
  <c r="AC603" i="37" s="1"/>
  <c r="V603" i="37"/>
  <c r="AB603" i="37" s="1"/>
  <c r="X602" i="37"/>
  <c r="AD602" i="37" s="1"/>
  <c r="W602" i="37"/>
  <c r="AC602" i="37" s="1"/>
  <c r="V602" i="37"/>
  <c r="AB602" i="37" s="1"/>
  <c r="X601" i="37"/>
  <c r="AD601" i="37" s="1"/>
  <c r="W601" i="37"/>
  <c r="AC601" i="37" s="1"/>
  <c r="V601" i="37"/>
  <c r="AB601" i="37" s="1"/>
  <c r="X600" i="37"/>
  <c r="AD600" i="37" s="1"/>
  <c r="W600" i="37"/>
  <c r="AC600" i="37" s="1"/>
  <c r="V600" i="37"/>
  <c r="AB600" i="37" s="1"/>
  <c r="X599" i="37"/>
  <c r="AD599" i="37" s="1"/>
  <c r="W599" i="37"/>
  <c r="AC599" i="37" s="1"/>
  <c r="V599" i="37"/>
  <c r="AB599" i="37" s="1"/>
  <c r="X598" i="37"/>
  <c r="AD598" i="37" s="1"/>
  <c r="W598" i="37"/>
  <c r="AC598" i="37" s="1"/>
  <c r="V598" i="37"/>
  <c r="AB598" i="37" s="1"/>
  <c r="X597" i="37"/>
  <c r="AD597" i="37" s="1"/>
  <c r="W597" i="37"/>
  <c r="AC597" i="37" s="1"/>
  <c r="V597" i="37"/>
  <c r="AB597" i="37" s="1"/>
  <c r="X596" i="37"/>
  <c r="AD596" i="37" s="1"/>
  <c r="W596" i="37"/>
  <c r="AC596" i="37" s="1"/>
  <c r="V596" i="37"/>
  <c r="AB596" i="37" s="1"/>
  <c r="X595" i="37"/>
  <c r="AD595" i="37" s="1"/>
  <c r="W595" i="37"/>
  <c r="AC595" i="37" s="1"/>
  <c r="V595" i="37"/>
  <c r="AB595" i="37" s="1"/>
  <c r="X594" i="37"/>
  <c r="AD594" i="37" s="1"/>
  <c r="W594" i="37"/>
  <c r="AC594" i="37" s="1"/>
  <c r="V594" i="37"/>
  <c r="AB594" i="37" s="1"/>
  <c r="X593" i="37"/>
  <c r="AD593" i="37" s="1"/>
  <c r="W593" i="37"/>
  <c r="AC593" i="37" s="1"/>
  <c r="V593" i="37"/>
  <c r="AB593" i="37" s="1"/>
  <c r="X592" i="37"/>
  <c r="AD592" i="37" s="1"/>
  <c r="W592" i="37"/>
  <c r="AC592" i="37" s="1"/>
  <c r="V592" i="37"/>
  <c r="AB592" i="37" s="1"/>
  <c r="X591" i="37"/>
  <c r="AD591" i="37" s="1"/>
  <c r="W591" i="37"/>
  <c r="AC591" i="37" s="1"/>
  <c r="V591" i="37"/>
  <c r="AB591" i="37" s="1"/>
  <c r="X590" i="37"/>
  <c r="AD590" i="37" s="1"/>
  <c r="W590" i="37"/>
  <c r="AC590" i="37" s="1"/>
  <c r="V590" i="37"/>
  <c r="AB590" i="37" s="1"/>
  <c r="X589" i="37"/>
  <c r="AD589" i="37" s="1"/>
  <c r="W589" i="37"/>
  <c r="AC589" i="37" s="1"/>
  <c r="V589" i="37"/>
  <c r="AB589" i="37" s="1"/>
  <c r="X588" i="37"/>
  <c r="AD588" i="37" s="1"/>
  <c r="W588" i="37"/>
  <c r="AC588" i="37" s="1"/>
  <c r="V588" i="37"/>
  <c r="AB588" i="37" s="1"/>
  <c r="X587" i="37"/>
  <c r="AD587" i="37" s="1"/>
  <c r="W587" i="37"/>
  <c r="AC587" i="37" s="1"/>
  <c r="V587" i="37"/>
  <c r="AB587" i="37" s="1"/>
  <c r="X586" i="37"/>
  <c r="AD586" i="37" s="1"/>
  <c r="W586" i="37"/>
  <c r="AC586" i="37" s="1"/>
  <c r="V586" i="37"/>
  <c r="AB586" i="37" s="1"/>
  <c r="X585" i="37"/>
  <c r="AD585" i="37" s="1"/>
  <c r="W585" i="37"/>
  <c r="AC585" i="37" s="1"/>
  <c r="V585" i="37"/>
  <c r="AB585" i="37" s="1"/>
  <c r="X584" i="37"/>
  <c r="AD584" i="37" s="1"/>
  <c r="W584" i="37"/>
  <c r="AC584" i="37" s="1"/>
  <c r="V584" i="37"/>
  <c r="AB584" i="37" s="1"/>
  <c r="X583" i="37"/>
  <c r="AD583" i="37" s="1"/>
  <c r="W583" i="37"/>
  <c r="AC583" i="37" s="1"/>
  <c r="V583" i="37"/>
  <c r="AB583" i="37" s="1"/>
  <c r="X582" i="37"/>
  <c r="AD582" i="37" s="1"/>
  <c r="W582" i="37"/>
  <c r="AC582" i="37" s="1"/>
  <c r="V582" i="37"/>
  <c r="AB582" i="37" s="1"/>
  <c r="X581" i="37"/>
  <c r="AD581" i="37" s="1"/>
  <c r="W581" i="37"/>
  <c r="AC581" i="37" s="1"/>
  <c r="V581" i="37"/>
  <c r="AB581" i="37" s="1"/>
  <c r="X580" i="37"/>
  <c r="AD580" i="37" s="1"/>
  <c r="W580" i="37"/>
  <c r="AC580" i="37" s="1"/>
  <c r="V580" i="37"/>
  <c r="AB580" i="37" s="1"/>
  <c r="X579" i="37"/>
  <c r="AD579" i="37" s="1"/>
  <c r="W579" i="37"/>
  <c r="AC579" i="37" s="1"/>
  <c r="V579" i="37"/>
  <c r="AB579" i="37" s="1"/>
  <c r="X578" i="37"/>
  <c r="AD578" i="37" s="1"/>
  <c r="W578" i="37"/>
  <c r="AC578" i="37" s="1"/>
  <c r="V578" i="37"/>
  <c r="AB578" i="37" s="1"/>
  <c r="X577" i="37"/>
  <c r="AD577" i="37" s="1"/>
  <c r="W577" i="37"/>
  <c r="AC577" i="37" s="1"/>
  <c r="V577" i="37"/>
  <c r="AB577" i="37" s="1"/>
  <c r="X576" i="37"/>
  <c r="AD576" i="37" s="1"/>
  <c r="W576" i="37"/>
  <c r="AC576" i="37" s="1"/>
  <c r="V576" i="37"/>
  <c r="AB576" i="37" s="1"/>
  <c r="X575" i="37"/>
  <c r="AD575" i="37" s="1"/>
  <c r="W575" i="37"/>
  <c r="AC575" i="37" s="1"/>
  <c r="V575" i="37"/>
  <c r="AB575" i="37" s="1"/>
  <c r="X574" i="37"/>
  <c r="AD574" i="37" s="1"/>
  <c r="W574" i="37"/>
  <c r="AC574" i="37" s="1"/>
  <c r="V574" i="37"/>
  <c r="AB574" i="37" s="1"/>
  <c r="X573" i="37"/>
  <c r="AD573" i="37" s="1"/>
  <c r="W573" i="37"/>
  <c r="AC573" i="37" s="1"/>
  <c r="V573" i="37"/>
  <c r="AB573" i="37" s="1"/>
  <c r="X572" i="37"/>
  <c r="AD572" i="37" s="1"/>
  <c r="W572" i="37"/>
  <c r="AC572" i="37" s="1"/>
  <c r="V572" i="37"/>
  <c r="AB572" i="37" s="1"/>
  <c r="X571" i="37"/>
  <c r="AD571" i="37" s="1"/>
  <c r="W571" i="37"/>
  <c r="AC571" i="37" s="1"/>
  <c r="V571" i="37"/>
  <c r="AB571" i="37" s="1"/>
  <c r="X570" i="37"/>
  <c r="AD570" i="37" s="1"/>
  <c r="W570" i="37"/>
  <c r="AC570" i="37" s="1"/>
  <c r="V570" i="37"/>
  <c r="AB570" i="37" s="1"/>
  <c r="X569" i="37"/>
  <c r="AD569" i="37" s="1"/>
  <c r="W569" i="37"/>
  <c r="AC569" i="37" s="1"/>
  <c r="V569" i="37"/>
  <c r="AB569" i="37" s="1"/>
  <c r="X568" i="37"/>
  <c r="AD568" i="37" s="1"/>
  <c r="W568" i="37"/>
  <c r="AC568" i="37" s="1"/>
  <c r="V568" i="37"/>
  <c r="AB568" i="37" s="1"/>
  <c r="X567" i="37"/>
  <c r="AD567" i="37" s="1"/>
  <c r="W567" i="37"/>
  <c r="AC567" i="37" s="1"/>
  <c r="V567" i="37"/>
  <c r="AB567" i="37" s="1"/>
  <c r="X566" i="37"/>
  <c r="AD566" i="37" s="1"/>
  <c r="W566" i="37"/>
  <c r="AC566" i="37" s="1"/>
  <c r="V566" i="37"/>
  <c r="AB566" i="37" s="1"/>
  <c r="X565" i="37"/>
  <c r="AD565" i="37" s="1"/>
  <c r="W565" i="37"/>
  <c r="AC565" i="37" s="1"/>
  <c r="V565" i="37"/>
  <c r="AB565" i="37" s="1"/>
  <c r="X564" i="37"/>
  <c r="AD564" i="37" s="1"/>
  <c r="W564" i="37"/>
  <c r="AC564" i="37" s="1"/>
  <c r="V564" i="37"/>
  <c r="AB564" i="37" s="1"/>
  <c r="X563" i="37"/>
  <c r="AD563" i="37" s="1"/>
  <c r="W563" i="37"/>
  <c r="AC563" i="37" s="1"/>
  <c r="V563" i="37"/>
  <c r="AB563" i="37" s="1"/>
  <c r="X562" i="37"/>
  <c r="AD562" i="37" s="1"/>
  <c r="W562" i="37"/>
  <c r="AC562" i="37" s="1"/>
  <c r="V562" i="37"/>
  <c r="AB562" i="37" s="1"/>
  <c r="X561" i="37"/>
  <c r="AD561" i="37" s="1"/>
  <c r="W561" i="37"/>
  <c r="AC561" i="37" s="1"/>
  <c r="V561" i="37"/>
  <c r="AB561" i="37" s="1"/>
  <c r="X560" i="37"/>
  <c r="AD560" i="37" s="1"/>
  <c r="W560" i="37"/>
  <c r="AC560" i="37" s="1"/>
  <c r="V560" i="37"/>
  <c r="AB560" i="37" s="1"/>
  <c r="X559" i="37"/>
  <c r="AD559" i="37" s="1"/>
  <c r="W559" i="37"/>
  <c r="AC559" i="37" s="1"/>
  <c r="V559" i="37"/>
  <c r="AB559" i="37" s="1"/>
  <c r="X558" i="37"/>
  <c r="AD558" i="37" s="1"/>
  <c r="W558" i="37"/>
  <c r="AC558" i="37" s="1"/>
  <c r="V558" i="37"/>
  <c r="AB558" i="37" s="1"/>
  <c r="X557" i="37"/>
  <c r="AD557" i="37" s="1"/>
  <c r="W557" i="37"/>
  <c r="AC557" i="37" s="1"/>
  <c r="V557" i="37"/>
  <c r="AB557" i="37" s="1"/>
  <c r="X556" i="37"/>
  <c r="AD556" i="37" s="1"/>
  <c r="W556" i="37"/>
  <c r="AC556" i="37" s="1"/>
  <c r="V556" i="37"/>
  <c r="AB556" i="37" s="1"/>
  <c r="X555" i="37"/>
  <c r="AD555" i="37" s="1"/>
  <c r="W555" i="37"/>
  <c r="AC555" i="37" s="1"/>
  <c r="V555" i="37"/>
  <c r="AB555" i="37" s="1"/>
  <c r="X554" i="37"/>
  <c r="AD554" i="37" s="1"/>
  <c r="W554" i="37"/>
  <c r="AC554" i="37" s="1"/>
  <c r="V554" i="37"/>
  <c r="AB554" i="37" s="1"/>
  <c r="X553" i="37"/>
  <c r="AD553" i="37" s="1"/>
  <c r="W553" i="37"/>
  <c r="AC553" i="37" s="1"/>
  <c r="V553" i="37"/>
  <c r="AB553" i="37" s="1"/>
  <c r="X552" i="37"/>
  <c r="AD552" i="37" s="1"/>
  <c r="W552" i="37"/>
  <c r="AC552" i="37" s="1"/>
  <c r="V552" i="37"/>
  <c r="AB552" i="37" s="1"/>
  <c r="X551" i="37"/>
  <c r="AD551" i="37" s="1"/>
  <c r="W551" i="37"/>
  <c r="AC551" i="37" s="1"/>
  <c r="V551" i="37"/>
  <c r="AB551" i="37" s="1"/>
  <c r="X550" i="37"/>
  <c r="AD550" i="37" s="1"/>
  <c r="W550" i="37"/>
  <c r="AC550" i="37" s="1"/>
  <c r="V550" i="37"/>
  <c r="AB550" i="37" s="1"/>
  <c r="X549" i="37"/>
  <c r="AD549" i="37" s="1"/>
  <c r="W549" i="37"/>
  <c r="AC549" i="37" s="1"/>
  <c r="V549" i="37"/>
  <c r="AB549" i="37" s="1"/>
  <c r="X548" i="37"/>
  <c r="AD548" i="37" s="1"/>
  <c r="W548" i="37"/>
  <c r="AC548" i="37" s="1"/>
  <c r="V548" i="37"/>
  <c r="AB548" i="37" s="1"/>
  <c r="X547" i="37"/>
  <c r="AD547" i="37" s="1"/>
  <c r="W547" i="37"/>
  <c r="AC547" i="37" s="1"/>
  <c r="V547" i="37"/>
  <c r="AB547" i="37" s="1"/>
  <c r="X546" i="37"/>
  <c r="AD546" i="37" s="1"/>
  <c r="W546" i="37"/>
  <c r="AC546" i="37" s="1"/>
  <c r="V546" i="37"/>
  <c r="AB546" i="37" s="1"/>
  <c r="X545" i="37"/>
  <c r="AD545" i="37" s="1"/>
  <c r="W545" i="37"/>
  <c r="AC545" i="37" s="1"/>
  <c r="V545" i="37"/>
  <c r="AB545" i="37" s="1"/>
  <c r="X544" i="37"/>
  <c r="AD544" i="37" s="1"/>
  <c r="W544" i="37"/>
  <c r="AC544" i="37" s="1"/>
  <c r="V544" i="37"/>
  <c r="AB544" i="37" s="1"/>
  <c r="X543" i="37"/>
  <c r="AD543" i="37" s="1"/>
  <c r="W543" i="37"/>
  <c r="AC543" i="37" s="1"/>
  <c r="V543" i="37"/>
  <c r="AB543" i="37" s="1"/>
  <c r="X542" i="37"/>
  <c r="AD542" i="37" s="1"/>
  <c r="W542" i="37"/>
  <c r="AC542" i="37" s="1"/>
  <c r="V542" i="37"/>
  <c r="AB542" i="37" s="1"/>
  <c r="X541" i="37"/>
  <c r="AD541" i="37" s="1"/>
  <c r="W541" i="37"/>
  <c r="AC541" i="37" s="1"/>
  <c r="V541" i="37"/>
  <c r="AB541" i="37" s="1"/>
  <c r="X540" i="37"/>
  <c r="AD540" i="37" s="1"/>
  <c r="W540" i="37"/>
  <c r="AC540" i="37" s="1"/>
  <c r="V540" i="37"/>
  <c r="AB540" i="37" s="1"/>
  <c r="X539" i="37"/>
  <c r="AD539" i="37" s="1"/>
  <c r="W539" i="37"/>
  <c r="AC539" i="37" s="1"/>
  <c r="V539" i="37"/>
  <c r="AB539" i="37" s="1"/>
  <c r="X538" i="37"/>
  <c r="AD538" i="37" s="1"/>
  <c r="W538" i="37"/>
  <c r="AC538" i="37" s="1"/>
  <c r="V538" i="37"/>
  <c r="AB538" i="37" s="1"/>
  <c r="X537" i="37"/>
  <c r="AD537" i="37" s="1"/>
  <c r="W537" i="37"/>
  <c r="AC537" i="37" s="1"/>
  <c r="V537" i="37"/>
  <c r="AB537" i="37" s="1"/>
  <c r="X536" i="37"/>
  <c r="AD536" i="37" s="1"/>
  <c r="W536" i="37"/>
  <c r="AC536" i="37" s="1"/>
  <c r="V536" i="37"/>
  <c r="AB536" i="37" s="1"/>
  <c r="X535" i="37"/>
  <c r="AD535" i="37" s="1"/>
  <c r="W535" i="37"/>
  <c r="AC535" i="37" s="1"/>
  <c r="V535" i="37"/>
  <c r="AB535" i="37" s="1"/>
  <c r="X534" i="37"/>
  <c r="AD534" i="37" s="1"/>
  <c r="W534" i="37"/>
  <c r="AC534" i="37" s="1"/>
  <c r="V534" i="37"/>
  <c r="AB534" i="37" s="1"/>
  <c r="X533" i="37"/>
  <c r="AD533" i="37" s="1"/>
  <c r="W533" i="37"/>
  <c r="AC533" i="37" s="1"/>
  <c r="V533" i="37"/>
  <c r="AB533" i="37" s="1"/>
  <c r="X532" i="37"/>
  <c r="AD532" i="37" s="1"/>
  <c r="W532" i="37"/>
  <c r="AC532" i="37" s="1"/>
  <c r="V532" i="37"/>
  <c r="AB532" i="37" s="1"/>
  <c r="X531" i="37"/>
  <c r="AD531" i="37" s="1"/>
  <c r="W531" i="37"/>
  <c r="AC531" i="37" s="1"/>
  <c r="V531" i="37"/>
  <c r="AB531" i="37" s="1"/>
  <c r="X530" i="37"/>
  <c r="AD530" i="37" s="1"/>
  <c r="W530" i="37"/>
  <c r="AC530" i="37" s="1"/>
  <c r="V530" i="37"/>
  <c r="AB530" i="37" s="1"/>
  <c r="X529" i="37"/>
  <c r="AD529" i="37" s="1"/>
  <c r="W529" i="37"/>
  <c r="AC529" i="37" s="1"/>
  <c r="V529" i="37"/>
  <c r="AB529" i="37" s="1"/>
  <c r="X528" i="37"/>
  <c r="AD528" i="37" s="1"/>
  <c r="W528" i="37"/>
  <c r="AC528" i="37" s="1"/>
  <c r="V528" i="37"/>
  <c r="AB528" i="37" s="1"/>
  <c r="X527" i="37"/>
  <c r="AD527" i="37" s="1"/>
  <c r="W527" i="37"/>
  <c r="AC527" i="37" s="1"/>
  <c r="V527" i="37"/>
  <c r="AB527" i="37" s="1"/>
  <c r="X526" i="37"/>
  <c r="AD526" i="37" s="1"/>
  <c r="W526" i="37"/>
  <c r="AC526" i="37" s="1"/>
  <c r="V526" i="37"/>
  <c r="AB526" i="37" s="1"/>
  <c r="X525" i="37"/>
  <c r="AD525" i="37" s="1"/>
  <c r="W525" i="37"/>
  <c r="AC525" i="37" s="1"/>
  <c r="V525" i="37"/>
  <c r="AB525" i="37" s="1"/>
  <c r="X524" i="37"/>
  <c r="AD524" i="37" s="1"/>
  <c r="W524" i="37"/>
  <c r="AC524" i="37" s="1"/>
  <c r="V524" i="37"/>
  <c r="AB524" i="37" s="1"/>
  <c r="X523" i="37"/>
  <c r="AD523" i="37" s="1"/>
  <c r="W523" i="37"/>
  <c r="AC523" i="37" s="1"/>
  <c r="V523" i="37"/>
  <c r="AB523" i="37" s="1"/>
  <c r="X522" i="37"/>
  <c r="AD522" i="37" s="1"/>
  <c r="W522" i="37"/>
  <c r="AC522" i="37" s="1"/>
  <c r="V522" i="37"/>
  <c r="AB522" i="37" s="1"/>
  <c r="X521" i="37"/>
  <c r="AD521" i="37" s="1"/>
  <c r="W521" i="37"/>
  <c r="AC521" i="37" s="1"/>
  <c r="V521" i="37"/>
  <c r="AB521" i="37" s="1"/>
  <c r="X520" i="37"/>
  <c r="AD520" i="37" s="1"/>
  <c r="W520" i="37"/>
  <c r="AC520" i="37" s="1"/>
  <c r="V520" i="37"/>
  <c r="AB520" i="37" s="1"/>
  <c r="X519" i="37"/>
  <c r="AD519" i="37" s="1"/>
  <c r="W519" i="37"/>
  <c r="AC519" i="37" s="1"/>
  <c r="V519" i="37"/>
  <c r="AB519" i="37" s="1"/>
  <c r="X518" i="37"/>
  <c r="AD518" i="37" s="1"/>
  <c r="W518" i="37"/>
  <c r="AC518" i="37" s="1"/>
  <c r="V518" i="37"/>
  <c r="AB518" i="37" s="1"/>
  <c r="X517" i="37"/>
  <c r="AD517" i="37" s="1"/>
  <c r="W517" i="37"/>
  <c r="AC517" i="37" s="1"/>
  <c r="V517" i="37"/>
  <c r="AB517" i="37" s="1"/>
  <c r="X516" i="37"/>
  <c r="AD516" i="37" s="1"/>
  <c r="W516" i="37"/>
  <c r="AC516" i="37" s="1"/>
  <c r="V516" i="37"/>
  <c r="AB516" i="37" s="1"/>
  <c r="X515" i="37"/>
  <c r="AD515" i="37" s="1"/>
  <c r="W515" i="37"/>
  <c r="AC515" i="37" s="1"/>
  <c r="V515" i="37"/>
  <c r="AB515" i="37" s="1"/>
  <c r="X514" i="37"/>
  <c r="AD514" i="37" s="1"/>
  <c r="W514" i="37"/>
  <c r="AC514" i="37" s="1"/>
  <c r="V514" i="37"/>
  <c r="AB514" i="37" s="1"/>
  <c r="X513" i="37"/>
  <c r="AD513" i="37" s="1"/>
  <c r="W513" i="37"/>
  <c r="AC513" i="37" s="1"/>
  <c r="V513" i="37"/>
  <c r="AB513" i="37" s="1"/>
  <c r="X512" i="37"/>
  <c r="AD512" i="37" s="1"/>
  <c r="W512" i="37"/>
  <c r="AC512" i="37" s="1"/>
  <c r="V512" i="37"/>
  <c r="AB512" i="37" s="1"/>
  <c r="X511" i="37"/>
  <c r="AD511" i="37" s="1"/>
  <c r="W511" i="37"/>
  <c r="AC511" i="37" s="1"/>
  <c r="V511" i="37"/>
  <c r="AB511" i="37" s="1"/>
  <c r="X510" i="37"/>
  <c r="AD510" i="37" s="1"/>
  <c r="W510" i="37"/>
  <c r="AC510" i="37" s="1"/>
  <c r="V510" i="37"/>
  <c r="AB510" i="37" s="1"/>
  <c r="X509" i="37"/>
  <c r="AD509" i="37" s="1"/>
  <c r="W509" i="37"/>
  <c r="AC509" i="37" s="1"/>
  <c r="V509" i="37"/>
  <c r="AB509" i="37" s="1"/>
  <c r="X508" i="37"/>
  <c r="AD508" i="37" s="1"/>
  <c r="W508" i="37"/>
  <c r="AC508" i="37" s="1"/>
  <c r="V508" i="37"/>
  <c r="AB508" i="37" s="1"/>
  <c r="X507" i="37"/>
  <c r="AD507" i="37" s="1"/>
  <c r="W507" i="37"/>
  <c r="AC507" i="37" s="1"/>
  <c r="V507" i="37"/>
  <c r="AB507" i="37" s="1"/>
  <c r="X506" i="37"/>
  <c r="AD506" i="37" s="1"/>
  <c r="W506" i="37"/>
  <c r="AC506" i="37" s="1"/>
  <c r="V506" i="37"/>
  <c r="AB506" i="37" s="1"/>
  <c r="X505" i="37"/>
  <c r="AD505" i="37" s="1"/>
  <c r="W505" i="37"/>
  <c r="AC505" i="37" s="1"/>
  <c r="V505" i="37"/>
  <c r="AB505" i="37" s="1"/>
  <c r="X504" i="37"/>
  <c r="AD504" i="37" s="1"/>
  <c r="W504" i="37"/>
  <c r="AC504" i="37" s="1"/>
  <c r="V504" i="37"/>
  <c r="AB504" i="37" s="1"/>
  <c r="X503" i="37"/>
  <c r="AD503" i="37" s="1"/>
  <c r="W503" i="37"/>
  <c r="AC503" i="37" s="1"/>
  <c r="V503" i="37"/>
  <c r="AB503" i="37" s="1"/>
  <c r="X502" i="37"/>
  <c r="AD502" i="37" s="1"/>
  <c r="W502" i="37"/>
  <c r="AC502" i="37" s="1"/>
  <c r="V502" i="37"/>
  <c r="AB502" i="37" s="1"/>
  <c r="X501" i="37"/>
  <c r="AD501" i="37" s="1"/>
  <c r="W501" i="37"/>
  <c r="AC501" i="37" s="1"/>
  <c r="V501" i="37"/>
  <c r="AB501" i="37" s="1"/>
  <c r="X500" i="37"/>
  <c r="AD500" i="37" s="1"/>
  <c r="W500" i="37"/>
  <c r="AC500" i="37" s="1"/>
  <c r="V500" i="37"/>
  <c r="AB500" i="37" s="1"/>
  <c r="X499" i="37"/>
  <c r="AD499" i="37" s="1"/>
  <c r="W499" i="37"/>
  <c r="AC499" i="37" s="1"/>
  <c r="V499" i="37"/>
  <c r="AB499" i="37" s="1"/>
  <c r="X498" i="37"/>
  <c r="AD498" i="37" s="1"/>
  <c r="W498" i="37"/>
  <c r="AC498" i="37" s="1"/>
  <c r="V498" i="37"/>
  <c r="AB498" i="37" s="1"/>
  <c r="X497" i="37"/>
  <c r="AD497" i="37" s="1"/>
  <c r="W497" i="37"/>
  <c r="AC497" i="37" s="1"/>
  <c r="V497" i="37"/>
  <c r="AB497" i="37" s="1"/>
  <c r="X496" i="37"/>
  <c r="AD496" i="37" s="1"/>
  <c r="W496" i="37"/>
  <c r="AC496" i="37" s="1"/>
  <c r="V496" i="37"/>
  <c r="AB496" i="37" s="1"/>
  <c r="X495" i="37"/>
  <c r="AD495" i="37" s="1"/>
  <c r="W495" i="37"/>
  <c r="AC495" i="37" s="1"/>
  <c r="V495" i="37"/>
  <c r="AB495" i="37" s="1"/>
  <c r="X494" i="37"/>
  <c r="AD494" i="37" s="1"/>
  <c r="W494" i="37"/>
  <c r="AC494" i="37" s="1"/>
  <c r="V494" i="37"/>
  <c r="AB494" i="37" s="1"/>
  <c r="X493" i="37"/>
  <c r="AD493" i="37" s="1"/>
  <c r="W493" i="37"/>
  <c r="AC493" i="37" s="1"/>
  <c r="V493" i="37"/>
  <c r="AB493" i="37" s="1"/>
  <c r="X492" i="37"/>
  <c r="AD492" i="37" s="1"/>
  <c r="W492" i="37"/>
  <c r="AC492" i="37" s="1"/>
  <c r="V492" i="37"/>
  <c r="AB492" i="37" s="1"/>
  <c r="X491" i="37"/>
  <c r="AD491" i="37" s="1"/>
  <c r="W491" i="37"/>
  <c r="AC491" i="37" s="1"/>
  <c r="V491" i="37"/>
  <c r="AB491" i="37" s="1"/>
  <c r="X490" i="37"/>
  <c r="AD490" i="37" s="1"/>
  <c r="W490" i="37"/>
  <c r="AC490" i="37" s="1"/>
  <c r="V490" i="37"/>
  <c r="AB490" i="37" s="1"/>
  <c r="X489" i="37"/>
  <c r="AD489" i="37" s="1"/>
  <c r="W489" i="37"/>
  <c r="AC489" i="37" s="1"/>
  <c r="V489" i="37"/>
  <c r="AB489" i="37" s="1"/>
  <c r="X488" i="37"/>
  <c r="AD488" i="37" s="1"/>
  <c r="W488" i="37"/>
  <c r="AC488" i="37" s="1"/>
  <c r="V488" i="37"/>
  <c r="AB488" i="37" s="1"/>
  <c r="X487" i="37"/>
  <c r="AD487" i="37" s="1"/>
  <c r="W487" i="37"/>
  <c r="AC487" i="37" s="1"/>
  <c r="V487" i="37"/>
  <c r="AB487" i="37" s="1"/>
  <c r="X486" i="37"/>
  <c r="AD486" i="37" s="1"/>
  <c r="AO4" i="37" s="1"/>
  <c r="W486" i="37"/>
  <c r="AC486" i="37" s="1"/>
  <c r="V486" i="37"/>
  <c r="AB486" i="37" s="1"/>
  <c r="X485" i="37"/>
  <c r="AD485" i="37" s="1"/>
  <c r="W485" i="37"/>
  <c r="AC485" i="37" s="1"/>
  <c r="V485" i="37"/>
  <c r="AB485" i="37" s="1"/>
  <c r="X484" i="37"/>
  <c r="AD484" i="37" s="1"/>
  <c r="W484" i="37"/>
  <c r="AC484" i="37" s="1"/>
  <c r="V484" i="37"/>
  <c r="AB484" i="37" s="1"/>
  <c r="X483" i="37"/>
  <c r="AD483" i="37" s="1"/>
  <c r="W483" i="37"/>
  <c r="AC483" i="37" s="1"/>
  <c r="V483" i="37"/>
  <c r="AB483" i="37" s="1"/>
  <c r="X482" i="37"/>
  <c r="AD482" i="37" s="1"/>
  <c r="W482" i="37"/>
  <c r="AC482" i="37" s="1"/>
  <c r="V482" i="37"/>
  <c r="AB482" i="37" s="1"/>
  <c r="X481" i="37"/>
  <c r="AD481" i="37" s="1"/>
  <c r="W481" i="37"/>
  <c r="AC481" i="37" s="1"/>
  <c r="V481" i="37"/>
  <c r="AB481" i="37" s="1"/>
  <c r="X480" i="37"/>
  <c r="AD480" i="37" s="1"/>
  <c r="W480" i="37"/>
  <c r="AC480" i="37" s="1"/>
  <c r="V480" i="37"/>
  <c r="AB480" i="37" s="1"/>
  <c r="X479" i="37"/>
  <c r="AD479" i="37" s="1"/>
  <c r="W479" i="37"/>
  <c r="AC479" i="37" s="1"/>
  <c r="V479" i="37"/>
  <c r="AB479" i="37" s="1"/>
  <c r="X478" i="37"/>
  <c r="AD478" i="37" s="1"/>
  <c r="W478" i="37"/>
  <c r="AC478" i="37" s="1"/>
  <c r="V478" i="37"/>
  <c r="AB478" i="37" s="1"/>
  <c r="X477" i="37"/>
  <c r="AD477" i="37" s="1"/>
  <c r="W477" i="37"/>
  <c r="AC477" i="37" s="1"/>
  <c r="V477" i="37"/>
  <c r="AB477" i="37" s="1"/>
  <c r="X476" i="37"/>
  <c r="AD476" i="37" s="1"/>
  <c r="W476" i="37"/>
  <c r="AC476" i="37" s="1"/>
  <c r="V476" i="37"/>
  <c r="AB476" i="37" s="1"/>
  <c r="X475" i="37"/>
  <c r="AD475" i="37" s="1"/>
  <c r="W475" i="37"/>
  <c r="AC475" i="37" s="1"/>
  <c r="V475" i="37"/>
  <c r="AB475" i="37" s="1"/>
  <c r="X474" i="37"/>
  <c r="AD474" i="37" s="1"/>
  <c r="W474" i="37"/>
  <c r="AC474" i="37" s="1"/>
  <c r="V474" i="37"/>
  <c r="AB474" i="37" s="1"/>
  <c r="X473" i="37"/>
  <c r="AD473" i="37" s="1"/>
  <c r="W473" i="37"/>
  <c r="AC473" i="37" s="1"/>
  <c r="V473" i="37"/>
  <c r="AB473" i="37" s="1"/>
  <c r="X472" i="37"/>
  <c r="AD472" i="37" s="1"/>
  <c r="W472" i="37"/>
  <c r="AC472" i="37" s="1"/>
  <c r="V472" i="37"/>
  <c r="AB472" i="37" s="1"/>
  <c r="X471" i="37"/>
  <c r="AD471" i="37" s="1"/>
  <c r="W471" i="37"/>
  <c r="AC471" i="37" s="1"/>
  <c r="V471" i="37"/>
  <c r="AB471" i="37" s="1"/>
  <c r="X470" i="37"/>
  <c r="AD470" i="37" s="1"/>
  <c r="W470" i="37"/>
  <c r="AC470" i="37" s="1"/>
  <c r="V470" i="37"/>
  <c r="AB470" i="37" s="1"/>
  <c r="X469" i="37"/>
  <c r="AD469" i="37" s="1"/>
  <c r="W469" i="37"/>
  <c r="AC469" i="37" s="1"/>
  <c r="V469" i="37"/>
  <c r="AB469" i="37" s="1"/>
  <c r="X468" i="37"/>
  <c r="AD468" i="37" s="1"/>
  <c r="W468" i="37"/>
  <c r="AC468" i="37" s="1"/>
  <c r="V468" i="37"/>
  <c r="AB468" i="37" s="1"/>
  <c r="X467" i="37"/>
  <c r="AD467" i="37" s="1"/>
  <c r="W467" i="37"/>
  <c r="AC467" i="37" s="1"/>
  <c r="V467" i="37"/>
  <c r="AB467" i="37" s="1"/>
  <c r="X466" i="37"/>
  <c r="AD466" i="37" s="1"/>
  <c r="W466" i="37"/>
  <c r="AC466" i="37" s="1"/>
  <c r="V466" i="37"/>
  <c r="AB466" i="37" s="1"/>
  <c r="X465" i="37"/>
  <c r="AD465" i="37" s="1"/>
  <c r="W465" i="37"/>
  <c r="AC465" i="37" s="1"/>
  <c r="V465" i="37"/>
  <c r="AB465" i="37" s="1"/>
  <c r="X464" i="37"/>
  <c r="AD464" i="37" s="1"/>
  <c r="W464" i="37"/>
  <c r="AC464" i="37" s="1"/>
  <c r="V464" i="37"/>
  <c r="AB464" i="37" s="1"/>
  <c r="X463" i="37"/>
  <c r="AD463" i="37" s="1"/>
  <c r="W463" i="37"/>
  <c r="AC463" i="37" s="1"/>
  <c r="V463" i="37"/>
  <c r="AB463" i="37" s="1"/>
  <c r="X462" i="37"/>
  <c r="AD462" i="37" s="1"/>
  <c r="W462" i="37"/>
  <c r="AC462" i="37" s="1"/>
  <c r="V462" i="37"/>
  <c r="AB462" i="37" s="1"/>
  <c r="X461" i="37"/>
  <c r="AD461" i="37" s="1"/>
  <c r="W461" i="37"/>
  <c r="AC461" i="37" s="1"/>
  <c r="V461" i="37"/>
  <c r="AB461" i="37" s="1"/>
  <c r="X460" i="37"/>
  <c r="AD460" i="37" s="1"/>
  <c r="W460" i="37"/>
  <c r="AC460" i="37" s="1"/>
  <c r="V460" i="37"/>
  <c r="AB460" i="37" s="1"/>
  <c r="X459" i="37"/>
  <c r="AD459" i="37" s="1"/>
  <c r="W459" i="37"/>
  <c r="AC459" i="37" s="1"/>
  <c r="V459" i="37"/>
  <c r="AB459" i="37" s="1"/>
  <c r="X458" i="37"/>
  <c r="AD458" i="37" s="1"/>
  <c r="W458" i="37"/>
  <c r="AC458" i="37" s="1"/>
  <c r="V458" i="37"/>
  <c r="AB458" i="37" s="1"/>
  <c r="X457" i="37"/>
  <c r="AD457" i="37" s="1"/>
  <c r="W457" i="37"/>
  <c r="AC457" i="37" s="1"/>
  <c r="V457" i="37"/>
  <c r="AB457" i="37" s="1"/>
  <c r="X456" i="37"/>
  <c r="AD456" i="37" s="1"/>
  <c r="W456" i="37"/>
  <c r="AC456" i="37" s="1"/>
  <c r="V456" i="37"/>
  <c r="AB456" i="37" s="1"/>
  <c r="X455" i="37"/>
  <c r="AD455" i="37" s="1"/>
  <c r="W455" i="37"/>
  <c r="AC455" i="37" s="1"/>
  <c r="V455" i="37"/>
  <c r="AB455" i="37" s="1"/>
  <c r="X454" i="37"/>
  <c r="AD454" i="37" s="1"/>
  <c r="W454" i="37"/>
  <c r="AC454" i="37" s="1"/>
  <c r="V454" i="37"/>
  <c r="AB454" i="37" s="1"/>
  <c r="X453" i="37"/>
  <c r="AD453" i="37" s="1"/>
  <c r="W453" i="37"/>
  <c r="AC453" i="37" s="1"/>
  <c r="V453" i="37"/>
  <c r="AB453" i="37" s="1"/>
  <c r="X452" i="37"/>
  <c r="AD452" i="37" s="1"/>
  <c r="W452" i="37"/>
  <c r="AC452" i="37" s="1"/>
  <c r="V452" i="37"/>
  <c r="AB452" i="37" s="1"/>
  <c r="X451" i="37"/>
  <c r="AD451" i="37" s="1"/>
  <c r="W451" i="37"/>
  <c r="AC451" i="37" s="1"/>
  <c r="V451" i="37"/>
  <c r="AB451" i="37" s="1"/>
  <c r="X450" i="37"/>
  <c r="AD450" i="37" s="1"/>
  <c r="W450" i="37"/>
  <c r="AC450" i="37" s="1"/>
  <c r="V450" i="37"/>
  <c r="AB450" i="37" s="1"/>
  <c r="X449" i="37"/>
  <c r="AD449" i="37" s="1"/>
  <c r="W449" i="37"/>
  <c r="AC449" i="37" s="1"/>
  <c r="V449" i="37"/>
  <c r="AB449" i="37" s="1"/>
  <c r="X448" i="37"/>
  <c r="AD448" i="37" s="1"/>
  <c r="W448" i="37"/>
  <c r="AC448" i="37" s="1"/>
  <c r="V448" i="37"/>
  <c r="AB448" i="37" s="1"/>
  <c r="X447" i="37"/>
  <c r="AD447" i="37" s="1"/>
  <c r="W447" i="37"/>
  <c r="AC447" i="37" s="1"/>
  <c r="V447" i="37"/>
  <c r="AB447" i="37" s="1"/>
  <c r="X446" i="37"/>
  <c r="AD446" i="37" s="1"/>
  <c r="W446" i="37"/>
  <c r="AC446" i="37" s="1"/>
  <c r="V446" i="37"/>
  <c r="AB446" i="37" s="1"/>
  <c r="X445" i="37"/>
  <c r="AD445" i="37" s="1"/>
  <c r="W445" i="37"/>
  <c r="AC445" i="37" s="1"/>
  <c r="V445" i="37"/>
  <c r="AB445" i="37" s="1"/>
  <c r="X444" i="37"/>
  <c r="AD444" i="37" s="1"/>
  <c r="W444" i="37"/>
  <c r="AC444" i="37" s="1"/>
  <c r="V444" i="37"/>
  <c r="AB444" i="37" s="1"/>
  <c r="X443" i="37"/>
  <c r="AD443" i="37" s="1"/>
  <c r="W443" i="37"/>
  <c r="AC443" i="37" s="1"/>
  <c r="V443" i="37"/>
  <c r="AB443" i="37" s="1"/>
  <c r="X442" i="37"/>
  <c r="AD442" i="37" s="1"/>
  <c r="W442" i="37"/>
  <c r="AC442" i="37" s="1"/>
  <c r="V442" i="37"/>
  <c r="AB442" i="37" s="1"/>
  <c r="X441" i="37"/>
  <c r="AD441" i="37" s="1"/>
  <c r="W441" i="37"/>
  <c r="AC441" i="37" s="1"/>
  <c r="V441" i="37"/>
  <c r="AB441" i="37" s="1"/>
  <c r="X440" i="37"/>
  <c r="AD440" i="37" s="1"/>
  <c r="W440" i="37"/>
  <c r="AC440" i="37" s="1"/>
  <c r="V440" i="37"/>
  <c r="AB440" i="37" s="1"/>
  <c r="X439" i="37"/>
  <c r="AD439" i="37" s="1"/>
  <c r="W439" i="37"/>
  <c r="AC439" i="37" s="1"/>
  <c r="V439" i="37"/>
  <c r="AB439" i="37" s="1"/>
  <c r="X438" i="37"/>
  <c r="AD438" i="37" s="1"/>
  <c r="W438" i="37"/>
  <c r="AC438" i="37" s="1"/>
  <c r="V438" i="37"/>
  <c r="AB438" i="37" s="1"/>
  <c r="X437" i="37"/>
  <c r="AD437" i="37" s="1"/>
  <c r="W437" i="37"/>
  <c r="AC437" i="37" s="1"/>
  <c r="V437" i="37"/>
  <c r="AB437" i="37" s="1"/>
  <c r="X436" i="37"/>
  <c r="AD436" i="37" s="1"/>
  <c r="W436" i="37"/>
  <c r="AC436" i="37" s="1"/>
  <c r="V436" i="37"/>
  <c r="AB436" i="37" s="1"/>
  <c r="X435" i="37"/>
  <c r="AD435" i="37" s="1"/>
  <c r="W435" i="37"/>
  <c r="AC435" i="37" s="1"/>
  <c r="V435" i="37"/>
  <c r="AB435" i="37" s="1"/>
  <c r="X434" i="37"/>
  <c r="AD434" i="37" s="1"/>
  <c r="W434" i="37"/>
  <c r="AC434" i="37" s="1"/>
  <c r="V434" i="37"/>
  <c r="AB434" i="37" s="1"/>
  <c r="X433" i="37"/>
  <c r="AD433" i="37" s="1"/>
  <c r="W433" i="37"/>
  <c r="AC433" i="37" s="1"/>
  <c r="V433" i="37"/>
  <c r="AB433" i="37" s="1"/>
  <c r="X432" i="37"/>
  <c r="AD432" i="37" s="1"/>
  <c r="W432" i="37"/>
  <c r="AC432" i="37" s="1"/>
  <c r="V432" i="37"/>
  <c r="AB432" i="37" s="1"/>
  <c r="X431" i="37"/>
  <c r="AD431" i="37" s="1"/>
  <c r="W431" i="37"/>
  <c r="AC431" i="37" s="1"/>
  <c r="V431" i="37"/>
  <c r="AB431" i="37" s="1"/>
  <c r="X430" i="37"/>
  <c r="AD430" i="37" s="1"/>
  <c r="W430" i="37"/>
  <c r="AC430" i="37" s="1"/>
  <c r="V430" i="37"/>
  <c r="AB430" i="37" s="1"/>
  <c r="X429" i="37"/>
  <c r="AD429" i="37" s="1"/>
  <c r="W429" i="37"/>
  <c r="AC429" i="37" s="1"/>
  <c r="V429" i="37"/>
  <c r="AB429" i="37" s="1"/>
  <c r="X428" i="37"/>
  <c r="AD428" i="37" s="1"/>
  <c r="W428" i="37"/>
  <c r="AC428" i="37" s="1"/>
  <c r="V428" i="37"/>
  <c r="AB428" i="37" s="1"/>
  <c r="X427" i="37"/>
  <c r="AD427" i="37" s="1"/>
  <c r="W427" i="37"/>
  <c r="AC427" i="37" s="1"/>
  <c r="V427" i="37"/>
  <c r="AB427" i="37" s="1"/>
  <c r="X426" i="37"/>
  <c r="AD426" i="37" s="1"/>
  <c r="W426" i="37"/>
  <c r="AC426" i="37" s="1"/>
  <c r="V426" i="37"/>
  <c r="AB426" i="37" s="1"/>
  <c r="X425" i="37"/>
  <c r="AD425" i="37" s="1"/>
  <c r="W425" i="37"/>
  <c r="AC425" i="37" s="1"/>
  <c r="V425" i="37"/>
  <c r="AB425" i="37" s="1"/>
  <c r="X424" i="37"/>
  <c r="AD424" i="37" s="1"/>
  <c r="W424" i="37"/>
  <c r="AC424" i="37" s="1"/>
  <c r="V424" i="37"/>
  <c r="AB424" i="37" s="1"/>
  <c r="X423" i="37"/>
  <c r="AD423" i="37" s="1"/>
  <c r="W423" i="37"/>
  <c r="AC423" i="37" s="1"/>
  <c r="V423" i="37"/>
  <c r="AB423" i="37" s="1"/>
  <c r="X422" i="37"/>
  <c r="AD422" i="37" s="1"/>
  <c r="W422" i="37"/>
  <c r="AC422" i="37" s="1"/>
  <c r="V422" i="37"/>
  <c r="AB422" i="37" s="1"/>
  <c r="X421" i="37"/>
  <c r="AD421" i="37" s="1"/>
  <c r="W421" i="37"/>
  <c r="AC421" i="37" s="1"/>
  <c r="V421" i="37"/>
  <c r="AB421" i="37" s="1"/>
  <c r="X420" i="37"/>
  <c r="AD420" i="37" s="1"/>
  <c r="W420" i="37"/>
  <c r="AC420" i="37" s="1"/>
  <c r="V420" i="37"/>
  <c r="AB420" i="37" s="1"/>
  <c r="X419" i="37"/>
  <c r="AD419" i="37" s="1"/>
  <c r="W419" i="37"/>
  <c r="AC419" i="37" s="1"/>
  <c r="V419" i="37"/>
  <c r="AB419" i="37" s="1"/>
  <c r="X418" i="37"/>
  <c r="AD418" i="37" s="1"/>
  <c r="W418" i="37"/>
  <c r="AC418" i="37" s="1"/>
  <c r="V418" i="37"/>
  <c r="AB418" i="37" s="1"/>
  <c r="X417" i="37"/>
  <c r="AD417" i="37" s="1"/>
  <c r="W417" i="37"/>
  <c r="AC417" i="37" s="1"/>
  <c r="V417" i="37"/>
  <c r="AB417" i="37" s="1"/>
  <c r="X416" i="37"/>
  <c r="AD416" i="37" s="1"/>
  <c r="W416" i="37"/>
  <c r="AC416" i="37" s="1"/>
  <c r="V416" i="37"/>
  <c r="AB416" i="37" s="1"/>
  <c r="X415" i="37"/>
  <c r="AD415" i="37" s="1"/>
  <c r="W415" i="37"/>
  <c r="AC415" i="37" s="1"/>
  <c r="V415" i="37"/>
  <c r="AB415" i="37" s="1"/>
  <c r="X414" i="37"/>
  <c r="AD414" i="37" s="1"/>
  <c r="W414" i="37"/>
  <c r="AC414" i="37" s="1"/>
  <c r="V414" i="37"/>
  <c r="AB414" i="37" s="1"/>
  <c r="X413" i="37"/>
  <c r="AD413" i="37" s="1"/>
  <c r="W413" i="37"/>
  <c r="AC413" i="37" s="1"/>
  <c r="V413" i="37"/>
  <c r="AB413" i="37" s="1"/>
  <c r="X412" i="37"/>
  <c r="AD412" i="37" s="1"/>
  <c r="W412" i="37"/>
  <c r="AC412" i="37" s="1"/>
  <c r="V412" i="37"/>
  <c r="AB412" i="37" s="1"/>
  <c r="X411" i="37"/>
  <c r="AD411" i="37" s="1"/>
  <c r="W411" i="37"/>
  <c r="AC411" i="37" s="1"/>
  <c r="V411" i="37"/>
  <c r="AB411" i="37" s="1"/>
  <c r="X410" i="37"/>
  <c r="AD410" i="37" s="1"/>
  <c r="W410" i="37"/>
  <c r="AC410" i="37" s="1"/>
  <c r="V410" i="37"/>
  <c r="AB410" i="37" s="1"/>
  <c r="X409" i="37"/>
  <c r="AD409" i="37" s="1"/>
  <c r="W409" i="37"/>
  <c r="AC409" i="37" s="1"/>
  <c r="V409" i="37"/>
  <c r="AB409" i="37" s="1"/>
  <c r="X408" i="37"/>
  <c r="AD408" i="37" s="1"/>
  <c r="W408" i="37"/>
  <c r="AC408" i="37" s="1"/>
  <c r="V408" i="37"/>
  <c r="AB408" i="37" s="1"/>
  <c r="X407" i="37"/>
  <c r="AD407" i="37" s="1"/>
  <c r="W407" i="37"/>
  <c r="AC407" i="37" s="1"/>
  <c r="V407" i="37"/>
  <c r="AB407" i="37" s="1"/>
  <c r="X406" i="37"/>
  <c r="AD406" i="37" s="1"/>
  <c r="W406" i="37"/>
  <c r="AC406" i="37" s="1"/>
  <c r="V406" i="37"/>
  <c r="AB406" i="37" s="1"/>
  <c r="X405" i="37"/>
  <c r="AD405" i="37" s="1"/>
  <c r="W405" i="37"/>
  <c r="AC405" i="37" s="1"/>
  <c r="V405" i="37"/>
  <c r="AB405" i="37" s="1"/>
  <c r="X404" i="37"/>
  <c r="AD404" i="37" s="1"/>
  <c r="W404" i="37"/>
  <c r="AC404" i="37" s="1"/>
  <c r="V404" i="37"/>
  <c r="AB404" i="37" s="1"/>
  <c r="X403" i="37"/>
  <c r="AD403" i="37" s="1"/>
  <c r="W403" i="37"/>
  <c r="AC403" i="37" s="1"/>
  <c r="V403" i="37"/>
  <c r="AB403" i="37" s="1"/>
  <c r="X402" i="37"/>
  <c r="AD402" i="37" s="1"/>
  <c r="W402" i="37"/>
  <c r="AC402" i="37" s="1"/>
  <c r="V402" i="37"/>
  <c r="AB402" i="37" s="1"/>
  <c r="X401" i="37"/>
  <c r="AD401" i="37" s="1"/>
  <c r="W401" i="37"/>
  <c r="AC401" i="37" s="1"/>
  <c r="V401" i="37"/>
  <c r="AB401" i="37" s="1"/>
  <c r="X400" i="37"/>
  <c r="AD400" i="37" s="1"/>
  <c r="W400" i="37"/>
  <c r="AC400" i="37" s="1"/>
  <c r="V400" i="37"/>
  <c r="AB400" i="37" s="1"/>
  <c r="X399" i="37"/>
  <c r="AD399" i="37" s="1"/>
  <c r="W399" i="37"/>
  <c r="AC399" i="37" s="1"/>
  <c r="V399" i="37"/>
  <c r="AB399" i="37" s="1"/>
  <c r="X398" i="37"/>
  <c r="AD398" i="37" s="1"/>
  <c r="W398" i="37"/>
  <c r="AC398" i="37" s="1"/>
  <c r="V398" i="37"/>
  <c r="AB398" i="37" s="1"/>
  <c r="X397" i="37"/>
  <c r="AD397" i="37" s="1"/>
  <c r="W397" i="37"/>
  <c r="AC397" i="37" s="1"/>
  <c r="V397" i="37"/>
  <c r="AB397" i="37" s="1"/>
  <c r="X396" i="37"/>
  <c r="AD396" i="37" s="1"/>
  <c r="W396" i="37"/>
  <c r="AC396" i="37" s="1"/>
  <c r="V396" i="37"/>
  <c r="AB396" i="37" s="1"/>
  <c r="X395" i="37"/>
  <c r="AD395" i="37" s="1"/>
  <c r="W395" i="37"/>
  <c r="AC395" i="37" s="1"/>
  <c r="V395" i="37"/>
  <c r="AB395" i="37" s="1"/>
  <c r="X394" i="37"/>
  <c r="AD394" i="37" s="1"/>
  <c r="W394" i="37"/>
  <c r="AC394" i="37" s="1"/>
  <c r="V394" i="37"/>
  <c r="AB394" i="37" s="1"/>
  <c r="X393" i="37"/>
  <c r="AD393" i="37" s="1"/>
  <c r="W393" i="37"/>
  <c r="AC393" i="37" s="1"/>
  <c r="V393" i="37"/>
  <c r="AB393" i="37" s="1"/>
  <c r="X392" i="37"/>
  <c r="AD392" i="37" s="1"/>
  <c r="W392" i="37"/>
  <c r="AC392" i="37" s="1"/>
  <c r="V392" i="37"/>
  <c r="AB392" i="37" s="1"/>
  <c r="X391" i="37"/>
  <c r="AD391" i="37" s="1"/>
  <c r="W391" i="37"/>
  <c r="AC391" i="37" s="1"/>
  <c r="V391" i="37"/>
  <c r="AB391" i="37" s="1"/>
  <c r="X390" i="37"/>
  <c r="AD390" i="37" s="1"/>
  <c r="W390" i="37"/>
  <c r="AC390" i="37" s="1"/>
  <c r="V390" i="37"/>
  <c r="AB390" i="37" s="1"/>
  <c r="X389" i="37"/>
  <c r="AD389" i="37" s="1"/>
  <c r="W389" i="37"/>
  <c r="AC389" i="37" s="1"/>
  <c r="V389" i="37"/>
  <c r="AB389" i="37" s="1"/>
  <c r="X388" i="37"/>
  <c r="AD388" i="37" s="1"/>
  <c r="W388" i="37"/>
  <c r="AC388" i="37" s="1"/>
  <c r="V388" i="37"/>
  <c r="AB388" i="37" s="1"/>
  <c r="X387" i="37"/>
  <c r="AD387" i="37" s="1"/>
  <c r="W387" i="37"/>
  <c r="AC387" i="37" s="1"/>
  <c r="V387" i="37"/>
  <c r="AB387" i="37" s="1"/>
  <c r="X386" i="37"/>
  <c r="AD386" i="37" s="1"/>
  <c r="W386" i="37"/>
  <c r="AC386" i="37" s="1"/>
  <c r="V386" i="37"/>
  <c r="AB386" i="37" s="1"/>
  <c r="X385" i="37"/>
  <c r="AD385" i="37" s="1"/>
  <c r="W385" i="37"/>
  <c r="AC385" i="37" s="1"/>
  <c r="V385" i="37"/>
  <c r="AB385" i="37" s="1"/>
  <c r="X384" i="37"/>
  <c r="AD384" i="37" s="1"/>
  <c r="W384" i="37"/>
  <c r="AC384" i="37" s="1"/>
  <c r="V384" i="37"/>
  <c r="AB384" i="37" s="1"/>
  <c r="X383" i="37"/>
  <c r="AD383" i="37" s="1"/>
  <c r="W383" i="37"/>
  <c r="AC383" i="37" s="1"/>
  <c r="V383" i="37"/>
  <c r="AB383" i="37" s="1"/>
  <c r="X382" i="37"/>
  <c r="AD382" i="37" s="1"/>
  <c r="W382" i="37"/>
  <c r="AC382" i="37" s="1"/>
  <c r="V382" i="37"/>
  <c r="AB382" i="37" s="1"/>
  <c r="X381" i="37"/>
  <c r="AD381" i="37" s="1"/>
  <c r="W381" i="37"/>
  <c r="AC381" i="37" s="1"/>
  <c r="V381" i="37"/>
  <c r="AB381" i="37" s="1"/>
  <c r="X380" i="37"/>
  <c r="AD380" i="37" s="1"/>
  <c r="W380" i="37"/>
  <c r="AC380" i="37" s="1"/>
  <c r="V380" i="37"/>
  <c r="AB380" i="37" s="1"/>
  <c r="X379" i="37"/>
  <c r="AD379" i="37" s="1"/>
  <c r="W379" i="37"/>
  <c r="AC379" i="37" s="1"/>
  <c r="V379" i="37"/>
  <c r="AB379" i="37" s="1"/>
  <c r="X378" i="37"/>
  <c r="AD378" i="37" s="1"/>
  <c r="W378" i="37"/>
  <c r="AC378" i="37" s="1"/>
  <c r="V378" i="37"/>
  <c r="AB378" i="37" s="1"/>
  <c r="X377" i="37"/>
  <c r="AD377" i="37" s="1"/>
  <c r="W377" i="37"/>
  <c r="AC377" i="37" s="1"/>
  <c r="V377" i="37"/>
  <c r="AB377" i="37" s="1"/>
  <c r="X376" i="37"/>
  <c r="AD376" i="37" s="1"/>
  <c r="W376" i="37"/>
  <c r="AC376" i="37" s="1"/>
  <c r="V376" i="37"/>
  <c r="AB376" i="37" s="1"/>
  <c r="X375" i="37"/>
  <c r="AD375" i="37" s="1"/>
  <c r="W375" i="37"/>
  <c r="AC375" i="37" s="1"/>
  <c r="V375" i="37"/>
  <c r="AB375" i="37" s="1"/>
  <c r="X374" i="37"/>
  <c r="AD374" i="37" s="1"/>
  <c r="W374" i="37"/>
  <c r="AC374" i="37" s="1"/>
  <c r="V374" i="37"/>
  <c r="AB374" i="37" s="1"/>
  <c r="X373" i="37"/>
  <c r="AD373" i="37" s="1"/>
  <c r="W373" i="37"/>
  <c r="AC373" i="37" s="1"/>
  <c r="V373" i="37"/>
  <c r="AB373" i="37" s="1"/>
  <c r="X372" i="37"/>
  <c r="AD372" i="37" s="1"/>
  <c r="W372" i="37"/>
  <c r="AC372" i="37" s="1"/>
  <c r="V372" i="37"/>
  <c r="AB372" i="37" s="1"/>
  <c r="X371" i="37"/>
  <c r="AD371" i="37" s="1"/>
  <c r="W371" i="37"/>
  <c r="AC371" i="37" s="1"/>
  <c r="V371" i="37"/>
  <c r="AB371" i="37" s="1"/>
  <c r="X370" i="37"/>
  <c r="AD370" i="37" s="1"/>
  <c r="W370" i="37"/>
  <c r="AC370" i="37" s="1"/>
  <c r="V370" i="37"/>
  <c r="AB370" i="37" s="1"/>
  <c r="X369" i="37"/>
  <c r="AD369" i="37" s="1"/>
  <c r="W369" i="37"/>
  <c r="AC369" i="37" s="1"/>
  <c r="V369" i="37"/>
  <c r="AB369" i="37" s="1"/>
  <c r="X368" i="37"/>
  <c r="AD368" i="37" s="1"/>
  <c r="W368" i="37"/>
  <c r="AC368" i="37" s="1"/>
  <c r="V368" i="37"/>
  <c r="AB368" i="37" s="1"/>
  <c r="X367" i="37"/>
  <c r="AD367" i="37" s="1"/>
  <c r="W367" i="37"/>
  <c r="AC367" i="37" s="1"/>
  <c r="V367" i="37"/>
  <c r="AB367" i="37" s="1"/>
  <c r="X366" i="37"/>
  <c r="AD366" i="37" s="1"/>
  <c r="W366" i="37"/>
  <c r="AC366" i="37" s="1"/>
  <c r="V366" i="37"/>
  <c r="AB366" i="37" s="1"/>
  <c r="X365" i="37"/>
  <c r="AD365" i="37" s="1"/>
  <c r="W365" i="37"/>
  <c r="AC365" i="37" s="1"/>
  <c r="V365" i="37"/>
  <c r="AB365" i="37" s="1"/>
  <c r="X364" i="37"/>
  <c r="AD364" i="37" s="1"/>
  <c r="W364" i="37"/>
  <c r="AC364" i="37" s="1"/>
  <c r="V364" i="37"/>
  <c r="AB364" i="37" s="1"/>
  <c r="V363" i="37"/>
  <c r="AB363" i="37" s="1"/>
  <c r="V362" i="37"/>
  <c r="AB362" i="37" s="1"/>
  <c r="V361" i="37"/>
  <c r="AB361" i="37" s="1"/>
  <c r="V360" i="37"/>
  <c r="AB360" i="37" s="1"/>
  <c r="V359" i="37"/>
  <c r="AB359" i="37" s="1"/>
  <c r="V358" i="37"/>
  <c r="AB358" i="37" s="1"/>
  <c r="V357" i="37"/>
  <c r="AB357" i="37" s="1"/>
  <c r="V356" i="37"/>
  <c r="AB356" i="37" s="1"/>
  <c r="V355" i="37"/>
  <c r="AB355" i="37" s="1"/>
  <c r="V354" i="37"/>
  <c r="AB354" i="37" s="1"/>
  <c r="V353" i="37"/>
  <c r="AB353" i="37" s="1"/>
  <c r="V352" i="37"/>
  <c r="AB352" i="37" s="1"/>
  <c r="X351" i="37"/>
  <c r="AD351" i="37" s="1"/>
  <c r="W351" i="37"/>
  <c r="AC351" i="37" s="1"/>
  <c r="X350" i="37"/>
  <c r="AD350" i="37" s="1"/>
  <c r="W350" i="37"/>
  <c r="AC350" i="37" s="1"/>
  <c r="X349" i="37"/>
  <c r="AD349" i="37" s="1"/>
  <c r="W349" i="37"/>
  <c r="AC349" i="37" s="1"/>
  <c r="X348" i="37"/>
  <c r="AD348" i="37" s="1"/>
  <c r="W348" i="37"/>
  <c r="AC348" i="37" s="1"/>
  <c r="X347" i="37"/>
  <c r="AD347" i="37" s="1"/>
  <c r="W347" i="37"/>
  <c r="AC347" i="37" s="1"/>
  <c r="X346" i="37"/>
  <c r="AD346" i="37" s="1"/>
  <c r="W346" i="37"/>
  <c r="AC346" i="37" s="1"/>
  <c r="X345" i="37"/>
  <c r="AD345" i="37" s="1"/>
  <c r="W345" i="37"/>
  <c r="AC345" i="37" s="1"/>
  <c r="X344" i="37"/>
  <c r="AD344" i="37" s="1"/>
  <c r="W344" i="37"/>
  <c r="AC344" i="37" s="1"/>
  <c r="X343" i="37"/>
  <c r="AD343" i="37" s="1"/>
  <c r="W343" i="37"/>
  <c r="AC343" i="37" s="1"/>
  <c r="X342" i="37"/>
  <c r="AD342" i="37" s="1"/>
  <c r="W342" i="37"/>
  <c r="AC342" i="37" s="1"/>
  <c r="X341" i="37"/>
  <c r="AD341" i="37" s="1"/>
  <c r="W341" i="37"/>
  <c r="AC341" i="37" s="1"/>
  <c r="X340" i="37"/>
  <c r="AD340" i="37" s="1"/>
  <c r="W340" i="37"/>
  <c r="AC340" i="37" s="1"/>
  <c r="V339" i="37"/>
  <c r="AB339" i="37" s="1"/>
  <c r="V338" i="37"/>
  <c r="AB338" i="37" s="1"/>
  <c r="V337" i="37"/>
  <c r="AB337" i="37" s="1"/>
  <c r="V336" i="37"/>
  <c r="AB336" i="37" s="1"/>
  <c r="V335" i="37"/>
  <c r="AB335" i="37" s="1"/>
  <c r="V334" i="37"/>
  <c r="AB334" i="37" s="1"/>
  <c r="V333" i="37"/>
  <c r="AB333" i="37" s="1"/>
  <c r="V332" i="37"/>
  <c r="AB332" i="37" s="1"/>
  <c r="V331" i="37"/>
  <c r="AB331" i="37" s="1"/>
  <c r="V330" i="37"/>
  <c r="AB330" i="37" s="1"/>
  <c r="V329" i="37"/>
  <c r="AB329" i="37" s="1"/>
  <c r="V328" i="37"/>
  <c r="AB328" i="37" s="1"/>
  <c r="V327" i="37"/>
  <c r="AB327" i="37" s="1"/>
  <c r="V326" i="37"/>
  <c r="AB326" i="37" s="1"/>
  <c r="V325" i="37"/>
  <c r="AB325" i="37" s="1"/>
  <c r="V324" i="37"/>
  <c r="AB324" i="37" s="1"/>
  <c r="V323" i="37"/>
  <c r="AB323" i="37" s="1"/>
  <c r="V322" i="37"/>
  <c r="AB322" i="37" s="1"/>
  <c r="V321" i="37"/>
  <c r="AB321" i="37" s="1"/>
  <c r="V320" i="37"/>
  <c r="AB320" i="37" s="1"/>
  <c r="V319" i="37"/>
  <c r="AB319" i="37" s="1"/>
  <c r="V318" i="37"/>
  <c r="AB318" i="37" s="1"/>
  <c r="V317" i="37"/>
  <c r="AB317" i="37" s="1"/>
  <c r="V316" i="37"/>
  <c r="AB316" i="37" s="1"/>
  <c r="V315" i="37"/>
  <c r="AB315" i="37" s="1"/>
  <c r="V314" i="37"/>
  <c r="AB314" i="37" s="1"/>
  <c r="V313" i="37"/>
  <c r="AB313" i="37" s="1"/>
  <c r="V312" i="37"/>
  <c r="AB312" i="37" s="1"/>
  <c r="V311" i="37"/>
  <c r="AB311" i="37" s="1"/>
  <c r="V310" i="37"/>
  <c r="AB310" i="37" s="1"/>
  <c r="V309" i="37"/>
  <c r="AB309" i="37" s="1"/>
  <c r="X308" i="37"/>
  <c r="AD308" i="37" s="1"/>
  <c r="W308" i="37"/>
  <c r="AC308" i="37" s="1"/>
  <c r="X307" i="37"/>
  <c r="AD307" i="37" s="1"/>
  <c r="W307" i="37"/>
  <c r="AC307" i="37" s="1"/>
  <c r="X306" i="37"/>
  <c r="AD306" i="37" s="1"/>
  <c r="W306" i="37"/>
  <c r="AC306" i="37" s="1"/>
  <c r="X305" i="37"/>
  <c r="AD305" i="37" s="1"/>
  <c r="W305" i="37"/>
  <c r="AC305" i="37" s="1"/>
  <c r="X304" i="37"/>
  <c r="AD304" i="37" s="1"/>
  <c r="W304" i="37"/>
  <c r="AC304" i="37" s="1"/>
  <c r="X303" i="37"/>
  <c r="AD303" i="37" s="1"/>
  <c r="W303" i="37"/>
  <c r="AC303" i="37" s="1"/>
  <c r="X302" i="37"/>
  <c r="AD302" i="37" s="1"/>
  <c r="W302" i="37"/>
  <c r="AC302" i="37" s="1"/>
  <c r="X301" i="37"/>
  <c r="AD301" i="37" s="1"/>
  <c r="W301" i="37"/>
  <c r="AC301" i="37" s="1"/>
  <c r="X300" i="37"/>
  <c r="AD300" i="37" s="1"/>
  <c r="W300" i="37"/>
  <c r="AC300" i="37" s="1"/>
  <c r="X299" i="37"/>
  <c r="AD299" i="37" s="1"/>
  <c r="W299" i="37"/>
  <c r="AC299" i="37" s="1"/>
  <c r="X298" i="37"/>
  <c r="AD298" i="37" s="1"/>
  <c r="W298" i="37"/>
  <c r="AC298" i="37" s="1"/>
  <c r="X297" i="37"/>
  <c r="AD297" i="37" s="1"/>
  <c r="W297" i="37"/>
  <c r="AC297" i="37" s="1"/>
  <c r="X296" i="37"/>
  <c r="AD296" i="37" s="1"/>
  <c r="W296" i="37"/>
  <c r="AC296" i="37" s="1"/>
  <c r="X295" i="37"/>
  <c r="AD295" i="37" s="1"/>
  <c r="W295" i="37"/>
  <c r="AC295" i="37" s="1"/>
  <c r="X294" i="37"/>
  <c r="AD294" i="37" s="1"/>
  <c r="W294" i="37"/>
  <c r="AC294" i="37" s="1"/>
  <c r="X293" i="37"/>
  <c r="AD293" i="37" s="1"/>
  <c r="W293" i="37"/>
  <c r="AC293" i="37" s="1"/>
  <c r="X292" i="37"/>
  <c r="AD292" i="37" s="1"/>
  <c r="W292" i="37"/>
  <c r="AC292" i="37" s="1"/>
  <c r="X291" i="37"/>
  <c r="AD291" i="37" s="1"/>
  <c r="W291" i="37"/>
  <c r="AC291" i="37" s="1"/>
  <c r="X290" i="37"/>
  <c r="AD290" i="37" s="1"/>
  <c r="W290" i="37"/>
  <c r="AC290" i="37" s="1"/>
  <c r="X289" i="37"/>
  <c r="AD289" i="37" s="1"/>
  <c r="W289" i="37"/>
  <c r="AC289" i="37" s="1"/>
  <c r="X288" i="37"/>
  <c r="AD288" i="37" s="1"/>
  <c r="W288" i="37"/>
  <c r="AC288" i="37" s="1"/>
  <c r="X287" i="37"/>
  <c r="AD287" i="37" s="1"/>
  <c r="W287" i="37"/>
  <c r="AC287" i="37" s="1"/>
  <c r="X286" i="37"/>
  <c r="AD286" i="37" s="1"/>
  <c r="W286" i="37"/>
  <c r="AC286" i="37" s="1"/>
  <c r="V285" i="37"/>
  <c r="AB285" i="37" s="1"/>
  <c r="V284" i="37"/>
  <c r="AB284" i="37" s="1"/>
  <c r="V283" i="37"/>
  <c r="AB283" i="37" s="1"/>
  <c r="V282" i="37"/>
  <c r="AB282" i="37" s="1"/>
  <c r="V281" i="37"/>
  <c r="AB281" i="37" s="1"/>
  <c r="V280" i="37"/>
  <c r="AB280" i="37" s="1"/>
  <c r="V279" i="37"/>
  <c r="AB279" i="37" s="1"/>
  <c r="V278" i="37"/>
  <c r="AB278" i="37" s="1"/>
  <c r="V277" i="37"/>
  <c r="AB277" i="37" s="1"/>
  <c r="V276" i="37"/>
  <c r="AB276" i="37" s="1"/>
  <c r="V275" i="37"/>
  <c r="AB275" i="37" s="1"/>
  <c r="V274" i="37"/>
  <c r="AB274" i="37" s="1"/>
  <c r="V273" i="37"/>
  <c r="AB273" i="37" s="1"/>
  <c r="V272" i="37"/>
  <c r="AB272" i="37" s="1"/>
  <c r="V271" i="37"/>
  <c r="AB271" i="37" s="1"/>
  <c r="V270" i="37"/>
  <c r="AB270" i="37" s="1"/>
  <c r="V269" i="37"/>
  <c r="AB269" i="37" s="1"/>
  <c r="V268" i="37"/>
  <c r="AB268" i="37" s="1"/>
  <c r="V267" i="37"/>
  <c r="AB267" i="37" s="1"/>
  <c r="V266" i="37"/>
  <c r="AB266" i="37" s="1"/>
  <c r="V265" i="37"/>
  <c r="AB265" i="37" s="1"/>
  <c r="V264" i="37"/>
  <c r="AB264" i="37" s="1"/>
  <c r="V263" i="37"/>
  <c r="AB263" i="37" s="1"/>
  <c r="V262" i="37"/>
  <c r="AB262" i="37" s="1"/>
  <c r="V261" i="37"/>
  <c r="AB261" i="37" s="1"/>
  <c r="V260" i="37"/>
  <c r="AB260" i="37" s="1"/>
  <c r="V259" i="37"/>
  <c r="AB259" i="37" s="1"/>
  <c r="V258" i="37"/>
  <c r="AB258" i="37" s="1"/>
  <c r="V257" i="37"/>
  <c r="AB257" i="37" s="1"/>
  <c r="V256" i="37"/>
  <c r="AB256" i="37" s="1"/>
  <c r="X255" i="37"/>
  <c r="AD255" i="37" s="1"/>
  <c r="W255" i="37"/>
  <c r="AC255" i="37" s="1"/>
  <c r="X254" i="37"/>
  <c r="AD254" i="37" s="1"/>
  <c r="W254" i="37"/>
  <c r="AC254" i="37" s="1"/>
  <c r="X253" i="37"/>
  <c r="AD253" i="37" s="1"/>
  <c r="W253" i="37"/>
  <c r="AC253" i="37" s="1"/>
  <c r="X252" i="37"/>
  <c r="AD252" i="37" s="1"/>
  <c r="W252" i="37"/>
  <c r="AC252" i="37" s="1"/>
  <c r="X251" i="37"/>
  <c r="AD251" i="37" s="1"/>
  <c r="W251" i="37"/>
  <c r="AC251" i="37" s="1"/>
  <c r="X250" i="37"/>
  <c r="AD250" i="37" s="1"/>
  <c r="W250" i="37"/>
  <c r="AC250" i="37" s="1"/>
  <c r="X249" i="37"/>
  <c r="AD249" i="37" s="1"/>
  <c r="W249" i="37"/>
  <c r="AC249" i="37" s="1"/>
  <c r="X248" i="37"/>
  <c r="AD248" i="37" s="1"/>
  <c r="W248" i="37"/>
  <c r="AC248" i="37" s="1"/>
  <c r="X247" i="37"/>
  <c r="AD247" i="37" s="1"/>
  <c r="W247" i="37"/>
  <c r="AC247" i="37" s="1"/>
  <c r="X246" i="37"/>
  <c r="AD246" i="37" s="1"/>
  <c r="W246" i="37"/>
  <c r="AC246" i="37" s="1"/>
  <c r="X245" i="37"/>
  <c r="AD245" i="37" s="1"/>
  <c r="W245" i="37"/>
  <c r="AC245" i="37" s="1"/>
  <c r="X244" i="37"/>
  <c r="AD244" i="37" s="1"/>
  <c r="W244" i="37"/>
  <c r="AC244" i="37" s="1"/>
  <c r="V243" i="37"/>
  <c r="AB243" i="37" s="1"/>
  <c r="V242" i="37"/>
  <c r="AB242" i="37" s="1"/>
  <c r="V241" i="37"/>
  <c r="AB241" i="37" s="1"/>
  <c r="V240" i="37"/>
  <c r="AB240" i="37" s="1"/>
  <c r="V239" i="37"/>
  <c r="AB239" i="37" s="1"/>
  <c r="V238" i="37"/>
  <c r="AB238" i="37" s="1"/>
  <c r="V237" i="37"/>
  <c r="AB237" i="37" s="1"/>
  <c r="V236" i="37"/>
  <c r="AB236" i="37" s="1"/>
  <c r="V235" i="37"/>
  <c r="AB235" i="37" s="1"/>
  <c r="V234" i="37"/>
  <c r="AB234" i="37" s="1"/>
  <c r="V233" i="37"/>
  <c r="AB233" i="37" s="1"/>
  <c r="V232" i="37"/>
  <c r="AB232" i="37" s="1"/>
  <c r="X231" i="37"/>
  <c r="AD231" i="37" s="1"/>
  <c r="W231" i="37"/>
  <c r="AC231" i="37" s="1"/>
  <c r="V231" i="37"/>
  <c r="AB231" i="37" s="1"/>
  <c r="X230" i="37"/>
  <c r="AD230" i="37" s="1"/>
  <c r="W230" i="37"/>
  <c r="AC230" i="37" s="1"/>
  <c r="V230" i="37"/>
  <c r="AB230" i="37" s="1"/>
  <c r="X229" i="37"/>
  <c r="AD229" i="37" s="1"/>
  <c r="W229" i="37"/>
  <c r="AC229" i="37" s="1"/>
  <c r="V229" i="37"/>
  <c r="AB229" i="37" s="1"/>
  <c r="X228" i="37"/>
  <c r="AD228" i="37" s="1"/>
  <c r="W228" i="37"/>
  <c r="AC228" i="37" s="1"/>
  <c r="V228" i="37"/>
  <c r="AB228" i="37" s="1"/>
  <c r="X227" i="37"/>
  <c r="AD227" i="37" s="1"/>
  <c r="W227" i="37"/>
  <c r="AC227" i="37" s="1"/>
  <c r="V227" i="37"/>
  <c r="AB227" i="37" s="1"/>
  <c r="X226" i="37"/>
  <c r="AD226" i="37" s="1"/>
  <c r="W226" i="37"/>
  <c r="AC226" i="37" s="1"/>
  <c r="V226" i="37"/>
  <c r="AB226" i="37" s="1"/>
  <c r="X225" i="37"/>
  <c r="AD225" i="37" s="1"/>
  <c r="W225" i="37"/>
  <c r="AC225" i="37" s="1"/>
  <c r="V225" i="37"/>
  <c r="AB225" i="37" s="1"/>
  <c r="X224" i="37"/>
  <c r="AD224" i="37" s="1"/>
  <c r="W224" i="37"/>
  <c r="AC224" i="37" s="1"/>
  <c r="V224" i="37"/>
  <c r="AB224" i="37" s="1"/>
  <c r="X223" i="37"/>
  <c r="AD223" i="37" s="1"/>
  <c r="W223" i="37"/>
  <c r="AC223" i="37" s="1"/>
  <c r="V223" i="37"/>
  <c r="AB223" i="37" s="1"/>
  <c r="X222" i="37"/>
  <c r="AD222" i="37" s="1"/>
  <c r="W222" i="37"/>
  <c r="AC222" i="37" s="1"/>
  <c r="V222" i="37"/>
  <c r="AB222" i="37" s="1"/>
  <c r="X221" i="37"/>
  <c r="AD221" i="37" s="1"/>
  <c r="W221" i="37"/>
  <c r="AC221" i="37" s="1"/>
  <c r="V221" i="37"/>
  <c r="AB221" i="37" s="1"/>
  <c r="X220" i="37"/>
  <c r="AD220" i="37" s="1"/>
  <c r="W220" i="37"/>
  <c r="AC220" i="37" s="1"/>
  <c r="V220" i="37"/>
  <c r="AB220" i="37" s="1"/>
  <c r="X219" i="37"/>
  <c r="AD219" i="37" s="1"/>
  <c r="W219" i="37"/>
  <c r="AC219" i="37" s="1"/>
  <c r="V219" i="37"/>
  <c r="AB219" i="37" s="1"/>
  <c r="X218" i="37"/>
  <c r="AD218" i="37" s="1"/>
  <c r="W218" i="37"/>
  <c r="AC218" i="37" s="1"/>
  <c r="V218" i="37"/>
  <c r="AB218" i="37" s="1"/>
  <c r="X217" i="37"/>
  <c r="AD217" i="37" s="1"/>
  <c r="W217" i="37"/>
  <c r="AC217" i="37" s="1"/>
  <c r="V217" i="37"/>
  <c r="AB217" i="37" s="1"/>
  <c r="X216" i="37"/>
  <c r="AD216" i="37" s="1"/>
  <c r="W216" i="37"/>
  <c r="AC216" i="37" s="1"/>
  <c r="V216" i="37"/>
  <c r="AB216" i="37" s="1"/>
  <c r="X215" i="37"/>
  <c r="AD215" i="37" s="1"/>
  <c r="W215" i="37"/>
  <c r="AC215" i="37" s="1"/>
  <c r="V215" i="37"/>
  <c r="AB215" i="37" s="1"/>
  <c r="X214" i="37"/>
  <c r="AD214" i="37" s="1"/>
  <c r="W214" i="37"/>
  <c r="AC214" i="37" s="1"/>
  <c r="V214" i="37"/>
  <c r="AB214" i="37" s="1"/>
  <c r="X213" i="37"/>
  <c r="AD213" i="37" s="1"/>
  <c r="W213" i="37"/>
  <c r="AC213" i="37" s="1"/>
  <c r="V213" i="37"/>
  <c r="AB213" i="37" s="1"/>
  <c r="X212" i="37"/>
  <c r="AD212" i="37" s="1"/>
  <c r="W212" i="37"/>
  <c r="AC212" i="37" s="1"/>
  <c r="V212" i="37"/>
  <c r="AB212" i="37" s="1"/>
  <c r="X211" i="37"/>
  <c r="AD211" i="37" s="1"/>
  <c r="W211" i="37"/>
  <c r="AC211" i="37" s="1"/>
  <c r="V211" i="37"/>
  <c r="AB211" i="37" s="1"/>
  <c r="X210" i="37"/>
  <c r="AD210" i="37" s="1"/>
  <c r="W210" i="37"/>
  <c r="AC210" i="37" s="1"/>
  <c r="V210" i="37"/>
  <c r="AB210" i="37" s="1"/>
  <c r="X209" i="37"/>
  <c r="AD209" i="37" s="1"/>
  <c r="W209" i="37"/>
  <c r="AC209" i="37" s="1"/>
  <c r="V209" i="37"/>
  <c r="AB209" i="37" s="1"/>
  <c r="X208" i="37"/>
  <c r="AD208" i="37" s="1"/>
  <c r="W208" i="37"/>
  <c r="AC208" i="37" s="1"/>
  <c r="V208" i="37"/>
  <c r="AB208" i="37" s="1"/>
  <c r="X207" i="37"/>
  <c r="AD207" i="37" s="1"/>
  <c r="W207" i="37"/>
  <c r="AC207" i="37" s="1"/>
  <c r="V207" i="37"/>
  <c r="AB207" i="37" s="1"/>
  <c r="X206" i="37"/>
  <c r="AD206" i="37" s="1"/>
  <c r="W206" i="37"/>
  <c r="AC206" i="37" s="1"/>
  <c r="V206" i="37"/>
  <c r="AB206" i="37" s="1"/>
  <c r="X205" i="37"/>
  <c r="AD205" i="37" s="1"/>
  <c r="W205" i="37"/>
  <c r="AC205" i="37" s="1"/>
  <c r="V205" i="37"/>
  <c r="AB205" i="37" s="1"/>
  <c r="X204" i="37"/>
  <c r="AD204" i="37" s="1"/>
  <c r="W204" i="37"/>
  <c r="AC204" i="37" s="1"/>
  <c r="V204" i="37"/>
  <c r="AB204" i="37" s="1"/>
  <c r="X203" i="37"/>
  <c r="AD203" i="37" s="1"/>
  <c r="W203" i="37"/>
  <c r="AC203" i="37" s="1"/>
  <c r="V203" i="37"/>
  <c r="AB203" i="37" s="1"/>
  <c r="X202" i="37"/>
  <c r="AD202" i="37" s="1"/>
  <c r="W202" i="37"/>
  <c r="AC202" i="37" s="1"/>
  <c r="V202" i="37"/>
  <c r="AB202" i="37" s="1"/>
  <c r="X201" i="37"/>
  <c r="AD201" i="37" s="1"/>
  <c r="W201" i="37"/>
  <c r="AC201" i="37" s="1"/>
  <c r="V201" i="37"/>
  <c r="AB201" i="37" s="1"/>
  <c r="X200" i="37"/>
  <c r="AD200" i="37" s="1"/>
  <c r="W200" i="37"/>
  <c r="AC200" i="37" s="1"/>
  <c r="V200" i="37"/>
  <c r="AB200" i="37" s="1"/>
  <c r="X199" i="37"/>
  <c r="AD199" i="37" s="1"/>
  <c r="W199" i="37"/>
  <c r="AC199" i="37" s="1"/>
  <c r="V199" i="37"/>
  <c r="AB199" i="37" s="1"/>
  <c r="X198" i="37"/>
  <c r="AD198" i="37" s="1"/>
  <c r="W198" i="37"/>
  <c r="AC198" i="37" s="1"/>
  <c r="V198" i="37"/>
  <c r="AB198" i="37" s="1"/>
  <c r="X197" i="37"/>
  <c r="AD197" i="37" s="1"/>
  <c r="W197" i="37"/>
  <c r="AC197" i="37" s="1"/>
  <c r="V197" i="37"/>
  <c r="AB197" i="37" s="1"/>
  <c r="X196" i="37"/>
  <c r="AD196" i="37" s="1"/>
  <c r="W196" i="37"/>
  <c r="AC196" i="37" s="1"/>
  <c r="V196" i="37"/>
  <c r="AB196" i="37" s="1"/>
  <c r="X195" i="37"/>
  <c r="AD195" i="37" s="1"/>
  <c r="W195" i="37"/>
  <c r="AC195" i="37" s="1"/>
  <c r="V195" i="37"/>
  <c r="AB195" i="37" s="1"/>
  <c r="X194" i="37"/>
  <c r="AD194" i="37" s="1"/>
  <c r="W194" i="37"/>
  <c r="AC194" i="37" s="1"/>
  <c r="V194" i="37"/>
  <c r="AB194" i="37" s="1"/>
  <c r="X193" i="37"/>
  <c r="AD193" i="37" s="1"/>
  <c r="W193" i="37"/>
  <c r="AC193" i="37" s="1"/>
  <c r="V193" i="37"/>
  <c r="AB193" i="37" s="1"/>
  <c r="X192" i="37"/>
  <c r="AD192" i="37" s="1"/>
  <c r="W192" i="37"/>
  <c r="AC192" i="37" s="1"/>
  <c r="V192" i="37"/>
  <c r="AB192" i="37" s="1"/>
  <c r="X191" i="37"/>
  <c r="AD191" i="37" s="1"/>
  <c r="W191" i="37"/>
  <c r="AC191" i="37" s="1"/>
  <c r="V191" i="37"/>
  <c r="AB191" i="37" s="1"/>
  <c r="X190" i="37"/>
  <c r="AD190" i="37" s="1"/>
  <c r="W190" i="37"/>
  <c r="AC190" i="37" s="1"/>
  <c r="V190" i="37"/>
  <c r="AB190" i="37" s="1"/>
  <c r="X189" i="37"/>
  <c r="AD189" i="37" s="1"/>
  <c r="W189" i="37"/>
  <c r="AC189" i="37" s="1"/>
  <c r="V189" i="37"/>
  <c r="AB189" i="37" s="1"/>
  <c r="X188" i="37"/>
  <c r="AD188" i="37" s="1"/>
  <c r="W188" i="37"/>
  <c r="AC188" i="37" s="1"/>
  <c r="V188" i="37"/>
  <c r="AB188" i="37" s="1"/>
  <c r="X187" i="37"/>
  <c r="AD187" i="37" s="1"/>
  <c r="W187" i="37"/>
  <c r="AC187" i="37" s="1"/>
  <c r="V187" i="37"/>
  <c r="AB187" i="37" s="1"/>
  <c r="X186" i="37"/>
  <c r="AD186" i="37" s="1"/>
  <c r="W186" i="37"/>
  <c r="AC186" i="37" s="1"/>
  <c r="V186" i="37"/>
  <c r="AB186" i="37" s="1"/>
  <c r="X185" i="37"/>
  <c r="AD185" i="37" s="1"/>
  <c r="W185" i="37"/>
  <c r="AC185" i="37" s="1"/>
  <c r="V185" i="37"/>
  <c r="AB185" i="37" s="1"/>
  <c r="X184" i="37"/>
  <c r="AD184" i="37" s="1"/>
  <c r="W184" i="37"/>
  <c r="AC184" i="37" s="1"/>
  <c r="V184" i="37"/>
  <c r="AB184" i="37" s="1"/>
  <c r="X183" i="37"/>
  <c r="AD183" i="37" s="1"/>
  <c r="W183" i="37"/>
  <c r="AC183" i="37" s="1"/>
  <c r="V183" i="37"/>
  <c r="AB183" i="37" s="1"/>
  <c r="X182" i="37"/>
  <c r="AD182" i="37" s="1"/>
  <c r="W182" i="37"/>
  <c r="AC182" i="37" s="1"/>
  <c r="V182" i="37"/>
  <c r="AB182" i="37" s="1"/>
  <c r="X181" i="37"/>
  <c r="AD181" i="37" s="1"/>
  <c r="W181" i="37"/>
  <c r="AC181" i="37" s="1"/>
  <c r="V181" i="37"/>
  <c r="AB181" i="37" s="1"/>
  <c r="X180" i="37"/>
  <c r="AD180" i="37" s="1"/>
  <c r="W180" i="37"/>
  <c r="AC180" i="37" s="1"/>
  <c r="V180" i="37"/>
  <c r="AB180" i="37" s="1"/>
  <c r="X179" i="37"/>
  <c r="AD179" i="37" s="1"/>
  <c r="W179" i="37"/>
  <c r="AC179" i="37" s="1"/>
  <c r="V179" i="37"/>
  <c r="AB179" i="37" s="1"/>
  <c r="X178" i="37"/>
  <c r="AD178" i="37" s="1"/>
  <c r="W178" i="37"/>
  <c r="AC178" i="37" s="1"/>
  <c r="V178" i="37"/>
  <c r="AB178" i="37" s="1"/>
  <c r="X177" i="37"/>
  <c r="AD177" i="37" s="1"/>
  <c r="W177" i="37"/>
  <c r="AC177" i="37" s="1"/>
  <c r="V177" i="37"/>
  <c r="AB177" i="37" s="1"/>
  <c r="X176" i="37"/>
  <c r="AD176" i="37" s="1"/>
  <c r="W176" i="37"/>
  <c r="AC176" i="37" s="1"/>
  <c r="V176" i="37"/>
  <c r="AB176" i="37" s="1"/>
  <c r="X175" i="37"/>
  <c r="AD175" i="37" s="1"/>
  <c r="W175" i="37"/>
  <c r="AC175" i="37" s="1"/>
  <c r="V175" i="37"/>
  <c r="AB175" i="37" s="1"/>
  <c r="X174" i="37"/>
  <c r="AD174" i="37" s="1"/>
  <c r="W174" i="37"/>
  <c r="AC174" i="37" s="1"/>
  <c r="V174" i="37"/>
  <c r="AB174" i="37" s="1"/>
  <c r="X173" i="37"/>
  <c r="AD173" i="37" s="1"/>
  <c r="W173" i="37"/>
  <c r="AC173" i="37" s="1"/>
  <c r="V173" i="37"/>
  <c r="AB173" i="37" s="1"/>
  <c r="X172" i="37"/>
  <c r="AD172" i="37" s="1"/>
  <c r="W172" i="37"/>
  <c r="AC172" i="37" s="1"/>
  <c r="V172" i="37"/>
  <c r="AB172" i="37" s="1"/>
  <c r="X171" i="37"/>
  <c r="AD171" i="37" s="1"/>
  <c r="W171" i="37"/>
  <c r="AC171" i="37" s="1"/>
  <c r="V171" i="37"/>
  <c r="AB171" i="37" s="1"/>
  <c r="X170" i="37"/>
  <c r="AD170" i="37" s="1"/>
  <c r="W170" i="37"/>
  <c r="AC170" i="37" s="1"/>
  <c r="V170" i="37"/>
  <c r="AB170" i="37" s="1"/>
  <c r="X169" i="37"/>
  <c r="AD169" i="37" s="1"/>
  <c r="W169" i="37"/>
  <c r="AC169" i="37" s="1"/>
  <c r="V169" i="37"/>
  <c r="AB169" i="37" s="1"/>
  <c r="X168" i="37"/>
  <c r="AD168" i="37" s="1"/>
  <c r="W168" i="37"/>
  <c r="AC168" i="37" s="1"/>
  <c r="V168" i="37"/>
  <c r="AB168" i="37" s="1"/>
  <c r="X167" i="37"/>
  <c r="AD167" i="37" s="1"/>
  <c r="W167" i="37"/>
  <c r="AC167" i="37" s="1"/>
  <c r="V167" i="37"/>
  <c r="AB167" i="37" s="1"/>
  <c r="X166" i="37"/>
  <c r="AD166" i="37" s="1"/>
  <c r="W166" i="37"/>
  <c r="AC166" i="37" s="1"/>
  <c r="V166" i="37"/>
  <c r="AB166" i="37" s="1"/>
  <c r="X165" i="37"/>
  <c r="AD165" i="37" s="1"/>
  <c r="W165" i="37"/>
  <c r="AC165" i="37" s="1"/>
  <c r="V165" i="37"/>
  <c r="AB165" i="37" s="1"/>
  <c r="X164" i="37"/>
  <c r="AD164" i="37" s="1"/>
  <c r="W164" i="37"/>
  <c r="AC164" i="37" s="1"/>
  <c r="V164" i="37"/>
  <c r="AB164" i="37" s="1"/>
  <c r="X163" i="37"/>
  <c r="AD163" i="37" s="1"/>
  <c r="W163" i="37"/>
  <c r="AC163" i="37" s="1"/>
  <c r="V163" i="37"/>
  <c r="AB163" i="37" s="1"/>
  <c r="X162" i="37"/>
  <c r="AD162" i="37" s="1"/>
  <c r="W162" i="37"/>
  <c r="AC162" i="37" s="1"/>
  <c r="V162" i="37"/>
  <c r="AB162" i="37" s="1"/>
  <c r="X161" i="37"/>
  <c r="AD161" i="37" s="1"/>
  <c r="W161" i="37"/>
  <c r="AC161" i="37" s="1"/>
  <c r="V161" i="37"/>
  <c r="AB161" i="37" s="1"/>
  <c r="X160" i="37"/>
  <c r="AD160" i="37" s="1"/>
  <c r="W160" i="37"/>
  <c r="AC160" i="37" s="1"/>
  <c r="V160" i="37"/>
  <c r="AB160" i="37" s="1"/>
  <c r="X159" i="37"/>
  <c r="AD159" i="37" s="1"/>
  <c r="W159" i="37"/>
  <c r="AC159" i="37" s="1"/>
  <c r="V159" i="37"/>
  <c r="AB159" i="37" s="1"/>
  <c r="X158" i="37"/>
  <c r="AD158" i="37" s="1"/>
  <c r="W158" i="37"/>
  <c r="AC158" i="37" s="1"/>
  <c r="V158" i="37"/>
  <c r="AB158" i="37" s="1"/>
  <c r="X157" i="37"/>
  <c r="AD157" i="37" s="1"/>
  <c r="W157" i="37"/>
  <c r="AC157" i="37" s="1"/>
  <c r="V157" i="37"/>
  <c r="AB157" i="37" s="1"/>
  <c r="X156" i="37"/>
  <c r="AD156" i="37" s="1"/>
  <c r="W156" i="37"/>
  <c r="AC156" i="37" s="1"/>
  <c r="V156" i="37"/>
  <c r="AB156" i="37" s="1"/>
  <c r="X155" i="37"/>
  <c r="AD155" i="37" s="1"/>
  <c r="W155" i="37"/>
  <c r="AC155" i="37" s="1"/>
  <c r="V155" i="37"/>
  <c r="AB155" i="37" s="1"/>
  <c r="X154" i="37"/>
  <c r="AD154" i="37" s="1"/>
  <c r="W154" i="37"/>
  <c r="AC154" i="37" s="1"/>
  <c r="V154" i="37"/>
  <c r="AB154" i="37" s="1"/>
  <c r="X153" i="37"/>
  <c r="AD153" i="37" s="1"/>
  <c r="W153" i="37"/>
  <c r="AC153" i="37" s="1"/>
  <c r="V153" i="37"/>
  <c r="AB153" i="37" s="1"/>
  <c r="X152" i="37"/>
  <c r="AD152" i="37" s="1"/>
  <c r="W152" i="37"/>
  <c r="AC152" i="37" s="1"/>
  <c r="V152" i="37"/>
  <c r="AB152" i="37" s="1"/>
  <c r="X151" i="37"/>
  <c r="AD151" i="37" s="1"/>
  <c r="W151" i="37"/>
  <c r="AC151" i="37" s="1"/>
  <c r="V151" i="37"/>
  <c r="AB151" i="37" s="1"/>
  <c r="X150" i="37"/>
  <c r="AD150" i="37" s="1"/>
  <c r="W150" i="37"/>
  <c r="AC150" i="37" s="1"/>
  <c r="V150" i="37"/>
  <c r="AB150" i="37" s="1"/>
  <c r="X149" i="37"/>
  <c r="AD149" i="37" s="1"/>
  <c r="W149" i="37"/>
  <c r="AC149" i="37" s="1"/>
  <c r="V149" i="37"/>
  <c r="AB149" i="37" s="1"/>
  <c r="X148" i="37"/>
  <c r="AD148" i="37" s="1"/>
  <c r="W148" i="37"/>
  <c r="AC148" i="37" s="1"/>
  <c r="V148" i="37"/>
  <c r="AB148" i="37" s="1"/>
  <c r="X147" i="37"/>
  <c r="AD147" i="37" s="1"/>
  <c r="W147" i="37"/>
  <c r="AC147" i="37" s="1"/>
  <c r="V147" i="37"/>
  <c r="AB147" i="37" s="1"/>
  <c r="X146" i="37"/>
  <c r="AD146" i="37" s="1"/>
  <c r="W146" i="37"/>
  <c r="AC146" i="37" s="1"/>
  <c r="V146" i="37"/>
  <c r="AB146" i="37" s="1"/>
  <c r="X145" i="37"/>
  <c r="AD145" i="37" s="1"/>
  <c r="W145" i="37"/>
  <c r="AC145" i="37" s="1"/>
  <c r="V145" i="37"/>
  <c r="AB145" i="37" s="1"/>
  <c r="X144" i="37"/>
  <c r="AD144" i="37" s="1"/>
  <c r="W144" i="37"/>
  <c r="AC144" i="37" s="1"/>
  <c r="V144" i="37"/>
  <c r="AB144" i="37" s="1"/>
  <c r="X143" i="37"/>
  <c r="AD143" i="37" s="1"/>
  <c r="W143" i="37"/>
  <c r="AC143" i="37" s="1"/>
  <c r="V143" i="37"/>
  <c r="AB143" i="37" s="1"/>
  <c r="X142" i="37"/>
  <c r="AD142" i="37" s="1"/>
  <c r="W142" i="37"/>
  <c r="AC142" i="37" s="1"/>
  <c r="V142" i="37"/>
  <c r="AB142" i="37" s="1"/>
  <c r="X141" i="37"/>
  <c r="AD141" i="37" s="1"/>
  <c r="W141" i="37"/>
  <c r="AC141" i="37" s="1"/>
  <c r="V141" i="37"/>
  <c r="AB141" i="37" s="1"/>
  <c r="X140" i="37"/>
  <c r="AD140" i="37" s="1"/>
  <c r="W140" i="37"/>
  <c r="AC140" i="37" s="1"/>
  <c r="V140" i="37"/>
  <c r="AB140" i="37" s="1"/>
  <c r="X139" i="37"/>
  <c r="AD139" i="37" s="1"/>
  <c r="W139" i="37"/>
  <c r="AC139" i="37" s="1"/>
  <c r="V139" i="37"/>
  <c r="AB139" i="37" s="1"/>
  <c r="X138" i="37"/>
  <c r="AD138" i="37" s="1"/>
  <c r="W138" i="37"/>
  <c r="AC138" i="37" s="1"/>
  <c r="V138" i="37"/>
  <c r="AB138" i="37" s="1"/>
  <c r="X137" i="37"/>
  <c r="AD137" i="37" s="1"/>
  <c r="W137" i="37"/>
  <c r="AC137" i="37" s="1"/>
  <c r="V137" i="37"/>
  <c r="AB137" i="37" s="1"/>
  <c r="X136" i="37"/>
  <c r="AD136" i="37" s="1"/>
  <c r="W136" i="37"/>
  <c r="AC136" i="37" s="1"/>
  <c r="V136" i="37"/>
  <c r="AB136" i="37" s="1"/>
  <c r="X135" i="37"/>
  <c r="AD135" i="37" s="1"/>
  <c r="W135" i="37"/>
  <c r="AC135" i="37" s="1"/>
  <c r="V135" i="37"/>
  <c r="AB135" i="37" s="1"/>
  <c r="X134" i="37"/>
  <c r="AD134" i="37" s="1"/>
  <c r="W134" i="37"/>
  <c r="AC134" i="37" s="1"/>
  <c r="V134" i="37"/>
  <c r="AB134" i="37" s="1"/>
  <c r="X133" i="37"/>
  <c r="AD133" i="37" s="1"/>
  <c r="W133" i="37"/>
  <c r="AC133" i="37" s="1"/>
  <c r="V133" i="37"/>
  <c r="AB133" i="37" s="1"/>
  <c r="X132" i="37"/>
  <c r="AD132" i="37" s="1"/>
  <c r="W132" i="37"/>
  <c r="AC132" i="37" s="1"/>
  <c r="V132" i="37"/>
  <c r="AB132" i="37" s="1"/>
  <c r="X131" i="37"/>
  <c r="AD131" i="37" s="1"/>
  <c r="W131" i="37"/>
  <c r="AC131" i="37" s="1"/>
  <c r="V131" i="37"/>
  <c r="AB131" i="37" s="1"/>
  <c r="X130" i="37"/>
  <c r="AD130" i="37" s="1"/>
  <c r="W130" i="37"/>
  <c r="AC130" i="37" s="1"/>
  <c r="V130" i="37"/>
  <c r="AB130" i="37" s="1"/>
  <c r="X129" i="37"/>
  <c r="AD129" i="37" s="1"/>
  <c r="W129" i="37"/>
  <c r="AC129" i="37" s="1"/>
  <c r="V129" i="37"/>
  <c r="AB129" i="37" s="1"/>
  <c r="X128" i="37"/>
  <c r="AD128" i="37" s="1"/>
  <c r="W128" i="37"/>
  <c r="AC128" i="37" s="1"/>
  <c r="V128" i="37"/>
  <c r="AB128" i="37" s="1"/>
  <c r="X127" i="37"/>
  <c r="AD127" i="37" s="1"/>
  <c r="W127" i="37"/>
  <c r="AC127" i="37" s="1"/>
  <c r="V127" i="37"/>
  <c r="AB127" i="37" s="1"/>
  <c r="X126" i="37"/>
  <c r="AD126" i="37" s="1"/>
  <c r="W126" i="37"/>
  <c r="AC126" i="37" s="1"/>
  <c r="V126" i="37"/>
  <c r="AB126" i="37" s="1"/>
  <c r="X125" i="37"/>
  <c r="AD125" i="37" s="1"/>
  <c r="W125" i="37"/>
  <c r="AC125" i="37" s="1"/>
  <c r="V125" i="37"/>
  <c r="AB125" i="37" s="1"/>
  <c r="X124" i="37"/>
  <c r="AD124" i="37" s="1"/>
  <c r="W124" i="37"/>
  <c r="AC124" i="37" s="1"/>
  <c r="V124" i="37"/>
  <c r="AB124" i="37" s="1"/>
  <c r="X123" i="37"/>
  <c r="AD123" i="37" s="1"/>
  <c r="W123" i="37"/>
  <c r="AC123" i="37" s="1"/>
  <c r="V123" i="37"/>
  <c r="AB123" i="37" s="1"/>
  <c r="X122" i="37"/>
  <c r="AD122" i="37" s="1"/>
  <c r="W122" i="37"/>
  <c r="AC122" i="37" s="1"/>
  <c r="V122" i="37"/>
  <c r="AB122" i="37" s="1"/>
  <c r="X121" i="37"/>
  <c r="AD121" i="37" s="1"/>
  <c r="W121" i="37"/>
  <c r="AC121" i="37" s="1"/>
  <c r="V121" i="37"/>
  <c r="AB121" i="37" s="1"/>
  <c r="X120" i="37"/>
  <c r="AD120" i="37" s="1"/>
  <c r="W120" i="37"/>
  <c r="AC120" i="37" s="1"/>
  <c r="V120" i="37"/>
  <c r="AB120" i="37" s="1"/>
  <c r="X119" i="37"/>
  <c r="AD119" i="37" s="1"/>
  <c r="W119" i="37"/>
  <c r="AC119" i="37" s="1"/>
  <c r="V119" i="37"/>
  <c r="AB119" i="37" s="1"/>
  <c r="X118" i="37"/>
  <c r="AD118" i="37" s="1"/>
  <c r="W118" i="37"/>
  <c r="AC118" i="37" s="1"/>
  <c r="V118" i="37"/>
  <c r="AB118" i="37" s="1"/>
  <c r="X117" i="37"/>
  <c r="AD117" i="37" s="1"/>
  <c r="W117" i="37"/>
  <c r="AC117" i="37" s="1"/>
  <c r="V117" i="37"/>
  <c r="AB117" i="37" s="1"/>
  <c r="X116" i="37"/>
  <c r="AD116" i="37" s="1"/>
  <c r="W116" i="37"/>
  <c r="AC116" i="37" s="1"/>
  <c r="V116" i="37"/>
  <c r="AB116" i="37" s="1"/>
  <c r="X115" i="37"/>
  <c r="AD115" i="37" s="1"/>
  <c r="W115" i="37"/>
  <c r="AC115" i="37" s="1"/>
  <c r="V115" i="37"/>
  <c r="AB115" i="37" s="1"/>
  <c r="X114" i="37"/>
  <c r="AD114" i="37" s="1"/>
  <c r="W114" i="37"/>
  <c r="AC114" i="37" s="1"/>
  <c r="V114" i="37"/>
  <c r="AB114" i="37" s="1"/>
  <c r="X113" i="37"/>
  <c r="AD113" i="37" s="1"/>
  <c r="W113" i="37"/>
  <c r="AC113" i="37" s="1"/>
  <c r="V113" i="37"/>
  <c r="AB113" i="37" s="1"/>
  <c r="X112" i="37"/>
  <c r="AD112" i="37" s="1"/>
  <c r="W112" i="37"/>
  <c r="AC112" i="37" s="1"/>
  <c r="V112" i="37"/>
  <c r="AB112" i="37" s="1"/>
  <c r="X111" i="37"/>
  <c r="AD111" i="37" s="1"/>
  <c r="W111" i="37"/>
  <c r="AC111" i="37" s="1"/>
  <c r="V111" i="37"/>
  <c r="AB111" i="37" s="1"/>
  <c r="X110" i="37"/>
  <c r="AD110" i="37" s="1"/>
  <c r="W110" i="37"/>
  <c r="AC110" i="37" s="1"/>
  <c r="V110" i="37"/>
  <c r="AB110" i="37" s="1"/>
  <c r="X109" i="37"/>
  <c r="AD109" i="37" s="1"/>
  <c r="W109" i="37"/>
  <c r="AC109" i="37" s="1"/>
  <c r="V109" i="37"/>
  <c r="AB109" i="37" s="1"/>
  <c r="X108" i="37"/>
  <c r="AD108" i="37" s="1"/>
  <c r="W108" i="37"/>
  <c r="AC108" i="37" s="1"/>
  <c r="V108" i="37"/>
  <c r="AB108" i="37" s="1"/>
  <c r="X107" i="37"/>
  <c r="AD107" i="37" s="1"/>
  <c r="W107" i="37"/>
  <c r="AC107" i="37" s="1"/>
  <c r="V107" i="37"/>
  <c r="AB107" i="37" s="1"/>
  <c r="X106" i="37"/>
  <c r="AD106" i="37" s="1"/>
  <c r="W106" i="37"/>
  <c r="AC106" i="37" s="1"/>
  <c r="V106" i="37"/>
  <c r="AB106" i="37" s="1"/>
  <c r="X105" i="37"/>
  <c r="AD105" i="37" s="1"/>
  <c r="W105" i="37"/>
  <c r="AC105" i="37" s="1"/>
  <c r="V105" i="37"/>
  <c r="AB105" i="37" s="1"/>
  <c r="X104" i="37"/>
  <c r="AD104" i="37" s="1"/>
  <c r="W104" i="37"/>
  <c r="AC104" i="37" s="1"/>
  <c r="V104" i="37"/>
  <c r="AB104" i="37" s="1"/>
  <c r="X103" i="37"/>
  <c r="AD103" i="37" s="1"/>
  <c r="W103" i="37"/>
  <c r="AC103" i="37" s="1"/>
  <c r="V103" i="37"/>
  <c r="AB103" i="37" s="1"/>
  <c r="X102" i="37"/>
  <c r="AD102" i="37" s="1"/>
  <c r="W102" i="37"/>
  <c r="AC102" i="37" s="1"/>
  <c r="V102" i="37"/>
  <c r="AB102" i="37" s="1"/>
  <c r="X101" i="37"/>
  <c r="AD101" i="37" s="1"/>
  <c r="W101" i="37"/>
  <c r="AC101" i="37" s="1"/>
  <c r="V101" i="37"/>
  <c r="AB101" i="37" s="1"/>
  <c r="X100" i="37"/>
  <c r="AD100" i="37" s="1"/>
  <c r="W100" i="37"/>
  <c r="AC100" i="37" s="1"/>
  <c r="V100" i="37"/>
  <c r="AB100" i="37" s="1"/>
  <c r="X99" i="37"/>
  <c r="AD99" i="37" s="1"/>
  <c r="W99" i="37"/>
  <c r="AC99" i="37" s="1"/>
  <c r="V99" i="37"/>
  <c r="AB99" i="37" s="1"/>
  <c r="X98" i="37"/>
  <c r="AD98" i="37" s="1"/>
  <c r="W98" i="37"/>
  <c r="AC98" i="37" s="1"/>
  <c r="V98" i="37"/>
  <c r="AB98" i="37" s="1"/>
  <c r="X97" i="37"/>
  <c r="AD97" i="37" s="1"/>
  <c r="W97" i="37"/>
  <c r="AC97" i="37" s="1"/>
  <c r="V97" i="37"/>
  <c r="AB97" i="37" s="1"/>
  <c r="X96" i="37"/>
  <c r="AD96" i="37" s="1"/>
  <c r="W96" i="37"/>
  <c r="AC96" i="37" s="1"/>
  <c r="V96" i="37"/>
  <c r="AB96" i="37" s="1"/>
  <c r="X95" i="37"/>
  <c r="AD95" i="37" s="1"/>
  <c r="W95" i="37"/>
  <c r="AC95" i="37" s="1"/>
  <c r="V95" i="37"/>
  <c r="AB95" i="37" s="1"/>
  <c r="X94" i="37"/>
  <c r="AD94" i="37" s="1"/>
  <c r="W94" i="37"/>
  <c r="AC94" i="37" s="1"/>
  <c r="V94" i="37"/>
  <c r="AB94" i="37" s="1"/>
  <c r="X93" i="37"/>
  <c r="AD93" i="37" s="1"/>
  <c r="W93" i="37"/>
  <c r="AC93" i="37" s="1"/>
  <c r="V93" i="37"/>
  <c r="AB93" i="37" s="1"/>
  <c r="X92" i="37"/>
  <c r="AD92" i="37" s="1"/>
  <c r="W92" i="37"/>
  <c r="AC92" i="37" s="1"/>
  <c r="V92" i="37"/>
  <c r="AB92" i="37" s="1"/>
  <c r="X91" i="37"/>
  <c r="AD91" i="37" s="1"/>
  <c r="W91" i="37"/>
  <c r="AC91" i="37" s="1"/>
  <c r="V91" i="37"/>
  <c r="AB91" i="37" s="1"/>
  <c r="X90" i="37"/>
  <c r="AD90" i="37" s="1"/>
  <c r="W90" i="37"/>
  <c r="AC90" i="37" s="1"/>
  <c r="V90" i="37"/>
  <c r="AB90" i="37" s="1"/>
  <c r="X89" i="37"/>
  <c r="AD89" i="37" s="1"/>
  <c r="W89" i="37"/>
  <c r="AC89" i="37" s="1"/>
  <c r="V89" i="37"/>
  <c r="AB89" i="37" s="1"/>
  <c r="X88" i="37"/>
  <c r="AD88" i="37" s="1"/>
  <c r="W88" i="37"/>
  <c r="AC88" i="37" s="1"/>
  <c r="V88" i="37"/>
  <c r="AB88" i="37" s="1"/>
  <c r="X87" i="37"/>
  <c r="AD87" i="37" s="1"/>
  <c r="W87" i="37"/>
  <c r="AC87" i="37" s="1"/>
  <c r="V87" i="37"/>
  <c r="AB87" i="37" s="1"/>
  <c r="X86" i="37"/>
  <c r="AD86" i="37" s="1"/>
  <c r="W86" i="37"/>
  <c r="AC86" i="37" s="1"/>
  <c r="V86" i="37"/>
  <c r="AB86" i="37" s="1"/>
  <c r="X85" i="37"/>
  <c r="AD85" i="37" s="1"/>
  <c r="W85" i="37"/>
  <c r="AC85" i="37" s="1"/>
  <c r="V85" i="37"/>
  <c r="AB85" i="37" s="1"/>
  <c r="X84" i="37"/>
  <c r="AD84" i="37" s="1"/>
  <c r="W84" i="37"/>
  <c r="AC84" i="37" s="1"/>
  <c r="V84" i="37"/>
  <c r="AB84" i="37" s="1"/>
  <c r="X83" i="37"/>
  <c r="AD83" i="37" s="1"/>
  <c r="W83" i="37"/>
  <c r="AC83" i="37" s="1"/>
  <c r="V83" i="37"/>
  <c r="AB83" i="37" s="1"/>
  <c r="X82" i="37"/>
  <c r="AD82" i="37" s="1"/>
  <c r="W82" i="37"/>
  <c r="AC82" i="37" s="1"/>
  <c r="V82" i="37"/>
  <c r="AB82" i="37" s="1"/>
  <c r="X81" i="37"/>
  <c r="AD81" i="37" s="1"/>
  <c r="W81" i="37"/>
  <c r="AC81" i="37" s="1"/>
  <c r="V81" i="37"/>
  <c r="AB81" i="37" s="1"/>
  <c r="X80" i="37"/>
  <c r="AD80" i="37" s="1"/>
  <c r="W80" i="37"/>
  <c r="AC80" i="37" s="1"/>
  <c r="V80" i="37"/>
  <c r="AB80" i="37" s="1"/>
  <c r="X79" i="37"/>
  <c r="AD79" i="37" s="1"/>
  <c r="W79" i="37"/>
  <c r="AC79" i="37" s="1"/>
  <c r="V79" i="37"/>
  <c r="AB79" i="37" s="1"/>
  <c r="X78" i="37"/>
  <c r="AD78" i="37" s="1"/>
  <c r="W78" i="37"/>
  <c r="AC78" i="37" s="1"/>
  <c r="V78" i="37"/>
  <c r="AB78" i="37" s="1"/>
  <c r="X77" i="37"/>
  <c r="AD77" i="37" s="1"/>
  <c r="W77" i="37"/>
  <c r="AC77" i="37" s="1"/>
  <c r="V77" i="37"/>
  <c r="AB77" i="37" s="1"/>
  <c r="X76" i="37"/>
  <c r="AD76" i="37" s="1"/>
  <c r="W76" i="37"/>
  <c r="AC76" i="37" s="1"/>
  <c r="V76" i="37"/>
  <c r="AB76" i="37" s="1"/>
  <c r="X75" i="37"/>
  <c r="AD75" i="37" s="1"/>
  <c r="W75" i="37"/>
  <c r="AC75" i="37" s="1"/>
  <c r="V75" i="37"/>
  <c r="AB75" i="37" s="1"/>
  <c r="X74" i="37"/>
  <c r="AD74" i="37" s="1"/>
  <c r="W74" i="37"/>
  <c r="AC74" i="37" s="1"/>
  <c r="V74" i="37"/>
  <c r="AB74" i="37" s="1"/>
  <c r="X73" i="37"/>
  <c r="AD73" i="37" s="1"/>
  <c r="W73" i="37"/>
  <c r="AC73" i="37" s="1"/>
  <c r="V73" i="37"/>
  <c r="AB73" i="37" s="1"/>
  <c r="X72" i="37"/>
  <c r="AD72" i="37" s="1"/>
  <c r="W72" i="37"/>
  <c r="AC72" i="37" s="1"/>
  <c r="V72" i="37"/>
  <c r="AB72" i="37" s="1"/>
  <c r="X71" i="37"/>
  <c r="AD71" i="37" s="1"/>
  <c r="W71" i="37"/>
  <c r="AC71" i="37" s="1"/>
  <c r="V71" i="37"/>
  <c r="AB71" i="37" s="1"/>
  <c r="X70" i="37"/>
  <c r="AD70" i="37" s="1"/>
  <c r="W70" i="37"/>
  <c r="AC70" i="37" s="1"/>
  <c r="V70" i="37"/>
  <c r="AB70" i="37" s="1"/>
  <c r="X69" i="37"/>
  <c r="AD69" i="37" s="1"/>
  <c r="W69" i="37"/>
  <c r="AC69" i="37" s="1"/>
  <c r="V69" i="37"/>
  <c r="AB69" i="37" s="1"/>
  <c r="X68" i="37"/>
  <c r="AD68" i="37" s="1"/>
  <c r="W68" i="37"/>
  <c r="AC68" i="37" s="1"/>
  <c r="V68" i="37"/>
  <c r="AB68" i="37" s="1"/>
  <c r="X67" i="37"/>
  <c r="AD67" i="37" s="1"/>
  <c r="W67" i="37"/>
  <c r="AC67" i="37" s="1"/>
  <c r="V67" i="37"/>
  <c r="AB67" i="37" s="1"/>
  <c r="X66" i="37"/>
  <c r="AD66" i="37" s="1"/>
  <c r="W66" i="37"/>
  <c r="AC66" i="37" s="1"/>
  <c r="V66" i="37"/>
  <c r="AB66" i="37" s="1"/>
  <c r="X65" i="37"/>
  <c r="AD65" i="37" s="1"/>
  <c r="W65" i="37"/>
  <c r="AC65" i="37" s="1"/>
  <c r="V65" i="37"/>
  <c r="AB65" i="37" s="1"/>
  <c r="X64" i="37"/>
  <c r="AD64" i="37" s="1"/>
  <c r="W64" i="37"/>
  <c r="AC64" i="37" s="1"/>
  <c r="V64" i="37"/>
  <c r="AB64" i="37" s="1"/>
  <c r="X63" i="37"/>
  <c r="AD63" i="37" s="1"/>
  <c r="W63" i="37"/>
  <c r="AC63" i="37" s="1"/>
  <c r="V63" i="37"/>
  <c r="AB63" i="37" s="1"/>
  <c r="X62" i="37"/>
  <c r="AD62" i="37" s="1"/>
  <c r="W62" i="37"/>
  <c r="AC62" i="37" s="1"/>
  <c r="V62" i="37"/>
  <c r="AB62" i="37" s="1"/>
  <c r="X61" i="37"/>
  <c r="AD61" i="37" s="1"/>
  <c r="W61" i="37"/>
  <c r="AC61" i="37" s="1"/>
  <c r="V61" i="37"/>
  <c r="AB61" i="37" s="1"/>
  <c r="X60" i="37"/>
  <c r="AD60" i="37" s="1"/>
  <c r="W60" i="37"/>
  <c r="AC60" i="37" s="1"/>
  <c r="V60" i="37"/>
  <c r="AB60" i="37" s="1"/>
  <c r="X59" i="37"/>
  <c r="AD59" i="37" s="1"/>
  <c r="W59" i="37"/>
  <c r="AC59" i="37" s="1"/>
  <c r="V59" i="37"/>
  <c r="AB59" i="37" s="1"/>
  <c r="X58" i="37"/>
  <c r="AD58" i="37" s="1"/>
  <c r="W58" i="37"/>
  <c r="AC58" i="37" s="1"/>
  <c r="V58" i="37"/>
  <c r="AB58" i="37" s="1"/>
  <c r="X57" i="37"/>
  <c r="AD57" i="37" s="1"/>
  <c r="W57" i="37"/>
  <c r="AC57" i="37" s="1"/>
  <c r="V57" i="37"/>
  <c r="AB57" i="37" s="1"/>
  <c r="X56" i="37"/>
  <c r="AD56" i="37" s="1"/>
  <c r="W56" i="37"/>
  <c r="AC56" i="37" s="1"/>
  <c r="V56" i="37"/>
  <c r="AB56" i="37" s="1"/>
  <c r="X55" i="37"/>
  <c r="AD55" i="37" s="1"/>
  <c r="W55" i="37"/>
  <c r="AC55" i="37" s="1"/>
  <c r="V55" i="37"/>
  <c r="AB55" i="37" s="1"/>
  <c r="X54" i="37"/>
  <c r="AD54" i="37" s="1"/>
  <c r="W54" i="37"/>
  <c r="AC54" i="37" s="1"/>
  <c r="V54" i="37"/>
  <c r="AB54" i="37" s="1"/>
  <c r="X53" i="37"/>
  <c r="AD53" i="37" s="1"/>
  <c r="W53" i="37"/>
  <c r="AC53" i="37" s="1"/>
  <c r="V53" i="37"/>
  <c r="AB53" i="37" s="1"/>
  <c r="X52" i="37"/>
  <c r="AD52" i="37" s="1"/>
  <c r="W52" i="37"/>
  <c r="AC52" i="37" s="1"/>
  <c r="V52" i="37"/>
  <c r="AB52" i="37" s="1"/>
  <c r="X51" i="37"/>
  <c r="AD51" i="37" s="1"/>
  <c r="W51" i="37"/>
  <c r="AC51" i="37" s="1"/>
  <c r="V51" i="37"/>
  <c r="AB51" i="37" s="1"/>
  <c r="X50" i="37"/>
  <c r="AD50" i="37" s="1"/>
  <c r="W50" i="37"/>
  <c r="AC50" i="37" s="1"/>
  <c r="V50" i="37"/>
  <c r="AB50" i="37" s="1"/>
  <c r="X49" i="37"/>
  <c r="AD49" i="37" s="1"/>
  <c r="W49" i="37"/>
  <c r="AC49" i="37" s="1"/>
  <c r="V49" i="37"/>
  <c r="AB49" i="37" s="1"/>
  <c r="X48" i="37"/>
  <c r="AD48" i="37" s="1"/>
  <c r="W48" i="37"/>
  <c r="AC48" i="37" s="1"/>
  <c r="V48" i="37"/>
  <c r="AB48" i="37" s="1"/>
  <c r="X47" i="37"/>
  <c r="AD47" i="37" s="1"/>
  <c r="W47" i="37"/>
  <c r="AC47" i="37" s="1"/>
  <c r="V47" i="37"/>
  <c r="AB47" i="37" s="1"/>
  <c r="X46" i="37"/>
  <c r="AD46" i="37" s="1"/>
  <c r="W46" i="37"/>
  <c r="AC46" i="37" s="1"/>
  <c r="V46" i="37"/>
  <c r="AB46" i="37" s="1"/>
  <c r="X45" i="37"/>
  <c r="AD45" i="37" s="1"/>
  <c r="W45" i="37"/>
  <c r="AC45" i="37" s="1"/>
  <c r="V45" i="37"/>
  <c r="AB45" i="37" s="1"/>
  <c r="X44" i="37"/>
  <c r="AD44" i="37" s="1"/>
  <c r="W44" i="37"/>
  <c r="AC44" i="37" s="1"/>
  <c r="V44" i="37"/>
  <c r="AB44" i="37" s="1"/>
  <c r="X43" i="37"/>
  <c r="AD43" i="37" s="1"/>
  <c r="W43" i="37"/>
  <c r="AC43" i="37" s="1"/>
  <c r="V43" i="37"/>
  <c r="AB43" i="37" s="1"/>
  <c r="X42" i="37"/>
  <c r="AD42" i="37" s="1"/>
  <c r="W42" i="37"/>
  <c r="AC42" i="37" s="1"/>
  <c r="V42" i="37"/>
  <c r="AB42" i="37" s="1"/>
  <c r="X41" i="37"/>
  <c r="AD41" i="37" s="1"/>
  <c r="W41" i="37"/>
  <c r="AC41" i="37" s="1"/>
  <c r="V41" i="37"/>
  <c r="AB41" i="37" s="1"/>
  <c r="X40" i="37"/>
  <c r="AD40" i="37" s="1"/>
  <c r="W40" i="37"/>
  <c r="AC40" i="37" s="1"/>
  <c r="V40" i="37"/>
  <c r="AB40" i="37" s="1"/>
  <c r="X39" i="37"/>
  <c r="AD39" i="37" s="1"/>
  <c r="W39" i="37"/>
  <c r="AC39" i="37" s="1"/>
  <c r="V39" i="37"/>
  <c r="AB39" i="37" s="1"/>
  <c r="X38" i="37"/>
  <c r="AD38" i="37" s="1"/>
  <c r="W38" i="37"/>
  <c r="AC38" i="37" s="1"/>
  <c r="V38" i="37"/>
  <c r="AB38" i="37" s="1"/>
  <c r="X37" i="37"/>
  <c r="AD37" i="37" s="1"/>
  <c r="W37" i="37"/>
  <c r="AC37" i="37" s="1"/>
  <c r="V37" i="37"/>
  <c r="AB37" i="37" s="1"/>
  <c r="X36" i="37"/>
  <c r="AD36" i="37" s="1"/>
  <c r="W36" i="37"/>
  <c r="AC36" i="37" s="1"/>
  <c r="V36" i="37"/>
  <c r="AB36" i="37" s="1"/>
  <c r="X35" i="37"/>
  <c r="AD35" i="37" s="1"/>
  <c r="W35" i="37"/>
  <c r="AC35" i="37" s="1"/>
  <c r="V35" i="37"/>
  <c r="AB35" i="37" s="1"/>
  <c r="X34" i="37"/>
  <c r="AD34" i="37" s="1"/>
  <c r="W34" i="37"/>
  <c r="AC34" i="37" s="1"/>
  <c r="V34" i="37"/>
  <c r="AB34" i="37" s="1"/>
  <c r="X33" i="37"/>
  <c r="AD33" i="37" s="1"/>
  <c r="W33" i="37"/>
  <c r="AC33" i="37" s="1"/>
  <c r="V33" i="37"/>
  <c r="AB33" i="37" s="1"/>
  <c r="X32" i="37"/>
  <c r="AD32" i="37" s="1"/>
  <c r="W32" i="37"/>
  <c r="AC32" i="37" s="1"/>
  <c r="V32" i="37"/>
  <c r="AB32" i="37" s="1"/>
  <c r="X31" i="37"/>
  <c r="AD31" i="37" s="1"/>
  <c r="W31" i="37"/>
  <c r="AC31" i="37" s="1"/>
  <c r="V31" i="37"/>
  <c r="AB31" i="37" s="1"/>
  <c r="X30" i="37"/>
  <c r="AD30" i="37" s="1"/>
  <c r="W30" i="37"/>
  <c r="AC30" i="37" s="1"/>
  <c r="V30" i="37"/>
  <c r="AB30" i="37" s="1"/>
  <c r="X29" i="37"/>
  <c r="AD29" i="37" s="1"/>
  <c r="W29" i="37"/>
  <c r="AC29" i="37" s="1"/>
  <c r="V29" i="37"/>
  <c r="AB29" i="37" s="1"/>
  <c r="X28" i="37"/>
  <c r="AD28" i="37" s="1"/>
  <c r="W28" i="37"/>
  <c r="AC28" i="37" s="1"/>
  <c r="V28" i="37"/>
  <c r="AB28" i="37" s="1"/>
  <c r="X27" i="37"/>
  <c r="AD27" i="37" s="1"/>
  <c r="W27" i="37"/>
  <c r="AC27" i="37" s="1"/>
  <c r="V27" i="37"/>
  <c r="AB27" i="37" s="1"/>
  <c r="X26" i="37"/>
  <c r="AD26" i="37" s="1"/>
  <c r="W26" i="37"/>
  <c r="AC26" i="37" s="1"/>
  <c r="V26" i="37"/>
  <c r="AB26" i="37" s="1"/>
  <c r="X25" i="37"/>
  <c r="AD25" i="37" s="1"/>
  <c r="W25" i="37"/>
  <c r="AC25" i="37" s="1"/>
  <c r="V25" i="37"/>
  <c r="AB25" i="37" s="1"/>
  <c r="X24" i="37"/>
  <c r="AD24" i="37" s="1"/>
  <c r="W24" i="37"/>
  <c r="AC24" i="37" s="1"/>
  <c r="V24" i="37"/>
  <c r="AB24" i="37" s="1"/>
  <c r="X23" i="37"/>
  <c r="AD23" i="37" s="1"/>
  <c r="W23" i="37"/>
  <c r="AC23" i="37" s="1"/>
  <c r="V23" i="37"/>
  <c r="AB23" i="37" s="1"/>
  <c r="X22" i="37"/>
  <c r="AD22" i="37" s="1"/>
  <c r="W22" i="37"/>
  <c r="AC22" i="37" s="1"/>
  <c r="V22" i="37"/>
  <c r="AB22" i="37" s="1"/>
  <c r="X21" i="37"/>
  <c r="AD21" i="37" s="1"/>
  <c r="W21" i="37"/>
  <c r="AC21" i="37" s="1"/>
  <c r="V21" i="37"/>
  <c r="AB21" i="37" s="1"/>
  <c r="X20" i="37"/>
  <c r="AD20" i="37" s="1"/>
  <c r="W20" i="37"/>
  <c r="AC20" i="37" s="1"/>
  <c r="V20" i="37"/>
  <c r="AB20" i="37" s="1"/>
  <c r="X19" i="37"/>
  <c r="AD19" i="37" s="1"/>
  <c r="W19" i="37"/>
  <c r="AC19" i="37" s="1"/>
  <c r="V19" i="37"/>
  <c r="AB19" i="37" s="1"/>
  <c r="X18" i="37"/>
  <c r="AD18" i="37" s="1"/>
  <c r="W18" i="37"/>
  <c r="AC18" i="37" s="1"/>
  <c r="V18" i="37"/>
  <c r="AB18" i="37" s="1"/>
  <c r="X17" i="37"/>
  <c r="AD17" i="37" s="1"/>
  <c r="W17" i="37"/>
  <c r="AC17" i="37" s="1"/>
  <c r="V17" i="37"/>
  <c r="AB17" i="37" s="1"/>
  <c r="X16" i="37"/>
  <c r="AD16" i="37" s="1"/>
  <c r="W16" i="37"/>
  <c r="AC16" i="37" s="1"/>
  <c r="V16" i="37"/>
  <c r="AB16" i="37" s="1"/>
  <c r="X15" i="37"/>
  <c r="AD15" i="37" s="1"/>
  <c r="W15" i="37"/>
  <c r="AC15" i="37" s="1"/>
  <c r="V15" i="37"/>
  <c r="AB15" i="37" s="1"/>
  <c r="X14" i="37"/>
  <c r="AD14" i="37" s="1"/>
  <c r="W14" i="37"/>
  <c r="AC14" i="37" s="1"/>
  <c r="V14" i="37"/>
  <c r="AB14" i="37" s="1"/>
  <c r="X13" i="37"/>
  <c r="AD13" i="37" s="1"/>
  <c r="W13" i="37"/>
  <c r="AC13" i="37" s="1"/>
  <c r="V13" i="37"/>
  <c r="AB13" i="37" s="1"/>
  <c r="X12" i="37"/>
  <c r="AD12" i="37" s="1"/>
  <c r="W12" i="37"/>
  <c r="AC12" i="37" s="1"/>
  <c r="V12" i="37"/>
  <c r="AB12" i="37" s="1"/>
  <c r="X11" i="37"/>
  <c r="AD11" i="37" s="1"/>
  <c r="W11" i="37"/>
  <c r="AC11" i="37" s="1"/>
  <c r="V11" i="37"/>
  <c r="AB11" i="37" s="1"/>
  <c r="X10" i="37"/>
  <c r="AD10" i="37" s="1"/>
  <c r="W10" i="37"/>
  <c r="AC10" i="37" s="1"/>
  <c r="V10" i="37"/>
  <c r="AB10" i="37" s="1"/>
  <c r="X9" i="37"/>
  <c r="AD9" i="37" s="1"/>
  <c r="W9" i="37"/>
  <c r="AC9" i="37" s="1"/>
  <c r="V9" i="37"/>
  <c r="AB9" i="37" s="1"/>
  <c r="X8" i="37"/>
  <c r="AD8" i="37" s="1"/>
  <c r="W8" i="37"/>
  <c r="AC8" i="37" s="1"/>
  <c r="V8" i="37"/>
  <c r="AB8" i="37" s="1"/>
  <c r="X7" i="37"/>
  <c r="AD7" i="37" s="1"/>
  <c r="W7" i="37"/>
  <c r="AC7" i="37" s="1"/>
  <c r="V7" i="37"/>
  <c r="AB7" i="37" s="1"/>
  <c r="X6" i="37"/>
  <c r="AD6" i="37" s="1"/>
  <c r="W6" i="37"/>
  <c r="AC6" i="37" s="1"/>
  <c r="V6" i="37"/>
  <c r="AB6" i="37" s="1"/>
  <c r="X5" i="37"/>
  <c r="AD5" i="37" s="1"/>
  <c r="W5" i="37"/>
  <c r="AC5" i="37" s="1"/>
  <c r="V5" i="37"/>
  <c r="AB5" i="37" s="1"/>
  <c r="X4" i="37"/>
  <c r="AD4" i="37" s="1"/>
  <c r="W4" i="37"/>
  <c r="AC4" i="37" s="1"/>
  <c r="V4" i="37"/>
  <c r="AB4" i="37" s="1"/>
  <c r="X3" i="37"/>
  <c r="AD3" i="37" s="1"/>
  <c r="W3" i="37"/>
  <c r="AC3" i="37" s="1"/>
  <c r="V3" i="37"/>
  <c r="AB3" i="37" s="1"/>
  <c r="X2" i="37"/>
  <c r="AD2" i="37" s="1"/>
  <c r="AO2" i="37" s="1"/>
  <c r="AO7" i="37" s="1"/>
  <c r="W2" i="37"/>
  <c r="AC2" i="37" s="1"/>
  <c r="V2" i="37"/>
  <c r="AB2" i="37" s="1"/>
  <c r="AD51" i="27"/>
  <c r="AB51" i="27"/>
  <c r="AA51" i="27"/>
  <c r="AA51" i="28" s="1"/>
  <c r="Z51" i="27"/>
  <c r="X51" i="27"/>
  <c r="W51" i="27"/>
  <c r="V51" i="27"/>
  <c r="AD50" i="27"/>
  <c r="AB50" i="27"/>
  <c r="AA50" i="27"/>
  <c r="Z50" i="27"/>
  <c r="X50" i="27"/>
  <c r="W50" i="27"/>
  <c r="AD49" i="27"/>
  <c r="AB49" i="27"/>
  <c r="AA49" i="27"/>
  <c r="AA49" i="28" s="1"/>
  <c r="Z49" i="27"/>
  <c r="X49" i="27"/>
  <c r="W49" i="27"/>
  <c r="V49" i="27"/>
  <c r="AD48" i="27"/>
  <c r="AB48" i="27"/>
  <c r="AA48" i="27"/>
  <c r="AA48" i="28" s="1"/>
  <c r="Z48" i="27"/>
  <c r="X48" i="27"/>
  <c r="W48" i="27"/>
  <c r="AD47" i="27"/>
  <c r="AB47" i="27"/>
  <c r="AA47" i="27"/>
  <c r="AA47" i="28" s="1"/>
  <c r="Z47" i="27"/>
  <c r="X47" i="27"/>
  <c r="W47" i="27"/>
  <c r="V47" i="27"/>
  <c r="AD46" i="27"/>
  <c r="AB46" i="27"/>
  <c r="AA46" i="27"/>
  <c r="AA46" i="28" s="1"/>
  <c r="Z46" i="27"/>
  <c r="X46" i="27"/>
  <c r="W46" i="27"/>
  <c r="AD45" i="27"/>
  <c r="AB45" i="27"/>
  <c r="AA45" i="27"/>
  <c r="AA45" i="28" s="1"/>
  <c r="Z45" i="27"/>
  <c r="X45" i="27"/>
  <c r="W45" i="27"/>
  <c r="V45" i="27"/>
  <c r="AD44" i="27"/>
  <c r="AB44" i="27"/>
  <c r="AA44" i="27"/>
  <c r="AA44" i="28" s="1"/>
  <c r="Z44" i="27"/>
  <c r="X44" i="27"/>
  <c r="W44" i="27"/>
  <c r="AD43" i="27"/>
  <c r="AB43" i="27"/>
  <c r="AA43" i="27"/>
  <c r="AA43" i="28" s="1"/>
  <c r="Z43" i="27"/>
  <c r="X43" i="27"/>
  <c r="W43" i="27"/>
  <c r="V43" i="27"/>
  <c r="AD42" i="27"/>
  <c r="AB42" i="27"/>
  <c r="AA42" i="27"/>
  <c r="Z42" i="27"/>
  <c r="X42" i="27"/>
  <c r="W42" i="27"/>
  <c r="AD41" i="27"/>
  <c r="AB41" i="27"/>
  <c r="AA41" i="27"/>
  <c r="AA41" i="28" s="1"/>
  <c r="Z41" i="27"/>
  <c r="X41" i="27"/>
  <c r="W41" i="27"/>
  <c r="V41" i="27"/>
  <c r="AD40" i="27"/>
  <c r="AB40" i="27"/>
  <c r="AA40" i="27"/>
  <c r="AA40" i="28" s="1"/>
  <c r="Z40" i="27"/>
  <c r="X40" i="27"/>
  <c r="W40" i="27"/>
  <c r="AD39" i="27"/>
  <c r="AB39" i="27"/>
  <c r="AA39" i="27"/>
  <c r="AA39" i="28" s="1"/>
  <c r="Z39" i="27"/>
  <c r="X39" i="27"/>
  <c r="W39" i="27"/>
  <c r="V39" i="27"/>
  <c r="AD38" i="27"/>
  <c r="AB38" i="27"/>
  <c r="AA38" i="27"/>
  <c r="AA38" i="28" s="1"/>
  <c r="Z38" i="27"/>
  <c r="X38" i="27"/>
  <c r="W38" i="27"/>
  <c r="AD37" i="27"/>
  <c r="AB37" i="27"/>
  <c r="AA37" i="27"/>
  <c r="AA37" i="28" s="1"/>
  <c r="Z37" i="27"/>
  <c r="X37" i="27"/>
  <c r="W37" i="27"/>
  <c r="V37" i="27"/>
  <c r="AD36" i="27"/>
  <c r="AB36" i="27"/>
  <c r="AA36" i="27"/>
  <c r="AA36" i="28" s="1"/>
  <c r="Z36" i="27"/>
  <c r="X36" i="27"/>
  <c r="W36" i="27"/>
  <c r="AD35" i="27"/>
  <c r="AB35" i="27"/>
  <c r="AA35" i="27"/>
  <c r="AA35" i="28" s="1"/>
  <c r="Z35" i="27"/>
  <c r="X35" i="27"/>
  <c r="W35" i="27"/>
  <c r="V35" i="27"/>
  <c r="AD34" i="27"/>
  <c r="AB34" i="27"/>
  <c r="AA34" i="27"/>
  <c r="Z34" i="27"/>
  <c r="X34" i="27"/>
  <c r="W34" i="27"/>
  <c r="AD33" i="27"/>
  <c r="AB33" i="27"/>
  <c r="AA33" i="27"/>
  <c r="AA33" i="28" s="1"/>
  <c r="Z33" i="27"/>
  <c r="X33" i="27"/>
  <c r="W33" i="27"/>
  <c r="V33" i="27"/>
  <c r="AD32" i="27"/>
  <c r="AB32" i="27"/>
  <c r="AA32" i="27"/>
  <c r="AA32" i="28" s="1"/>
  <c r="Z32" i="27"/>
  <c r="X32" i="27"/>
  <c r="W32" i="27"/>
  <c r="AD31" i="27"/>
  <c r="AB31" i="27"/>
  <c r="AA31" i="27"/>
  <c r="AA31" i="28" s="1"/>
  <c r="Z31" i="27"/>
  <c r="X31" i="27"/>
  <c r="W31" i="27"/>
  <c r="V31" i="27"/>
  <c r="AD30" i="27"/>
  <c r="AB30" i="27"/>
  <c r="AA30" i="27"/>
  <c r="AA30" i="28" s="1"/>
  <c r="Z30" i="27"/>
  <c r="X30" i="27"/>
  <c r="W30" i="27"/>
  <c r="AD29" i="27"/>
  <c r="AB29" i="27"/>
  <c r="AA29" i="27"/>
  <c r="AA29" i="28" s="1"/>
  <c r="Z29" i="27"/>
  <c r="X29" i="27"/>
  <c r="W29" i="27"/>
  <c r="V29" i="27"/>
  <c r="AD28" i="27"/>
  <c r="AB28" i="27"/>
  <c r="AA28" i="27"/>
  <c r="AA28" i="28" s="1"/>
  <c r="Z28" i="27"/>
  <c r="X28" i="27"/>
  <c r="W28" i="27"/>
  <c r="AD27" i="27"/>
  <c r="AB27" i="27"/>
  <c r="AA27" i="27"/>
  <c r="AA27" i="28" s="1"/>
  <c r="Z27" i="27"/>
  <c r="X27" i="27"/>
  <c r="W27" i="27"/>
  <c r="V27" i="27"/>
  <c r="AD26" i="27"/>
  <c r="AB26" i="27"/>
  <c r="AA26" i="27"/>
  <c r="Z26" i="27"/>
  <c r="X26" i="27"/>
  <c r="W26" i="27"/>
  <c r="AD25" i="27"/>
  <c r="AC25" i="27"/>
  <c r="AB25" i="27"/>
  <c r="AA25" i="27"/>
  <c r="AA25" i="28" s="1"/>
  <c r="Z25" i="27"/>
  <c r="Y25" i="27"/>
  <c r="X25" i="27"/>
  <c r="W25" i="27"/>
  <c r="V25" i="27"/>
  <c r="U25" i="27"/>
  <c r="AD24" i="27"/>
  <c r="AB24" i="27"/>
  <c r="AA24" i="27"/>
  <c r="Z24" i="27"/>
  <c r="Z24" i="28" s="1"/>
  <c r="X24" i="27"/>
  <c r="W24" i="27"/>
  <c r="AD23" i="27"/>
  <c r="AB23" i="27"/>
  <c r="AA23" i="27"/>
  <c r="AA23" i="28" s="1"/>
  <c r="Z23" i="27"/>
  <c r="X23" i="27"/>
  <c r="W23" i="27"/>
  <c r="AD22" i="27"/>
  <c r="AB22" i="27"/>
  <c r="AA22" i="27"/>
  <c r="Z22" i="27"/>
  <c r="X22" i="27"/>
  <c r="W22" i="27"/>
  <c r="AD21" i="27"/>
  <c r="AB21" i="27"/>
  <c r="AA21" i="27"/>
  <c r="AA21" i="28" s="1"/>
  <c r="Z21" i="27"/>
  <c r="X21" i="27"/>
  <c r="W21" i="27"/>
  <c r="AD20" i="27"/>
  <c r="AC20" i="27"/>
  <c r="AB20" i="27"/>
  <c r="AA20" i="27"/>
  <c r="Z20" i="27"/>
  <c r="Y20" i="27"/>
  <c r="X20" i="27"/>
  <c r="W20" i="27"/>
  <c r="V20" i="27"/>
  <c r="U20" i="27"/>
  <c r="AD19" i="27"/>
  <c r="AC19" i="27"/>
  <c r="AB19" i="27"/>
  <c r="AA19" i="27"/>
  <c r="AA19" i="28" s="1"/>
  <c r="Z19" i="27"/>
  <c r="Y19" i="27"/>
  <c r="X19" i="27"/>
  <c r="W19" i="27"/>
  <c r="V19" i="27"/>
  <c r="U19" i="27"/>
  <c r="AD18" i="27"/>
  <c r="AC18" i="27"/>
  <c r="AB18" i="27"/>
  <c r="AA18" i="27"/>
  <c r="Z18" i="27"/>
  <c r="Z18" i="28" s="1"/>
  <c r="Y18" i="27"/>
  <c r="X18" i="27"/>
  <c r="W18" i="27"/>
  <c r="V18" i="27"/>
  <c r="U18" i="27"/>
  <c r="AD17" i="27"/>
  <c r="AC17" i="27"/>
  <c r="AB17" i="27"/>
  <c r="AA17" i="27"/>
  <c r="AA17" i="28" s="1"/>
  <c r="Z17" i="27"/>
  <c r="Y17" i="27"/>
  <c r="X17" i="27"/>
  <c r="W17" i="27"/>
  <c r="V17" i="27"/>
  <c r="U17" i="27"/>
  <c r="AD16" i="27"/>
  <c r="AC16" i="27"/>
  <c r="AB16" i="27"/>
  <c r="AA16" i="27"/>
  <c r="Z16" i="27"/>
  <c r="Z16" i="28" s="1"/>
  <c r="Y16" i="27"/>
  <c r="X16" i="27"/>
  <c r="W16" i="27"/>
  <c r="V16" i="27"/>
  <c r="U16" i="27"/>
  <c r="AD15" i="27"/>
  <c r="AC15" i="27"/>
  <c r="AB15" i="27"/>
  <c r="AA15" i="27"/>
  <c r="AA15" i="28" s="1"/>
  <c r="Z15" i="27"/>
  <c r="Y15" i="27"/>
  <c r="X15" i="27"/>
  <c r="W15" i="27"/>
  <c r="V15" i="27"/>
  <c r="U15" i="27"/>
  <c r="AD14" i="27"/>
  <c r="AC14" i="27"/>
  <c r="AB14" i="27"/>
  <c r="AA14" i="27"/>
  <c r="Z14" i="27"/>
  <c r="Z14" i="28" s="1"/>
  <c r="Y14" i="27"/>
  <c r="X14" i="27"/>
  <c r="W14" i="27"/>
  <c r="V14" i="27"/>
  <c r="U14" i="27"/>
  <c r="AD13" i="27"/>
  <c r="AC13" i="27"/>
  <c r="AB13" i="27"/>
  <c r="AA13" i="27"/>
  <c r="AA13" i="28" s="1"/>
  <c r="Z13" i="27"/>
  <c r="Y13" i="27"/>
  <c r="X13" i="27"/>
  <c r="W13" i="27"/>
  <c r="V13" i="27"/>
  <c r="U13" i="27"/>
  <c r="AD12" i="27"/>
  <c r="AC12" i="27"/>
  <c r="AB12" i="27"/>
  <c r="AA12" i="27"/>
  <c r="Z12" i="27"/>
  <c r="Y12" i="27"/>
  <c r="X12" i="27"/>
  <c r="W12" i="27"/>
  <c r="V12" i="27"/>
  <c r="U12" i="27"/>
  <c r="AD11" i="27"/>
  <c r="AC11" i="27"/>
  <c r="AB11" i="27"/>
  <c r="AA11" i="27"/>
  <c r="AA11" i="28" s="1"/>
  <c r="Z11" i="27"/>
  <c r="Y11" i="27"/>
  <c r="X11" i="27"/>
  <c r="W11" i="27"/>
  <c r="V11" i="27"/>
  <c r="U11" i="27"/>
  <c r="AD10" i="27"/>
  <c r="AC10" i="27"/>
  <c r="AB10" i="27"/>
  <c r="AA10" i="27"/>
  <c r="Z10" i="27"/>
  <c r="Z10" i="28" s="1"/>
  <c r="Y10" i="27"/>
  <c r="X10" i="27"/>
  <c r="W10" i="27"/>
  <c r="V10" i="27"/>
  <c r="U10" i="27"/>
  <c r="AD9" i="27"/>
  <c r="AC9" i="27"/>
  <c r="AB9" i="27"/>
  <c r="AA9" i="27"/>
  <c r="AA9" i="28" s="1"/>
  <c r="Z9" i="27"/>
  <c r="Y9" i="27"/>
  <c r="X9" i="27"/>
  <c r="W9" i="27"/>
  <c r="V9" i="27"/>
  <c r="U9" i="27"/>
  <c r="AD8" i="27"/>
  <c r="AC8" i="27"/>
  <c r="AB8" i="27"/>
  <c r="AA8" i="27"/>
  <c r="Z8" i="27"/>
  <c r="Z8" i="28" s="1"/>
  <c r="Y8" i="27"/>
  <c r="X8" i="27"/>
  <c r="W8" i="27"/>
  <c r="V8" i="27"/>
  <c r="U8" i="27"/>
  <c r="AD7" i="27"/>
  <c r="AC7" i="27"/>
  <c r="AB7" i="27"/>
  <c r="AA7" i="27"/>
  <c r="AA7" i="28" s="1"/>
  <c r="Z7" i="27"/>
  <c r="Y7" i="27"/>
  <c r="X7" i="27"/>
  <c r="W7" i="27"/>
  <c r="V7" i="27"/>
  <c r="U7" i="27"/>
  <c r="AD6" i="27"/>
  <c r="AC6" i="27"/>
  <c r="AB6" i="27"/>
  <c r="AA6" i="27"/>
  <c r="Z6" i="27"/>
  <c r="Z6" i="28" s="1"/>
  <c r="Y6" i="27"/>
  <c r="X6" i="27"/>
  <c r="W6" i="27"/>
  <c r="V6" i="27"/>
  <c r="U6" i="27"/>
  <c r="AD5" i="27"/>
  <c r="AC5" i="27"/>
  <c r="AB5" i="27"/>
  <c r="AA5" i="27"/>
  <c r="AA5" i="28" s="1"/>
  <c r="Z5" i="27"/>
  <c r="Y5" i="27"/>
  <c r="X5" i="27"/>
  <c r="W5" i="27"/>
  <c r="V5" i="27"/>
  <c r="U5" i="27"/>
  <c r="AP51" i="35"/>
  <c r="AC51" i="35"/>
  <c r="AC51" i="27" s="1"/>
  <c r="Y51" i="35"/>
  <c r="Y51" i="27" s="1"/>
  <c r="V51" i="35"/>
  <c r="U51" i="35"/>
  <c r="U51" i="27" s="1"/>
  <c r="AP50" i="35"/>
  <c r="AC50" i="35"/>
  <c r="AC50" i="27" s="1"/>
  <c r="Y50" i="35"/>
  <c r="Y50" i="27" s="1"/>
  <c r="V50" i="35"/>
  <c r="V50" i="27" s="1"/>
  <c r="U50" i="35"/>
  <c r="U50" i="27" s="1"/>
  <c r="AP49" i="35"/>
  <c r="AC49" i="35"/>
  <c r="AC49" i="27" s="1"/>
  <c r="Y49" i="35"/>
  <c r="Y49" i="27" s="1"/>
  <c r="V49" i="35"/>
  <c r="U49" i="35"/>
  <c r="U49" i="27" s="1"/>
  <c r="AP48" i="35"/>
  <c r="AC48" i="35"/>
  <c r="AC48" i="27" s="1"/>
  <c r="Y48" i="35"/>
  <c r="Y48" i="27" s="1"/>
  <c r="V48" i="35"/>
  <c r="V48" i="27" s="1"/>
  <c r="U48" i="35"/>
  <c r="U48" i="27" s="1"/>
  <c r="AP47" i="35"/>
  <c r="AC47" i="35"/>
  <c r="AC47" i="27" s="1"/>
  <c r="Y47" i="35"/>
  <c r="Y47" i="27" s="1"/>
  <c r="V47" i="35"/>
  <c r="U47" i="35"/>
  <c r="U47" i="27" s="1"/>
  <c r="AP46" i="35"/>
  <c r="AC46" i="35"/>
  <c r="AC46" i="27" s="1"/>
  <c r="Y46" i="35"/>
  <c r="Y46" i="27" s="1"/>
  <c r="V46" i="35"/>
  <c r="V46" i="27" s="1"/>
  <c r="U46" i="35"/>
  <c r="U46" i="27" s="1"/>
  <c r="AP45" i="35"/>
  <c r="AC45" i="35"/>
  <c r="AC45" i="27" s="1"/>
  <c r="Y45" i="35"/>
  <c r="Y45" i="27" s="1"/>
  <c r="V45" i="35"/>
  <c r="U45" i="35"/>
  <c r="U45" i="27" s="1"/>
  <c r="AP44" i="35"/>
  <c r="AC44" i="35"/>
  <c r="AC44" i="27" s="1"/>
  <c r="Y44" i="35"/>
  <c r="Y44" i="27" s="1"/>
  <c r="V44" i="35"/>
  <c r="V44" i="27" s="1"/>
  <c r="U44" i="35"/>
  <c r="U44" i="27" s="1"/>
  <c r="AP43" i="35"/>
  <c r="AC43" i="35"/>
  <c r="AC43" i="27" s="1"/>
  <c r="Y43" i="35"/>
  <c r="Y43" i="27" s="1"/>
  <c r="V43" i="35"/>
  <c r="U43" i="35"/>
  <c r="U43" i="27" s="1"/>
  <c r="AP42" i="35"/>
  <c r="AC42" i="35"/>
  <c r="AC42" i="27" s="1"/>
  <c r="Y42" i="35"/>
  <c r="Y42" i="27" s="1"/>
  <c r="V42" i="35"/>
  <c r="V42" i="27" s="1"/>
  <c r="U42" i="35"/>
  <c r="U42" i="27" s="1"/>
  <c r="AP41" i="35"/>
  <c r="AC41" i="35"/>
  <c r="AC41" i="27" s="1"/>
  <c r="Y41" i="35"/>
  <c r="Y41" i="27" s="1"/>
  <c r="V41" i="35"/>
  <c r="U41" i="35"/>
  <c r="U41" i="27" s="1"/>
  <c r="AP40" i="35"/>
  <c r="AC40" i="35"/>
  <c r="AC40" i="27" s="1"/>
  <c r="Y40" i="35"/>
  <c r="Y40" i="27" s="1"/>
  <c r="V40" i="35"/>
  <c r="V40" i="27" s="1"/>
  <c r="U40" i="35"/>
  <c r="U40" i="27" s="1"/>
  <c r="AP39" i="35"/>
  <c r="AC39" i="35"/>
  <c r="AC39" i="27" s="1"/>
  <c r="Y39" i="35"/>
  <c r="Y39" i="27" s="1"/>
  <c r="V39" i="35"/>
  <c r="U39" i="35"/>
  <c r="U39" i="27" s="1"/>
  <c r="AP38" i="35"/>
  <c r="AC38" i="35"/>
  <c r="AC38" i="27" s="1"/>
  <c r="Y38" i="35"/>
  <c r="Y38" i="27" s="1"/>
  <c r="V38" i="35"/>
  <c r="V38" i="27" s="1"/>
  <c r="U38" i="35"/>
  <c r="U38" i="27" s="1"/>
  <c r="AP37" i="35"/>
  <c r="AC37" i="35"/>
  <c r="AC37" i="27" s="1"/>
  <c r="Y37" i="35"/>
  <c r="Y37" i="27" s="1"/>
  <c r="V37" i="35"/>
  <c r="U37" i="35"/>
  <c r="U37" i="27" s="1"/>
  <c r="AP36" i="35"/>
  <c r="AC36" i="35"/>
  <c r="AC36" i="27" s="1"/>
  <c r="Y36" i="35"/>
  <c r="Y36" i="27" s="1"/>
  <c r="V36" i="35"/>
  <c r="V36" i="27" s="1"/>
  <c r="U36" i="35"/>
  <c r="U36" i="27" s="1"/>
  <c r="AP35" i="35"/>
  <c r="AC35" i="35"/>
  <c r="AC35" i="27" s="1"/>
  <c r="Y35" i="35"/>
  <c r="Y35" i="27" s="1"/>
  <c r="V35" i="35"/>
  <c r="U35" i="35"/>
  <c r="U35" i="27" s="1"/>
  <c r="AP34" i="35"/>
  <c r="AC34" i="35"/>
  <c r="AC34" i="27" s="1"/>
  <c r="Y34" i="35"/>
  <c r="Y34" i="27" s="1"/>
  <c r="V34" i="35"/>
  <c r="V34" i="27" s="1"/>
  <c r="U34" i="35"/>
  <c r="U34" i="27" s="1"/>
  <c r="AP33" i="35"/>
  <c r="AC33" i="35"/>
  <c r="AC33" i="27" s="1"/>
  <c r="Y33" i="35"/>
  <c r="Y33" i="27" s="1"/>
  <c r="V33" i="35"/>
  <c r="U33" i="35"/>
  <c r="U33" i="27" s="1"/>
  <c r="AP32" i="35"/>
  <c r="AC32" i="35"/>
  <c r="AC32" i="27" s="1"/>
  <c r="Y32" i="35"/>
  <c r="Y32" i="27" s="1"/>
  <c r="V32" i="35"/>
  <c r="V32" i="27" s="1"/>
  <c r="U32" i="35"/>
  <c r="U32" i="27" s="1"/>
  <c r="AP31" i="35"/>
  <c r="AC31" i="35"/>
  <c r="AC31" i="27" s="1"/>
  <c r="Y31" i="35"/>
  <c r="Y31" i="27" s="1"/>
  <c r="V31" i="35"/>
  <c r="U31" i="35"/>
  <c r="U31" i="27" s="1"/>
  <c r="AP30" i="35"/>
  <c r="AC30" i="35"/>
  <c r="AC30" i="27" s="1"/>
  <c r="Y30" i="35"/>
  <c r="Y30" i="27" s="1"/>
  <c r="V30" i="35"/>
  <c r="V30" i="27" s="1"/>
  <c r="U30" i="35"/>
  <c r="U30" i="27" s="1"/>
  <c r="AP29" i="35"/>
  <c r="AC29" i="35"/>
  <c r="AC29" i="27" s="1"/>
  <c r="Y29" i="35"/>
  <c r="Y29" i="27" s="1"/>
  <c r="V29" i="35"/>
  <c r="U29" i="35"/>
  <c r="U29" i="27" s="1"/>
  <c r="AP28" i="35"/>
  <c r="AC28" i="35"/>
  <c r="AC28" i="27" s="1"/>
  <c r="Y28" i="35"/>
  <c r="Y28" i="27" s="1"/>
  <c r="V28" i="35"/>
  <c r="V28" i="27" s="1"/>
  <c r="U28" i="35"/>
  <c r="U28" i="27" s="1"/>
  <c r="AP27" i="35"/>
  <c r="AC27" i="35"/>
  <c r="AC27" i="27" s="1"/>
  <c r="Y27" i="35"/>
  <c r="Y27" i="27" s="1"/>
  <c r="V27" i="35"/>
  <c r="U27" i="35"/>
  <c r="U27" i="27" s="1"/>
  <c r="AP26" i="35"/>
  <c r="AC26" i="35"/>
  <c r="AC26" i="27" s="1"/>
  <c r="Y26" i="35"/>
  <c r="Y26" i="27" s="1"/>
  <c r="V26" i="35"/>
  <c r="V26" i="27" s="1"/>
  <c r="U26" i="35"/>
  <c r="U26" i="27" s="1"/>
  <c r="AP24" i="35"/>
  <c r="AC24" i="35"/>
  <c r="AC24" i="27" s="1"/>
  <c r="Y24" i="35"/>
  <c r="Y24" i="27" s="1"/>
  <c r="V24" i="35"/>
  <c r="V24" i="27" s="1"/>
  <c r="U24" i="35"/>
  <c r="U24" i="27" s="1"/>
  <c r="AP23" i="35"/>
  <c r="AC23" i="35"/>
  <c r="AC23" i="27" s="1"/>
  <c r="Y23" i="35"/>
  <c r="Y23" i="27" s="1"/>
  <c r="V23" i="35"/>
  <c r="V23" i="27" s="1"/>
  <c r="U23" i="35"/>
  <c r="U23" i="27" s="1"/>
  <c r="AP22" i="35"/>
  <c r="AC22" i="35"/>
  <c r="AC22" i="27" s="1"/>
  <c r="Y22" i="35"/>
  <c r="Y22" i="27" s="1"/>
  <c r="V22" i="35"/>
  <c r="V22" i="27" s="1"/>
  <c r="U22" i="35"/>
  <c r="U22" i="27" s="1"/>
  <c r="AP21" i="35"/>
  <c r="AC21" i="35"/>
  <c r="AC21" i="27" s="1"/>
  <c r="Y21" i="35"/>
  <c r="Y21" i="27" s="1"/>
  <c r="V21" i="35"/>
  <c r="V21" i="27" s="1"/>
  <c r="U21" i="35"/>
  <c r="U21" i="27" s="1"/>
  <c r="W46" i="34"/>
  <c r="U46" i="34"/>
  <c r="S46" i="34"/>
  <c r="O46" i="34"/>
  <c r="N46" i="34"/>
  <c r="M46" i="34"/>
  <c r="U45" i="34"/>
  <c r="T45" i="34"/>
  <c r="S45" i="34"/>
  <c r="O45" i="34"/>
  <c r="N45" i="34"/>
  <c r="M45" i="34"/>
  <c r="W44" i="34"/>
  <c r="U44" i="34"/>
  <c r="T44" i="34"/>
  <c r="S44" i="34"/>
  <c r="O44" i="34"/>
  <c r="N44" i="34"/>
  <c r="M44" i="34"/>
  <c r="W46" i="33"/>
  <c r="U46" i="33"/>
  <c r="S46" i="33"/>
  <c r="O46" i="33"/>
  <c r="N46" i="33"/>
  <c r="M46" i="33"/>
  <c r="U45" i="33"/>
  <c r="T45" i="33"/>
  <c r="S45" i="33"/>
  <c r="O45" i="33"/>
  <c r="N45" i="33"/>
  <c r="M45" i="33"/>
  <c r="W44" i="33"/>
  <c r="U44" i="33"/>
  <c r="U48" i="33" s="1"/>
  <c r="T44" i="33"/>
  <c r="T48" i="33" s="1"/>
  <c r="S44" i="33"/>
  <c r="S48" i="33" s="1"/>
  <c r="O44" i="33"/>
  <c r="O48" i="33" s="1"/>
  <c r="N44" i="33"/>
  <c r="N48" i="33" s="1"/>
  <c r="M44" i="33"/>
  <c r="X41" i="32"/>
  <c r="X40" i="32"/>
  <c r="X39" i="32"/>
  <c r="X38" i="32"/>
  <c r="X37" i="32"/>
  <c r="X36" i="32"/>
  <c r="X35" i="32"/>
  <c r="X34" i="32"/>
  <c r="X33" i="32"/>
  <c r="X32" i="32"/>
  <c r="X31" i="32"/>
  <c r="X30" i="32"/>
  <c r="X29" i="32"/>
  <c r="X28" i="32"/>
  <c r="X27" i="32"/>
  <c r="X26" i="32"/>
  <c r="X25" i="32"/>
  <c r="X24" i="32"/>
  <c r="X23" i="32"/>
  <c r="X22" i="32"/>
  <c r="X21" i="32"/>
  <c r="X20" i="32"/>
  <c r="X19" i="32"/>
  <c r="X18" i="32"/>
  <c r="X17" i="32"/>
  <c r="X16" i="32"/>
  <c r="X15" i="32"/>
  <c r="X14" i="32"/>
  <c r="X13" i="32"/>
  <c r="X12" i="32"/>
  <c r="X11" i="32"/>
  <c r="X10" i="32"/>
  <c r="X9" i="32"/>
  <c r="X8" i="32"/>
  <c r="X7" i="32"/>
  <c r="X6" i="32"/>
  <c r="X5" i="32"/>
  <c r="W46" i="32"/>
  <c r="U46" i="32"/>
  <c r="S46" i="32"/>
  <c r="O46" i="32"/>
  <c r="N46" i="32"/>
  <c r="M46" i="32"/>
  <c r="U45" i="32"/>
  <c r="T45" i="32"/>
  <c r="S45" i="32"/>
  <c r="O45" i="32"/>
  <c r="N45" i="32"/>
  <c r="M45" i="32"/>
  <c r="W44" i="32"/>
  <c r="U44" i="32"/>
  <c r="U48" i="32" s="1"/>
  <c r="T44" i="32"/>
  <c r="T48" i="32" s="1"/>
  <c r="S44" i="32"/>
  <c r="S48" i="32" s="1"/>
  <c r="O44" i="32"/>
  <c r="O48" i="32" s="1"/>
  <c r="N44" i="32"/>
  <c r="N48" i="32" s="1"/>
  <c r="M44" i="32"/>
  <c r="M48" i="32" s="1"/>
  <c r="W46" i="31"/>
  <c r="W44" i="31"/>
  <c r="U46" i="31"/>
  <c r="U45" i="31"/>
  <c r="U44" i="31"/>
  <c r="T45" i="31"/>
  <c r="T44" i="31"/>
  <c r="S46" i="31"/>
  <c r="S45" i="31"/>
  <c r="S44" i="31"/>
  <c r="Q47" i="31"/>
  <c r="O46" i="31"/>
  <c r="O45" i="31"/>
  <c r="O44" i="31"/>
  <c r="N46" i="31"/>
  <c r="N45" i="31"/>
  <c r="N44" i="31"/>
  <c r="M46" i="31"/>
  <c r="M45" i="31"/>
  <c r="M44" i="31"/>
  <c r="Y41" i="31"/>
  <c r="Y40" i="31"/>
  <c r="Y39" i="31"/>
  <c r="Y38" i="31"/>
  <c r="Y37" i="31"/>
  <c r="Y36" i="31"/>
  <c r="Y35" i="31"/>
  <c r="Y34" i="31"/>
  <c r="Y33" i="31"/>
  <c r="Y32" i="31"/>
  <c r="Y31" i="31"/>
  <c r="Y30" i="31"/>
  <c r="Y29" i="31"/>
  <c r="Y28" i="31"/>
  <c r="Y27" i="31"/>
  <c r="Y26" i="31"/>
  <c r="Y25" i="31"/>
  <c r="Y24" i="31"/>
  <c r="Y23" i="31"/>
  <c r="Y22" i="31"/>
  <c r="Y21" i="31"/>
  <c r="Y20" i="31"/>
  <c r="Y19" i="31"/>
  <c r="Y18" i="31"/>
  <c r="Y17" i="31"/>
  <c r="Y16" i="31"/>
  <c r="Y14" i="31"/>
  <c r="Y13" i="31"/>
  <c r="Y12" i="31"/>
  <c r="Y11" i="31"/>
  <c r="U41" i="31"/>
  <c r="U40" i="31"/>
  <c r="U39" i="31"/>
  <c r="U38" i="31"/>
  <c r="U37" i="31"/>
  <c r="U36" i="31"/>
  <c r="U35" i="31"/>
  <c r="U34" i="31"/>
  <c r="U33" i="31"/>
  <c r="U32" i="31"/>
  <c r="U31" i="31"/>
  <c r="U30" i="31"/>
  <c r="U29" i="31"/>
  <c r="U28" i="31"/>
  <c r="U27" i="31"/>
  <c r="U26" i="31"/>
  <c r="U25" i="31"/>
  <c r="U24" i="31"/>
  <c r="U23" i="31"/>
  <c r="U22" i="31"/>
  <c r="U21" i="31"/>
  <c r="U20" i="31"/>
  <c r="U19" i="31"/>
  <c r="U18" i="31"/>
  <c r="U17" i="31"/>
  <c r="U16" i="31"/>
  <c r="U14" i="31"/>
  <c r="U13" i="31"/>
  <c r="U12" i="31"/>
  <c r="U11" i="31"/>
  <c r="T41" i="31"/>
  <c r="T40" i="31"/>
  <c r="T39" i="31"/>
  <c r="T38" i="31"/>
  <c r="T37" i="31"/>
  <c r="T36" i="31"/>
  <c r="T35" i="31"/>
  <c r="T34" i="31"/>
  <c r="T33" i="31"/>
  <c r="T32" i="31"/>
  <c r="T31" i="31"/>
  <c r="T30" i="31"/>
  <c r="T29" i="31"/>
  <c r="T28" i="31"/>
  <c r="T27" i="31"/>
  <c r="T26" i="31"/>
  <c r="T25" i="31"/>
  <c r="T24" i="31"/>
  <c r="T23" i="31"/>
  <c r="T22" i="31"/>
  <c r="T21" i="31"/>
  <c r="T20" i="31"/>
  <c r="T19" i="31"/>
  <c r="T18" i="31"/>
  <c r="T17" i="31"/>
  <c r="T16" i="31"/>
  <c r="T14" i="31"/>
  <c r="T13" i="31"/>
  <c r="T12" i="31"/>
  <c r="T11" i="31"/>
  <c r="S41" i="31"/>
  <c r="S40" i="31"/>
  <c r="S39" i="31"/>
  <c r="S38" i="31"/>
  <c r="S37" i="31"/>
  <c r="S36" i="31"/>
  <c r="S35" i="31"/>
  <c r="S34" i="31"/>
  <c r="S33" i="31"/>
  <c r="S32" i="31"/>
  <c r="S31" i="31"/>
  <c r="S30" i="31"/>
  <c r="S29" i="31"/>
  <c r="S28" i="31"/>
  <c r="S27" i="31"/>
  <c r="S26" i="31"/>
  <c r="S25" i="31"/>
  <c r="S24" i="31"/>
  <c r="S23" i="31"/>
  <c r="S22" i="31"/>
  <c r="S21" i="31"/>
  <c r="S20" i="31"/>
  <c r="S19" i="31"/>
  <c r="S18" i="31"/>
  <c r="S17" i="31"/>
  <c r="S16" i="31"/>
  <c r="S14" i="31"/>
  <c r="S13" i="31"/>
  <c r="S12" i="31"/>
  <c r="S11" i="31"/>
  <c r="Q41" i="31"/>
  <c r="Q40" i="31"/>
  <c r="Q39" i="31"/>
  <c r="Q38" i="31"/>
  <c r="Q37" i="31"/>
  <c r="Q36" i="31"/>
  <c r="Q35" i="31"/>
  <c r="Q34" i="31"/>
  <c r="Q33" i="31"/>
  <c r="Q32" i="31"/>
  <c r="Q31" i="31"/>
  <c r="Q30" i="31"/>
  <c r="Q29" i="31"/>
  <c r="Q28" i="31"/>
  <c r="Q27" i="31"/>
  <c r="Q26" i="31"/>
  <c r="Q25" i="31"/>
  <c r="Q24" i="31"/>
  <c r="Q23" i="31"/>
  <c r="Q22" i="31"/>
  <c r="Q21" i="31"/>
  <c r="Q20" i="31"/>
  <c r="Q19" i="31"/>
  <c r="Q18" i="31"/>
  <c r="Q17" i="31"/>
  <c r="Q16" i="31"/>
  <c r="Q14" i="31"/>
  <c r="Q13" i="31"/>
  <c r="Q12" i="31"/>
  <c r="Q11" i="31"/>
  <c r="O41" i="31"/>
  <c r="O40" i="31"/>
  <c r="O39" i="31"/>
  <c r="O38" i="31"/>
  <c r="O37" i="31"/>
  <c r="O36" i="31"/>
  <c r="O35" i="31"/>
  <c r="O34" i="31"/>
  <c r="O33" i="31"/>
  <c r="O32" i="31"/>
  <c r="O31" i="31"/>
  <c r="O30" i="31"/>
  <c r="O29" i="31"/>
  <c r="O28" i="31"/>
  <c r="O27" i="31"/>
  <c r="O26" i="31"/>
  <c r="O25" i="31"/>
  <c r="O24" i="31"/>
  <c r="O23" i="31"/>
  <c r="O22" i="31"/>
  <c r="O21" i="31"/>
  <c r="O20" i="31"/>
  <c r="O19" i="31"/>
  <c r="O18" i="31"/>
  <c r="O17" i="31"/>
  <c r="O16" i="31"/>
  <c r="O14" i="31"/>
  <c r="O13" i="31"/>
  <c r="O12" i="31"/>
  <c r="O11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4" i="31"/>
  <c r="N13" i="31"/>
  <c r="N12" i="31"/>
  <c r="N11" i="31"/>
  <c r="M41" i="31"/>
  <c r="M40" i="31"/>
  <c r="M39" i="31"/>
  <c r="M38" i="31"/>
  <c r="M37" i="31"/>
  <c r="M36" i="31"/>
  <c r="M35" i="31"/>
  <c r="M34" i="31"/>
  <c r="M33" i="31"/>
  <c r="M32" i="31"/>
  <c r="M31" i="31"/>
  <c r="M30" i="31"/>
  <c r="M29" i="31"/>
  <c r="M28" i="31"/>
  <c r="M27" i="31"/>
  <c r="M26" i="31"/>
  <c r="M25" i="31"/>
  <c r="M24" i="31"/>
  <c r="M23" i="31"/>
  <c r="M22" i="31"/>
  <c r="M21" i="31"/>
  <c r="M20" i="31"/>
  <c r="M19" i="31"/>
  <c r="M18" i="31"/>
  <c r="M17" i="31"/>
  <c r="M16" i="31"/>
  <c r="M14" i="31"/>
  <c r="M13" i="31"/>
  <c r="M12" i="31"/>
  <c r="M11" i="31"/>
  <c r="L41" i="31"/>
  <c r="L40" i="31"/>
  <c r="L39" i="31"/>
  <c r="L38" i="31"/>
  <c r="L37" i="31"/>
  <c r="L36" i="31"/>
  <c r="L35" i="31"/>
  <c r="L34" i="31"/>
  <c r="L33" i="31"/>
  <c r="L32" i="31"/>
  <c r="L31" i="31"/>
  <c r="L30" i="31"/>
  <c r="L29" i="31"/>
  <c r="L28" i="31"/>
  <c r="L27" i="31"/>
  <c r="L26" i="31"/>
  <c r="L25" i="31"/>
  <c r="L24" i="31"/>
  <c r="L23" i="31"/>
  <c r="L22" i="31"/>
  <c r="L21" i="31"/>
  <c r="L20" i="31"/>
  <c r="L19" i="31"/>
  <c r="L18" i="31"/>
  <c r="L17" i="31"/>
  <c r="L16" i="31"/>
  <c r="L14" i="31"/>
  <c r="L13" i="31"/>
  <c r="L12" i="31"/>
  <c r="L11" i="31"/>
  <c r="AK56" i="30"/>
  <c r="AF56" i="30"/>
  <c r="AP54" i="30" s="1"/>
  <c r="AE56" i="30"/>
  <c r="AO54" i="30" s="1"/>
  <c r="AC56" i="30"/>
  <c r="Y56" i="30"/>
  <c r="X56" i="30"/>
  <c r="W56" i="30"/>
  <c r="S56" i="30"/>
  <c r="R56" i="30"/>
  <c r="Q56" i="30"/>
  <c r="P56" i="30"/>
  <c r="O56" i="30"/>
  <c r="M56" i="30"/>
  <c r="L56" i="30"/>
  <c r="AK55" i="30"/>
  <c r="AF55" i="30"/>
  <c r="AC55" i="30"/>
  <c r="AA55" i="30"/>
  <c r="Z55" i="30"/>
  <c r="Y55" i="30"/>
  <c r="X55" i="30"/>
  <c r="W55" i="30"/>
  <c r="V55" i="30"/>
  <c r="U55" i="30"/>
  <c r="S55" i="30"/>
  <c r="R55" i="30"/>
  <c r="Q55" i="30"/>
  <c r="P55" i="30"/>
  <c r="O55" i="30"/>
  <c r="M55" i="30"/>
  <c r="L55" i="30"/>
  <c r="AL57" i="29"/>
  <c r="AG57" i="29"/>
  <c r="AD57" i="29"/>
  <c r="AB57" i="29"/>
  <c r="T57" i="29"/>
  <c r="AK56" i="29"/>
  <c r="AF56" i="29"/>
  <c r="AE56" i="29"/>
  <c r="AC56" i="29"/>
  <c r="Y56" i="29"/>
  <c r="X56" i="29"/>
  <c r="W56" i="29"/>
  <c r="S56" i="29"/>
  <c r="R56" i="29"/>
  <c r="Q56" i="29"/>
  <c r="P56" i="29"/>
  <c r="O56" i="29"/>
  <c r="M56" i="29"/>
  <c r="L56" i="29"/>
  <c r="AK55" i="29"/>
  <c r="AF55" i="29"/>
  <c r="AP54" i="29" s="1"/>
  <c r="AC55" i="29"/>
  <c r="AA55" i="29"/>
  <c r="Z55" i="29"/>
  <c r="Y55" i="29"/>
  <c r="X55" i="29"/>
  <c r="W55" i="29"/>
  <c r="V55" i="29"/>
  <c r="U55" i="29"/>
  <c r="S55" i="29"/>
  <c r="R55" i="29"/>
  <c r="Q55" i="29"/>
  <c r="P55" i="29"/>
  <c r="O55" i="29"/>
  <c r="M55" i="29"/>
  <c r="L55" i="29"/>
  <c r="AL57" i="28"/>
  <c r="AG57" i="28"/>
  <c r="AD57" i="28"/>
  <c r="AB57" i="28"/>
  <c r="T57" i="28"/>
  <c r="AM57" i="28" s="1"/>
  <c r="AG51" i="28"/>
  <c r="Z51" i="28"/>
  <c r="AG50" i="28"/>
  <c r="AA50" i="28"/>
  <c r="Z50" i="28"/>
  <c r="AG49" i="28"/>
  <c r="Z49" i="28"/>
  <c r="AG48" i="28"/>
  <c r="Z48" i="28"/>
  <c r="AG47" i="28"/>
  <c r="Z47" i="28"/>
  <c r="AG46" i="28"/>
  <c r="Z46" i="28"/>
  <c r="AG45" i="28"/>
  <c r="Z45" i="28"/>
  <c r="AG44" i="28"/>
  <c r="Z44" i="28"/>
  <c r="AG43" i="28"/>
  <c r="Z43" i="28"/>
  <c r="AG42" i="28"/>
  <c r="AA42" i="28"/>
  <c r="Z42" i="28"/>
  <c r="AG41" i="28"/>
  <c r="Z41" i="28"/>
  <c r="AG40" i="28"/>
  <c r="Z40" i="28"/>
  <c r="AG39" i="28"/>
  <c r="Z39" i="28"/>
  <c r="AG38" i="28"/>
  <c r="Z38" i="28"/>
  <c r="AG37" i="28"/>
  <c r="Z37" i="28"/>
  <c r="AG36" i="28"/>
  <c r="Z36" i="28"/>
  <c r="AG35" i="28"/>
  <c r="Z35" i="28"/>
  <c r="AG34" i="28"/>
  <c r="AA34" i="28"/>
  <c r="Z34" i="28"/>
  <c r="AG33" i="28"/>
  <c r="Z33" i="28"/>
  <c r="AG32" i="28"/>
  <c r="Z32" i="28"/>
  <c r="AG31" i="28"/>
  <c r="Z31" i="28"/>
  <c r="AG30" i="28"/>
  <c r="Z30" i="28"/>
  <c r="AG29" i="28"/>
  <c r="Z29" i="28"/>
  <c r="AG28" i="28"/>
  <c r="Z28" i="28"/>
  <c r="AG27" i="28"/>
  <c r="Z27" i="28"/>
  <c r="AG26" i="28"/>
  <c r="AA26" i="28"/>
  <c r="Z26" i="28"/>
  <c r="AG25" i="28"/>
  <c r="Z25" i="28"/>
  <c r="AG24" i="28"/>
  <c r="AA24" i="28"/>
  <c r="AG23" i="28"/>
  <c r="Z23" i="28"/>
  <c r="AG22" i="28"/>
  <c r="AA22" i="28"/>
  <c r="Z22" i="28"/>
  <c r="AG21" i="28"/>
  <c r="Z21" i="28"/>
  <c r="AG20" i="28"/>
  <c r="AA20" i="28"/>
  <c r="Z20" i="28"/>
  <c r="AG19" i="28"/>
  <c r="Z19" i="28"/>
  <c r="AG18" i="28"/>
  <c r="AA18" i="28"/>
  <c r="AG17" i="28"/>
  <c r="Z17" i="28"/>
  <c r="AG16" i="28"/>
  <c r="AA16" i="28"/>
  <c r="AG15" i="28"/>
  <c r="Z15" i="28"/>
  <c r="AG14" i="28"/>
  <c r="AA14" i="28"/>
  <c r="AG13" i="28"/>
  <c r="Z13" i="28"/>
  <c r="AG12" i="28"/>
  <c r="AA12" i="28"/>
  <c r="Z12" i="28"/>
  <c r="AG11" i="28"/>
  <c r="Z11" i="28"/>
  <c r="AG10" i="28"/>
  <c r="AA10" i="28"/>
  <c r="AG9" i="28"/>
  <c r="Z9" i="28"/>
  <c r="AG8" i="28"/>
  <c r="AA8" i="28"/>
  <c r="AG7" i="28"/>
  <c r="Z7" i="28"/>
  <c r="AG6" i="28"/>
  <c r="AA6" i="28"/>
  <c r="AG5" i="28"/>
  <c r="Z5" i="28"/>
  <c r="AK56" i="28"/>
  <c r="AF56" i="28"/>
  <c r="AE56" i="28"/>
  <c r="AC56" i="28"/>
  <c r="Y56" i="28"/>
  <c r="X56" i="28"/>
  <c r="W56" i="28"/>
  <c r="S56" i="28"/>
  <c r="R56" i="28"/>
  <c r="Q56" i="28"/>
  <c r="P56" i="28"/>
  <c r="O56" i="28"/>
  <c r="M56" i="28"/>
  <c r="L56" i="28"/>
  <c r="AK55" i="28"/>
  <c r="AF55" i="28"/>
  <c r="AC55" i="28"/>
  <c r="AA55" i="28"/>
  <c r="Z55" i="28"/>
  <c r="Y55" i="28"/>
  <c r="X55" i="28"/>
  <c r="W55" i="28"/>
  <c r="V55" i="28"/>
  <c r="U55" i="28"/>
  <c r="S55" i="28"/>
  <c r="R55" i="28"/>
  <c r="Q55" i="28"/>
  <c r="P55" i="28"/>
  <c r="O55" i="28"/>
  <c r="M55" i="28"/>
  <c r="L55" i="28"/>
  <c r="AP51" i="28"/>
  <c r="AP50" i="28"/>
  <c r="AP49" i="28"/>
  <c r="AP48" i="28"/>
  <c r="AP47" i="28"/>
  <c r="AP46" i="28"/>
  <c r="AP45" i="28"/>
  <c r="AP44" i="28"/>
  <c r="AP43" i="28"/>
  <c r="AP42" i="28"/>
  <c r="AP41" i="28"/>
  <c r="AP40" i="28"/>
  <c r="AP39" i="28"/>
  <c r="AP38" i="28"/>
  <c r="AP37" i="28"/>
  <c r="AP36" i="28"/>
  <c r="AP35" i="28"/>
  <c r="AP34" i="28"/>
  <c r="AP33" i="28"/>
  <c r="AP32" i="28"/>
  <c r="AP31" i="28"/>
  <c r="AP30" i="28"/>
  <c r="AP29" i="28"/>
  <c r="AP28" i="28"/>
  <c r="AP27" i="28"/>
  <c r="AP26" i="28"/>
  <c r="AP24" i="28"/>
  <c r="AP23" i="28"/>
  <c r="AP22" i="28"/>
  <c r="AP21" i="28"/>
  <c r="AA56" i="27"/>
  <c r="AA54" i="28" s="1"/>
  <c r="Z56" i="27"/>
  <c r="AK58" i="27"/>
  <c r="AK57" i="27"/>
  <c r="AK56" i="27"/>
  <c r="AF58" i="27"/>
  <c r="AF57" i="27"/>
  <c r="AF56" i="27"/>
  <c r="AE58" i="27"/>
  <c r="AE56" i="27"/>
  <c r="AC58" i="27"/>
  <c r="AC57" i="27"/>
  <c r="AC56" i="27"/>
  <c r="AA57" i="27"/>
  <c r="Z57" i="27"/>
  <c r="Y58" i="27"/>
  <c r="Y57" i="27"/>
  <c r="X58" i="27"/>
  <c r="X57" i="27"/>
  <c r="X56" i="27"/>
  <c r="W58" i="27"/>
  <c r="W57" i="27"/>
  <c r="V57" i="27"/>
  <c r="U57" i="27"/>
  <c r="U56" i="27"/>
  <c r="S58" i="27"/>
  <c r="S57" i="27"/>
  <c r="S56" i="27"/>
  <c r="R58" i="27"/>
  <c r="R57" i="27"/>
  <c r="R56" i="27"/>
  <c r="Q58" i="27"/>
  <c r="Q57" i="27"/>
  <c r="Q56" i="27"/>
  <c r="P58" i="27"/>
  <c r="P57" i="27"/>
  <c r="P56" i="27"/>
  <c r="O58" i="27"/>
  <c r="O57" i="27"/>
  <c r="O56" i="27"/>
  <c r="O54" i="28" s="1"/>
  <c r="M58" i="27"/>
  <c r="M57" i="27"/>
  <c r="M56" i="27"/>
  <c r="L58" i="27"/>
  <c r="L57" i="27"/>
  <c r="L56" i="27"/>
  <c r="AK16" i="27"/>
  <c r="AK15" i="27"/>
  <c r="AK10" i="27"/>
  <c r="AK9" i="27"/>
  <c r="AK6" i="27"/>
  <c r="AK5" i="27"/>
  <c r="AI51" i="27"/>
  <c r="AI50" i="27"/>
  <c r="AI49" i="27"/>
  <c r="AI48" i="27"/>
  <c r="AI47" i="27"/>
  <c r="AI46" i="27"/>
  <c r="AI45" i="27"/>
  <c r="AI44" i="27"/>
  <c r="AI43" i="27"/>
  <c r="AI42" i="27"/>
  <c r="AI41" i="27"/>
  <c r="AI40" i="27"/>
  <c r="AI39" i="27"/>
  <c r="AI38" i="27"/>
  <c r="AI37" i="27"/>
  <c r="AI36" i="27"/>
  <c r="AI35" i="27"/>
  <c r="AI34" i="27"/>
  <c r="AI33" i="27"/>
  <c r="AI32" i="27"/>
  <c r="AI31" i="27"/>
  <c r="AI30" i="27"/>
  <c r="AI29" i="27"/>
  <c r="AI28" i="27"/>
  <c r="AI27" i="27"/>
  <c r="AI26" i="27"/>
  <c r="AI24" i="27"/>
  <c r="AI23" i="27"/>
  <c r="AI22" i="27"/>
  <c r="AI21" i="27"/>
  <c r="AH51" i="27"/>
  <c r="AH50" i="27"/>
  <c r="AH49" i="27"/>
  <c r="AH48" i="27"/>
  <c r="AH47" i="27"/>
  <c r="AH46" i="27"/>
  <c r="AH45" i="27"/>
  <c r="AH44" i="27"/>
  <c r="AH43" i="27"/>
  <c r="AH42" i="27"/>
  <c r="AH41" i="27"/>
  <c r="AH40" i="27"/>
  <c r="AH39" i="27"/>
  <c r="AH38" i="27"/>
  <c r="AH37" i="27"/>
  <c r="AH36" i="27"/>
  <c r="AH35" i="27"/>
  <c r="AH34" i="27"/>
  <c r="AH33" i="27"/>
  <c r="AH32" i="27"/>
  <c r="AH31" i="27"/>
  <c r="AH30" i="27"/>
  <c r="AH29" i="27"/>
  <c r="AH28" i="27"/>
  <c r="AH27" i="27"/>
  <c r="AH26" i="27"/>
  <c r="AH24" i="27"/>
  <c r="AH23" i="27"/>
  <c r="AH22" i="27"/>
  <c r="AH21" i="27"/>
  <c r="S51" i="27"/>
  <c r="S50" i="27"/>
  <c r="S49" i="27"/>
  <c r="S48" i="27"/>
  <c r="S47" i="27"/>
  <c r="S46" i="27"/>
  <c r="S45" i="27"/>
  <c r="S44" i="27"/>
  <c r="S43" i="27"/>
  <c r="S42" i="27"/>
  <c r="S41" i="27"/>
  <c r="S40" i="27"/>
  <c r="S39" i="27"/>
  <c r="S38" i="27"/>
  <c r="S37" i="27"/>
  <c r="S36" i="27"/>
  <c r="S35" i="27"/>
  <c r="S34" i="27"/>
  <c r="S33" i="27"/>
  <c r="S32" i="27"/>
  <c r="S31" i="27"/>
  <c r="S30" i="27"/>
  <c r="S29" i="27"/>
  <c r="S28" i="27"/>
  <c r="S27" i="27"/>
  <c r="S26" i="27"/>
  <c r="S24" i="27"/>
  <c r="S23" i="27"/>
  <c r="S22" i="27"/>
  <c r="S21" i="27"/>
  <c r="R51" i="27"/>
  <c r="R50" i="27"/>
  <c r="R49" i="27"/>
  <c r="R48" i="27"/>
  <c r="R47" i="27"/>
  <c r="R46" i="27"/>
  <c r="R45" i="27"/>
  <c r="R44" i="27"/>
  <c r="R43" i="27"/>
  <c r="R42" i="27"/>
  <c r="R41" i="27"/>
  <c r="R40" i="27"/>
  <c r="R39" i="27"/>
  <c r="R38" i="27"/>
  <c r="R37" i="27"/>
  <c r="R36" i="27"/>
  <c r="R35" i="27"/>
  <c r="R34" i="27"/>
  <c r="R33" i="27"/>
  <c r="R32" i="27"/>
  <c r="R31" i="27"/>
  <c r="R30" i="27"/>
  <c r="Q51" i="27"/>
  <c r="Q50" i="27"/>
  <c r="Q49" i="27"/>
  <c r="Q48" i="27"/>
  <c r="Q47" i="27"/>
  <c r="Q46" i="27"/>
  <c r="Q45" i="27"/>
  <c r="Q44" i="27"/>
  <c r="Q43" i="27"/>
  <c r="Q42" i="27"/>
  <c r="Q41" i="27"/>
  <c r="Q40" i="27"/>
  <c r="Q39" i="27"/>
  <c r="Q38" i="27"/>
  <c r="Q37" i="27"/>
  <c r="Q36" i="27"/>
  <c r="Q35" i="27"/>
  <c r="Q34" i="27"/>
  <c r="Q33" i="27"/>
  <c r="Q32" i="27"/>
  <c r="Q31" i="27"/>
  <c r="Q30" i="27"/>
  <c r="Q25" i="27"/>
  <c r="Q20" i="27"/>
  <c r="Q19" i="27"/>
  <c r="Q18" i="27"/>
  <c r="Q17" i="27"/>
  <c r="Q12" i="27"/>
  <c r="Q11" i="27"/>
  <c r="Q7" i="27"/>
  <c r="P51" i="27"/>
  <c r="P50" i="27"/>
  <c r="P49" i="27"/>
  <c r="P48" i="27"/>
  <c r="P47" i="27"/>
  <c r="P46" i="27"/>
  <c r="P45" i="27"/>
  <c r="P44" i="27"/>
  <c r="P43" i="27"/>
  <c r="P42" i="27"/>
  <c r="P41" i="27"/>
  <c r="P40" i="27"/>
  <c r="P39" i="27"/>
  <c r="P38" i="27"/>
  <c r="P37" i="27"/>
  <c r="P36" i="27"/>
  <c r="P35" i="27"/>
  <c r="P34" i="27"/>
  <c r="P33" i="27"/>
  <c r="P32" i="27"/>
  <c r="P31" i="27"/>
  <c r="P30" i="27"/>
  <c r="O51" i="27"/>
  <c r="O50" i="27"/>
  <c r="O49" i="27"/>
  <c r="O48" i="27"/>
  <c r="O47" i="27"/>
  <c r="O46" i="27"/>
  <c r="O45" i="27"/>
  <c r="O44" i="27"/>
  <c r="O43" i="27"/>
  <c r="O42" i="27"/>
  <c r="O41" i="27"/>
  <c r="O40" i="27"/>
  <c r="O39" i="27"/>
  <c r="O38" i="27"/>
  <c r="O37" i="27"/>
  <c r="O36" i="27"/>
  <c r="O35" i="27"/>
  <c r="O34" i="27"/>
  <c r="O33" i="27"/>
  <c r="O32" i="27"/>
  <c r="O31" i="27"/>
  <c r="O30" i="27"/>
  <c r="O29" i="27"/>
  <c r="O28" i="27"/>
  <c r="O27" i="27"/>
  <c r="O26" i="27"/>
  <c r="O24" i="27"/>
  <c r="O23" i="27"/>
  <c r="O22" i="27"/>
  <c r="O21" i="27"/>
  <c r="AP51" i="27"/>
  <c r="AP50" i="27"/>
  <c r="AP49" i="27"/>
  <c r="AP48" i="27"/>
  <c r="AP47" i="27"/>
  <c r="AP46" i="27"/>
  <c r="AP45" i="27"/>
  <c r="AP44" i="27"/>
  <c r="AP43" i="27"/>
  <c r="AP42" i="27"/>
  <c r="AP41" i="27"/>
  <c r="AP40" i="27"/>
  <c r="AP39" i="27"/>
  <c r="AP38" i="27"/>
  <c r="AP37" i="27"/>
  <c r="AP36" i="27"/>
  <c r="AP35" i="27"/>
  <c r="AP34" i="27"/>
  <c r="AP33" i="27"/>
  <c r="AP32" i="27"/>
  <c r="AP31" i="27"/>
  <c r="AP30" i="27"/>
  <c r="AP29" i="27"/>
  <c r="AP28" i="27"/>
  <c r="AP27" i="27"/>
  <c r="AP26" i="27"/>
  <c r="AP24" i="27"/>
  <c r="AP23" i="27"/>
  <c r="AP22" i="27"/>
  <c r="AP21" i="27"/>
  <c r="L51" i="27"/>
  <c r="L50" i="27"/>
  <c r="L49" i="27"/>
  <c r="L48" i="27"/>
  <c r="L47" i="27"/>
  <c r="L46" i="27"/>
  <c r="L45" i="27"/>
  <c r="L44" i="27"/>
  <c r="L43" i="27"/>
  <c r="L42" i="27"/>
  <c r="L41" i="27"/>
  <c r="L40" i="27"/>
  <c r="L39" i="27"/>
  <c r="L38" i="27"/>
  <c r="L37" i="27"/>
  <c r="L36" i="27"/>
  <c r="L35" i="27"/>
  <c r="L34" i="27"/>
  <c r="L33" i="27"/>
  <c r="L32" i="27"/>
  <c r="L31" i="27"/>
  <c r="L30" i="27"/>
  <c r="L25" i="27"/>
  <c r="L20" i="27"/>
  <c r="L19" i="27"/>
  <c r="L18" i="27"/>
  <c r="L17" i="27"/>
  <c r="L12" i="27"/>
  <c r="L11" i="27"/>
  <c r="L7" i="27"/>
  <c r="P11" i="5"/>
  <c r="R11" i="5" s="1"/>
  <c r="P10" i="5"/>
  <c r="R10" i="5" s="1"/>
  <c r="P9" i="5"/>
  <c r="R9" i="5" s="1"/>
  <c r="F43" i="5"/>
  <c r="E43" i="5"/>
  <c r="D43" i="5"/>
  <c r="F26" i="5"/>
  <c r="E26" i="5"/>
  <c r="AJ57" i="27" s="1"/>
  <c r="D26" i="5"/>
  <c r="AJ56" i="27" s="1"/>
  <c r="F25" i="5"/>
  <c r="E25" i="5"/>
  <c r="D25" i="5"/>
  <c r="AI56" i="27" s="1"/>
  <c r="F24" i="5"/>
  <c r="AH56" i="28" s="1"/>
  <c r="E24" i="5"/>
  <c r="D24" i="5"/>
  <c r="AH56" i="27" s="1"/>
  <c r="D13" i="5"/>
  <c r="W56" i="27" s="1"/>
  <c r="F38" i="5"/>
  <c r="F17" i="5"/>
  <c r="AA58" i="27" s="1"/>
  <c r="F16" i="5"/>
  <c r="F12" i="5"/>
  <c r="V56" i="28" s="1"/>
  <c r="F11" i="5"/>
  <c r="M15" i="5"/>
  <c r="M7" i="5"/>
  <c r="D35" i="5" s="1"/>
  <c r="F44" i="5"/>
  <c r="E44" i="5"/>
  <c r="D44" i="5"/>
  <c r="F42" i="5"/>
  <c r="D42" i="5"/>
  <c r="F40" i="5"/>
  <c r="E40" i="5"/>
  <c r="D40" i="5"/>
  <c r="F23" i="5"/>
  <c r="AG58" i="27" s="1"/>
  <c r="D23" i="5"/>
  <c r="AG56" i="27" s="1"/>
  <c r="F20" i="5"/>
  <c r="AD56" i="28" s="1"/>
  <c r="E20" i="5"/>
  <c r="AD55" i="28" s="1"/>
  <c r="D20" i="5"/>
  <c r="AD56" i="27" s="1"/>
  <c r="E18" i="5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I5" i="43" l="1"/>
  <c r="BC57" i="43" s="1"/>
  <c r="I5" i="29"/>
  <c r="I5" i="28"/>
  <c r="P12" i="5"/>
  <c r="I5" i="30"/>
  <c r="I5" i="27"/>
  <c r="I5" i="35"/>
  <c r="I8" i="43"/>
  <c r="BD60" i="43" s="1"/>
  <c r="I8" i="35"/>
  <c r="I8" i="29"/>
  <c r="I8" i="28"/>
  <c r="I8" i="30"/>
  <c r="I8" i="27"/>
  <c r="I12" i="43"/>
  <c r="I12" i="35"/>
  <c r="I12" i="29"/>
  <c r="I12" i="28"/>
  <c r="I12" i="30"/>
  <c r="I12" i="27"/>
  <c r="I15" i="43"/>
  <c r="I15" i="35"/>
  <c r="I15" i="29"/>
  <c r="I15" i="28"/>
  <c r="I15" i="27"/>
  <c r="I15" i="30"/>
  <c r="I18" i="43"/>
  <c r="I18" i="30"/>
  <c r="I18" i="35"/>
  <c r="I18" i="27"/>
  <c r="I18" i="29"/>
  <c r="I18" i="28"/>
  <c r="I21" i="43"/>
  <c r="I21" i="29"/>
  <c r="I21" i="28"/>
  <c r="I21" i="30"/>
  <c r="I21" i="35"/>
  <c r="I21" i="27"/>
  <c r="I23" i="43"/>
  <c r="I23" i="28"/>
  <c r="I23" i="27"/>
  <c r="I23" i="29"/>
  <c r="I23" i="35"/>
  <c r="I23" i="30"/>
  <c r="I27" i="43"/>
  <c r="I27" i="35"/>
  <c r="I27" i="28"/>
  <c r="I27" i="27"/>
  <c r="I27" i="29"/>
  <c r="I27" i="30"/>
  <c r="I28" i="43"/>
  <c r="I28" i="27"/>
  <c r="I28" i="29"/>
  <c r="I28" i="35"/>
  <c r="I28" i="30"/>
  <c r="I28" i="28"/>
  <c r="I31" i="43"/>
  <c r="I31" i="35"/>
  <c r="I31" i="28"/>
  <c r="I31" i="27"/>
  <c r="I31" i="29"/>
  <c r="I31" i="30"/>
  <c r="I33" i="43"/>
  <c r="I33" i="35"/>
  <c r="I33" i="29"/>
  <c r="I33" i="30"/>
  <c r="I33" i="28"/>
  <c r="I33" i="27"/>
  <c r="I35" i="43"/>
  <c r="I35" i="35"/>
  <c r="I35" i="28"/>
  <c r="I35" i="27"/>
  <c r="I35" i="29"/>
  <c r="I35" i="30"/>
  <c r="I37" i="43"/>
  <c r="I37" i="35"/>
  <c r="I37" i="29"/>
  <c r="I37" i="30"/>
  <c r="I37" i="28"/>
  <c r="I37" i="27"/>
  <c r="I38" i="43"/>
  <c r="I38" i="30"/>
  <c r="I38" i="35"/>
  <c r="I38" i="27"/>
  <c r="I38" i="29"/>
  <c r="I38" i="28"/>
  <c r="I40" i="43"/>
  <c r="I40" i="27"/>
  <c r="I40" i="29"/>
  <c r="I40" i="35"/>
  <c r="I40" i="30"/>
  <c r="I40" i="28"/>
  <c r="I41" i="43"/>
  <c r="I41" i="35"/>
  <c r="I41" i="29"/>
  <c r="I41" i="30"/>
  <c r="I41" i="28"/>
  <c r="I41" i="27"/>
  <c r="I42" i="43"/>
  <c r="I42" i="30"/>
  <c r="I42" i="35"/>
  <c r="I42" i="27"/>
  <c r="I42" i="29"/>
  <c r="I42" i="28"/>
  <c r="I43" i="43"/>
  <c r="I43" i="35"/>
  <c r="I43" i="28"/>
  <c r="I43" i="27"/>
  <c r="I43" i="29"/>
  <c r="I43" i="30"/>
  <c r="I45" i="43"/>
  <c r="I45" i="35"/>
  <c r="I45" i="29"/>
  <c r="I45" i="30"/>
  <c r="I45" i="28"/>
  <c r="I45" i="27"/>
  <c r="I46" i="43"/>
  <c r="I46" i="30"/>
  <c r="I46" i="35"/>
  <c r="I46" i="27"/>
  <c r="I46" i="29"/>
  <c r="I46" i="28"/>
  <c r="I47" i="43"/>
  <c r="I47" i="35"/>
  <c r="I47" i="28"/>
  <c r="I47" i="27"/>
  <c r="I47" i="29"/>
  <c r="I47" i="30"/>
  <c r="I48" i="43"/>
  <c r="I48" i="27"/>
  <c r="I48" i="29"/>
  <c r="I48" i="35"/>
  <c r="I48" i="30"/>
  <c r="I48" i="28"/>
  <c r="I49" i="43"/>
  <c r="I49" i="35"/>
  <c r="I49" i="29"/>
  <c r="I49" i="30"/>
  <c r="I49" i="28"/>
  <c r="I49" i="27"/>
  <c r="I50" i="43"/>
  <c r="I50" i="30"/>
  <c r="I50" i="35"/>
  <c r="I50" i="27"/>
  <c r="I50" i="29"/>
  <c r="I50" i="28"/>
  <c r="M69" i="27" s="1"/>
  <c r="I51" i="43"/>
  <c r="I51" i="35"/>
  <c r="I51" i="28"/>
  <c r="I51" i="27"/>
  <c r="I51" i="29"/>
  <c r="I51" i="30"/>
  <c r="I5" i="44"/>
  <c r="AE47" i="44" s="1"/>
  <c r="I5" i="32"/>
  <c r="P14" i="5"/>
  <c r="I5" i="34"/>
  <c r="I5" i="33"/>
  <c r="I5" i="31"/>
  <c r="I6" i="44"/>
  <c r="I6" i="34"/>
  <c r="I6" i="33"/>
  <c r="I6" i="31"/>
  <c r="I6" i="32"/>
  <c r="I7" i="44"/>
  <c r="I7" i="34"/>
  <c r="I7" i="33"/>
  <c r="I7" i="31"/>
  <c r="I7" i="32"/>
  <c r="I8" i="44"/>
  <c r="I8" i="34"/>
  <c r="I8" i="33"/>
  <c r="I8" i="31"/>
  <c r="I8" i="32"/>
  <c r="I9" i="44"/>
  <c r="I9" i="32"/>
  <c r="I9" i="34"/>
  <c r="I9" i="33"/>
  <c r="I9" i="31"/>
  <c r="I10" i="44"/>
  <c r="I10" i="34"/>
  <c r="I10" i="33"/>
  <c r="I10" i="31"/>
  <c r="I10" i="32"/>
  <c r="I11" i="44"/>
  <c r="I11" i="34"/>
  <c r="I11" i="33"/>
  <c r="I11" i="31"/>
  <c r="I11" i="32"/>
  <c r="I12" i="44"/>
  <c r="I12" i="34"/>
  <c r="I12" i="33"/>
  <c r="I12" i="31"/>
  <c r="I12" i="32"/>
  <c r="I13" i="44"/>
  <c r="I13" i="32"/>
  <c r="I13" i="34"/>
  <c r="I13" i="33"/>
  <c r="I13" i="31"/>
  <c r="I14" i="44"/>
  <c r="I14" i="34"/>
  <c r="I14" i="33"/>
  <c r="I14" i="31"/>
  <c r="I14" i="32"/>
  <c r="I15" i="44"/>
  <c r="I15" i="34"/>
  <c r="I15" i="33"/>
  <c r="I15" i="31"/>
  <c r="I15" i="32"/>
  <c r="I16" i="44"/>
  <c r="I16" i="34"/>
  <c r="I16" i="33"/>
  <c r="I16" i="31"/>
  <c r="I16" i="32"/>
  <c r="I17" i="44"/>
  <c r="I17" i="32"/>
  <c r="I17" i="34"/>
  <c r="I17" i="33"/>
  <c r="I17" i="31"/>
  <c r="I18" i="44"/>
  <c r="I18" i="34"/>
  <c r="I18" i="33"/>
  <c r="I18" i="31"/>
  <c r="I18" i="32"/>
  <c r="I19" i="44"/>
  <c r="I19" i="34"/>
  <c r="I19" i="33"/>
  <c r="I19" i="31"/>
  <c r="I19" i="32"/>
  <c r="I20" i="44"/>
  <c r="I20" i="34"/>
  <c r="I20" i="33"/>
  <c r="I20" i="31"/>
  <c r="I20" i="32"/>
  <c r="I21" i="44"/>
  <c r="I21" i="32"/>
  <c r="I21" i="34"/>
  <c r="I21" i="33"/>
  <c r="I21" i="31"/>
  <c r="I22" i="44"/>
  <c r="I22" i="34"/>
  <c r="I22" i="33"/>
  <c r="I22" i="31"/>
  <c r="I22" i="32"/>
  <c r="I23" i="44"/>
  <c r="I23" i="34"/>
  <c r="I23" i="33"/>
  <c r="I23" i="31"/>
  <c r="I23" i="32"/>
  <c r="I24" i="44"/>
  <c r="I24" i="34"/>
  <c r="I24" i="33"/>
  <c r="I24" i="31"/>
  <c r="I24" i="32"/>
  <c r="I25" i="44"/>
  <c r="I25" i="32"/>
  <c r="I25" i="34"/>
  <c r="I25" i="33"/>
  <c r="I25" i="31"/>
  <c r="I26" i="44"/>
  <c r="I26" i="34"/>
  <c r="I26" i="33"/>
  <c r="I26" i="31"/>
  <c r="I26" i="32"/>
  <c r="I27" i="44"/>
  <c r="I27" i="34"/>
  <c r="I27" i="33"/>
  <c r="I27" i="31"/>
  <c r="I27" i="32"/>
  <c r="I28" i="44"/>
  <c r="I28" i="34"/>
  <c r="I28" i="33"/>
  <c r="I28" i="31"/>
  <c r="I28" i="32"/>
  <c r="I29" i="44"/>
  <c r="I29" i="32"/>
  <c r="I29" i="34"/>
  <c r="I29" i="33"/>
  <c r="I29" i="31"/>
  <c r="I30" i="44"/>
  <c r="I30" i="34"/>
  <c r="I30" i="33"/>
  <c r="I30" i="31"/>
  <c r="I30" i="32"/>
  <c r="I31" i="44"/>
  <c r="I31" i="34"/>
  <c r="I31" i="33"/>
  <c r="I31" i="31"/>
  <c r="I31" i="32"/>
  <c r="I32" i="44"/>
  <c r="I32" i="34"/>
  <c r="I32" i="33"/>
  <c r="I32" i="31"/>
  <c r="I32" i="32"/>
  <c r="I33" i="44"/>
  <c r="I33" i="32"/>
  <c r="I33" i="34"/>
  <c r="I33" i="33"/>
  <c r="I33" i="31"/>
  <c r="I34" i="44"/>
  <c r="I34" i="34"/>
  <c r="I34" i="33"/>
  <c r="I34" i="31"/>
  <c r="I34" i="32"/>
  <c r="I35" i="44"/>
  <c r="I35" i="34"/>
  <c r="I35" i="33"/>
  <c r="I35" i="31"/>
  <c r="I35" i="32"/>
  <c r="I36" i="44"/>
  <c r="I36" i="34"/>
  <c r="I36" i="33"/>
  <c r="I36" i="31"/>
  <c r="I36" i="32"/>
  <c r="I37" i="44"/>
  <c r="I37" i="32"/>
  <c r="I37" i="34"/>
  <c r="I37" i="33"/>
  <c r="I37" i="31"/>
  <c r="I38" i="44"/>
  <c r="I38" i="34"/>
  <c r="I38" i="33"/>
  <c r="I38" i="31"/>
  <c r="I38" i="32"/>
  <c r="I39" i="44"/>
  <c r="I39" i="34"/>
  <c r="I39" i="33"/>
  <c r="I39" i="31"/>
  <c r="I39" i="32"/>
  <c r="I40" i="44"/>
  <c r="I40" i="34"/>
  <c r="I40" i="33"/>
  <c r="I40" i="31"/>
  <c r="I40" i="32"/>
  <c r="I41" i="44"/>
  <c r="I41" i="32"/>
  <c r="I41" i="34"/>
  <c r="I41" i="33"/>
  <c r="I41" i="31"/>
  <c r="I6" i="43"/>
  <c r="BD58" i="43" s="1"/>
  <c r="I6" i="30"/>
  <c r="I6" i="27"/>
  <c r="I6" i="35"/>
  <c r="I6" i="29"/>
  <c r="I6" i="28"/>
  <c r="I9" i="43"/>
  <c r="I9" i="29"/>
  <c r="I9" i="28"/>
  <c r="I9" i="30"/>
  <c r="I9" i="27"/>
  <c r="I9" i="35"/>
  <c r="I11" i="43"/>
  <c r="I11" i="35"/>
  <c r="I11" i="29"/>
  <c r="I11" i="28"/>
  <c r="I11" i="30"/>
  <c r="I11" i="27"/>
  <c r="I14" i="43"/>
  <c r="I14" i="30"/>
  <c r="I14" i="27"/>
  <c r="I14" i="35"/>
  <c r="I14" i="29"/>
  <c r="I14" i="28"/>
  <c r="I17" i="43"/>
  <c r="I17" i="29"/>
  <c r="I17" i="28"/>
  <c r="I17" i="30"/>
  <c r="I17" i="35"/>
  <c r="I17" i="27"/>
  <c r="I20" i="43"/>
  <c r="I20" i="35"/>
  <c r="I20" i="27"/>
  <c r="I20" i="29"/>
  <c r="I20" i="28"/>
  <c r="I20" i="30"/>
  <c r="I22" i="43"/>
  <c r="I22" i="30"/>
  <c r="I22" i="35"/>
  <c r="I22" i="28"/>
  <c r="I22" i="27"/>
  <c r="I22" i="29"/>
  <c r="I25" i="43"/>
  <c r="I25" i="29"/>
  <c r="I25" i="28"/>
  <c r="I25" i="30"/>
  <c r="I25" i="35"/>
  <c r="I25" i="27"/>
  <c r="I29" i="43"/>
  <c r="I29" i="35"/>
  <c r="I29" i="29"/>
  <c r="I29" i="30"/>
  <c r="I29" i="28"/>
  <c r="I29" i="27"/>
  <c r="I34" i="43"/>
  <c r="I34" i="30"/>
  <c r="I34" i="35"/>
  <c r="I34" i="27"/>
  <c r="I34" i="29"/>
  <c r="I34" i="28"/>
  <c r="I39" i="43"/>
  <c r="I39" i="35"/>
  <c r="I39" i="28"/>
  <c r="I39" i="27"/>
  <c r="I39" i="29"/>
  <c r="I39" i="30"/>
  <c r="I7" i="43"/>
  <c r="AV59" i="43" s="1"/>
  <c r="I7" i="35"/>
  <c r="I7" i="29"/>
  <c r="I7" i="28"/>
  <c r="I7" i="30"/>
  <c r="I7" i="27"/>
  <c r="P13" i="5"/>
  <c r="P16" i="5" s="1"/>
  <c r="I10" i="43"/>
  <c r="I10" i="30"/>
  <c r="I10" i="27"/>
  <c r="I10" i="35"/>
  <c r="I10" i="29"/>
  <c r="I10" i="28"/>
  <c r="I13" i="43"/>
  <c r="I13" i="29"/>
  <c r="I13" i="28"/>
  <c r="I13" i="30"/>
  <c r="I13" i="27"/>
  <c r="I13" i="35"/>
  <c r="I16" i="43"/>
  <c r="I16" i="35"/>
  <c r="I16" i="29"/>
  <c r="I16" i="28"/>
  <c r="I16" i="27"/>
  <c r="I16" i="30"/>
  <c r="I19" i="43"/>
  <c r="I19" i="35"/>
  <c r="I19" i="27"/>
  <c r="I19" i="29"/>
  <c r="I19" i="28"/>
  <c r="I19" i="30"/>
  <c r="I24" i="43"/>
  <c r="I24" i="27"/>
  <c r="I24" i="35"/>
  <c r="I24" i="29"/>
  <c r="I24" i="30"/>
  <c r="I24" i="28"/>
  <c r="I26" i="43"/>
  <c r="I26" i="30"/>
  <c r="I26" i="35"/>
  <c r="I26" i="27"/>
  <c r="I26" i="29"/>
  <c r="I26" i="28"/>
  <c r="I30" i="43"/>
  <c r="I30" i="30"/>
  <c r="I30" i="35"/>
  <c r="I30" i="27"/>
  <c r="I30" i="29"/>
  <c r="I30" i="28"/>
  <c r="I32" i="43"/>
  <c r="I32" i="27"/>
  <c r="I32" i="29"/>
  <c r="I32" i="35"/>
  <c r="I32" i="30"/>
  <c r="I32" i="28"/>
  <c r="I36" i="43"/>
  <c r="I36" i="27"/>
  <c r="I36" i="29"/>
  <c r="I36" i="35"/>
  <c r="I36" i="30"/>
  <c r="I36" i="28"/>
  <c r="I44" i="43"/>
  <c r="I44" i="27"/>
  <c r="I44" i="29"/>
  <c r="I44" i="35"/>
  <c r="I44" i="30"/>
  <c r="I44" i="28"/>
  <c r="AJ3" i="37"/>
  <c r="AT3" i="37"/>
  <c r="M48" i="33"/>
  <c r="AT5" i="37"/>
  <c r="AJ6" i="37"/>
  <c r="AT6" i="37"/>
  <c r="AO3" i="37"/>
  <c r="AJ4" i="37"/>
  <c r="AT4" i="37"/>
  <c r="AO6" i="37"/>
  <c r="AA11" i="41"/>
  <c r="AA12" i="41"/>
  <c r="AA9" i="41"/>
  <c r="AJ5" i="37"/>
  <c r="AC62" i="38"/>
  <c r="AC64" i="38"/>
  <c r="AC66" i="38"/>
  <c r="AC68" i="38"/>
  <c r="AC70" i="38"/>
  <c r="AC72" i="38"/>
  <c r="AC159" i="38"/>
  <c r="AC161" i="38"/>
  <c r="AC163" i="38"/>
  <c r="AC165" i="38"/>
  <c r="AC167" i="38"/>
  <c r="AC169" i="38"/>
  <c r="AC51" i="38"/>
  <c r="AC53" i="38"/>
  <c r="AC55" i="38"/>
  <c r="AC57" i="38"/>
  <c r="AC59" i="38"/>
  <c r="AC61" i="38"/>
  <c r="AC75" i="38"/>
  <c r="AC77" i="38"/>
  <c r="AC79" i="38"/>
  <c r="AC82" i="38"/>
  <c r="AC84" i="38"/>
  <c r="AC86" i="38"/>
  <c r="AC88" i="38"/>
  <c r="AC359" i="38"/>
  <c r="AC363" i="38"/>
  <c r="AC364" i="38"/>
  <c r="AC365" i="38"/>
  <c r="AC366" i="38"/>
  <c r="AC367" i="38"/>
  <c r="AC368" i="38"/>
  <c r="J486" i="41"/>
  <c r="J490" i="41"/>
  <c r="M490" i="41" s="1"/>
  <c r="J494" i="41"/>
  <c r="M494" i="41" s="1"/>
  <c r="J497" i="41"/>
  <c r="M497" i="41" s="1"/>
  <c r="J502" i="41"/>
  <c r="M502" i="41" s="1"/>
  <c r="J505" i="41"/>
  <c r="M505" i="41" s="1"/>
  <c r="J510" i="41"/>
  <c r="M510" i="41" s="1"/>
  <c r="J513" i="41"/>
  <c r="M513" i="41" s="1"/>
  <c r="J518" i="41"/>
  <c r="M518" i="41" s="1"/>
  <c r="J521" i="41"/>
  <c r="M521" i="41" s="1"/>
  <c r="AI4" i="41"/>
  <c r="AI5" i="41"/>
  <c r="X6" i="41"/>
  <c r="AF6" i="41" s="1"/>
  <c r="J487" i="41"/>
  <c r="M487" i="41" s="1"/>
  <c r="J491" i="41"/>
  <c r="M491" i="41" s="1"/>
  <c r="J495" i="41"/>
  <c r="M495" i="41" s="1"/>
  <c r="J500" i="41"/>
  <c r="M500" i="41" s="1"/>
  <c r="J503" i="41"/>
  <c r="M503" i="41" s="1"/>
  <c r="J508" i="41"/>
  <c r="M508" i="41" s="1"/>
  <c r="J511" i="41"/>
  <c r="M511" i="41" s="1"/>
  <c r="J516" i="41"/>
  <c r="M516" i="41" s="1"/>
  <c r="J519" i="41"/>
  <c r="M519" i="41" s="1"/>
  <c r="AF5" i="41"/>
  <c r="AG6" i="41"/>
  <c r="AI6" i="41"/>
  <c r="AC39" i="38"/>
  <c r="AC47" i="38"/>
  <c r="AC182" i="38"/>
  <c r="AC186" i="38"/>
  <c r="AC190" i="38"/>
  <c r="AC194" i="38"/>
  <c r="AC198" i="38"/>
  <c r="AC234" i="38"/>
  <c r="AC238" i="38"/>
  <c r="AC242" i="38"/>
  <c r="AC246" i="38"/>
  <c r="AC250" i="38"/>
  <c r="AC254" i="38"/>
  <c r="AC258" i="38"/>
  <c r="AC262" i="38"/>
  <c r="AC266" i="38"/>
  <c r="AC127" i="38"/>
  <c r="AC128" i="38"/>
  <c r="AC130" i="38"/>
  <c r="AC131" i="38"/>
  <c r="AC132" i="38"/>
  <c r="AC133" i="38"/>
  <c r="AC134" i="38"/>
  <c r="AC135" i="38"/>
  <c r="AC136" i="38"/>
  <c r="AC137" i="38"/>
  <c r="AC138" i="38"/>
  <c r="AC139" i="38"/>
  <c r="AC140" i="38"/>
  <c r="AC141" i="38"/>
  <c r="AC142" i="38"/>
  <c r="AC143" i="38"/>
  <c r="AC144" i="38"/>
  <c r="AC145" i="38"/>
  <c r="AC146" i="38"/>
  <c r="AC147" i="38"/>
  <c r="AC148" i="38"/>
  <c r="AC149" i="38"/>
  <c r="AC150" i="38"/>
  <c r="AC151" i="38"/>
  <c r="AC152" i="38"/>
  <c r="AC153" i="38"/>
  <c r="AC154" i="38"/>
  <c r="AC155" i="38"/>
  <c r="AC156" i="38"/>
  <c r="AC157" i="38"/>
  <c r="AC358" i="38"/>
  <c r="AC362" i="38"/>
  <c r="J488" i="41"/>
  <c r="M488" i="41" s="1"/>
  <c r="J492" i="41"/>
  <c r="M492" i="41" s="1"/>
  <c r="J498" i="41"/>
  <c r="M498" i="41" s="1"/>
  <c r="J501" i="41"/>
  <c r="M501" i="41" s="1"/>
  <c r="J506" i="41"/>
  <c r="M506" i="41" s="1"/>
  <c r="J509" i="41"/>
  <c r="M509" i="41" s="1"/>
  <c r="J514" i="41"/>
  <c r="M514" i="41" s="1"/>
  <c r="J517" i="41"/>
  <c r="M517" i="41" s="1"/>
  <c r="AC170" i="38"/>
  <c r="AC171" i="38"/>
  <c r="AC172" i="38"/>
  <c r="AC173" i="38"/>
  <c r="AC174" i="38"/>
  <c r="AC175" i="38"/>
  <c r="AC177" i="38"/>
  <c r="AC178" i="38"/>
  <c r="AC179" i="38"/>
  <c r="AC180" i="38"/>
  <c r="AC181" i="38"/>
  <c r="J489" i="41"/>
  <c r="M489" i="41" s="1"/>
  <c r="J493" i="41"/>
  <c r="M493" i="41" s="1"/>
  <c r="J496" i="41"/>
  <c r="M496" i="41" s="1"/>
  <c r="J499" i="41"/>
  <c r="M499" i="41" s="1"/>
  <c r="J504" i="41"/>
  <c r="M504" i="41" s="1"/>
  <c r="J507" i="41"/>
  <c r="M507" i="41" s="1"/>
  <c r="J512" i="41"/>
  <c r="M512" i="41" s="1"/>
  <c r="J515" i="41"/>
  <c r="M515" i="41" s="1"/>
  <c r="AJ6" i="41"/>
  <c r="BC61" i="43"/>
  <c r="AY61" i="43"/>
  <c r="AU61" i="43"/>
  <c r="AQ61" i="43"/>
  <c r="AM61" i="43"/>
  <c r="AI61" i="43"/>
  <c r="BB61" i="43"/>
  <c r="AX61" i="43"/>
  <c r="AT61" i="43"/>
  <c r="AP61" i="43"/>
  <c r="AL61" i="43"/>
  <c r="BA61" i="43"/>
  <c r="AW61" i="43"/>
  <c r="AS61" i="43"/>
  <c r="AO61" i="43"/>
  <c r="AK61" i="43"/>
  <c r="BD65" i="43"/>
  <c r="AZ65" i="43"/>
  <c r="AV65" i="43"/>
  <c r="AR65" i="43"/>
  <c r="AN65" i="43"/>
  <c r="AJ65" i="43"/>
  <c r="BC65" i="43"/>
  <c r="AY65" i="43"/>
  <c r="AU65" i="43"/>
  <c r="AQ65" i="43"/>
  <c r="AM65" i="43"/>
  <c r="AI65" i="43"/>
  <c r="BB65" i="43"/>
  <c r="AX65" i="43"/>
  <c r="AT65" i="43"/>
  <c r="AP65" i="43"/>
  <c r="AL65" i="43"/>
  <c r="BA65" i="43"/>
  <c r="AW65" i="43"/>
  <c r="AS65" i="43"/>
  <c r="AO65" i="43"/>
  <c r="AK65" i="43"/>
  <c r="BD69" i="43"/>
  <c r="AZ69" i="43"/>
  <c r="AV69" i="43"/>
  <c r="AR69" i="43"/>
  <c r="AN69" i="43"/>
  <c r="AJ69" i="43"/>
  <c r="BC69" i="43"/>
  <c r="AY69" i="43"/>
  <c r="AU69" i="43"/>
  <c r="AQ69" i="43"/>
  <c r="AM69" i="43"/>
  <c r="AI69" i="43"/>
  <c r="BB69" i="43"/>
  <c r="AX69" i="43"/>
  <c r="AT69" i="43"/>
  <c r="AP69" i="43"/>
  <c r="AL69" i="43"/>
  <c r="BA69" i="43"/>
  <c r="AW69" i="43"/>
  <c r="AS69" i="43"/>
  <c r="AO69" i="43"/>
  <c r="AK69" i="43"/>
  <c r="BD73" i="43"/>
  <c r="AZ73" i="43"/>
  <c r="AV73" i="43"/>
  <c r="AR73" i="43"/>
  <c r="AN73" i="43"/>
  <c r="BC73" i="43"/>
  <c r="AY73" i="43"/>
  <c r="AU73" i="43"/>
  <c r="AQ73" i="43"/>
  <c r="AM73" i="43"/>
  <c r="AI73" i="43"/>
  <c r="BB73" i="43"/>
  <c r="AX73" i="43"/>
  <c r="AT73" i="43"/>
  <c r="AP73" i="43"/>
  <c r="AL73" i="43"/>
  <c r="BA73" i="43"/>
  <c r="AK73" i="43"/>
  <c r="AW73" i="43"/>
  <c r="AJ73" i="43"/>
  <c r="R73" i="43"/>
  <c r="AS73" i="43"/>
  <c r="AO73" i="43"/>
  <c r="P73" i="43"/>
  <c r="BA77" i="43"/>
  <c r="AW77" i="43"/>
  <c r="AS77" i="43"/>
  <c r="AO77" i="43"/>
  <c r="AK77" i="43"/>
  <c r="BD77" i="43"/>
  <c r="AZ77" i="43"/>
  <c r="AV77" i="43"/>
  <c r="AR77" i="43"/>
  <c r="AN77" i="43"/>
  <c r="AJ77" i="43"/>
  <c r="BC77" i="43"/>
  <c r="AY77" i="43"/>
  <c r="AU77" i="43"/>
  <c r="AQ77" i="43"/>
  <c r="AM77" i="43"/>
  <c r="AI77" i="43"/>
  <c r="BB77" i="43"/>
  <c r="AX77" i="43"/>
  <c r="AT77" i="43"/>
  <c r="AP77" i="43"/>
  <c r="AL77" i="43"/>
  <c r="BA81" i="43"/>
  <c r="AW81" i="43"/>
  <c r="AS81" i="43"/>
  <c r="AO81" i="43"/>
  <c r="AK81" i="43"/>
  <c r="P81" i="43"/>
  <c r="BD81" i="43"/>
  <c r="AZ81" i="43"/>
  <c r="AV81" i="43"/>
  <c r="AR81" i="43"/>
  <c r="AN81" i="43"/>
  <c r="AJ81" i="43"/>
  <c r="BC81" i="43"/>
  <c r="AY81" i="43"/>
  <c r="AU81" i="43"/>
  <c r="AQ81" i="43"/>
  <c r="AM81" i="43"/>
  <c r="AI81" i="43"/>
  <c r="R81" i="43"/>
  <c r="BB81" i="43"/>
  <c r="AX81" i="43"/>
  <c r="AT81" i="43"/>
  <c r="AP81" i="43"/>
  <c r="AL81" i="43"/>
  <c r="BA85" i="43"/>
  <c r="AW85" i="43"/>
  <c r="AS85" i="43"/>
  <c r="AO85" i="43"/>
  <c r="AK85" i="43"/>
  <c r="BD85" i="43"/>
  <c r="AZ85" i="43"/>
  <c r="AV85" i="43"/>
  <c r="AR85" i="43"/>
  <c r="AN85" i="43"/>
  <c r="AJ85" i="43"/>
  <c r="BC85" i="43"/>
  <c r="AY85" i="43"/>
  <c r="AU85" i="43"/>
  <c r="AQ85" i="43"/>
  <c r="AM85" i="43"/>
  <c r="AI85" i="43"/>
  <c r="BB85" i="43"/>
  <c r="AX85" i="43"/>
  <c r="AT85" i="43"/>
  <c r="AP85" i="43"/>
  <c r="AL85" i="43"/>
  <c r="BA89" i="43"/>
  <c r="AW89" i="43"/>
  <c r="AS89" i="43"/>
  <c r="AO89" i="43"/>
  <c r="AK89" i="43"/>
  <c r="BD89" i="43"/>
  <c r="AZ89" i="43"/>
  <c r="AV89" i="43"/>
  <c r="AR89" i="43"/>
  <c r="AN89" i="43"/>
  <c r="AJ89" i="43"/>
  <c r="BC89" i="43"/>
  <c r="AY89" i="43"/>
  <c r="AU89" i="43"/>
  <c r="AQ89" i="43"/>
  <c r="AM89" i="43"/>
  <c r="AI89" i="43"/>
  <c r="BB89" i="43"/>
  <c r="AX89" i="43"/>
  <c r="AT89" i="43"/>
  <c r="AP89" i="43"/>
  <c r="AL89" i="43"/>
  <c r="BA93" i="43"/>
  <c r="AW93" i="43"/>
  <c r="AS93" i="43"/>
  <c r="AO93" i="43"/>
  <c r="AK93" i="43"/>
  <c r="BD93" i="43"/>
  <c r="AZ93" i="43"/>
  <c r="AV93" i="43"/>
  <c r="AR93" i="43"/>
  <c r="AN93" i="43"/>
  <c r="AJ93" i="43"/>
  <c r="BC93" i="43"/>
  <c r="AY93" i="43"/>
  <c r="AU93" i="43"/>
  <c r="AQ93" i="43"/>
  <c r="AM93" i="43"/>
  <c r="AI93" i="43"/>
  <c r="BB93" i="43"/>
  <c r="AX93" i="43"/>
  <c r="AT93" i="43"/>
  <c r="AP93" i="43"/>
  <c r="AL93" i="43"/>
  <c r="BA97" i="43"/>
  <c r="AW97" i="43"/>
  <c r="AS97" i="43"/>
  <c r="AO97" i="43"/>
  <c r="AK97" i="43"/>
  <c r="BD97" i="43"/>
  <c r="AZ97" i="43"/>
  <c r="AV97" i="43"/>
  <c r="AR97" i="43"/>
  <c r="AN97" i="43"/>
  <c r="AJ97" i="43"/>
  <c r="BC97" i="43"/>
  <c r="AY97" i="43"/>
  <c r="AU97" i="43"/>
  <c r="AQ97" i="43"/>
  <c r="AM97" i="43"/>
  <c r="AI97" i="43"/>
  <c r="BB97" i="43"/>
  <c r="AX97" i="43"/>
  <c r="AT97" i="43"/>
  <c r="AP97" i="43"/>
  <c r="AL97" i="43"/>
  <c r="BA101" i="43"/>
  <c r="AW101" i="43"/>
  <c r="AS101" i="43"/>
  <c r="AO101" i="43"/>
  <c r="AK101" i="43"/>
  <c r="BD101" i="43"/>
  <c r="AZ101" i="43"/>
  <c r="AV101" i="43"/>
  <c r="AR101" i="43"/>
  <c r="AN101" i="43"/>
  <c r="AJ101" i="43"/>
  <c r="BC101" i="43"/>
  <c r="AY101" i="43"/>
  <c r="AU101" i="43"/>
  <c r="AQ101" i="43"/>
  <c r="AM101" i="43"/>
  <c r="AI101" i="43"/>
  <c r="BB101" i="43"/>
  <c r="AX101" i="43"/>
  <c r="AT101" i="43"/>
  <c r="AP101" i="43"/>
  <c r="AL101" i="43"/>
  <c r="AJ57" i="43"/>
  <c r="AN57" i="43"/>
  <c r="AR57" i="43"/>
  <c r="AV57" i="43"/>
  <c r="AZ57" i="43"/>
  <c r="BD57" i="43"/>
  <c r="AN58" i="43"/>
  <c r="AR59" i="43"/>
  <c r="AV60" i="43"/>
  <c r="AJ61" i="43"/>
  <c r="AZ61" i="43"/>
  <c r="BC58" i="43"/>
  <c r="AY58" i="43"/>
  <c r="AU58" i="43"/>
  <c r="AQ58" i="43"/>
  <c r="AM58" i="43"/>
  <c r="AI58" i="43"/>
  <c r="BB58" i="43"/>
  <c r="AX58" i="43"/>
  <c r="AT58" i="43"/>
  <c r="AP58" i="43"/>
  <c r="AL58" i="43"/>
  <c r="BA58" i="43"/>
  <c r="AW58" i="43"/>
  <c r="AS58" i="43"/>
  <c r="AO58" i="43"/>
  <c r="AK58" i="43"/>
  <c r="BD62" i="43"/>
  <c r="AZ62" i="43"/>
  <c r="AV62" i="43"/>
  <c r="AR62" i="43"/>
  <c r="AN62" i="43"/>
  <c r="AJ62" i="43"/>
  <c r="BC62" i="43"/>
  <c r="AY62" i="43"/>
  <c r="AU62" i="43"/>
  <c r="AQ62" i="43"/>
  <c r="AM62" i="43"/>
  <c r="AI62" i="43"/>
  <c r="BB62" i="43"/>
  <c r="AX62" i="43"/>
  <c r="AT62" i="43"/>
  <c r="AP62" i="43"/>
  <c r="AL62" i="43"/>
  <c r="BA62" i="43"/>
  <c r="AW62" i="43"/>
  <c r="AS62" i="43"/>
  <c r="AO62" i="43"/>
  <c r="AK62" i="43"/>
  <c r="BD66" i="43"/>
  <c r="AZ66" i="43"/>
  <c r="AV66" i="43"/>
  <c r="AR66" i="43"/>
  <c r="AN66" i="43"/>
  <c r="AJ66" i="43"/>
  <c r="BC66" i="43"/>
  <c r="AY66" i="43"/>
  <c r="AU66" i="43"/>
  <c r="AQ66" i="43"/>
  <c r="AM66" i="43"/>
  <c r="AI66" i="43"/>
  <c r="BB66" i="43"/>
  <c r="AX66" i="43"/>
  <c r="AT66" i="43"/>
  <c r="AP66" i="43"/>
  <c r="AL66" i="43"/>
  <c r="BA66" i="43"/>
  <c r="AW66" i="43"/>
  <c r="AS66" i="43"/>
  <c r="AO66" i="43"/>
  <c r="AK66" i="43"/>
  <c r="BD70" i="43"/>
  <c r="AZ70" i="43"/>
  <c r="AV70" i="43"/>
  <c r="AR70" i="43"/>
  <c r="AN70" i="43"/>
  <c r="AJ70" i="43"/>
  <c r="BC70" i="43"/>
  <c r="AY70" i="43"/>
  <c r="AU70" i="43"/>
  <c r="AQ70" i="43"/>
  <c r="AM70" i="43"/>
  <c r="AI70" i="43"/>
  <c r="BB70" i="43"/>
  <c r="AX70" i="43"/>
  <c r="AT70" i="43"/>
  <c r="AP70" i="43"/>
  <c r="AL70" i="43"/>
  <c r="BA70" i="43"/>
  <c r="AW70" i="43"/>
  <c r="AS70" i="43"/>
  <c r="AO70" i="43"/>
  <c r="AK70" i="43"/>
  <c r="BA74" i="43"/>
  <c r="AW74" i="43"/>
  <c r="AS74" i="43"/>
  <c r="AO74" i="43"/>
  <c r="AK74" i="43"/>
  <c r="BD74" i="43"/>
  <c r="AZ74" i="43"/>
  <c r="AV74" i="43"/>
  <c r="AR74" i="43"/>
  <c r="AN74" i="43"/>
  <c r="AJ74" i="43"/>
  <c r="BC74" i="43"/>
  <c r="AY74" i="43"/>
  <c r="AU74" i="43"/>
  <c r="AQ74" i="43"/>
  <c r="AM74" i="43"/>
  <c r="AI74" i="43"/>
  <c r="R74" i="43"/>
  <c r="BB74" i="43"/>
  <c r="AX74" i="43"/>
  <c r="AT74" i="43"/>
  <c r="AP74" i="43"/>
  <c r="AL74" i="43"/>
  <c r="P74" i="43"/>
  <c r="BA78" i="43"/>
  <c r="AW78" i="43"/>
  <c r="AS78" i="43"/>
  <c r="AO78" i="43"/>
  <c r="AK78" i="43"/>
  <c r="P78" i="43"/>
  <c r="BD78" i="43"/>
  <c r="AZ78" i="43"/>
  <c r="AV78" i="43"/>
  <c r="AR78" i="43"/>
  <c r="AN78" i="43"/>
  <c r="AJ78" i="43"/>
  <c r="BC78" i="43"/>
  <c r="AY78" i="43"/>
  <c r="AU78" i="43"/>
  <c r="AQ78" i="43"/>
  <c r="AM78" i="43"/>
  <c r="AI78" i="43"/>
  <c r="R78" i="43"/>
  <c r="BB78" i="43"/>
  <c r="AX78" i="43"/>
  <c r="AT78" i="43"/>
  <c r="AP78" i="43"/>
  <c r="AL78" i="43"/>
  <c r="BA82" i="43"/>
  <c r="AW82" i="43"/>
  <c r="AS82" i="43"/>
  <c r="AO82" i="43"/>
  <c r="AK82" i="43"/>
  <c r="BD82" i="43"/>
  <c r="AZ82" i="43"/>
  <c r="AV82" i="43"/>
  <c r="AR82" i="43"/>
  <c r="AN82" i="43"/>
  <c r="AJ82" i="43"/>
  <c r="BC82" i="43"/>
  <c r="AY82" i="43"/>
  <c r="AU82" i="43"/>
  <c r="AQ82" i="43"/>
  <c r="AM82" i="43"/>
  <c r="AI82" i="43"/>
  <c r="BB82" i="43"/>
  <c r="AX82" i="43"/>
  <c r="AT82" i="43"/>
  <c r="AP82" i="43"/>
  <c r="AL82" i="43"/>
  <c r="BA86" i="43"/>
  <c r="AW86" i="43"/>
  <c r="AS86" i="43"/>
  <c r="AO86" i="43"/>
  <c r="AK86" i="43"/>
  <c r="BD86" i="43"/>
  <c r="AZ86" i="43"/>
  <c r="AV86" i="43"/>
  <c r="AR86" i="43"/>
  <c r="AN86" i="43"/>
  <c r="AJ86" i="43"/>
  <c r="BC86" i="43"/>
  <c r="AY86" i="43"/>
  <c r="AU86" i="43"/>
  <c r="AQ86" i="43"/>
  <c r="AM86" i="43"/>
  <c r="AI86" i="43"/>
  <c r="BB86" i="43"/>
  <c r="AX86" i="43"/>
  <c r="AT86" i="43"/>
  <c r="AP86" i="43"/>
  <c r="AL86" i="43"/>
  <c r="BA90" i="43"/>
  <c r="AW90" i="43"/>
  <c r="AS90" i="43"/>
  <c r="AO90" i="43"/>
  <c r="AK90" i="43"/>
  <c r="BD90" i="43"/>
  <c r="AZ90" i="43"/>
  <c r="AV90" i="43"/>
  <c r="AR90" i="43"/>
  <c r="AN90" i="43"/>
  <c r="AJ90" i="43"/>
  <c r="BC90" i="43"/>
  <c r="AY90" i="43"/>
  <c r="AU90" i="43"/>
  <c r="AQ90" i="43"/>
  <c r="AM90" i="43"/>
  <c r="AI90" i="43"/>
  <c r="BB90" i="43"/>
  <c r="AX90" i="43"/>
  <c r="AT90" i="43"/>
  <c r="AP90" i="43"/>
  <c r="AL90" i="43"/>
  <c r="BA94" i="43"/>
  <c r="AW94" i="43"/>
  <c r="AS94" i="43"/>
  <c r="AO94" i="43"/>
  <c r="AK94" i="43"/>
  <c r="BD94" i="43"/>
  <c r="AZ94" i="43"/>
  <c r="AV94" i="43"/>
  <c r="AR94" i="43"/>
  <c r="AN94" i="43"/>
  <c r="AJ94" i="43"/>
  <c r="BC94" i="43"/>
  <c r="AY94" i="43"/>
  <c r="AU94" i="43"/>
  <c r="AQ94" i="43"/>
  <c r="AM94" i="43"/>
  <c r="AI94" i="43"/>
  <c r="BB94" i="43"/>
  <c r="AX94" i="43"/>
  <c r="AT94" i="43"/>
  <c r="AP94" i="43"/>
  <c r="AL94" i="43"/>
  <c r="BA98" i="43"/>
  <c r="AW98" i="43"/>
  <c r="AS98" i="43"/>
  <c r="AO98" i="43"/>
  <c r="AK98" i="43"/>
  <c r="BD98" i="43"/>
  <c r="AZ98" i="43"/>
  <c r="AV98" i="43"/>
  <c r="AR98" i="43"/>
  <c r="AN98" i="43"/>
  <c r="AJ98" i="43"/>
  <c r="BC98" i="43"/>
  <c r="AY98" i="43"/>
  <c r="AU98" i="43"/>
  <c r="AQ98" i="43"/>
  <c r="AM98" i="43"/>
  <c r="AI98" i="43"/>
  <c r="BB98" i="43"/>
  <c r="AX98" i="43"/>
  <c r="AT98" i="43"/>
  <c r="AP98" i="43"/>
  <c r="AL98" i="43"/>
  <c r="BA102" i="43"/>
  <c r="AW102" i="43"/>
  <c r="AS102" i="43"/>
  <c r="AO102" i="43"/>
  <c r="AK102" i="43"/>
  <c r="BD102" i="43"/>
  <c r="AZ102" i="43"/>
  <c r="AV102" i="43"/>
  <c r="AR102" i="43"/>
  <c r="AN102" i="43"/>
  <c r="AJ102" i="43"/>
  <c r="BC102" i="43"/>
  <c r="AY102" i="43"/>
  <c r="AU102" i="43"/>
  <c r="AQ102" i="43"/>
  <c r="AM102" i="43"/>
  <c r="AI102" i="43"/>
  <c r="BB102" i="43"/>
  <c r="AX102" i="43"/>
  <c r="AT102" i="43"/>
  <c r="AP102" i="43"/>
  <c r="AL102" i="43"/>
  <c r="AK57" i="43"/>
  <c r="AO57" i="43"/>
  <c r="AS57" i="43"/>
  <c r="AW57" i="43"/>
  <c r="BA57" i="43"/>
  <c r="AR58" i="43"/>
  <c r="AJ60" i="43"/>
  <c r="AZ60" i="43"/>
  <c r="AN61" i="43"/>
  <c r="BD61" i="43"/>
  <c r="BC59" i="43"/>
  <c r="AY59" i="43"/>
  <c r="AU59" i="43"/>
  <c r="AQ59" i="43"/>
  <c r="AM59" i="43"/>
  <c r="AI59" i="43"/>
  <c r="BB59" i="43"/>
  <c r="AX59" i="43"/>
  <c r="AT59" i="43"/>
  <c r="AP59" i="43"/>
  <c r="AL59" i="43"/>
  <c r="BA59" i="43"/>
  <c r="AW59" i="43"/>
  <c r="AS59" i="43"/>
  <c r="AO59" i="43"/>
  <c r="AK59" i="43"/>
  <c r="BD63" i="43"/>
  <c r="AZ63" i="43"/>
  <c r="AV63" i="43"/>
  <c r="AR63" i="43"/>
  <c r="AN63" i="43"/>
  <c r="AJ63" i="43"/>
  <c r="BC63" i="43"/>
  <c r="AY63" i="43"/>
  <c r="AU63" i="43"/>
  <c r="AQ63" i="43"/>
  <c r="AM63" i="43"/>
  <c r="AI63" i="43"/>
  <c r="BB63" i="43"/>
  <c r="AX63" i="43"/>
  <c r="AT63" i="43"/>
  <c r="AP63" i="43"/>
  <c r="AL63" i="43"/>
  <c r="BA63" i="43"/>
  <c r="AW63" i="43"/>
  <c r="P8" i="45" s="1"/>
  <c r="AS63" i="43"/>
  <c r="AO63" i="43"/>
  <c r="AK63" i="43"/>
  <c r="BD67" i="43"/>
  <c r="AZ67" i="43"/>
  <c r="AV67" i="43"/>
  <c r="AR67" i="43"/>
  <c r="AN67" i="43"/>
  <c r="AJ67" i="43"/>
  <c r="BC67" i="43"/>
  <c r="AY67" i="43"/>
  <c r="AU67" i="43"/>
  <c r="AQ67" i="43"/>
  <c r="AM67" i="43"/>
  <c r="AI67" i="43"/>
  <c r="BB67" i="43"/>
  <c r="AX67" i="43"/>
  <c r="AT67" i="43"/>
  <c r="AP67" i="43"/>
  <c r="AL67" i="43"/>
  <c r="BA67" i="43"/>
  <c r="AW67" i="43"/>
  <c r="AS67" i="43"/>
  <c r="AO67" i="43"/>
  <c r="AK67" i="43"/>
  <c r="BD71" i="43"/>
  <c r="AZ71" i="43"/>
  <c r="AV71" i="43"/>
  <c r="AR71" i="43"/>
  <c r="AN71" i="43"/>
  <c r="AJ71" i="43"/>
  <c r="BC71" i="43"/>
  <c r="AY71" i="43"/>
  <c r="AU71" i="43"/>
  <c r="AQ71" i="43"/>
  <c r="AM71" i="43"/>
  <c r="AI71" i="43"/>
  <c r="BB71" i="43"/>
  <c r="AX71" i="43"/>
  <c r="AT71" i="43"/>
  <c r="AP71" i="43"/>
  <c r="AL71" i="43"/>
  <c r="BA71" i="43"/>
  <c r="AW71" i="43"/>
  <c r="AS71" i="43"/>
  <c r="AO71" i="43"/>
  <c r="AK71" i="43"/>
  <c r="BA75" i="43"/>
  <c r="AW75" i="43"/>
  <c r="AS75" i="43"/>
  <c r="AO75" i="43"/>
  <c r="AK75" i="43"/>
  <c r="P75" i="43"/>
  <c r="BD75" i="43"/>
  <c r="AZ75" i="43"/>
  <c r="AV75" i="43"/>
  <c r="AR75" i="43"/>
  <c r="AN75" i="43"/>
  <c r="AJ75" i="43"/>
  <c r="BC75" i="43"/>
  <c r="AY75" i="43"/>
  <c r="AU75" i="43"/>
  <c r="AQ75" i="43"/>
  <c r="AM75" i="43"/>
  <c r="AI75" i="43"/>
  <c r="R75" i="43"/>
  <c r="BB75" i="43"/>
  <c r="AX75" i="43"/>
  <c r="AT75" i="43"/>
  <c r="AP75" i="43"/>
  <c r="AL75" i="43"/>
  <c r="BA79" i="43"/>
  <c r="AW79" i="43"/>
  <c r="AS79" i="43"/>
  <c r="AO79" i="43"/>
  <c r="AK79" i="43"/>
  <c r="P79" i="43"/>
  <c r="BD79" i="43"/>
  <c r="AZ79" i="43"/>
  <c r="AV79" i="43"/>
  <c r="AR79" i="43"/>
  <c r="AN79" i="43"/>
  <c r="AJ79" i="43"/>
  <c r="BC79" i="43"/>
  <c r="AY79" i="43"/>
  <c r="AU79" i="43"/>
  <c r="AQ79" i="43"/>
  <c r="AM79" i="43"/>
  <c r="AI79" i="43"/>
  <c r="R79" i="43"/>
  <c r="BB79" i="43"/>
  <c r="AX79" i="43"/>
  <c r="AT79" i="43"/>
  <c r="AP79" i="43"/>
  <c r="AL79" i="43"/>
  <c r="BA83" i="43"/>
  <c r="AW83" i="43"/>
  <c r="AS83" i="43"/>
  <c r="AO83" i="43"/>
  <c r="AK83" i="43"/>
  <c r="BD83" i="43"/>
  <c r="AZ83" i="43"/>
  <c r="AV83" i="43"/>
  <c r="AR83" i="43"/>
  <c r="AN83" i="43"/>
  <c r="AJ83" i="43"/>
  <c r="BC83" i="43"/>
  <c r="AY83" i="43"/>
  <c r="AU83" i="43"/>
  <c r="AQ83" i="43"/>
  <c r="AM83" i="43"/>
  <c r="AI83" i="43"/>
  <c r="BB83" i="43"/>
  <c r="AX83" i="43"/>
  <c r="AT83" i="43"/>
  <c r="AP83" i="43"/>
  <c r="AL83" i="43"/>
  <c r="BA87" i="43"/>
  <c r="AW87" i="43"/>
  <c r="AS87" i="43"/>
  <c r="AO87" i="43"/>
  <c r="AK87" i="43"/>
  <c r="BD87" i="43"/>
  <c r="AZ87" i="43"/>
  <c r="AV87" i="43"/>
  <c r="AR87" i="43"/>
  <c r="AN87" i="43"/>
  <c r="AJ87" i="43"/>
  <c r="BC87" i="43"/>
  <c r="AY87" i="43"/>
  <c r="AU87" i="43"/>
  <c r="AQ87" i="43"/>
  <c r="AM87" i="43"/>
  <c r="AI87" i="43"/>
  <c r="BB87" i="43"/>
  <c r="AX87" i="43"/>
  <c r="AT87" i="43"/>
  <c r="AP87" i="43"/>
  <c r="AL87" i="43"/>
  <c r="BA91" i="43"/>
  <c r="AW91" i="43"/>
  <c r="AS91" i="43"/>
  <c r="AO91" i="43"/>
  <c r="AK91" i="43"/>
  <c r="BD91" i="43"/>
  <c r="AZ91" i="43"/>
  <c r="AV91" i="43"/>
  <c r="AR91" i="43"/>
  <c r="AN91" i="43"/>
  <c r="AJ91" i="43"/>
  <c r="BC91" i="43"/>
  <c r="AY91" i="43"/>
  <c r="AU91" i="43"/>
  <c r="AQ91" i="43"/>
  <c r="AM91" i="43"/>
  <c r="AI91" i="43"/>
  <c r="BB91" i="43"/>
  <c r="AX91" i="43"/>
  <c r="AT91" i="43"/>
  <c r="AP91" i="43"/>
  <c r="AL91" i="43"/>
  <c r="BA95" i="43"/>
  <c r="AW95" i="43"/>
  <c r="AS95" i="43"/>
  <c r="AO95" i="43"/>
  <c r="AK95" i="43"/>
  <c r="BD95" i="43"/>
  <c r="AZ95" i="43"/>
  <c r="AV95" i="43"/>
  <c r="AR95" i="43"/>
  <c r="AN95" i="43"/>
  <c r="AJ95" i="43"/>
  <c r="BC95" i="43"/>
  <c r="AY95" i="43"/>
  <c r="AU95" i="43"/>
  <c r="AQ95" i="43"/>
  <c r="AM95" i="43"/>
  <c r="AI95" i="43"/>
  <c r="BB95" i="43"/>
  <c r="AX95" i="43"/>
  <c r="AT95" i="43"/>
  <c r="AP95" i="43"/>
  <c r="AL95" i="43"/>
  <c r="BA99" i="43"/>
  <c r="AW99" i="43"/>
  <c r="AS99" i="43"/>
  <c r="AO99" i="43"/>
  <c r="AK99" i="43"/>
  <c r="BD99" i="43"/>
  <c r="AZ99" i="43"/>
  <c r="AV99" i="43"/>
  <c r="AR99" i="43"/>
  <c r="AN99" i="43"/>
  <c r="AJ99" i="43"/>
  <c r="BC99" i="43"/>
  <c r="AY99" i="43"/>
  <c r="AU99" i="43"/>
  <c r="AQ99" i="43"/>
  <c r="AM99" i="43"/>
  <c r="AI99" i="43"/>
  <c r="BB99" i="43"/>
  <c r="AX99" i="43"/>
  <c r="AT99" i="43"/>
  <c r="AP99" i="43"/>
  <c r="AL99" i="43"/>
  <c r="BA103" i="43"/>
  <c r="AW103" i="43"/>
  <c r="AS103" i="43"/>
  <c r="AO103" i="43"/>
  <c r="AK103" i="43"/>
  <c r="BD103" i="43"/>
  <c r="AZ103" i="43"/>
  <c r="AV103" i="43"/>
  <c r="AR103" i="43"/>
  <c r="AN103" i="43"/>
  <c r="AJ103" i="43"/>
  <c r="BC103" i="43"/>
  <c r="AY103" i="43"/>
  <c r="AU103" i="43"/>
  <c r="AQ103" i="43"/>
  <c r="AM103" i="43"/>
  <c r="AI103" i="43"/>
  <c r="BB103" i="43"/>
  <c r="AX103" i="43"/>
  <c r="AT103" i="43"/>
  <c r="AP103" i="43"/>
  <c r="AL103" i="43"/>
  <c r="AL57" i="43"/>
  <c r="AP57" i="43"/>
  <c r="AT57" i="43"/>
  <c r="AX57" i="43"/>
  <c r="BB57" i="43"/>
  <c r="AV58" i="43"/>
  <c r="AJ59" i="43"/>
  <c r="AZ59" i="43"/>
  <c r="AN60" i="43"/>
  <c r="AR61" i="43"/>
  <c r="BC60" i="43"/>
  <c r="AY60" i="43"/>
  <c r="AU60" i="43"/>
  <c r="AQ60" i="43"/>
  <c r="AM60" i="43"/>
  <c r="AI60" i="43"/>
  <c r="BB60" i="43"/>
  <c r="AX60" i="43"/>
  <c r="AT60" i="43"/>
  <c r="AP60" i="43"/>
  <c r="I8" i="45" s="1"/>
  <c r="AL60" i="43"/>
  <c r="BA60" i="43"/>
  <c r="AW60" i="43"/>
  <c r="AS60" i="43"/>
  <c r="AO60" i="43"/>
  <c r="AK60" i="43"/>
  <c r="BD64" i="43"/>
  <c r="AZ64" i="43"/>
  <c r="AV64" i="43"/>
  <c r="AR64" i="43"/>
  <c r="AN64" i="43"/>
  <c r="AJ64" i="43"/>
  <c r="BC64" i="43"/>
  <c r="AY64" i="43"/>
  <c r="AU64" i="43"/>
  <c r="AQ64" i="43"/>
  <c r="AM64" i="43"/>
  <c r="AI64" i="43"/>
  <c r="BB64" i="43"/>
  <c r="AX64" i="43"/>
  <c r="AT64" i="43"/>
  <c r="AP64" i="43"/>
  <c r="AL64" i="43"/>
  <c r="BA64" i="43"/>
  <c r="AW64" i="43"/>
  <c r="AS64" i="43"/>
  <c r="AO64" i="43"/>
  <c r="H8" i="45" s="1"/>
  <c r="AK64" i="43"/>
  <c r="BD68" i="43"/>
  <c r="AZ68" i="43"/>
  <c r="AV68" i="43"/>
  <c r="AR68" i="43"/>
  <c r="AN68" i="43"/>
  <c r="AJ68" i="43"/>
  <c r="BC68" i="43"/>
  <c r="AY68" i="43"/>
  <c r="AU68" i="43"/>
  <c r="AQ68" i="43"/>
  <c r="AM68" i="43"/>
  <c r="AI68" i="43"/>
  <c r="BB68" i="43"/>
  <c r="AX68" i="43"/>
  <c r="AT68" i="43"/>
  <c r="AP68" i="43"/>
  <c r="AL68" i="43"/>
  <c r="BA68" i="43"/>
  <c r="AW68" i="43"/>
  <c r="AS68" i="43"/>
  <c r="AO68" i="43"/>
  <c r="AK68" i="43"/>
  <c r="BD72" i="43"/>
  <c r="AZ72" i="43"/>
  <c r="AV72" i="43"/>
  <c r="AR72" i="43"/>
  <c r="AN72" i="43"/>
  <c r="AJ72" i="43"/>
  <c r="BC72" i="43"/>
  <c r="AY72" i="43"/>
  <c r="AU72" i="43"/>
  <c r="AQ72" i="43"/>
  <c r="AM72" i="43"/>
  <c r="AI72" i="43"/>
  <c r="BB72" i="43"/>
  <c r="AX72" i="43"/>
  <c r="AT72" i="43"/>
  <c r="AP72" i="43"/>
  <c r="AL72" i="43"/>
  <c r="BA72" i="43"/>
  <c r="AW72" i="43"/>
  <c r="AS72" i="43"/>
  <c r="AO72" i="43"/>
  <c r="AK72" i="43"/>
  <c r="BA76" i="43"/>
  <c r="AW76" i="43"/>
  <c r="AS76" i="43"/>
  <c r="AO76" i="43"/>
  <c r="AK76" i="43"/>
  <c r="P76" i="43"/>
  <c r="BD76" i="43"/>
  <c r="AZ76" i="43"/>
  <c r="AV76" i="43"/>
  <c r="AR76" i="43"/>
  <c r="AN76" i="43"/>
  <c r="AJ76" i="43"/>
  <c r="BC76" i="43"/>
  <c r="AY76" i="43"/>
  <c r="AU76" i="43"/>
  <c r="AQ76" i="43"/>
  <c r="AM76" i="43"/>
  <c r="AI76" i="43"/>
  <c r="R76" i="43"/>
  <c r="BB76" i="43"/>
  <c r="AX76" i="43"/>
  <c r="AT76" i="43"/>
  <c r="AP76" i="43"/>
  <c r="AL76" i="43"/>
  <c r="BA80" i="43"/>
  <c r="AW80" i="43"/>
  <c r="AS80" i="43"/>
  <c r="AO80" i="43"/>
  <c r="AK80" i="43"/>
  <c r="P80" i="43"/>
  <c r="BD80" i="43"/>
  <c r="AZ80" i="43"/>
  <c r="AV80" i="43"/>
  <c r="AR80" i="43"/>
  <c r="AN80" i="43"/>
  <c r="AJ80" i="43"/>
  <c r="BC80" i="43"/>
  <c r="AY80" i="43"/>
  <c r="AU80" i="43"/>
  <c r="AQ80" i="43"/>
  <c r="AM80" i="43"/>
  <c r="AI80" i="43"/>
  <c r="R80" i="43"/>
  <c r="BB80" i="43"/>
  <c r="AX80" i="43"/>
  <c r="AT80" i="43"/>
  <c r="AP80" i="43"/>
  <c r="AL80" i="43"/>
  <c r="BA84" i="43"/>
  <c r="AW84" i="43"/>
  <c r="AS84" i="43"/>
  <c r="AO84" i="43"/>
  <c r="AK84" i="43"/>
  <c r="BD84" i="43"/>
  <c r="AZ84" i="43"/>
  <c r="AV84" i="43"/>
  <c r="AR84" i="43"/>
  <c r="AN84" i="43"/>
  <c r="AJ84" i="43"/>
  <c r="BC84" i="43"/>
  <c r="AY84" i="43"/>
  <c r="AU84" i="43"/>
  <c r="AQ84" i="43"/>
  <c r="AM84" i="43"/>
  <c r="AI84" i="43"/>
  <c r="BB84" i="43"/>
  <c r="AX84" i="43"/>
  <c r="AT84" i="43"/>
  <c r="AP84" i="43"/>
  <c r="AL84" i="43"/>
  <c r="BA88" i="43"/>
  <c r="AW88" i="43"/>
  <c r="AS88" i="43"/>
  <c r="AO88" i="43"/>
  <c r="AK88" i="43"/>
  <c r="BD88" i="43"/>
  <c r="AZ88" i="43"/>
  <c r="AV88" i="43"/>
  <c r="AR88" i="43"/>
  <c r="AN88" i="43"/>
  <c r="AJ88" i="43"/>
  <c r="BC88" i="43"/>
  <c r="AY88" i="43"/>
  <c r="AU88" i="43"/>
  <c r="AQ88" i="43"/>
  <c r="AM88" i="43"/>
  <c r="AI88" i="43"/>
  <c r="BB88" i="43"/>
  <c r="AX88" i="43"/>
  <c r="AT88" i="43"/>
  <c r="AP88" i="43"/>
  <c r="AL88" i="43"/>
  <c r="BA92" i="43"/>
  <c r="AW92" i="43"/>
  <c r="AS92" i="43"/>
  <c r="AO92" i="43"/>
  <c r="AK92" i="43"/>
  <c r="BD92" i="43"/>
  <c r="AZ92" i="43"/>
  <c r="AV92" i="43"/>
  <c r="AR92" i="43"/>
  <c r="AN92" i="43"/>
  <c r="AJ92" i="43"/>
  <c r="BC92" i="43"/>
  <c r="AY92" i="43"/>
  <c r="AU92" i="43"/>
  <c r="AQ92" i="43"/>
  <c r="AM92" i="43"/>
  <c r="AI92" i="43"/>
  <c r="BB92" i="43"/>
  <c r="AX92" i="43"/>
  <c r="AT92" i="43"/>
  <c r="AP92" i="43"/>
  <c r="AL92" i="43"/>
  <c r="BA96" i="43"/>
  <c r="AW96" i="43"/>
  <c r="AS96" i="43"/>
  <c r="AO96" i="43"/>
  <c r="AK96" i="43"/>
  <c r="BD96" i="43"/>
  <c r="AZ96" i="43"/>
  <c r="AV96" i="43"/>
  <c r="AR96" i="43"/>
  <c r="AN96" i="43"/>
  <c r="AJ96" i="43"/>
  <c r="BC96" i="43"/>
  <c r="AY96" i="43"/>
  <c r="AU96" i="43"/>
  <c r="AQ96" i="43"/>
  <c r="AM96" i="43"/>
  <c r="AI96" i="43"/>
  <c r="BB96" i="43"/>
  <c r="AX96" i="43"/>
  <c r="AT96" i="43"/>
  <c r="AP96" i="43"/>
  <c r="AL96" i="43"/>
  <c r="BA100" i="43"/>
  <c r="AW100" i="43"/>
  <c r="AS100" i="43"/>
  <c r="AO100" i="43"/>
  <c r="AK100" i="43"/>
  <c r="BD100" i="43"/>
  <c r="AZ100" i="43"/>
  <c r="AV100" i="43"/>
  <c r="AR100" i="43"/>
  <c r="AN100" i="43"/>
  <c r="AJ100" i="43"/>
  <c r="BC100" i="43"/>
  <c r="AY100" i="43"/>
  <c r="AU100" i="43"/>
  <c r="AQ100" i="43"/>
  <c r="AM100" i="43"/>
  <c r="AI100" i="43"/>
  <c r="BB100" i="43"/>
  <c r="AX100" i="43"/>
  <c r="AT100" i="43"/>
  <c r="AP100" i="43"/>
  <c r="AL100" i="43"/>
  <c r="AI57" i="43"/>
  <c r="AM57" i="43"/>
  <c r="AQ57" i="43"/>
  <c r="AU57" i="43"/>
  <c r="AY57" i="43"/>
  <c r="AJ58" i="43"/>
  <c r="AZ58" i="43"/>
  <c r="AN59" i="43"/>
  <c r="BD59" i="43"/>
  <c r="AR60" i="43"/>
  <c r="AV61" i="43"/>
  <c r="AE48" i="44"/>
  <c r="J10" i="46" s="1"/>
  <c r="AA48" i="44"/>
  <c r="AD48" i="44"/>
  <c r="Z48" i="44"/>
  <c r="AC48" i="44"/>
  <c r="Y48" i="44"/>
  <c r="AF48" i="44"/>
  <c r="AB48" i="44"/>
  <c r="X48" i="44"/>
  <c r="AE52" i="44"/>
  <c r="AA52" i="44"/>
  <c r="W52" i="44"/>
  <c r="AD52" i="44"/>
  <c r="Z52" i="44"/>
  <c r="AC52" i="44"/>
  <c r="Y52" i="44"/>
  <c r="AF52" i="44"/>
  <c r="AB52" i="44"/>
  <c r="X52" i="44"/>
  <c r="AE56" i="44"/>
  <c r="AA56" i="44"/>
  <c r="W56" i="44"/>
  <c r="AD56" i="44"/>
  <c r="Z56" i="44"/>
  <c r="AC56" i="44"/>
  <c r="Y56" i="44"/>
  <c r="AF56" i="44"/>
  <c r="AB56" i="44"/>
  <c r="X56" i="44"/>
  <c r="AC60" i="44"/>
  <c r="Y60" i="44"/>
  <c r="AF60" i="44"/>
  <c r="AB60" i="44"/>
  <c r="X60" i="44"/>
  <c r="Z60" i="44"/>
  <c r="AE60" i="44"/>
  <c r="W60" i="44"/>
  <c r="AD60" i="44"/>
  <c r="AA60" i="44"/>
  <c r="AC64" i="44"/>
  <c r="Y64" i="44"/>
  <c r="AF64" i="44"/>
  <c r="AB64" i="44"/>
  <c r="X64" i="44"/>
  <c r="Z64" i="44"/>
  <c r="AE64" i="44"/>
  <c r="W64" i="44"/>
  <c r="AD64" i="44"/>
  <c r="AA64" i="44"/>
  <c r="AD68" i="44"/>
  <c r="Z68" i="44"/>
  <c r="AC68" i="44"/>
  <c r="Y68" i="44"/>
  <c r="AF68" i="44"/>
  <c r="AB68" i="44"/>
  <c r="X68" i="44"/>
  <c r="AE68" i="44"/>
  <c r="AA68" i="44"/>
  <c r="W68" i="44"/>
  <c r="AC72" i="44"/>
  <c r="Y72" i="44"/>
  <c r="AF72" i="44"/>
  <c r="AB72" i="44"/>
  <c r="X72" i="44"/>
  <c r="Z72" i="44"/>
  <c r="AE72" i="44"/>
  <c r="W72" i="44"/>
  <c r="AD72" i="44"/>
  <c r="AA72" i="44"/>
  <c r="AC76" i="44"/>
  <c r="Y76" i="44"/>
  <c r="AF76" i="44"/>
  <c r="AB76" i="44"/>
  <c r="X76" i="44"/>
  <c r="Z76" i="44"/>
  <c r="AE76" i="44"/>
  <c r="W76" i="44"/>
  <c r="AD76" i="44"/>
  <c r="AA76" i="44"/>
  <c r="AC80" i="44"/>
  <c r="Y80" i="44"/>
  <c r="AF80" i="44"/>
  <c r="AB80" i="44"/>
  <c r="X80" i="44"/>
  <c r="Z80" i="44"/>
  <c r="AE80" i="44"/>
  <c r="W80" i="44"/>
  <c r="AD80" i="44"/>
  <c r="AA80" i="44"/>
  <c r="W47" i="44"/>
  <c r="AE49" i="44"/>
  <c r="AA49" i="44"/>
  <c r="W49" i="44"/>
  <c r="AD49" i="44"/>
  <c r="Z49" i="44"/>
  <c r="AC49" i="44"/>
  <c r="Y49" i="44"/>
  <c r="AF49" i="44"/>
  <c r="AB49" i="44"/>
  <c r="X49" i="44"/>
  <c r="AE53" i="44"/>
  <c r="AA53" i="44"/>
  <c r="W53" i="44"/>
  <c r="AD53" i="44"/>
  <c r="Z53" i="44"/>
  <c r="AC53" i="44"/>
  <c r="Y53" i="44"/>
  <c r="AF53" i="44"/>
  <c r="AB53" i="44"/>
  <c r="X53" i="44"/>
  <c r="AE57" i="44"/>
  <c r="AA57" i="44"/>
  <c r="W57" i="44"/>
  <c r="AD57" i="44"/>
  <c r="Z57" i="44"/>
  <c r="AC57" i="44"/>
  <c r="Y57" i="44"/>
  <c r="AF57" i="44"/>
  <c r="AB57" i="44"/>
  <c r="X57" i="44"/>
  <c r="AC61" i="44"/>
  <c r="Y61" i="44"/>
  <c r="AF61" i="44"/>
  <c r="AB61" i="44"/>
  <c r="X61" i="44"/>
  <c r="AD61" i="44"/>
  <c r="AA61" i="44"/>
  <c r="Z61" i="44"/>
  <c r="AE61" i="44"/>
  <c r="W61" i="44"/>
  <c r="AC65" i="44"/>
  <c r="Y65" i="44"/>
  <c r="AF65" i="44"/>
  <c r="AB65" i="44"/>
  <c r="X65" i="44"/>
  <c r="AD65" i="44"/>
  <c r="AA65" i="44"/>
  <c r="Z65" i="44"/>
  <c r="AE65" i="44"/>
  <c r="W65" i="44"/>
  <c r="AC69" i="44"/>
  <c r="Y69" i="44"/>
  <c r="AF69" i="44"/>
  <c r="AB69" i="44"/>
  <c r="X69" i="44"/>
  <c r="AD69" i="44"/>
  <c r="AA69" i="44"/>
  <c r="Z69" i="44"/>
  <c r="AE69" i="44"/>
  <c r="W69" i="44"/>
  <c r="AC73" i="44"/>
  <c r="Y73" i="44"/>
  <c r="AF73" i="44"/>
  <c r="AB73" i="44"/>
  <c r="X73" i="44"/>
  <c r="AD73" i="44"/>
  <c r="AA73" i="44"/>
  <c r="Z73" i="44"/>
  <c r="AE73" i="44"/>
  <c r="W73" i="44"/>
  <c r="AC77" i="44"/>
  <c r="Y77" i="44"/>
  <c r="AF77" i="44"/>
  <c r="AB77" i="44"/>
  <c r="X77" i="44"/>
  <c r="AD77" i="44"/>
  <c r="AA77" i="44"/>
  <c r="Z77" i="44"/>
  <c r="AE77" i="44"/>
  <c r="W77" i="44"/>
  <c r="AC81" i="44"/>
  <c r="Y81" i="44"/>
  <c r="AF81" i="44"/>
  <c r="AB81" i="44"/>
  <c r="X81" i="44"/>
  <c r="AD81" i="44"/>
  <c r="AA81" i="44"/>
  <c r="Z81" i="44"/>
  <c r="AE81" i="44"/>
  <c r="W81" i="44"/>
  <c r="AA47" i="44"/>
  <c r="W48" i="44"/>
  <c r="AE50" i="44"/>
  <c r="AA50" i="44"/>
  <c r="W50" i="44"/>
  <c r="AD50" i="44"/>
  <c r="Z50" i="44"/>
  <c r="AC50" i="44"/>
  <c r="Y50" i="44"/>
  <c r="AF50" i="44"/>
  <c r="AB50" i="44"/>
  <c r="X50" i="44"/>
  <c r="AE54" i="44"/>
  <c r="AA54" i="44"/>
  <c r="W54" i="44"/>
  <c r="AD54" i="44"/>
  <c r="Z54" i="44"/>
  <c r="AC54" i="44"/>
  <c r="Y54" i="44"/>
  <c r="AF54" i="44"/>
  <c r="AB54" i="44"/>
  <c r="X54" i="44"/>
  <c r="AC58" i="44"/>
  <c r="Y58" i="44"/>
  <c r="AF58" i="44"/>
  <c r="AA58" i="44"/>
  <c r="AE58" i="44"/>
  <c r="Z58" i="44"/>
  <c r="AD58" i="44"/>
  <c r="X58" i="44"/>
  <c r="AB58" i="44"/>
  <c r="W58" i="44"/>
  <c r="AC62" i="44"/>
  <c r="Y62" i="44"/>
  <c r="AF62" i="44"/>
  <c r="AB62" i="44"/>
  <c r="X62" i="44"/>
  <c r="Z62" i="44"/>
  <c r="AE62" i="44"/>
  <c r="W62" i="44"/>
  <c r="AD62" i="44"/>
  <c r="AA62" i="44"/>
  <c r="AC66" i="44"/>
  <c r="Y66" i="44"/>
  <c r="AF66" i="44"/>
  <c r="AB66" i="44"/>
  <c r="X66" i="44"/>
  <c r="Z66" i="44"/>
  <c r="AE66" i="44"/>
  <c r="W66" i="44"/>
  <c r="AD66" i="44"/>
  <c r="AA66" i="44"/>
  <c r="AC70" i="44"/>
  <c r="Y70" i="44"/>
  <c r="AF70" i="44"/>
  <c r="AB70" i="44"/>
  <c r="X70" i="44"/>
  <c r="Z70" i="44"/>
  <c r="AE70" i="44"/>
  <c r="W70" i="44"/>
  <c r="AD70" i="44"/>
  <c r="AA70" i="44"/>
  <c r="AC74" i="44"/>
  <c r="Y74" i="44"/>
  <c r="AF74" i="44"/>
  <c r="AB74" i="44"/>
  <c r="X74" i="44"/>
  <c r="Z74" i="44"/>
  <c r="AE74" i="44"/>
  <c r="W74" i="44"/>
  <c r="AD74" i="44"/>
  <c r="AA74" i="44"/>
  <c r="AC78" i="44"/>
  <c r="Y78" i="44"/>
  <c r="AF78" i="44"/>
  <c r="AB78" i="44"/>
  <c r="X78" i="44"/>
  <c r="Z78" i="44"/>
  <c r="AE78" i="44"/>
  <c r="W78" i="44"/>
  <c r="AD78" i="44"/>
  <c r="AA78" i="44"/>
  <c r="AC82" i="44"/>
  <c r="Y82" i="44"/>
  <c r="AF82" i="44"/>
  <c r="AB82" i="44"/>
  <c r="X82" i="44"/>
  <c r="Z82" i="44"/>
  <c r="AE82" i="44"/>
  <c r="W82" i="44"/>
  <c r="AD82" i="44"/>
  <c r="AA82" i="44"/>
  <c r="AD47" i="44"/>
  <c r="I8" i="46" s="1"/>
  <c r="Z47" i="44"/>
  <c r="AC47" i="44"/>
  <c r="Y47" i="44"/>
  <c r="AF47" i="44"/>
  <c r="K8" i="46" s="1"/>
  <c r="AB47" i="44"/>
  <c r="X47" i="44"/>
  <c r="C8" i="46" s="1"/>
  <c r="AE51" i="44"/>
  <c r="AA51" i="44"/>
  <c r="W51" i="44"/>
  <c r="AD51" i="44"/>
  <c r="Z51" i="44"/>
  <c r="AC51" i="44"/>
  <c r="Y51" i="44"/>
  <c r="AF51" i="44"/>
  <c r="AB51" i="44"/>
  <c r="X51" i="44"/>
  <c r="AE55" i="44"/>
  <c r="AA55" i="44"/>
  <c r="W55" i="44"/>
  <c r="AD55" i="44"/>
  <c r="Z55" i="44"/>
  <c r="AC55" i="44"/>
  <c r="Y55" i="44"/>
  <c r="AF55" i="44"/>
  <c r="AB55" i="44"/>
  <c r="X55" i="44"/>
  <c r="AC59" i="44"/>
  <c r="Y59" i="44"/>
  <c r="AF59" i="44"/>
  <c r="AB59" i="44"/>
  <c r="AD59" i="44"/>
  <c r="W59" i="44"/>
  <c r="AA59" i="44"/>
  <c r="Z59" i="44"/>
  <c r="AE59" i="44"/>
  <c r="X59" i="44"/>
  <c r="AC63" i="44"/>
  <c r="Y63" i="44"/>
  <c r="AF63" i="44"/>
  <c r="AB63" i="44"/>
  <c r="X63" i="44"/>
  <c r="AD63" i="44"/>
  <c r="AA63" i="44"/>
  <c r="Z63" i="44"/>
  <c r="AE63" i="44"/>
  <c r="W63" i="44"/>
  <c r="AD67" i="44"/>
  <c r="Z67" i="44"/>
  <c r="AC67" i="44"/>
  <c r="Y67" i="44"/>
  <c r="AF67" i="44"/>
  <c r="AB67" i="44"/>
  <c r="X67" i="44"/>
  <c r="W67" i="44"/>
  <c r="AE67" i="44"/>
  <c r="AA67" i="44"/>
  <c r="AC71" i="44"/>
  <c r="Y71" i="44"/>
  <c r="AF71" i="44"/>
  <c r="AB71" i="44"/>
  <c r="X71" i="44"/>
  <c r="AD71" i="44"/>
  <c r="AA71" i="44"/>
  <c r="Z71" i="44"/>
  <c r="AE71" i="44"/>
  <c r="W71" i="44"/>
  <c r="AC75" i="44"/>
  <c r="Y75" i="44"/>
  <c r="AF75" i="44"/>
  <c r="AB75" i="44"/>
  <c r="X75" i="44"/>
  <c r="AD75" i="44"/>
  <c r="AA75" i="44"/>
  <c r="Z75" i="44"/>
  <c r="W75" i="44"/>
  <c r="AE75" i="44"/>
  <c r="AC79" i="44"/>
  <c r="Y79" i="44"/>
  <c r="AF79" i="44"/>
  <c r="AB79" i="44"/>
  <c r="X79" i="44"/>
  <c r="AD79" i="44"/>
  <c r="AA79" i="44"/>
  <c r="Z79" i="44"/>
  <c r="AE79" i="44"/>
  <c r="W79" i="44"/>
  <c r="AE83" i="44"/>
  <c r="AC83" i="44"/>
  <c r="Y83" i="44"/>
  <c r="AB83" i="44"/>
  <c r="X83" i="44"/>
  <c r="AD83" i="44"/>
  <c r="AA83" i="44"/>
  <c r="Z83" i="44"/>
  <c r="W83" i="44"/>
  <c r="AF83" i="44"/>
  <c r="B8" i="45"/>
  <c r="D8" i="45"/>
  <c r="F8" i="45"/>
  <c r="J8" i="45"/>
  <c r="L8" i="45"/>
  <c r="N8" i="45"/>
  <c r="R8" i="45"/>
  <c r="T8" i="45"/>
  <c r="V8" i="45"/>
  <c r="E8" i="46"/>
  <c r="G8" i="46"/>
  <c r="C8" i="45"/>
  <c r="E8" i="45"/>
  <c r="G8" i="45"/>
  <c r="K8" i="45"/>
  <c r="M8" i="45"/>
  <c r="O8" i="45"/>
  <c r="Q8" i="45"/>
  <c r="S8" i="45"/>
  <c r="U8" i="45"/>
  <c r="W8" i="45"/>
  <c r="B8" i="46"/>
  <c r="D8" i="46"/>
  <c r="F8" i="46"/>
  <c r="H8" i="46"/>
  <c r="J8" i="46"/>
  <c r="Z5" i="41"/>
  <c r="AH5" i="41" s="1"/>
  <c r="AJ3" i="41"/>
  <c r="Z4" i="41"/>
  <c r="AH4" i="41" s="1"/>
  <c r="AJ8" i="41"/>
  <c r="Z13" i="41"/>
  <c r="AH13" i="41" s="1"/>
  <c r="Z3" i="41"/>
  <c r="AH3" i="41" s="1"/>
  <c r="AJ5" i="41"/>
  <c r="Z6" i="41"/>
  <c r="AH6" i="41" s="1"/>
  <c r="Z8" i="41"/>
  <c r="AH8" i="41" s="1"/>
  <c r="AJ13" i="41"/>
  <c r="U9" i="41"/>
  <c r="AI9" i="41" s="1"/>
  <c r="R10" i="41"/>
  <c r="M486" i="41"/>
  <c r="U10" i="41" s="1"/>
  <c r="AI10" i="41" s="1"/>
  <c r="R9" i="41"/>
  <c r="U11" i="41"/>
  <c r="AI11" i="41" s="1"/>
  <c r="R12" i="41"/>
  <c r="M731" i="41"/>
  <c r="U12" i="41" s="1"/>
  <c r="AI12" i="41" s="1"/>
  <c r="Y5" i="41"/>
  <c r="AG5" i="41" s="1"/>
  <c r="X3" i="41"/>
  <c r="AF3" i="41" s="1"/>
  <c r="X4" i="41"/>
  <c r="AF4" i="41" s="1"/>
  <c r="Y8" i="41"/>
  <c r="AG8" i="41" s="1"/>
  <c r="AC81" i="38"/>
  <c r="AC83" i="38"/>
  <c r="AC85" i="38"/>
  <c r="AC87" i="38"/>
  <c r="AC89" i="38"/>
  <c r="AC91" i="38"/>
  <c r="AC93" i="38"/>
  <c r="AC95" i="38"/>
  <c r="AC97" i="38"/>
  <c r="AC99" i="38"/>
  <c r="AC101" i="38"/>
  <c r="AC103" i="38"/>
  <c r="AC129" i="38"/>
  <c r="AJ2" i="37"/>
  <c r="AJ7" i="37" s="1"/>
  <c r="AT2" i="37"/>
  <c r="AT7" i="37" s="1"/>
  <c r="AC50" i="38"/>
  <c r="AC52" i="38"/>
  <c r="AC54" i="38"/>
  <c r="AC56" i="38"/>
  <c r="AC58" i="38"/>
  <c r="AC60" i="38"/>
  <c r="AC74" i="38"/>
  <c r="AC76" i="38"/>
  <c r="AC78" i="38"/>
  <c r="AC80" i="38"/>
  <c r="AJ8" i="37"/>
  <c r="AC176" i="38"/>
  <c r="AO8" i="37"/>
  <c r="AC357" i="38"/>
  <c r="AI5" i="38" s="1"/>
  <c r="AC361" i="38"/>
  <c r="AC360" i="38"/>
  <c r="AC2" i="38"/>
  <c r="AI2" i="38" s="1"/>
  <c r="AC3" i="38"/>
  <c r="AC4" i="38"/>
  <c r="AC5" i="38"/>
  <c r="AC6" i="38"/>
  <c r="AC7" i="38"/>
  <c r="AC8" i="38"/>
  <c r="AC9" i="38"/>
  <c r="AC10" i="38"/>
  <c r="AC11" i="38"/>
  <c r="AC12" i="38"/>
  <c r="AC13" i="38"/>
  <c r="AC14" i="38"/>
  <c r="AC15" i="38"/>
  <c r="AC16" i="38"/>
  <c r="AC17" i="38"/>
  <c r="AC18" i="38"/>
  <c r="AC19" i="38"/>
  <c r="AC20" i="38"/>
  <c r="AC21" i="38"/>
  <c r="AC22" i="38"/>
  <c r="AC23" i="38"/>
  <c r="AC24" i="38"/>
  <c r="AC25" i="38"/>
  <c r="AC26" i="38"/>
  <c r="AC27" i="38"/>
  <c r="AC28" i="38"/>
  <c r="AC29" i="38"/>
  <c r="AC30" i="38"/>
  <c r="AC31" i="38"/>
  <c r="AC32" i="38"/>
  <c r="AC33" i="38"/>
  <c r="AC34" i="38"/>
  <c r="AC35" i="38"/>
  <c r="AC36" i="38"/>
  <c r="AC37" i="38"/>
  <c r="AC38" i="38"/>
  <c r="AI7" i="38" s="1"/>
  <c r="AC43" i="38"/>
  <c r="AC48" i="38"/>
  <c r="AC40" i="38"/>
  <c r="AC183" i="38"/>
  <c r="AI8" i="38" s="1"/>
  <c r="AC187" i="38"/>
  <c r="AC191" i="38"/>
  <c r="AC195" i="38"/>
  <c r="AC199" i="38"/>
  <c r="AC203" i="38"/>
  <c r="AC207" i="38"/>
  <c r="AC211" i="38"/>
  <c r="AC215" i="38"/>
  <c r="AC219" i="38"/>
  <c r="AC223" i="38"/>
  <c r="AC227" i="38"/>
  <c r="AC231" i="38"/>
  <c r="AC235" i="38"/>
  <c r="AC239" i="38"/>
  <c r="AC243" i="38"/>
  <c r="AC247" i="38"/>
  <c r="AC251" i="38"/>
  <c r="AC255" i="38"/>
  <c r="AC259" i="38"/>
  <c r="AC263" i="38"/>
  <c r="AC267" i="38"/>
  <c r="AC271" i="38"/>
  <c r="AC275" i="38"/>
  <c r="AC279" i="38"/>
  <c r="AC283" i="38"/>
  <c r="AC287" i="38"/>
  <c r="AC291" i="38"/>
  <c r="AC295" i="38"/>
  <c r="AC299" i="38"/>
  <c r="AC303" i="38"/>
  <c r="AC307" i="38"/>
  <c r="AC311" i="38"/>
  <c r="AC315" i="38"/>
  <c r="AC319" i="38"/>
  <c r="AC323" i="38"/>
  <c r="AC327" i="38"/>
  <c r="AC331" i="38"/>
  <c r="AC335" i="38"/>
  <c r="AC339" i="38"/>
  <c r="AC343" i="38"/>
  <c r="AC347" i="38"/>
  <c r="AC351" i="38"/>
  <c r="AC355" i="38"/>
  <c r="AT8" i="37"/>
  <c r="AC224" i="38"/>
  <c r="AC228" i="38"/>
  <c r="AC232" i="38"/>
  <c r="AC272" i="38"/>
  <c r="AC276" i="38"/>
  <c r="AC280" i="38"/>
  <c r="AC284" i="38"/>
  <c r="AC288" i="38"/>
  <c r="AC292" i="38"/>
  <c r="AC296" i="38"/>
  <c r="AC300" i="38"/>
  <c r="AC304" i="38"/>
  <c r="AC308" i="38"/>
  <c r="AC312" i="38"/>
  <c r="AC316" i="38"/>
  <c r="AC320" i="38"/>
  <c r="AC324" i="38"/>
  <c r="AC328" i="38"/>
  <c r="AC332" i="38"/>
  <c r="AC336" i="38"/>
  <c r="AC340" i="38"/>
  <c r="AC344" i="38"/>
  <c r="AC348" i="38"/>
  <c r="AC352" i="38"/>
  <c r="AC356" i="38"/>
  <c r="AO9" i="37"/>
  <c r="AC42" i="38"/>
  <c r="AC46" i="38"/>
  <c r="AC185" i="38"/>
  <c r="AC189" i="38"/>
  <c r="AC193" i="38"/>
  <c r="AC197" i="38"/>
  <c r="AC201" i="38"/>
  <c r="AC205" i="38"/>
  <c r="AC209" i="38"/>
  <c r="AC213" i="38"/>
  <c r="AC217" i="38"/>
  <c r="AC221" i="38"/>
  <c r="AC225" i="38"/>
  <c r="AC229" i="38"/>
  <c r="AC233" i="38"/>
  <c r="AC237" i="38"/>
  <c r="AC241" i="38"/>
  <c r="AC245" i="38"/>
  <c r="AC249" i="38"/>
  <c r="AC253" i="38"/>
  <c r="AC257" i="38"/>
  <c r="AC261" i="38"/>
  <c r="AC265" i="38"/>
  <c r="AC269" i="38"/>
  <c r="AC273" i="38"/>
  <c r="AC277" i="38"/>
  <c r="AC281" i="38"/>
  <c r="AC285" i="38"/>
  <c r="AC289" i="38"/>
  <c r="AC293" i="38"/>
  <c r="AC297" i="38"/>
  <c r="AC301" i="38"/>
  <c r="AC305" i="38"/>
  <c r="AC309" i="38"/>
  <c r="AC313" i="38"/>
  <c r="AC317" i="38"/>
  <c r="AC321" i="38"/>
  <c r="AC325" i="38"/>
  <c r="AC329" i="38"/>
  <c r="AC333" i="38"/>
  <c r="AC337" i="38"/>
  <c r="AC341" i="38"/>
  <c r="AC345" i="38"/>
  <c r="AC349" i="38"/>
  <c r="AC353" i="38"/>
  <c r="AC202" i="38"/>
  <c r="AC206" i="38"/>
  <c r="AC210" i="38"/>
  <c r="AC214" i="38"/>
  <c r="AC218" i="38"/>
  <c r="AC222" i="38"/>
  <c r="AC226" i="38"/>
  <c r="AC230" i="38"/>
  <c r="AC270" i="38"/>
  <c r="AC274" i="38"/>
  <c r="AC278" i="38"/>
  <c r="AC282" i="38"/>
  <c r="AC286" i="38"/>
  <c r="AC290" i="38"/>
  <c r="AC294" i="38"/>
  <c r="AC298" i="38"/>
  <c r="AC302" i="38"/>
  <c r="AC306" i="38"/>
  <c r="AC310" i="38"/>
  <c r="AC314" i="38"/>
  <c r="AC318" i="38"/>
  <c r="AC322" i="38"/>
  <c r="AC326" i="38"/>
  <c r="AC330" i="38"/>
  <c r="AC334" i="38"/>
  <c r="AC338" i="38"/>
  <c r="AC342" i="38"/>
  <c r="AC346" i="38"/>
  <c r="AC350" i="38"/>
  <c r="AC354" i="38"/>
  <c r="M13" i="27"/>
  <c r="M25" i="27"/>
  <c r="AI55" i="27"/>
  <c r="AI60" i="27" s="1"/>
  <c r="AG54" i="30"/>
  <c r="AG54" i="29"/>
  <c r="AG54" i="28"/>
  <c r="AJ54" i="29"/>
  <c r="AJ58" i="29" s="1"/>
  <c r="AJ54" i="30"/>
  <c r="AJ54" i="28"/>
  <c r="AD54" i="29"/>
  <c r="AD54" i="30"/>
  <c r="AD54" i="28"/>
  <c r="AI54" i="29"/>
  <c r="AI54" i="30"/>
  <c r="AI54" i="28"/>
  <c r="V44" i="34"/>
  <c r="V44" i="33"/>
  <c r="V44" i="31"/>
  <c r="V44" i="32"/>
  <c r="X46" i="34"/>
  <c r="X46" i="33"/>
  <c r="X46" i="31"/>
  <c r="X46" i="32"/>
  <c r="Z56" i="30"/>
  <c r="Z56" i="29"/>
  <c r="AH54" i="29"/>
  <c r="AH54" i="30"/>
  <c r="AH54" i="28"/>
  <c r="AJ56" i="30"/>
  <c r="AJ56" i="29"/>
  <c r="AJ56" i="28"/>
  <c r="AJ58" i="27"/>
  <c r="L54" i="29"/>
  <c r="L58" i="29" s="1"/>
  <c r="L54" i="30"/>
  <c r="L54" i="28"/>
  <c r="Q54" i="30"/>
  <c r="Q54" i="29"/>
  <c r="Q58" i="29" s="1"/>
  <c r="Q54" i="28"/>
  <c r="X54" i="29"/>
  <c r="X58" i="29" s="1"/>
  <c r="X54" i="30"/>
  <c r="X54" i="28"/>
  <c r="AE54" i="29"/>
  <c r="AE54" i="30"/>
  <c r="AE54" i="28"/>
  <c r="AH58" i="27"/>
  <c r="AB55" i="30"/>
  <c r="AB55" i="29"/>
  <c r="AB55" i="28"/>
  <c r="V45" i="34"/>
  <c r="V45" i="33"/>
  <c r="V45" i="32"/>
  <c r="V45" i="31"/>
  <c r="Z44" i="34"/>
  <c r="Z44" i="33"/>
  <c r="Z44" i="31"/>
  <c r="Z44" i="32"/>
  <c r="AA56" i="30"/>
  <c r="AA56" i="29"/>
  <c r="AH55" i="30"/>
  <c r="AH55" i="29"/>
  <c r="AI56" i="30"/>
  <c r="AI56" i="29"/>
  <c r="Y44" i="33"/>
  <c r="Y44" i="34"/>
  <c r="Y44" i="32"/>
  <c r="Y44" i="31"/>
  <c r="P54" i="29"/>
  <c r="P58" i="29" s="1"/>
  <c r="P54" i="30"/>
  <c r="P54" i="28"/>
  <c r="U54" i="29"/>
  <c r="U54" i="30"/>
  <c r="U54" i="28"/>
  <c r="V58" i="27"/>
  <c r="AB57" i="27"/>
  <c r="AK54" i="29"/>
  <c r="AK58" i="29" s="1"/>
  <c r="AK54" i="30"/>
  <c r="AK54" i="28"/>
  <c r="AH55" i="28"/>
  <c r="AI56" i="28"/>
  <c r="AD56" i="30"/>
  <c r="AD56" i="29"/>
  <c r="AD58" i="27"/>
  <c r="Q44" i="34"/>
  <c r="Q44" i="33"/>
  <c r="Q44" i="32"/>
  <c r="Q44" i="31"/>
  <c r="AI55" i="30"/>
  <c r="AI55" i="29"/>
  <c r="AI57" i="27"/>
  <c r="Z58" i="27"/>
  <c r="AF54" i="29"/>
  <c r="AF54" i="30"/>
  <c r="AF54" i="28"/>
  <c r="AI58" i="27"/>
  <c r="Z54" i="29"/>
  <c r="Z58" i="29" s="1"/>
  <c r="Z51" i="30" s="1"/>
  <c r="Z54" i="30"/>
  <c r="Z54" i="28"/>
  <c r="AI55" i="28"/>
  <c r="Z56" i="28"/>
  <c r="AG56" i="30"/>
  <c r="AG56" i="29"/>
  <c r="AG56" i="28"/>
  <c r="V46" i="34"/>
  <c r="V46" i="33"/>
  <c r="V46" i="32"/>
  <c r="V46" i="31"/>
  <c r="Z45" i="34"/>
  <c r="Z45" i="33"/>
  <c r="Z45" i="31"/>
  <c r="Z45" i="32"/>
  <c r="U56" i="30"/>
  <c r="U56" i="29"/>
  <c r="U56" i="28"/>
  <c r="T46" i="34"/>
  <c r="T46" i="33"/>
  <c r="T46" i="31"/>
  <c r="T46" i="32"/>
  <c r="AH56" i="30"/>
  <c r="AH56" i="29"/>
  <c r="Y45" i="34"/>
  <c r="Y45" i="33"/>
  <c r="Y45" i="32"/>
  <c r="Y45" i="31"/>
  <c r="AD55" i="30"/>
  <c r="AD55" i="29"/>
  <c r="F28" i="5"/>
  <c r="X44" i="34"/>
  <c r="X44" i="33"/>
  <c r="X44" i="32"/>
  <c r="X44" i="31"/>
  <c r="Z46" i="34"/>
  <c r="Z46" i="33"/>
  <c r="Z46" i="32"/>
  <c r="Z46" i="31"/>
  <c r="V56" i="30"/>
  <c r="V56" i="29"/>
  <c r="W54" i="29"/>
  <c r="W58" i="29" s="1"/>
  <c r="W54" i="30"/>
  <c r="W54" i="28"/>
  <c r="AJ55" i="30"/>
  <c r="AJ55" i="29"/>
  <c r="AJ55" i="28"/>
  <c r="Y46" i="34"/>
  <c r="Y46" i="33"/>
  <c r="Y46" i="32"/>
  <c r="Y46" i="31"/>
  <c r="M54" i="29"/>
  <c r="M58" i="29" s="1"/>
  <c r="M54" i="30"/>
  <c r="M54" i="28"/>
  <c r="R54" i="29"/>
  <c r="R58" i="29" s="1"/>
  <c r="R54" i="30"/>
  <c r="R54" i="28"/>
  <c r="U58" i="27"/>
  <c r="AC54" i="29"/>
  <c r="AC58" i="29" s="1"/>
  <c r="AC54" i="30"/>
  <c r="AC54" i="28"/>
  <c r="AD57" i="27"/>
  <c r="AH57" i="27"/>
  <c r="AA56" i="28"/>
  <c r="O54" i="29"/>
  <c r="O58" i="29" s="1"/>
  <c r="O54" i="30"/>
  <c r="S54" i="29"/>
  <c r="S54" i="30"/>
  <c r="AA54" i="29"/>
  <c r="AA58" i="29" s="1"/>
  <c r="AA50" i="30" s="1"/>
  <c r="AA54" i="30"/>
  <c r="S54" i="28"/>
  <c r="W43" i="32"/>
  <c r="X43" i="32"/>
  <c r="N47" i="31"/>
  <c r="T47" i="31"/>
  <c r="M43" i="31"/>
  <c r="O43" i="31"/>
  <c r="R43" i="31"/>
  <c r="S43" i="31"/>
  <c r="U43" i="31"/>
  <c r="X43" i="31"/>
  <c r="Y43" i="31"/>
  <c r="M47" i="31"/>
  <c r="M47" i="32" s="1"/>
  <c r="O47" i="31"/>
  <c r="S47" i="31"/>
  <c r="S47" i="33" s="1"/>
  <c r="U47" i="31"/>
  <c r="U47" i="32" s="1"/>
  <c r="Y47" i="31"/>
  <c r="L43" i="31"/>
  <c r="N43" i="31"/>
  <c r="P43" i="31"/>
  <c r="Q43" i="31"/>
  <c r="Q48" i="31" s="1"/>
  <c r="Q29" i="32" s="1"/>
  <c r="T43" i="31"/>
  <c r="V43" i="31"/>
  <c r="W43" i="31"/>
  <c r="W48" i="31" s="1"/>
  <c r="Z43" i="31"/>
  <c r="AA49" i="30"/>
  <c r="AA47" i="30"/>
  <c r="AA44" i="30"/>
  <c r="AA40" i="30"/>
  <c r="AA34" i="30"/>
  <c r="AA45" i="30"/>
  <c r="AA39" i="30"/>
  <c r="AA37" i="30"/>
  <c r="AA35" i="30"/>
  <c r="AA31" i="30"/>
  <c r="AA32" i="30"/>
  <c r="AA30" i="30"/>
  <c r="AA22" i="30"/>
  <c r="AA20" i="30"/>
  <c r="AA25" i="30"/>
  <c r="AA23" i="30"/>
  <c r="AA19" i="30"/>
  <c r="AA14" i="30"/>
  <c r="AA8" i="30"/>
  <c r="AA6" i="30"/>
  <c r="AA17" i="30"/>
  <c r="AA13" i="30"/>
  <c r="AA7" i="30"/>
  <c r="AA5" i="30"/>
  <c r="Z49" i="30"/>
  <c r="Z47" i="30"/>
  <c r="Z45" i="30"/>
  <c r="Z48" i="30"/>
  <c r="Z46" i="30"/>
  <c r="Z44" i="30"/>
  <c r="Z43" i="30"/>
  <c r="Z40" i="30"/>
  <c r="Z38" i="30"/>
  <c r="Z34" i="30"/>
  <c r="Z41" i="30"/>
  <c r="Z37" i="30"/>
  <c r="Z31" i="30"/>
  <c r="Z29" i="30"/>
  <c r="Z27" i="30"/>
  <c r="Z33" i="30"/>
  <c r="Z30" i="30"/>
  <c r="Z28" i="30"/>
  <c r="Z24" i="30"/>
  <c r="Z22" i="30"/>
  <c r="Z20" i="30"/>
  <c r="Z16" i="30"/>
  <c r="Z26" i="30"/>
  <c r="Z25" i="30"/>
  <c r="Z21" i="30"/>
  <c r="Z19" i="30"/>
  <c r="Z17" i="30"/>
  <c r="Z11" i="30"/>
  <c r="Z9" i="30"/>
  <c r="Z7" i="30"/>
  <c r="Z15" i="30"/>
  <c r="Z14" i="30"/>
  <c r="Z12" i="30"/>
  <c r="Z8" i="30"/>
  <c r="Z6" i="30"/>
  <c r="M68" i="27"/>
  <c r="AF53" i="28"/>
  <c r="AE53" i="28"/>
  <c r="AA53" i="28"/>
  <c r="AA58" i="28" s="1"/>
  <c r="Z53" i="28"/>
  <c r="Z58" i="28" s="1"/>
  <c r="AG53" i="28"/>
  <c r="M66" i="27"/>
  <c r="M63" i="27"/>
  <c r="M8" i="27"/>
  <c r="M14" i="27"/>
  <c r="M18" i="27"/>
  <c r="M26" i="27"/>
  <c r="M28" i="27"/>
  <c r="M30" i="27"/>
  <c r="M32" i="27"/>
  <c r="M34" i="27"/>
  <c r="M36" i="27"/>
  <c r="M38" i="27"/>
  <c r="M40" i="27"/>
  <c r="M42" i="27"/>
  <c r="M44" i="27"/>
  <c r="M46" i="27"/>
  <c r="M48" i="27"/>
  <c r="M50" i="27"/>
  <c r="R55" i="27"/>
  <c r="R60" i="27" s="1"/>
  <c r="Y55" i="27"/>
  <c r="Z55" i="27"/>
  <c r="M11" i="27"/>
  <c r="M19" i="27"/>
  <c r="M22" i="27"/>
  <c r="M24" i="27"/>
  <c r="O55" i="27"/>
  <c r="O60" i="27" s="1"/>
  <c r="O48" i="28" s="1"/>
  <c r="S55" i="27"/>
  <c r="S60" i="27" s="1"/>
  <c r="S43" i="28" s="1"/>
  <c r="U55" i="27"/>
  <c r="U60" i="27" s="1"/>
  <c r="AC55" i="27"/>
  <c r="AC60" i="27" s="1"/>
  <c r="AC37" i="28" s="1"/>
  <c r="AE55" i="27"/>
  <c r="AE60" i="27" s="1"/>
  <c r="M12" i="27"/>
  <c r="M20" i="27"/>
  <c r="M27" i="27"/>
  <c r="M29" i="27"/>
  <c r="M31" i="27"/>
  <c r="M33" i="27"/>
  <c r="M35" i="27"/>
  <c r="M37" i="27"/>
  <c r="M39" i="27"/>
  <c r="M41" i="27"/>
  <c r="M43" i="27"/>
  <c r="M45" i="27"/>
  <c r="M47" i="27"/>
  <c r="M49" i="27"/>
  <c r="M51" i="27"/>
  <c r="L55" i="27"/>
  <c r="L60" i="27" s="1"/>
  <c r="L51" i="28" s="1"/>
  <c r="P55" i="27"/>
  <c r="P60" i="27" s="1"/>
  <c r="P42" i="28" s="1"/>
  <c r="V55" i="27"/>
  <c r="W55" i="27"/>
  <c r="W60" i="27" s="1"/>
  <c r="AF55" i="27"/>
  <c r="AF60" i="27" s="1"/>
  <c r="AH55" i="27"/>
  <c r="AH60" i="27" s="1"/>
  <c r="AH39" i="28" s="1"/>
  <c r="M7" i="27"/>
  <c r="M17" i="27"/>
  <c r="M21" i="27"/>
  <c r="M23" i="27"/>
  <c r="Q55" i="27"/>
  <c r="Q60" i="27" s="1"/>
  <c r="X55" i="27"/>
  <c r="X60" i="27" s="1"/>
  <c r="AA55" i="27"/>
  <c r="D18" i="5"/>
  <c r="AB56" i="27" s="1"/>
  <c r="D28" i="5"/>
  <c r="AL56" i="27" s="1"/>
  <c r="F18" i="5"/>
  <c r="E28" i="5"/>
  <c r="P15" i="5"/>
  <c r="P17" i="5"/>
  <c r="D36" i="5"/>
  <c r="E35" i="5"/>
  <c r="F35" i="5"/>
  <c r="AJ9" i="37" l="1"/>
  <c r="M67" i="27"/>
  <c r="M64" i="27" s="1"/>
  <c r="M70" i="27" s="1"/>
  <c r="V10" i="45"/>
  <c r="W47" i="31"/>
  <c r="AA9" i="30"/>
  <c r="AA16" i="30"/>
  <c r="AA10" i="30"/>
  <c r="AA15" i="30"/>
  <c r="AA26" i="30"/>
  <c r="AA24" i="30"/>
  <c r="AA33" i="30"/>
  <c r="AA43" i="30"/>
  <c r="AA41" i="30"/>
  <c r="AA36" i="30"/>
  <c r="AA48" i="30"/>
  <c r="AA51" i="30"/>
  <c r="Z10" i="30"/>
  <c r="Z5" i="30"/>
  <c r="Z13" i="30"/>
  <c r="Z23" i="30"/>
  <c r="Z18" i="30"/>
  <c r="Z32" i="30"/>
  <c r="Z39" i="30"/>
  <c r="Z35" i="30"/>
  <c r="Z36" i="30"/>
  <c r="Z42" i="30"/>
  <c r="Z50" i="30"/>
  <c r="AA11" i="30"/>
  <c r="AA21" i="30"/>
  <c r="AA12" i="30"/>
  <c r="AA28" i="30"/>
  <c r="AA18" i="30"/>
  <c r="AA27" i="30"/>
  <c r="AA29" i="30"/>
  <c r="AA46" i="30"/>
  <c r="AA42" i="30"/>
  <c r="AA38" i="30"/>
  <c r="X9" i="41"/>
  <c r="AF9" i="41" s="1"/>
  <c r="AA43" i="31"/>
  <c r="H10" i="46"/>
  <c r="H6" i="46"/>
  <c r="E10" i="46"/>
  <c r="E6" i="46"/>
  <c r="F10" i="46"/>
  <c r="F6" i="46"/>
  <c r="J6" i="46"/>
  <c r="J10" i="45"/>
  <c r="J6" i="45"/>
  <c r="I10" i="45"/>
  <c r="I6" i="45"/>
  <c r="H10" i="45"/>
  <c r="H6" i="45"/>
  <c r="O10" i="45"/>
  <c r="O6" i="45"/>
  <c r="L8" i="46"/>
  <c r="C10" i="46"/>
  <c r="C6" i="46"/>
  <c r="I10" i="46"/>
  <c r="I6" i="46"/>
  <c r="F10" i="45"/>
  <c r="F6" i="45"/>
  <c r="U10" i="45"/>
  <c r="U6" i="45"/>
  <c r="E10" i="45"/>
  <c r="E6" i="45"/>
  <c r="T10" i="45"/>
  <c r="T6" i="45"/>
  <c r="D10" i="45"/>
  <c r="D6" i="45"/>
  <c r="K10" i="45"/>
  <c r="K6" i="45"/>
  <c r="X8" i="45"/>
  <c r="G10" i="46"/>
  <c r="G6" i="46"/>
  <c r="B10" i="46"/>
  <c r="B6" i="46"/>
  <c r="R10" i="45"/>
  <c r="R6" i="45"/>
  <c r="B10" i="45"/>
  <c r="B6" i="45"/>
  <c r="Q10" i="45"/>
  <c r="Q6" i="45"/>
  <c r="P10" i="45"/>
  <c r="P6" i="45"/>
  <c r="W10" i="45"/>
  <c r="W6" i="45"/>
  <c r="G10" i="45"/>
  <c r="G6" i="45"/>
  <c r="V6" i="45"/>
  <c r="K10" i="46"/>
  <c r="K6" i="46"/>
  <c r="D10" i="46"/>
  <c r="D6" i="46"/>
  <c r="N10" i="45"/>
  <c r="N6" i="45"/>
  <c r="M10" i="45"/>
  <c r="M6" i="45"/>
  <c r="L10" i="45"/>
  <c r="L6" i="45"/>
  <c r="S10" i="45"/>
  <c r="S6" i="45"/>
  <c r="C10" i="45"/>
  <c r="C6" i="45"/>
  <c r="X12" i="41"/>
  <c r="AF12" i="41" s="1"/>
  <c r="X10" i="41"/>
  <c r="AF10" i="41" s="1"/>
  <c r="X11" i="41"/>
  <c r="AF11" i="41" s="1"/>
  <c r="AI6" i="38"/>
  <c r="AT9" i="37"/>
  <c r="AI30" i="28"/>
  <c r="AI50" i="28"/>
  <c r="AI31" i="28"/>
  <c r="AI47" i="28"/>
  <c r="AI29" i="28"/>
  <c r="AI45" i="28"/>
  <c r="AI40" i="28"/>
  <c r="AI26" i="28"/>
  <c r="AI35" i="28"/>
  <c r="AI51" i="28"/>
  <c r="AI23" i="28"/>
  <c r="AI33" i="28"/>
  <c r="AI49" i="28"/>
  <c r="AI48" i="28"/>
  <c r="AI34" i="28"/>
  <c r="AI22" i="28"/>
  <c r="AI39" i="28"/>
  <c r="AI37" i="28"/>
  <c r="AI42" i="28"/>
  <c r="AI27" i="28"/>
  <c r="AI43" i="28"/>
  <c r="AI24" i="28"/>
  <c r="AI41" i="28"/>
  <c r="AI28" i="28"/>
  <c r="N48" i="31"/>
  <c r="N15" i="32" s="1"/>
  <c r="T48" i="31"/>
  <c r="T22" i="32" s="1"/>
  <c r="L51" i="30"/>
  <c r="O48" i="30"/>
  <c r="R29" i="32"/>
  <c r="AD37" i="28"/>
  <c r="AC37" i="30"/>
  <c r="AD37" i="30" s="1"/>
  <c r="P42" i="30"/>
  <c r="T22" i="34"/>
  <c r="AB54" i="29"/>
  <c r="AB54" i="30"/>
  <c r="AB54" i="28"/>
  <c r="Q27" i="28"/>
  <c r="Q24" i="28"/>
  <c r="Q16" i="28"/>
  <c r="Q28" i="28"/>
  <c r="Q22" i="28"/>
  <c r="Q13" i="28"/>
  <c r="Q5" i="28"/>
  <c r="Q26" i="28"/>
  <c r="Q23" i="28"/>
  <c r="Q20" i="28"/>
  <c r="Q14" i="28"/>
  <c r="Q29" i="28"/>
  <c r="Q15" i="28"/>
  <c r="Q12" i="28"/>
  <c r="Q9" i="28"/>
  <c r="Q21" i="28"/>
  <c r="Q10" i="28"/>
  <c r="Q8" i="28"/>
  <c r="Q6" i="28"/>
  <c r="Q30" i="28"/>
  <c r="Q46" i="28"/>
  <c r="Q35" i="28"/>
  <c r="Q51" i="28"/>
  <c r="Q44" i="28"/>
  <c r="Q37" i="28"/>
  <c r="Q32" i="28"/>
  <c r="Q34" i="28"/>
  <c r="Q50" i="28"/>
  <c r="Q11" i="28"/>
  <c r="Q39" i="28"/>
  <c r="Q48" i="28"/>
  <c r="Q17" i="28"/>
  <c r="Q41" i="28"/>
  <c r="Q7" i="28"/>
  <c r="Q38" i="28"/>
  <c r="Q19" i="28"/>
  <c r="Q43" i="28"/>
  <c r="Q36" i="28"/>
  <c r="Q25" i="28"/>
  <c r="Q45" i="28"/>
  <c r="Q18" i="28"/>
  <c r="Q42" i="28"/>
  <c r="U18" i="28"/>
  <c r="U13" i="28"/>
  <c r="U10" i="28"/>
  <c r="U15" i="28"/>
  <c r="U12" i="28"/>
  <c r="U7" i="28"/>
  <c r="U42" i="28"/>
  <c r="U34" i="28"/>
  <c r="U30" i="28"/>
  <c r="U25" i="28"/>
  <c r="U19" i="28"/>
  <c r="U17" i="28"/>
  <c r="U16" i="28"/>
  <c r="U11" i="28"/>
  <c r="U8" i="28"/>
  <c r="U20" i="28"/>
  <c r="U14" i="28"/>
  <c r="U9" i="28"/>
  <c r="U6" i="28"/>
  <c r="U5" i="28"/>
  <c r="U28" i="28"/>
  <c r="U44" i="28"/>
  <c r="U33" i="28"/>
  <c r="U49" i="28"/>
  <c r="U35" i="28"/>
  <c r="U51" i="28"/>
  <c r="U32" i="28"/>
  <c r="U48" i="28"/>
  <c r="U37" i="28"/>
  <c r="U38" i="28"/>
  <c r="U22" i="28"/>
  <c r="U39" i="28"/>
  <c r="U36" i="28"/>
  <c r="U24" i="28"/>
  <c r="U41" i="28"/>
  <c r="U46" i="28"/>
  <c r="U27" i="28"/>
  <c r="U43" i="28"/>
  <c r="U21" i="28"/>
  <c r="U23" i="28"/>
  <c r="U40" i="28"/>
  <c r="N10" i="32"/>
  <c r="N9" i="32"/>
  <c r="N8" i="32"/>
  <c r="N18" i="32"/>
  <c r="N7" i="32"/>
  <c r="N6" i="32"/>
  <c r="N23" i="32"/>
  <c r="N39" i="32"/>
  <c r="N20" i="32"/>
  <c r="N17" i="32"/>
  <c r="N33" i="32"/>
  <c r="N34" i="32"/>
  <c r="N24" i="32"/>
  <c r="N40" i="32"/>
  <c r="N21" i="32"/>
  <c r="N22" i="32"/>
  <c r="N38" i="32"/>
  <c r="N14" i="32"/>
  <c r="N11" i="32"/>
  <c r="N28" i="32"/>
  <c r="N25" i="32"/>
  <c r="N26" i="32"/>
  <c r="N47" i="32"/>
  <c r="N47" i="33"/>
  <c r="U26" i="28"/>
  <c r="U31" i="28"/>
  <c r="Q49" i="28"/>
  <c r="O37" i="28"/>
  <c r="U50" i="28"/>
  <c r="AC51" i="28"/>
  <c r="Q31" i="28"/>
  <c r="AH19" i="28"/>
  <c r="AH14" i="28"/>
  <c r="AH11" i="28"/>
  <c r="AH46" i="28"/>
  <c r="AH18" i="28"/>
  <c r="AH12" i="28"/>
  <c r="AH8" i="28"/>
  <c r="AH5" i="28"/>
  <c r="AH25" i="28"/>
  <c r="AH21" i="28"/>
  <c r="AH16" i="28"/>
  <c r="AH15" i="28"/>
  <c r="AH10" i="28"/>
  <c r="AH34" i="28"/>
  <c r="AH17" i="28"/>
  <c r="AH13" i="28"/>
  <c r="AH20" i="28"/>
  <c r="AH9" i="28"/>
  <c r="AH7" i="28"/>
  <c r="AH6" i="28"/>
  <c r="AH36" i="28"/>
  <c r="AH24" i="28"/>
  <c r="AH41" i="28"/>
  <c r="AH27" i="28"/>
  <c r="AH43" i="28"/>
  <c r="AH50" i="28"/>
  <c r="AH23" i="28"/>
  <c r="AH40" i="28"/>
  <c r="AH29" i="28"/>
  <c r="AH45" i="28"/>
  <c r="AH31" i="28"/>
  <c r="AH47" i="28"/>
  <c r="AH28" i="28"/>
  <c r="AH44" i="28"/>
  <c r="AH33" i="28"/>
  <c r="AH49" i="28"/>
  <c r="AH26" i="28"/>
  <c r="AH35" i="28"/>
  <c r="AH51" i="28"/>
  <c r="AH30" i="28"/>
  <c r="AH32" i="28"/>
  <c r="AH48" i="28"/>
  <c r="P29" i="28"/>
  <c r="P26" i="28"/>
  <c r="P21" i="28"/>
  <c r="P18" i="28"/>
  <c r="P13" i="28"/>
  <c r="P10" i="28"/>
  <c r="P25" i="28"/>
  <c r="P24" i="28"/>
  <c r="P19" i="28"/>
  <c r="P7" i="28"/>
  <c r="P28" i="28"/>
  <c r="P22" i="28"/>
  <c r="P17" i="28"/>
  <c r="P16" i="28"/>
  <c r="P11" i="28"/>
  <c r="P23" i="28"/>
  <c r="P20" i="28"/>
  <c r="P14" i="28"/>
  <c r="P8" i="28"/>
  <c r="P27" i="28"/>
  <c r="P15" i="28"/>
  <c r="P12" i="28"/>
  <c r="P9" i="28"/>
  <c r="P6" i="28"/>
  <c r="P5" i="28"/>
  <c r="P44" i="28"/>
  <c r="P33" i="28"/>
  <c r="P49" i="28"/>
  <c r="P30" i="28"/>
  <c r="P46" i="28"/>
  <c r="P35" i="28"/>
  <c r="P51" i="28"/>
  <c r="P32" i="28"/>
  <c r="P48" i="28"/>
  <c r="P37" i="28"/>
  <c r="P34" i="28"/>
  <c r="P50" i="28"/>
  <c r="P39" i="28"/>
  <c r="P36" i="28"/>
  <c r="P41" i="28"/>
  <c r="P38" i="28"/>
  <c r="P43" i="28"/>
  <c r="P40" i="28"/>
  <c r="S20" i="28"/>
  <c r="S15" i="28"/>
  <c r="S12" i="28"/>
  <c r="S18" i="28"/>
  <c r="S14" i="28"/>
  <c r="S9" i="28"/>
  <c r="S6" i="28"/>
  <c r="S32" i="28"/>
  <c r="S10" i="28"/>
  <c r="S25" i="28"/>
  <c r="S19" i="28"/>
  <c r="S13" i="28"/>
  <c r="S17" i="28"/>
  <c r="S16" i="28"/>
  <c r="S11" i="28"/>
  <c r="S8" i="28"/>
  <c r="S5" i="28"/>
  <c r="S7" i="28"/>
  <c r="S26" i="28"/>
  <c r="S42" i="28"/>
  <c r="S31" i="28"/>
  <c r="S47" i="28"/>
  <c r="S48" i="28"/>
  <c r="S33" i="28"/>
  <c r="S49" i="28"/>
  <c r="S28" i="28"/>
  <c r="S30" i="28"/>
  <c r="S46" i="28"/>
  <c r="S35" i="28"/>
  <c r="S51" i="28"/>
  <c r="S37" i="28"/>
  <c r="S36" i="28"/>
  <c r="S34" i="28"/>
  <c r="S50" i="28"/>
  <c r="S22" i="28"/>
  <c r="S39" i="28"/>
  <c r="S40" i="28"/>
  <c r="S24" i="28"/>
  <c r="S41" i="28"/>
  <c r="S21" i="28"/>
  <c r="S38" i="28"/>
  <c r="R25" i="28"/>
  <c r="R22" i="28"/>
  <c r="R17" i="28"/>
  <c r="R14" i="28"/>
  <c r="R26" i="28"/>
  <c r="R23" i="28"/>
  <c r="R20" i="28"/>
  <c r="R16" i="28"/>
  <c r="R11" i="28"/>
  <c r="R8" i="28"/>
  <c r="R29" i="28"/>
  <c r="R18" i="28"/>
  <c r="R15" i="28"/>
  <c r="R12" i="28"/>
  <c r="R9" i="28"/>
  <c r="R27" i="28"/>
  <c r="R21" i="28"/>
  <c r="R10" i="28"/>
  <c r="R28" i="28"/>
  <c r="R24" i="28"/>
  <c r="R19" i="28"/>
  <c r="R13" i="28"/>
  <c r="R5" i="28"/>
  <c r="R7" i="28"/>
  <c r="R6" i="28"/>
  <c r="R40" i="28"/>
  <c r="R45" i="28"/>
  <c r="R46" i="28"/>
  <c r="R31" i="28"/>
  <c r="R47" i="28"/>
  <c r="R44" i="28"/>
  <c r="R33" i="28"/>
  <c r="R49" i="28"/>
  <c r="R50" i="28"/>
  <c r="R35" i="28"/>
  <c r="R51" i="28"/>
  <c r="R30" i="28"/>
  <c r="R32" i="28"/>
  <c r="R48" i="28"/>
  <c r="R37" i="28"/>
  <c r="R34" i="28"/>
  <c r="R39" i="28"/>
  <c r="R38" i="28"/>
  <c r="R36" i="28"/>
  <c r="AA50" i="29"/>
  <c r="Z50" i="43" s="1"/>
  <c r="Z102" i="43" s="1"/>
  <c r="AA45" i="29"/>
  <c r="Z45" i="43" s="1"/>
  <c r="Z97" i="43" s="1"/>
  <c r="AA42" i="29"/>
  <c r="Z42" i="43" s="1"/>
  <c r="Z94" i="43" s="1"/>
  <c r="AA37" i="29"/>
  <c r="Z37" i="43" s="1"/>
  <c r="Z89" i="43" s="1"/>
  <c r="AA34" i="29"/>
  <c r="Z34" i="43" s="1"/>
  <c r="Z86" i="43" s="1"/>
  <c r="AA26" i="29"/>
  <c r="Z26" i="43" s="1"/>
  <c r="Z78" i="43" s="1"/>
  <c r="AA23" i="29"/>
  <c r="Z23" i="43" s="1"/>
  <c r="Z75" i="43" s="1"/>
  <c r="AA20" i="29"/>
  <c r="Z20" i="43" s="1"/>
  <c r="Z72" i="43" s="1"/>
  <c r="AA47" i="29"/>
  <c r="Z47" i="43" s="1"/>
  <c r="Z99" i="43" s="1"/>
  <c r="AA51" i="29"/>
  <c r="Z51" i="43" s="1"/>
  <c r="Z103" i="43" s="1"/>
  <c r="AA48" i="29"/>
  <c r="Z48" i="43" s="1"/>
  <c r="Z100" i="43" s="1"/>
  <c r="AA43" i="29"/>
  <c r="Z43" i="43" s="1"/>
  <c r="Z95" i="43" s="1"/>
  <c r="AA40" i="29"/>
  <c r="Z40" i="43" s="1"/>
  <c r="Z92" i="43" s="1"/>
  <c r="AA35" i="29"/>
  <c r="Z35" i="43" s="1"/>
  <c r="Z87" i="43" s="1"/>
  <c r="AA32" i="29"/>
  <c r="Z32" i="43" s="1"/>
  <c r="Z84" i="43" s="1"/>
  <c r="AA29" i="29"/>
  <c r="Z29" i="43" s="1"/>
  <c r="Z81" i="43" s="1"/>
  <c r="AA24" i="29"/>
  <c r="Z24" i="43" s="1"/>
  <c r="Z76" i="43" s="1"/>
  <c r="AA46" i="29"/>
  <c r="Z46" i="43" s="1"/>
  <c r="Z98" i="43" s="1"/>
  <c r="AA41" i="29"/>
  <c r="Z41" i="43" s="1"/>
  <c r="Z93" i="43" s="1"/>
  <c r="AA30" i="29"/>
  <c r="Z30" i="43" s="1"/>
  <c r="Z82" i="43" s="1"/>
  <c r="AA16" i="29"/>
  <c r="Z16" i="43" s="1"/>
  <c r="Z68" i="43" s="1"/>
  <c r="AA44" i="29"/>
  <c r="Z44" i="43" s="1"/>
  <c r="Z96" i="43" s="1"/>
  <c r="AA39" i="29"/>
  <c r="Z39" i="43" s="1"/>
  <c r="Z91" i="43" s="1"/>
  <c r="AA28" i="29"/>
  <c r="Z28" i="43" s="1"/>
  <c r="Z80" i="43" s="1"/>
  <c r="AA22" i="29"/>
  <c r="Z22" i="43" s="1"/>
  <c r="Z74" i="43" s="1"/>
  <c r="AA38" i="29"/>
  <c r="Z38" i="43" s="1"/>
  <c r="Z90" i="43" s="1"/>
  <c r="AA33" i="29"/>
  <c r="Z33" i="43" s="1"/>
  <c r="Z85" i="43" s="1"/>
  <c r="AA27" i="29"/>
  <c r="Z27" i="43" s="1"/>
  <c r="Z79" i="43" s="1"/>
  <c r="AA21" i="29"/>
  <c r="Z21" i="43" s="1"/>
  <c r="Z73" i="43" s="1"/>
  <c r="AA17" i="29"/>
  <c r="Z17" i="43" s="1"/>
  <c r="Z69" i="43" s="1"/>
  <c r="AA49" i="29"/>
  <c r="Z49" i="43" s="1"/>
  <c r="Z101" i="43" s="1"/>
  <c r="AA36" i="29"/>
  <c r="Z36" i="43" s="1"/>
  <c r="Z88" i="43" s="1"/>
  <c r="AA31" i="29"/>
  <c r="Z31" i="43" s="1"/>
  <c r="Z83" i="43" s="1"/>
  <c r="AA25" i="29"/>
  <c r="Z25" i="43" s="1"/>
  <c r="Z77" i="43" s="1"/>
  <c r="AA19" i="29"/>
  <c r="Z19" i="43" s="1"/>
  <c r="Z71" i="43" s="1"/>
  <c r="AA14" i="29"/>
  <c r="Z14" i="43" s="1"/>
  <c r="Z66" i="43" s="1"/>
  <c r="AA12" i="29"/>
  <c r="Z12" i="43" s="1"/>
  <c r="Z64" i="43" s="1"/>
  <c r="AA10" i="29"/>
  <c r="Z10" i="43" s="1"/>
  <c r="Z62" i="43" s="1"/>
  <c r="AA8" i="29"/>
  <c r="Z8" i="43" s="1"/>
  <c r="Z60" i="43" s="1"/>
  <c r="AA11" i="29"/>
  <c r="Z11" i="43" s="1"/>
  <c r="Z63" i="43" s="1"/>
  <c r="AA7" i="29"/>
  <c r="Z7" i="43" s="1"/>
  <c r="Z59" i="43" s="1"/>
  <c r="AA6" i="29"/>
  <c r="Z6" i="43" s="1"/>
  <c r="Z58" i="43" s="1"/>
  <c r="AA18" i="29"/>
  <c r="Z18" i="43" s="1"/>
  <c r="Z70" i="43" s="1"/>
  <c r="AA13" i="29"/>
  <c r="Z13" i="43" s="1"/>
  <c r="Z65" i="43" s="1"/>
  <c r="AA9" i="29"/>
  <c r="Z9" i="43" s="1"/>
  <c r="Z61" i="43" s="1"/>
  <c r="AA5" i="29"/>
  <c r="Z5" i="43" s="1"/>
  <c r="Z57" i="43" s="1"/>
  <c r="P9" i="45" s="1"/>
  <c r="AA15" i="29"/>
  <c r="Z15" i="43" s="1"/>
  <c r="Z67" i="43" s="1"/>
  <c r="T10" i="32"/>
  <c r="T8" i="32"/>
  <c r="T34" i="32"/>
  <c r="T9" i="32"/>
  <c r="T15" i="32"/>
  <c r="T13" i="32"/>
  <c r="T7" i="32"/>
  <c r="T6" i="32"/>
  <c r="T5" i="32"/>
  <c r="T14" i="32"/>
  <c r="T31" i="32"/>
  <c r="T11" i="32"/>
  <c r="T32" i="32"/>
  <c r="T12" i="32"/>
  <c r="T30" i="32"/>
  <c r="T33" i="32"/>
  <c r="T19" i="32"/>
  <c r="T35" i="32"/>
  <c r="T16" i="32"/>
  <c r="T36" i="32"/>
  <c r="T21" i="32"/>
  <c r="T26" i="32"/>
  <c r="T41" i="32"/>
  <c r="T23" i="32"/>
  <c r="T39" i="32"/>
  <c r="T20" i="32"/>
  <c r="T25" i="32"/>
  <c r="T18" i="32"/>
  <c r="T38" i="32"/>
  <c r="T28" i="32"/>
  <c r="T17" i="32"/>
  <c r="O47" i="33"/>
  <c r="O47" i="32"/>
  <c r="U47" i="33"/>
  <c r="T40" i="32"/>
  <c r="N30" i="32"/>
  <c r="N12" i="32"/>
  <c r="S23" i="28"/>
  <c r="AH22" i="28"/>
  <c r="S45" i="28"/>
  <c r="Q33" i="28"/>
  <c r="S44" i="28"/>
  <c r="AC35" i="28"/>
  <c r="S27" i="28"/>
  <c r="P45" i="28"/>
  <c r="L27" i="28"/>
  <c r="L24" i="28"/>
  <c r="L16" i="28"/>
  <c r="L26" i="28"/>
  <c r="L23" i="28"/>
  <c r="L14" i="28"/>
  <c r="L5" i="28"/>
  <c r="L29" i="28"/>
  <c r="L15" i="28"/>
  <c r="L21" i="28"/>
  <c r="L10" i="28"/>
  <c r="L9" i="28"/>
  <c r="L28" i="28"/>
  <c r="L22" i="28"/>
  <c r="L13" i="28"/>
  <c r="L6" i="28"/>
  <c r="L8" i="28"/>
  <c r="L32" i="28"/>
  <c r="L48" i="28"/>
  <c r="L37" i="28"/>
  <c r="L30" i="28"/>
  <c r="L11" i="28"/>
  <c r="L39" i="28"/>
  <c r="L50" i="28"/>
  <c r="L36" i="28"/>
  <c r="L17" i="28"/>
  <c r="L41" i="28"/>
  <c r="L34" i="28"/>
  <c r="L19" i="28"/>
  <c r="L43" i="28"/>
  <c r="L12" i="28"/>
  <c r="L40" i="28"/>
  <c r="L25" i="28"/>
  <c r="L45" i="28"/>
  <c r="L7" i="28"/>
  <c r="L38" i="28"/>
  <c r="L31" i="28"/>
  <c r="L47" i="28"/>
  <c r="L20" i="28"/>
  <c r="L44" i="28"/>
  <c r="L33" i="28"/>
  <c r="L49" i="28"/>
  <c r="O20" i="28"/>
  <c r="O15" i="28"/>
  <c r="O12" i="28"/>
  <c r="O10" i="28"/>
  <c r="O9" i="28"/>
  <c r="O6" i="28"/>
  <c r="O25" i="28"/>
  <c r="O19" i="28"/>
  <c r="O13" i="28"/>
  <c r="O17" i="28"/>
  <c r="O16" i="28"/>
  <c r="O11" i="28"/>
  <c r="O18" i="28"/>
  <c r="O14" i="28"/>
  <c r="O8" i="28"/>
  <c r="O7" i="28"/>
  <c r="O5" i="28"/>
  <c r="O34" i="28"/>
  <c r="O50" i="28"/>
  <c r="O22" i="28"/>
  <c r="O39" i="28"/>
  <c r="O32" i="28"/>
  <c r="O24" i="28"/>
  <c r="O41" i="28"/>
  <c r="O21" i="28"/>
  <c r="O38" i="28"/>
  <c r="O27" i="28"/>
  <c r="O43" i="28"/>
  <c r="O40" i="28"/>
  <c r="O29" i="28"/>
  <c r="O45" i="28"/>
  <c r="O23" i="28"/>
  <c r="O26" i="28"/>
  <c r="O42" i="28"/>
  <c r="O31" i="28"/>
  <c r="O47" i="28"/>
  <c r="O44" i="28"/>
  <c r="O33" i="28"/>
  <c r="O49" i="28"/>
  <c r="O28" i="28"/>
  <c r="O30" i="28"/>
  <c r="O46" i="28"/>
  <c r="O35" i="28"/>
  <c r="O51" i="28"/>
  <c r="Z53" i="30"/>
  <c r="Q9" i="32"/>
  <c r="Q7" i="32"/>
  <c r="Q30" i="32"/>
  <c r="Q15" i="32"/>
  <c r="Q13" i="32"/>
  <c r="Q5" i="32"/>
  <c r="Q22" i="32"/>
  <c r="Q6" i="32"/>
  <c r="Q10" i="32"/>
  <c r="Q8" i="32"/>
  <c r="Q27" i="32"/>
  <c r="Q24" i="32"/>
  <c r="Q40" i="32"/>
  <c r="Q12" i="32"/>
  <c r="Q33" i="32"/>
  <c r="Q26" i="32"/>
  <c r="Q37" i="32"/>
  <c r="Q14" i="32"/>
  <c r="Q31" i="32"/>
  <c r="Q11" i="32"/>
  <c r="Q28" i="32"/>
  <c r="Q17" i="32"/>
  <c r="Q34" i="32"/>
  <c r="Q41" i="32"/>
  <c r="Q19" i="32"/>
  <c r="Q35" i="32"/>
  <c r="Q16" i="32"/>
  <c r="Q32" i="32"/>
  <c r="Q21" i="32"/>
  <c r="Q38" i="32"/>
  <c r="S48" i="31"/>
  <c r="Q25" i="32"/>
  <c r="Q36" i="32"/>
  <c r="N32" i="32"/>
  <c r="Q39" i="32"/>
  <c r="N35" i="32"/>
  <c r="AH42" i="28"/>
  <c r="O36" i="28"/>
  <c r="S29" i="28"/>
  <c r="P47" i="28"/>
  <c r="L35" i="28"/>
  <c r="AH38" i="28"/>
  <c r="R42" i="28"/>
  <c r="L46" i="28"/>
  <c r="U45" i="28"/>
  <c r="R41" i="28"/>
  <c r="Q46" i="34"/>
  <c r="Q46" i="33"/>
  <c r="Q46" i="32"/>
  <c r="Q46" i="31"/>
  <c r="Q45" i="34"/>
  <c r="Q45" i="33"/>
  <c r="Q45" i="32"/>
  <c r="Q45" i="31"/>
  <c r="AL55" i="30"/>
  <c r="AL55" i="29"/>
  <c r="AL55" i="28"/>
  <c r="AL57" i="27"/>
  <c r="R44" i="34"/>
  <c r="R44" i="33"/>
  <c r="R44" i="31"/>
  <c r="R44" i="32"/>
  <c r="AB56" i="30"/>
  <c r="AB56" i="29"/>
  <c r="AB56" i="28"/>
  <c r="AB58" i="27"/>
  <c r="AL54" i="29"/>
  <c r="AL54" i="30"/>
  <c r="AL54" i="28"/>
  <c r="X51" i="28"/>
  <c r="X46" i="28"/>
  <c r="X43" i="28"/>
  <c r="X36" i="28"/>
  <c r="X34" i="28"/>
  <c r="X31" i="28"/>
  <c r="X28" i="28"/>
  <c r="X23" i="28"/>
  <c r="X20" i="28"/>
  <c r="X15" i="28"/>
  <c r="X12" i="28"/>
  <c r="X49" i="28"/>
  <c r="X45" i="28"/>
  <c r="X40" i="28"/>
  <c r="X26" i="28"/>
  <c r="X22" i="28"/>
  <c r="X17" i="28"/>
  <c r="X16" i="28"/>
  <c r="X11" i="28"/>
  <c r="X6" i="28"/>
  <c r="X41" i="28"/>
  <c r="X38" i="28"/>
  <c r="X37" i="28"/>
  <c r="X35" i="28"/>
  <c r="X29" i="28"/>
  <c r="X18" i="28"/>
  <c r="X14" i="28"/>
  <c r="X9" i="28"/>
  <c r="X50" i="28"/>
  <c r="X44" i="28"/>
  <c r="X39" i="28"/>
  <c r="X33" i="28"/>
  <c r="X32" i="28"/>
  <c r="X27" i="28"/>
  <c r="X21" i="28"/>
  <c r="X10" i="28"/>
  <c r="X48" i="28"/>
  <c r="X47" i="28"/>
  <c r="X42" i="28"/>
  <c r="X30" i="28"/>
  <c r="X25" i="28"/>
  <c r="X24" i="28"/>
  <c r="X19" i="28"/>
  <c r="X13" i="28"/>
  <c r="X8" i="28"/>
  <c r="X7" i="28"/>
  <c r="X5" i="28"/>
  <c r="W48" i="28"/>
  <c r="W45" i="28"/>
  <c r="W40" i="28"/>
  <c r="W38" i="28"/>
  <c r="W33" i="28"/>
  <c r="W30" i="28"/>
  <c r="W25" i="28"/>
  <c r="W22" i="28"/>
  <c r="W17" i="28"/>
  <c r="W14" i="28"/>
  <c r="W9" i="28"/>
  <c r="W51" i="28"/>
  <c r="W47" i="28"/>
  <c r="W42" i="28"/>
  <c r="W31" i="28"/>
  <c r="W28" i="28"/>
  <c r="W24" i="28"/>
  <c r="W19" i="28"/>
  <c r="W13" i="28"/>
  <c r="W8" i="28"/>
  <c r="W49" i="28"/>
  <c r="W46" i="28"/>
  <c r="W43" i="28"/>
  <c r="W26" i="28"/>
  <c r="W23" i="28"/>
  <c r="W20" i="28"/>
  <c r="W16" i="28"/>
  <c r="W11" i="28"/>
  <c r="W41" i="28"/>
  <c r="W37" i="28"/>
  <c r="W35" i="28"/>
  <c r="W29" i="28"/>
  <c r="W18" i="28"/>
  <c r="W15" i="28"/>
  <c r="W12" i="28"/>
  <c r="W50" i="28"/>
  <c r="W44" i="28"/>
  <c r="W39" i="28"/>
  <c r="W36" i="28"/>
  <c r="W34" i="28"/>
  <c r="W32" i="28"/>
  <c r="W27" i="28"/>
  <c r="W21" i="28"/>
  <c r="W10" i="28"/>
  <c r="W5" i="28"/>
  <c r="W7" i="28"/>
  <c r="W6" i="28"/>
  <c r="AC20" i="28"/>
  <c r="AC15" i="28"/>
  <c r="AC12" i="28"/>
  <c r="AC40" i="28"/>
  <c r="AC17" i="28"/>
  <c r="AC16" i="28"/>
  <c r="AC13" i="28"/>
  <c r="AC11" i="28"/>
  <c r="AC6" i="28"/>
  <c r="AC14" i="28"/>
  <c r="AC9" i="28"/>
  <c r="AC32" i="28"/>
  <c r="AC18" i="28"/>
  <c r="AC25" i="28"/>
  <c r="AC19" i="28"/>
  <c r="AC10" i="28"/>
  <c r="AC8" i="28"/>
  <c r="AC7" i="28"/>
  <c r="AC5" i="28"/>
  <c r="AC34" i="28"/>
  <c r="AC50" i="28"/>
  <c r="AC22" i="28"/>
  <c r="AC39" i="28"/>
  <c r="AC44" i="28"/>
  <c r="AC24" i="28"/>
  <c r="AC41" i="28"/>
  <c r="AC28" i="28"/>
  <c r="AC21" i="28"/>
  <c r="AC38" i="28"/>
  <c r="AC27" i="28"/>
  <c r="AC43" i="28"/>
  <c r="AC48" i="28"/>
  <c r="AC29" i="28"/>
  <c r="AC45" i="28"/>
  <c r="AC36" i="28"/>
  <c r="AC26" i="28"/>
  <c r="AC42" i="28"/>
  <c r="AC31" i="28"/>
  <c r="AC47" i="28"/>
  <c r="AC33" i="28"/>
  <c r="AC49" i="28"/>
  <c r="AC30" i="28"/>
  <c r="AC46" i="28"/>
  <c r="Z51" i="29"/>
  <c r="Y51" i="43" s="1"/>
  <c r="Y103" i="43" s="1"/>
  <c r="Z48" i="29"/>
  <c r="Y48" i="43" s="1"/>
  <c r="Y100" i="43" s="1"/>
  <c r="Z43" i="29"/>
  <c r="Y43" i="43" s="1"/>
  <c r="Y95" i="43" s="1"/>
  <c r="Z40" i="29"/>
  <c r="Y40" i="43" s="1"/>
  <c r="Y92" i="43" s="1"/>
  <c r="Z35" i="29"/>
  <c r="Y35" i="43" s="1"/>
  <c r="Y87" i="43" s="1"/>
  <c r="Z32" i="29"/>
  <c r="Y32" i="43" s="1"/>
  <c r="Y84" i="43" s="1"/>
  <c r="Z29" i="29"/>
  <c r="Y29" i="43" s="1"/>
  <c r="Y81" i="43" s="1"/>
  <c r="Z24" i="29"/>
  <c r="Y24" i="43" s="1"/>
  <c r="Y76" i="43" s="1"/>
  <c r="Z50" i="29"/>
  <c r="Y50" i="43" s="1"/>
  <c r="Y102" i="43" s="1"/>
  <c r="Z49" i="29"/>
  <c r="Y49" i="43" s="1"/>
  <c r="Y101" i="43" s="1"/>
  <c r="Z46" i="29"/>
  <c r="Y46" i="43" s="1"/>
  <c r="Y98" i="43" s="1"/>
  <c r="Z41" i="29"/>
  <c r="Y41" i="43" s="1"/>
  <c r="Y93" i="43" s="1"/>
  <c r="Z38" i="29"/>
  <c r="Y38" i="43" s="1"/>
  <c r="Y90" i="43" s="1"/>
  <c r="Z33" i="29"/>
  <c r="Y33" i="43" s="1"/>
  <c r="Y85" i="43" s="1"/>
  <c r="Z30" i="29"/>
  <c r="Y30" i="43" s="1"/>
  <c r="Y82" i="43" s="1"/>
  <c r="Z27" i="29"/>
  <c r="Y27" i="43" s="1"/>
  <c r="Y79" i="43" s="1"/>
  <c r="Z21" i="29"/>
  <c r="Y21" i="43" s="1"/>
  <c r="Y73" i="43" s="1"/>
  <c r="Z47" i="29"/>
  <c r="Y47" i="43" s="1"/>
  <c r="Y99" i="43" s="1"/>
  <c r="Z36" i="29"/>
  <c r="Y36" i="43" s="1"/>
  <c r="Y88" i="43" s="1"/>
  <c r="Z31" i="29"/>
  <c r="Y31" i="43" s="1"/>
  <c r="Y83" i="43" s="1"/>
  <c r="Z25" i="29"/>
  <c r="Y25" i="43" s="1"/>
  <c r="Y77" i="43" s="1"/>
  <c r="Z19" i="29"/>
  <c r="Y19" i="43" s="1"/>
  <c r="Y71" i="43" s="1"/>
  <c r="Z14" i="29"/>
  <c r="Y14" i="43" s="1"/>
  <c r="Y66" i="43" s="1"/>
  <c r="Z12" i="29"/>
  <c r="Y12" i="43" s="1"/>
  <c r="Y64" i="43" s="1"/>
  <c r="Z10" i="29"/>
  <c r="Y10" i="43" s="1"/>
  <c r="Y62" i="43" s="1"/>
  <c r="Z45" i="29"/>
  <c r="Y45" i="43" s="1"/>
  <c r="Y97" i="43" s="1"/>
  <c r="Z34" i="29"/>
  <c r="Y34" i="43" s="1"/>
  <c r="Y86" i="43" s="1"/>
  <c r="Z23" i="29"/>
  <c r="Y23" i="43" s="1"/>
  <c r="Y75" i="43" s="1"/>
  <c r="Z44" i="29"/>
  <c r="Y44" i="43" s="1"/>
  <c r="Y96" i="43" s="1"/>
  <c r="Z39" i="29"/>
  <c r="Y39" i="43" s="1"/>
  <c r="Y91" i="43" s="1"/>
  <c r="Z28" i="29"/>
  <c r="Y28" i="43" s="1"/>
  <c r="Y80" i="43" s="1"/>
  <c r="Z22" i="29"/>
  <c r="Y22" i="43" s="1"/>
  <c r="Y74" i="43" s="1"/>
  <c r="Z18" i="29"/>
  <c r="Y18" i="43" s="1"/>
  <c r="Y70" i="43" s="1"/>
  <c r="Z15" i="29"/>
  <c r="Y15" i="43" s="1"/>
  <c r="Y67" i="43" s="1"/>
  <c r="Z42" i="29"/>
  <c r="Y42" i="43" s="1"/>
  <c r="Y94" i="43" s="1"/>
  <c r="Z37" i="29"/>
  <c r="Y37" i="43" s="1"/>
  <c r="Y89" i="43" s="1"/>
  <c r="Z26" i="29"/>
  <c r="Y26" i="43" s="1"/>
  <c r="Y78" i="43" s="1"/>
  <c r="Z20" i="29"/>
  <c r="Y20" i="43" s="1"/>
  <c r="Y72" i="43" s="1"/>
  <c r="Z17" i="29"/>
  <c r="Y17" i="43" s="1"/>
  <c r="Y69" i="43" s="1"/>
  <c r="Z5" i="29"/>
  <c r="Y5" i="43" s="1"/>
  <c r="Y57" i="43" s="1"/>
  <c r="O11" i="45" s="1"/>
  <c r="Z8" i="29"/>
  <c r="Y8" i="43" s="1"/>
  <c r="Y60" i="43" s="1"/>
  <c r="Z11" i="29"/>
  <c r="Y11" i="43" s="1"/>
  <c r="Y63" i="43" s="1"/>
  <c r="Z7" i="29"/>
  <c r="Y7" i="43" s="1"/>
  <c r="Y59" i="43" s="1"/>
  <c r="Z6" i="29"/>
  <c r="Y6" i="43" s="1"/>
  <c r="Y58" i="43" s="1"/>
  <c r="Z16" i="29"/>
  <c r="Y16" i="43" s="1"/>
  <c r="Y68" i="43" s="1"/>
  <c r="Z13" i="29"/>
  <c r="Y13" i="43" s="1"/>
  <c r="Y65" i="43" s="1"/>
  <c r="Z9" i="29"/>
  <c r="Y9" i="43" s="1"/>
  <c r="Y61" i="43" s="1"/>
  <c r="T47" i="33"/>
  <c r="T47" i="32"/>
  <c r="M47" i="33"/>
  <c r="S47" i="32"/>
  <c r="Q18" i="32"/>
  <c r="T37" i="32"/>
  <c r="T24" i="32"/>
  <c r="Q20" i="32"/>
  <c r="N16" i="32"/>
  <c r="T27" i="32"/>
  <c r="Q23" i="32"/>
  <c r="N19" i="32"/>
  <c r="AC23" i="28"/>
  <c r="L42" i="28"/>
  <c r="U47" i="28"/>
  <c r="R43" i="28"/>
  <c r="P31" i="28"/>
  <c r="Q40" i="28"/>
  <c r="L18" i="28"/>
  <c r="AH37" i="28"/>
  <c r="U29" i="28"/>
  <c r="Q47" i="28"/>
  <c r="U58" i="29"/>
  <c r="Y48" i="33"/>
  <c r="Y47" i="33" s="1"/>
  <c r="AI46" i="28"/>
  <c r="AH58" i="29"/>
  <c r="AH39" i="30" s="1"/>
  <c r="AL56" i="30"/>
  <c r="AL56" i="29"/>
  <c r="AL56" i="28"/>
  <c r="AL58" i="27"/>
  <c r="Q48" i="32"/>
  <c r="Q47" i="32" s="1"/>
  <c r="AI58" i="29"/>
  <c r="Q48" i="33"/>
  <c r="Q47" i="33" s="1"/>
  <c r="AI25" i="28"/>
  <c r="AI20" i="28"/>
  <c r="AI17" i="28"/>
  <c r="AI12" i="28"/>
  <c r="AI9" i="28"/>
  <c r="AI44" i="28"/>
  <c r="AI16" i="28"/>
  <c r="AI15" i="28"/>
  <c r="AI10" i="28"/>
  <c r="AI6" i="28"/>
  <c r="AI36" i="28"/>
  <c r="AI19" i="28"/>
  <c r="AI13" i="28"/>
  <c r="AI32" i="28"/>
  <c r="AI14" i="28"/>
  <c r="AI11" i="28"/>
  <c r="AI18" i="28"/>
  <c r="AI8" i="28"/>
  <c r="AI5" i="28"/>
  <c r="AI7" i="28"/>
  <c r="Y48" i="32"/>
  <c r="Y47" i="32" s="1"/>
  <c r="AI38" i="28"/>
  <c r="AI21" i="28"/>
  <c r="Y48" i="31"/>
  <c r="O48" i="31"/>
  <c r="U48" i="31"/>
  <c r="M48" i="31"/>
  <c r="M55" i="27"/>
  <c r="M60" i="27" s="1"/>
  <c r="Y56" i="27"/>
  <c r="Y60" i="27" s="1"/>
  <c r="V56" i="27"/>
  <c r="F36" i="5"/>
  <c r="E36" i="5"/>
  <c r="D30" i="5"/>
  <c r="N29" i="32" l="1"/>
  <c r="N41" i="32"/>
  <c r="N31" i="32"/>
  <c r="N37" i="32"/>
  <c r="N27" i="32"/>
  <c r="N36" i="32"/>
  <c r="N5" i="32"/>
  <c r="N13" i="32"/>
  <c r="O7" i="45"/>
  <c r="P7" i="45"/>
  <c r="P11" i="45"/>
  <c r="AA53" i="30"/>
  <c r="O9" i="45"/>
  <c r="O15" i="45" s="1"/>
  <c r="T22" i="33"/>
  <c r="R22" i="44"/>
  <c r="R64" i="44" s="1"/>
  <c r="N12" i="44"/>
  <c r="N54" i="44" s="1"/>
  <c r="X6" i="45"/>
  <c r="L6" i="46"/>
  <c r="X10" i="45"/>
  <c r="L10" i="46"/>
  <c r="P15" i="45"/>
  <c r="T29" i="32"/>
  <c r="Y18" i="28"/>
  <c r="Y13" i="28"/>
  <c r="Y10" i="28"/>
  <c r="Y38" i="28"/>
  <c r="Y20" i="28"/>
  <c r="Y14" i="28"/>
  <c r="Y9" i="28"/>
  <c r="Y7" i="28"/>
  <c r="Y50" i="28"/>
  <c r="Y15" i="28"/>
  <c r="Y12" i="28"/>
  <c r="Y42" i="28"/>
  <c r="Y34" i="28"/>
  <c r="Y30" i="28"/>
  <c r="Y25" i="28"/>
  <c r="Y19" i="28"/>
  <c r="Y8" i="28"/>
  <c r="Y17" i="28"/>
  <c r="Y16" i="28"/>
  <c r="Y11" i="28"/>
  <c r="Y6" i="28"/>
  <c r="Y5" i="28"/>
  <c r="Y32" i="28"/>
  <c r="Y48" i="28"/>
  <c r="Y37" i="28"/>
  <c r="Y22" i="28"/>
  <c r="Y39" i="28"/>
  <c r="Y36" i="28"/>
  <c r="Y24" i="28"/>
  <c r="Y41" i="28"/>
  <c r="Y27" i="28"/>
  <c r="Y43" i="28"/>
  <c r="Y21" i="28"/>
  <c r="Y23" i="28"/>
  <c r="Y40" i="28"/>
  <c r="Y29" i="28"/>
  <c r="Y45" i="28"/>
  <c r="Y31" i="28"/>
  <c r="Y47" i="28"/>
  <c r="Y26" i="28"/>
  <c r="Y28" i="28"/>
  <c r="Y44" i="28"/>
  <c r="Y33" i="28"/>
  <c r="Y46" i="28"/>
  <c r="Y51" i="28"/>
  <c r="Y49" i="28"/>
  <c r="Y35" i="28"/>
  <c r="M15" i="28"/>
  <c r="M10" i="28"/>
  <c r="M16" i="28"/>
  <c r="M5" i="28"/>
  <c r="M9" i="28"/>
  <c r="M6" i="28"/>
  <c r="M13" i="28"/>
  <c r="M25" i="28"/>
  <c r="O8" i="32"/>
  <c r="O6" i="32"/>
  <c r="O28" i="32"/>
  <c r="O15" i="32"/>
  <c r="O7" i="32"/>
  <c r="O5" i="32"/>
  <c r="O20" i="32"/>
  <c r="O16" i="32"/>
  <c r="O10" i="32"/>
  <c r="O9" i="32"/>
  <c r="O25" i="32"/>
  <c r="O41" i="32"/>
  <c r="O22" i="32"/>
  <c r="O38" i="32"/>
  <c r="O19" i="32"/>
  <c r="O32" i="32"/>
  <c r="O12" i="32"/>
  <c r="O29" i="32"/>
  <c r="O26" i="32"/>
  <c r="O23" i="32"/>
  <c r="O36" i="32"/>
  <c r="O27" i="32"/>
  <c r="O17" i="32"/>
  <c r="O33" i="32"/>
  <c r="O13" i="32"/>
  <c r="O30" i="32"/>
  <c r="O31" i="32"/>
  <c r="O11" i="32"/>
  <c r="O40" i="32"/>
  <c r="O39" i="32"/>
  <c r="O14" i="32"/>
  <c r="O35" i="32"/>
  <c r="O21" i="32"/>
  <c r="O18" i="32"/>
  <c r="O37" i="32"/>
  <c r="O34" i="32"/>
  <c r="O24" i="32"/>
  <c r="AI18" i="30"/>
  <c r="AI13" i="30"/>
  <c r="AI10" i="30"/>
  <c r="AI9" i="30"/>
  <c r="AI25" i="30"/>
  <c r="U29" i="30"/>
  <c r="P31" i="30"/>
  <c r="N19" i="33"/>
  <c r="N19" i="44" s="1"/>
  <c r="N61" i="44" s="1"/>
  <c r="N19" i="34"/>
  <c r="Q20" i="33"/>
  <c r="R20" i="33" s="1"/>
  <c r="R20" i="32"/>
  <c r="Q20" i="34"/>
  <c r="R20" i="34" s="1"/>
  <c r="M32" i="28"/>
  <c r="AD46" i="28"/>
  <c r="AC46" i="30"/>
  <c r="AD46" i="30" s="1"/>
  <c r="AD47" i="28"/>
  <c r="AC47" i="30"/>
  <c r="AD47" i="30" s="1"/>
  <c r="AD36" i="28"/>
  <c r="AC36" i="30"/>
  <c r="AD36" i="30" s="1"/>
  <c r="AD43" i="28"/>
  <c r="AC43" i="30"/>
  <c r="AD43" i="30" s="1"/>
  <c r="AD28" i="28"/>
  <c r="AC28" i="30"/>
  <c r="AD28" i="30" s="1"/>
  <c r="AD39" i="28"/>
  <c r="AC39" i="30"/>
  <c r="AD39" i="30" s="1"/>
  <c r="AD5" i="28"/>
  <c r="AC5" i="30"/>
  <c r="AC53" i="28"/>
  <c r="AC58" i="28" s="1"/>
  <c r="AC37" i="29" s="1"/>
  <c r="AD19" i="28"/>
  <c r="AC19" i="30"/>
  <c r="AD19" i="30" s="1"/>
  <c r="AD9" i="28"/>
  <c r="AC9" i="29"/>
  <c r="AD9" i="29" s="1"/>
  <c r="AC9" i="30"/>
  <c r="AD9" i="30" s="1"/>
  <c r="AD13" i="28"/>
  <c r="AC13" i="30"/>
  <c r="AD13" i="30" s="1"/>
  <c r="AD12" i="28"/>
  <c r="AC12" i="30"/>
  <c r="AD12" i="30" s="1"/>
  <c r="M35" i="28"/>
  <c r="W7" i="30"/>
  <c r="W27" i="30"/>
  <c r="W39" i="30"/>
  <c r="W15" i="30"/>
  <c r="W37" i="30"/>
  <c r="W20" i="30"/>
  <c r="W46" i="30"/>
  <c r="W19" i="30"/>
  <c r="W42" i="30"/>
  <c r="W14" i="30"/>
  <c r="W30" i="30"/>
  <c r="W45" i="30"/>
  <c r="X7" i="30"/>
  <c r="X24" i="30"/>
  <c r="X47" i="30"/>
  <c r="X27" i="30"/>
  <c r="X44" i="30"/>
  <c r="X18" i="30"/>
  <c r="X38" i="30"/>
  <c r="X16" i="30"/>
  <c r="X40" i="30"/>
  <c r="X15" i="30"/>
  <c r="X31" i="30"/>
  <c r="X46" i="30"/>
  <c r="AH38" i="30"/>
  <c r="O36" i="30"/>
  <c r="N32" i="33"/>
  <c r="N32" i="44" s="1"/>
  <c r="N74" i="44" s="1"/>
  <c r="N32" i="34"/>
  <c r="Q16" i="33"/>
  <c r="R16" i="33" s="1"/>
  <c r="R16" i="32"/>
  <c r="Q16" i="34"/>
  <c r="R16" i="34" s="1"/>
  <c r="R34" i="32"/>
  <c r="Q34" i="33"/>
  <c r="R34" i="33" s="1"/>
  <c r="Q34" i="34"/>
  <c r="R34" i="34" s="1"/>
  <c r="Q31" i="33"/>
  <c r="R31" i="33" s="1"/>
  <c r="R31" i="32"/>
  <c r="Q31" i="34"/>
  <c r="R31" i="34" s="1"/>
  <c r="R33" i="32"/>
  <c r="Q33" i="33"/>
  <c r="R33" i="33" s="1"/>
  <c r="Q33" i="34"/>
  <c r="R33" i="34" s="1"/>
  <c r="Q27" i="33"/>
  <c r="R27" i="33" s="1"/>
  <c r="R27" i="32"/>
  <c r="Q27" i="34"/>
  <c r="R27" i="34" s="1"/>
  <c r="R22" i="32"/>
  <c r="Q22" i="33"/>
  <c r="R22" i="33" s="1"/>
  <c r="Q22" i="34"/>
  <c r="R22" i="34" s="1"/>
  <c r="R30" i="32"/>
  <c r="Q30" i="33"/>
  <c r="R30" i="33" s="1"/>
  <c r="Q30" i="34"/>
  <c r="R30" i="34" s="1"/>
  <c r="M26" i="28"/>
  <c r="M11" i="28"/>
  <c r="O30" i="30"/>
  <c r="O44" i="30"/>
  <c r="O26" i="30"/>
  <c r="O40" i="30"/>
  <c r="O21" i="30"/>
  <c r="O39" i="30"/>
  <c r="O53" i="28"/>
  <c r="O58" i="28" s="1"/>
  <c r="O48" i="29" s="1"/>
  <c r="O48" i="43" s="1"/>
  <c r="O100" i="43" s="1"/>
  <c r="O5" i="30"/>
  <c r="O18" i="30"/>
  <c r="O13" i="29"/>
  <c r="O13" i="43" s="1"/>
  <c r="O65" i="43" s="1"/>
  <c r="O13" i="30"/>
  <c r="O9" i="30"/>
  <c r="O20" i="30"/>
  <c r="L49" i="30"/>
  <c r="L47" i="30"/>
  <c r="L45" i="30"/>
  <c r="L43" i="30"/>
  <c r="L17" i="30"/>
  <c r="L11" i="30"/>
  <c r="L32" i="30"/>
  <c r="L22" i="30"/>
  <c r="L21" i="30"/>
  <c r="L14" i="30"/>
  <c r="L24" i="30"/>
  <c r="P45" i="30"/>
  <c r="Q33" i="30"/>
  <c r="N12" i="33"/>
  <c r="N12" i="34"/>
  <c r="T28" i="33"/>
  <c r="R28" i="44" s="1"/>
  <c r="R70" i="44" s="1"/>
  <c r="T28" i="34"/>
  <c r="T20" i="33"/>
  <c r="R20" i="44" s="1"/>
  <c r="R62" i="44" s="1"/>
  <c r="T20" i="34"/>
  <c r="T26" i="33"/>
  <c r="R26" i="44" s="1"/>
  <c r="R68" i="44" s="1"/>
  <c r="T26" i="34"/>
  <c r="T35" i="33"/>
  <c r="R35" i="44" s="1"/>
  <c r="R77" i="44" s="1"/>
  <c r="T35" i="34"/>
  <c r="T12" i="33"/>
  <c r="R12" i="44" s="1"/>
  <c r="R54" i="44" s="1"/>
  <c r="T12" i="34"/>
  <c r="T14" i="33"/>
  <c r="R14" i="44" s="1"/>
  <c r="R56" i="44" s="1"/>
  <c r="T14" i="34"/>
  <c r="T13" i="33"/>
  <c r="R13" i="44" s="1"/>
  <c r="R55" i="44" s="1"/>
  <c r="T13" i="34"/>
  <c r="T8" i="33"/>
  <c r="R8" i="44" s="1"/>
  <c r="R50" i="44" s="1"/>
  <c r="T8" i="34"/>
  <c r="M44" i="28"/>
  <c r="R34" i="30"/>
  <c r="R30" i="30"/>
  <c r="R49" i="30"/>
  <c r="R31" i="30"/>
  <c r="R6" i="30"/>
  <c r="R19" i="30"/>
  <c r="R21" i="30"/>
  <c r="R15" i="30"/>
  <c r="R11" i="30"/>
  <c r="R26" i="30"/>
  <c r="R25" i="30"/>
  <c r="M31" i="28"/>
  <c r="P43" i="30"/>
  <c r="P39" i="30"/>
  <c r="P48" i="30"/>
  <c r="P46" i="30"/>
  <c r="P44" i="30"/>
  <c r="P12" i="30"/>
  <c r="P14" i="30"/>
  <c r="P16" i="30"/>
  <c r="P7" i="30"/>
  <c r="P10" i="30"/>
  <c r="P26" i="30"/>
  <c r="AH30" i="30"/>
  <c r="AH49" i="30"/>
  <c r="AH47" i="30"/>
  <c r="AH40" i="30"/>
  <c r="AH27" i="30"/>
  <c r="AH6" i="30"/>
  <c r="AH13" i="30"/>
  <c r="AH15" i="30"/>
  <c r="AH53" i="28"/>
  <c r="AH58" i="28" s="1"/>
  <c r="AH39" i="29" s="1"/>
  <c r="AD39" i="43" s="1"/>
  <c r="AD91" i="43" s="1"/>
  <c r="AH5" i="30"/>
  <c r="AH46" i="30"/>
  <c r="M23" i="28"/>
  <c r="U50" i="30"/>
  <c r="U26" i="30"/>
  <c r="N28" i="33"/>
  <c r="N28" i="44" s="1"/>
  <c r="N70" i="44" s="1"/>
  <c r="N28" i="34"/>
  <c r="N38" i="33"/>
  <c r="N38" i="44" s="1"/>
  <c r="N80" i="44" s="1"/>
  <c r="N38" i="34"/>
  <c r="N40" i="33"/>
  <c r="N40" i="44" s="1"/>
  <c r="N82" i="44" s="1"/>
  <c r="N40" i="34"/>
  <c r="N33" i="33"/>
  <c r="N33" i="44" s="1"/>
  <c r="N75" i="44" s="1"/>
  <c r="N33" i="34"/>
  <c r="N39" i="33"/>
  <c r="N39" i="44" s="1"/>
  <c r="N81" i="44" s="1"/>
  <c r="N39" i="34"/>
  <c r="N7" i="33"/>
  <c r="N7" i="44" s="1"/>
  <c r="N49" i="44" s="1"/>
  <c r="N7" i="34"/>
  <c r="N9" i="33"/>
  <c r="N9" i="44" s="1"/>
  <c r="N51" i="44" s="1"/>
  <c r="N9" i="34"/>
  <c r="M30" i="28"/>
  <c r="U40" i="30"/>
  <c r="U27" i="30"/>
  <c r="U36" i="30"/>
  <c r="U37" i="30"/>
  <c r="U35" i="30"/>
  <c r="U28" i="30"/>
  <c r="U14" i="30"/>
  <c r="U16" i="30"/>
  <c r="U30" i="30"/>
  <c r="U12" i="30"/>
  <c r="U18" i="30"/>
  <c r="M49" i="28"/>
  <c r="Q45" i="30"/>
  <c r="Q19" i="30"/>
  <c r="Q17" i="30"/>
  <c r="Q50" i="30"/>
  <c r="Q44" i="30"/>
  <c r="Q30" i="30"/>
  <c r="Q21" i="30"/>
  <c r="Q29" i="30"/>
  <c r="Q26" i="30"/>
  <c r="Q28" i="30"/>
  <c r="Y5" i="32"/>
  <c r="Y33" i="32"/>
  <c r="Y18" i="32"/>
  <c r="Y13" i="32"/>
  <c r="Y22" i="32"/>
  <c r="Y6" i="32"/>
  <c r="Y34" i="32"/>
  <c r="Y15" i="32"/>
  <c r="Y10" i="32"/>
  <c r="Y9" i="32"/>
  <c r="Y8" i="32"/>
  <c r="Y7" i="32"/>
  <c r="Y19" i="32"/>
  <c r="Y16" i="32"/>
  <c r="Y30" i="32"/>
  <c r="Y31" i="32"/>
  <c r="Y40" i="32"/>
  <c r="Y12" i="32"/>
  <c r="Y37" i="32"/>
  <c r="Y23" i="32"/>
  <c r="Y20" i="32"/>
  <c r="Y17" i="32"/>
  <c r="Y38" i="32"/>
  <c r="Y35" i="32"/>
  <c r="Y11" i="32"/>
  <c r="Y21" i="32"/>
  <c r="Y27" i="32"/>
  <c r="Y32" i="32"/>
  <c r="Y29" i="32"/>
  <c r="Y39" i="32"/>
  <c r="Y24" i="32"/>
  <c r="Y25" i="32"/>
  <c r="Y28" i="32"/>
  <c r="Y41" i="32"/>
  <c r="Y36" i="32"/>
  <c r="Y14" i="32"/>
  <c r="Y26" i="32"/>
  <c r="AI7" i="30"/>
  <c r="AI11" i="30"/>
  <c r="AI19" i="30"/>
  <c r="AI15" i="30"/>
  <c r="AI12" i="30"/>
  <c r="AH37" i="30"/>
  <c r="R43" i="30"/>
  <c r="L42" i="30"/>
  <c r="Q23" i="33"/>
  <c r="R23" i="33" s="1"/>
  <c r="R23" i="32"/>
  <c r="Q23" i="34"/>
  <c r="R23" i="34" s="1"/>
  <c r="T24" i="33"/>
  <c r="R24" i="44" s="1"/>
  <c r="R66" i="44" s="1"/>
  <c r="T24" i="34"/>
  <c r="M40" i="28"/>
  <c r="AC30" i="29"/>
  <c r="AD30" i="29" s="1"/>
  <c r="AD30" i="28"/>
  <c r="AC30" i="30"/>
  <c r="AD30" i="30" s="1"/>
  <c r="AD31" i="28"/>
  <c r="AC31" i="29"/>
  <c r="AD31" i="29" s="1"/>
  <c r="AC31" i="30"/>
  <c r="AD31" i="30" s="1"/>
  <c r="AD45" i="28"/>
  <c r="AC45" i="30"/>
  <c r="AD45" i="30" s="1"/>
  <c r="AD27" i="28"/>
  <c r="AC27" i="30"/>
  <c r="AD27" i="30" s="1"/>
  <c r="AC41" i="29"/>
  <c r="AD41" i="29" s="1"/>
  <c r="AD41" i="28"/>
  <c r="AC41" i="30"/>
  <c r="AD41" i="30" s="1"/>
  <c r="AD22" i="28"/>
  <c r="AC22" i="30"/>
  <c r="AD22" i="30" s="1"/>
  <c r="AD7" i="28"/>
  <c r="AC7" i="30"/>
  <c r="AD7" i="30" s="1"/>
  <c r="AD25" i="28"/>
  <c r="AC25" i="30"/>
  <c r="AD25" i="30" s="1"/>
  <c r="AD14" i="28"/>
  <c r="AC14" i="30"/>
  <c r="AD14" i="30" s="1"/>
  <c r="AD16" i="28"/>
  <c r="AC16" i="30"/>
  <c r="AD16" i="30" s="1"/>
  <c r="AD15" i="28"/>
  <c r="AC15" i="30"/>
  <c r="AD15" i="30" s="1"/>
  <c r="M43" i="28"/>
  <c r="W5" i="30"/>
  <c r="W53" i="28"/>
  <c r="W58" i="28" s="1"/>
  <c r="W5" i="29" s="1"/>
  <c r="V5" i="43" s="1"/>
  <c r="V57" i="43" s="1"/>
  <c r="W32" i="30"/>
  <c r="W44" i="29"/>
  <c r="V44" i="43" s="1"/>
  <c r="V96" i="43" s="1"/>
  <c r="W44" i="30"/>
  <c r="W18" i="30"/>
  <c r="W41" i="30"/>
  <c r="W23" i="30"/>
  <c r="W49" i="29"/>
  <c r="V49" i="43" s="1"/>
  <c r="V101" i="43" s="1"/>
  <c r="W49" i="30"/>
  <c r="W24" i="30"/>
  <c r="W47" i="29"/>
  <c r="V47" i="43" s="1"/>
  <c r="V99" i="43" s="1"/>
  <c r="W47" i="30"/>
  <c r="W17" i="30"/>
  <c r="W33" i="30"/>
  <c r="W48" i="30"/>
  <c r="X8" i="30"/>
  <c r="X25" i="30"/>
  <c r="X48" i="30"/>
  <c r="X32" i="30"/>
  <c r="X50" i="30"/>
  <c r="X29" i="30"/>
  <c r="X41" i="30"/>
  <c r="X17" i="30"/>
  <c r="X45" i="30"/>
  <c r="X20" i="30"/>
  <c r="X34" i="30"/>
  <c r="X51" i="30"/>
  <c r="L35" i="30"/>
  <c r="AH42" i="30"/>
  <c r="Q36" i="33"/>
  <c r="R36" i="33" s="1"/>
  <c r="R36" i="32"/>
  <c r="Q36" i="34"/>
  <c r="R36" i="34" s="1"/>
  <c r="R38" i="32"/>
  <c r="Q38" i="33"/>
  <c r="R38" i="33" s="1"/>
  <c r="Q38" i="34"/>
  <c r="R38" i="34" s="1"/>
  <c r="R35" i="32"/>
  <c r="Q35" i="33"/>
  <c r="R35" i="33" s="1"/>
  <c r="Q35" i="34"/>
  <c r="R35" i="34" s="1"/>
  <c r="R17" i="32"/>
  <c r="Q17" i="33"/>
  <c r="R17" i="33" s="1"/>
  <c r="Q17" i="34"/>
  <c r="R17" i="34" s="1"/>
  <c r="R14" i="32"/>
  <c r="Q14" i="33"/>
  <c r="R14" i="33" s="1"/>
  <c r="Q14" i="34"/>
  <c r="R14" i="34" s="1"/>
  <c r="Q12" i="33"/>
  <c r="R12" i="33" s="1"/>
  <c r="R12" i="32"/>
  <c r="Q12" i="34"/>
  <c r="R12" i="34" s="1"/>
  <c r="Q8" i="33"/>
  <c r="R8" i="33" s="1"/>
  <c r="R8" i="32"/>
  <c r="Q8" i="34"/>
  <c r="R8" i="34" s="1"/>
  <c r="R5" i="32"/>
  <c r="Q5" i="33"/>
  <c r="P5" i="44" s="1"/>
  <c r="P47" i="44" s="1"/>
  <c r="Q5" i="34"/>
  <c r="Q43" i="32"/>
  <c r="Q7" i="33"/>
  <c r="R7" i="33" s="1"/>
  <c r="R7" i="32"/>
  <c r="Q7" i="34"/>
  <c r="R7" i="34" s="1"/>
  <c r="M34" i="28"/>
  <c r="O51" i="30"/>
  <c r="O28" i="30"/>
  <c r="O47" i="29"/>
  <c r="O47" i="43" s="1"/>
  <c r="O99" i="43" s="1"/>
  <c r="O47" i="30"/>
  <c r="O23" i="30"/>
  <c r="O43" i="29"/>
  <c r="O43" i="43" s="1"/>
  <c r="O95" i="43" s="1"/>
  <c r="O43" i="30"/>
  <c r="O41" i="30"/>
  <c r="O22" i="29"/>
  <c r="O22" i="43" s="1"/>
  <c r="O74" i="43" s="1"/>
  <c r="O22" i="30"/>
  <c r="O7" i="30"/>
  <c r="O11" i="30"/>
  <c r="O19" i="30"/>
  <c r="O10" i="29"/>
  <c r="O10" i="43" s="1"/>
  <c r="O62" i="43" s="1"/>
  <c r="O10" i="30"/>
  <c r="M29" i="28"/>
  <c r="L33" i="30"/>
  <c r="L31" i="30"/>
  <c r="L25" i="30"/>
  <c r="L19" i="30"/>
  <c r="L36" i="30"/>
  <c r="L30" i="30"/>
  <c r="L8" i="30"/>
  <c r="L28" i="30"/>
  <c r="L15" i="30"/>
  <c r="L23" i="30"/>
  <c r="L27" i="30"/>
  <c r="N30" i="33"/>
  <c r="N30" i="44" s="1"/>
  <c r="N72" i="44" s="1"/>
  <c r="N30" i="34"/>
  <c r="T38" i="33"/>
  <c r="R38" i="44" s="1"/>
  <c r="R80" i="44" s="1"/>
  <c r="T38" i="34"/>
  <c r="T39" i="33"/>
  <c r="R39" i="44" s="1"/>
  <c r="R81" i="44" s="1"/>
  <c r="T39" i="34"/>
  <c r="T21" i="33"/>
  <c r="R21" i="44" s="1"/>
  <c r="R63" i="44" s="1"/>
  <c r="T21" i="34"/>
  <c r="T19" i="33"/>
  <c r="R19" i="44" s="1"/>
  <c r="R61" i="44" s="1"/>
  <c r="T19" i="34"/>
  <c r="T32" i="33"/>
  <c r="R32" i="44" s="1"/>
  <c r="R74" i="44" s="1"/>
  <c r="T32" i="34"/>
  <c r="T5" i="33"/>
  <c r="R5" i="44" s="1"/>
  <c r="R47" i="44" s="1"/>
  <c r="T5" i="34"/>
  <c r="T43" i="32"/>
  <c r="T15" i="33"/>
  <c r="R15" i="44" s="1"/>
  <c r="R57" i="44" s="1"/>
  <c r="T15" i="34"/>
  <c r="T10" i="33"/>
  <c r="R10" i="44" s="1"/>
  <c r="R52" i="44" s="1"/>
  <c r="T10" i="34"/>
  <c r="M8" i="28"/>
  <c r="R36" i="30"/>
  <c r="R37" i="30"/>
  <c r="R51" i="30"/>
  <c r="R33" i="30"/>
  <c r="R46" i="30"/>
  <c r="R7" i="30"/>
  <c r="R24" i="30"/>
  <c r="R27" i="30"/>
  <c r="R18" i="30"/>
  <c r="R16" i="30"/>
  <c r="R14" i="30"/>
  <c r="M19" i="28"/>
  <c r="M39" i="28"/>
  <c r="P38" i="30"/>
  <c r="P50" i="30"/>
  <c r="P32" i="30"/>
  <c r="P30" i="30"/>
  <c r="P53" i="28"/>
  <c r="P58" i="28" s="1"/>
  <c r="P42" i="29" s="1"/>
  <c r="P42" i="43" s="1"/>
  <c r="P94" i="43" s="1"/>
  <c r="P5" i="30"/>
  <c r="P15" i="29"/>
  <c r="P15" i="43" s="1"/>
  <c r="P67" i="43" s="1"/>
  <c r="P15" i="30"/>
  <c r="P20" i="29"/>
  <c r="P20" i="43" s="1"/>
  <c r="P72" i="43" s="1"/>
  <c r="P20" i="30"/>
  <c r="P17" i="29"/>
  <c r="P17" i="43" s="1"/>
  <c r="P69" i="43" s="1"/>
  <c r="P17" i="30"/>
  <c r="P19" i="29"/>
  <c r="P19" i="43" s="1"/>
  <c r="P71" i="43" s="1"/>
  <c r="P19" i="30"/>
  <c r="P13" i="29"/>
  <c r="P13" i="43" s="1"/>
  <c r="P65" i="43" s="1"/>
  <c r="P13" i="30"/>
  <c r="P29" i="29"/>
  <c r="P29" i="30"/>
  <c r="AH51" i="29"/>
  <c r="AD51" i="43" s="1"/>
  <c r="AD103" i="43" s="1"/>
  <c r="AH51" i="30"/>
  <c r="AH33" i="30"/>
  <c r="AH31" i="30"/>
  <c r="AH23" i="30"/>
  <c r="AH41" i="30"/>
  <c r="AH7" i="30"/>
  <c r="AH17" i="29"/>
  <c r="AD17" i="43" s="1"/>
  <c r="AD69" i="43" s="1"/>
  <c r="AH17" i="30"/>
  <c r="AH16" i="30"/>
  <c r="AH8" i="29"/>
  <c r="AD8" i="43" s="1"/>
  <c r="AD60" i="43" s="1"/>
  <c r="AH8" i="30"/>
  <c r="AH11" i="30"/>
  <c r="O37" i="29"/>
  <c r="O37" i="43" s="1"/>
  <c r="O89" i="43" s="1"/>
  <c r="O37" i="30"/>
  <c r="N29" i="33"/>
  <c r="N29" i="34"/>
  <c r="N26" i="33"/>
  <c r="N26" i="44" s="1"/>
  <c r="N68" i="44" s="1"/>
  <c r="N26" i="34"/>
  <c r="N11" i="33"/>
  <c r="N11" i="44" s="1"/>
  <c r="N53" i="44" s="1"/>
  <c r="N11" i="34"/>
  <c r="N22" i="33"/>
  <c r="N22" i="44" s="1"/>
  <c r="N64" i="44" s="1"/>
  <c r="N22" i="34"/>
  <c r="N24" i="33"/>
  <c r="N24" i="44" s="1"/>
  <c r="N66" i="44" s="1"/>
  <c r="N24" i="34"/>
  <c r="N17" i="33"/>
  <c r="N17" i="44" s="1"/>
  <c r="N59" i="44" s="1"/>
  <c r="N17" i="34"/>
  <c r="N23" i="33"/>
  <c r="N23" i="44" s="1"/>
  <c r="N65" i="44" s="1"/>
  <c r="N23" i="34"/>
  <c r="N18" i="33"/>
  <c r="N18" i="44" s="1"/>
  <c r="N60" i="44" s="1"/>
  <c r="N18" i="34"/>
  <c r="N10" i="33"/>
  <c r="N10" i="44" s="1"/>
  <c r="N52" i="44" s="1"/>
  <c r="N10" i="34"/>
  <c r="M38" i="28"/>
  <c r="U23" i="30"/>
  <c r="U46" i="30"/>
  <c r="U39" i="30"/>
  <c r="U48" i="30"/>
  <c r="U49" i="30"/>
  <c r="U5" i="30"/>
  <c r="U53" i="28"/>
  <c r="U58" i="28" s="1"/>
  <c r="U50" i="29" s="1"/>
  <c r="T50" i="43" s="1"/>
  <c r="T102" i="43" s="1"/>
  <c r="U20" i="30"/>
  <c r="U17" i="30"/>
  <c r="U34" i="30"/>
  <c r="U15" i="30"/>
  <c r="M20" i="28"/>
  <c r="M7" i="28"/>
  <c r="Q25" i="30"/>
  <c r="Q38" i="30"/>
  <c r="Q48" i="29"/>
  <c r="Q48" i="43" s="1"/>
  <c r="Q100" i="43" s="1"/>
  <c r="Q48" i="30"/>
  <c r="Q34" i="30"/>
  <c r="Q51" i="30"/>
  <c r="Q6" i="30"/>
  <c r="Q9" i="30"/>
  <c r="Q14" i="30"/>
  <c r="Q5" i="30"/>
  <c r="Q53" i="28"/>
  <c r="Q58" i="28" s="1"/>
  <c r="Q38" i="29" s="1"/>
  <c r="Q38" i="43" s="1"/>
  <c r="Q90" i="43" s="1"/>
  <c r="Q16" i="29"/>
  <c r="Q16" i="43" s="1"/>
  <c r="Q68" i="43" s="1"/>
  <c r="Q16" i="30"/>
  <c r="Q29" i="34"/>
  <c r="R29" i="34" s="1"/>
  <c r="L44" i="34"/>
  <c r="L44" i="33"/>
  <c r="L48" i="33" s="1"/>
  <c r="L44" i="32"/>
  <c r="L48" i="32" s="1"/>
  <c r="L44" i="31"/>
  <c r="R45" i="34"/>
  <c r="R45" i="33"/>
  <c r="R45" i="31"/>
  <c r="R45" i="32"/>
  <c r="V60" i="27"/>
  <c r="V54" i="29"/>
  <c r="V58" i="29" s="1"/>
  <c r="V54" i="30"/>
  <c r="V54" i="28"/>
  <c r="M5" i="32"/>
  <c r="M24" i="32"/>
  <c r="M20" i="32"/>
  <c r="M11" i="32"/>
  <c r="M10" i="32"/>
  <c r="M36" i="32"/>
  <c r="M9" i="32"/>
  <c r="M8" i="32"/>
  <c r="M15" i="32"/>
  <c r="M7" i="32"/>
  <c r="M6" i="32"/>
  <c r="M21" i="32"/>
  <c r="M37" i="32"/>
  <c r="M18" i="32"/>
  <c r="M34" i="32"/>
  <c r="M14" i="32"/>
  <c r="M31" i="32"/>
  <c r="M40" i="32"/>
  <c r="M25" i="32"/>
  <c r="M41" i="32"/>
  <c r="M22" i="32"/>
  <c r="M38" i="32"/>
  <c r="M19" i="32"/>
  <c r="M35" i="32"/>
  <c r="M16" i="32"/>
  <c r="M12" i="32"/>
  <c r="M29" i="32"/>
  <c r="M26" i="32"/>
  <c r="M23" i="32"/>
  <c r="M39" i="32"/>
  <c r="M28" i="32"/>
  <c r="M27" i="32"/>
  <c r="M32" i="32"/>
  <c r="M17" i="32"/>
  <c r="M13" i="32"/>
  <c r="M33" i="32"/>
  <c r="M30" i="32"/>
  <c r="AI21" i="30"/>
  <c r="AI53" i="28"/>
  <c r="AI58" i="28" s="1"/>
  <c r="AI13" i="29" s="1"/>
  <c r="AE13" i="43" s="1"/>
  <c r="AE65" i="43" s="1"/>
  <c r="AI5" i="30"/>
  <c r="AI14" i="30"/>
  <c r="AI36" i="30"/>
  <c r="AI16" i="30"/>
  <c r="AI17" i="30"/>
  <c r="AI46" i="30"/>
  <c r="L18" i="30"/>
  <c r="U47" i="30"/>
  <c r="AD23" i="28"/>
  <c r="AC23" i="29"/>
  <c r="AD23" i="29" s="1"/>
  <c r="AC23" i="30"/>
  <c r="AD23" i="30" s="1"/>
  <c r="T27" i="33"/>
  <c r="R27" i="44" s="1"/>
  <c r="R69" i="44" s="1"/>
  <c r="T27" i="34"/>
  <c r="T37" i="33"/>
  <c r="R37" i="44" s="1"/>
  <c r="R79" i="44" s="1"/>
  <c r="T37" i="34"/>
  <c r="M48" i="28"/>
  <c r="AC49" i="29"/>
  <c r="AD49" i="29" s="1"/>
  <c r="AD49" i="28"/>
  <c r="AC49" i="30"/>
  <c r="AD49" i="30" s="1"/>
  <c r="AD42" i="28"/>
  <c r="AC42" i="29"/>
  <c r="AD42" i="29" s="1"/>
  <c r="AC42" i="30"/>
  <c r="AD42" i="30" s="1"/>
  <c r="AD29" i="28"/>
  <c r="AC29" i="29"/>
  <c r="AD29" i="29" s="1"/>
  <c r="AC29" i="30"/>
  <c r="AD29" i="30" s="1"/>
  <c r="AD38" i="28"/>
  <c r="AC38" i="29"/>
  <c r="AD38" i="29" s="1"/>
  <c r="AC38" i="30"/>
  <c r="AD38" i="30" s="1"/>
  <c r="AC24" i="29"/>
  <c r="AD24" i="29" s="1"/>
  <c r="AD24" i="28"/>
  <c r="AC24" i="30"/>
  <c r="AD24" i="30" s="1"/>
  <c r="AD50" i="28"/>
  <c r="AC50" i="29"/>
  <c r="AD50" i="29" s="1"/>
  <c r="AC50" i="30"/>
  <c r="AD50" i="30" s="1"/>
  <c r="AD8" i="28"/>
  <c r="AC8" i="29"/>
  <c r="AD8" i="29" s="1"/>
  <c r="AC8" i="30"/>
  <c r="AD8" i="30" s="1"/>
  <c r="AC18" i="29"/>
  <c r="AD18" i="29" s="1"/>
  <c r="AD18" i="28"/>
  <c r="AC18" i="30"/>
  <c r="AD18" i="30" s="1"/>
  <c r="AC6" i="29"/>
  <c r="AD6" i="29" s="1"/>
  <c r="AD6" i="28"/>
  <c r="AC6" i="30"/>
  <c r="AD6" i="30" s="1"/>
  <c r="AD17" i="28"/>
  <c r="AC17" i="29"/>
  <c r="AD17" i="29" s="1"/>
  <c r="AC17" i="30"/>
  <c r="AD17" i="30" s="1"/>
  <c r="AC20" i="29"/>
  <c r="AD20" i="29" s="1"/>
  <c r="AD20" i="28"/>
  <c r="AC20" i="30"/>
  <c r="AD20" i="30" s="1"/>
  <c r="M51" i="28"/>
  <c r="W10" i="30"/>
  <c r="W34" i="29"/>
  <c r="V34" i="43" s="1"/>
  <c r="V86" i="43" s="1"/>
  <c r="W34" i="30"/>
  <c r="W50" i="29"/>
  <c r="V50" i="43" s="1"/>
  <c r="V102" i="43" s="1"/>
  <c r="W50" i="30"/>
  <c r="W29" i="29"/>
  <c r="V29" i="43" s="1"/>
  <c r="V81" i="43" s="1"/>
  <c r="W29" i="30"/>
  <c r="W11" i="29"/>
  <c r="V11" i="43" s="1"/>
  <c r="V63" i="43" s="1"/>
  <c r="W11" i="30"/>
  <c r="W26" i="29"/>
  <c r="V26" i="43" s="1"/>
  <c r="V78" i="43" s="1"/>
  <c r="W26" i="30"/>
  <c r="W8" i="29"/>
  <c r="V8" i="43" s="1"/>
  <c r="V60" i="43" s="1"/>
  <c r="W8" i="30"/>
  <c r="W28" i="29"/>
  <c r="V28" i="43" s="1"/>
  <c r="V80" i="43" s="1"/>
  <c r="W28" i="30"/>
  <c r="W51" i="29"/>
  <c r="V51" i="43" s="1"/>
  <c r="V103" i="43" s="1"/>
  <c r="W51" i="30"/>
  <c r="W22" i="29"/>
  <c r="V22" i="43" s="1"/>
  <c r="V74" i="43" s="1"/>
  <c r="W22" i="30"/>
  <c r="W38" i="29"/>
  <c r="V38" i="43" s="1"/>
  <c r="V90" i="43" s="1"/>
  <c r="W38" i="30"/>
  <c r="M17" i="28"/>
  <c r="X13" i="30"/>
  <c r="X30" i="30"/>
  <c r="X10" i="30"/>
  <c r="X33" i="30"/>
  <c r="X9" i="30"/>
  <c r="X35" i="30"/>
  <c r="X6" i="30"/>
  <c r="X22" i="30"/>
  <c r="X49" i="30"/>
  <c r="X23" i="30"/>
  <c r="X36" i="30"/>
  <c r="R41" i="30"/>
  <c r="L46" i="30"/>
  <c r="P47" i="29"/>
  <c r="P47" i="43" s="1"/>
  <c r="P99" i="43" s="1"/>
  <c r="P47" i="30"/>
  <c r="N35" i="33"/>
  <c r="N35" i="44" s="1"/>
  <c r="N77" i="44" s="1"/>
  <c r="N35" i="34"/>
  <c r="R25" i="32"/>
  <c r="Q25" i="33"/>
  <c r="R25" i="33" s="1"/>
  <c r="Q25" i="34"/>
  <c r="R25" i="34" s="1"/>
  <c r="R21" i="32"/>
  <c r="Q21" i="33"/>
  <c r="R21" i="33" s="1"/>
  <c r="Q21" i="34"/>
  <c r="R21" i="34" s="1"/>
  <c r="Q19" i="33"/>
  <c r="R19" i="33" s="1"/>
  <c r="R19" i="32"/>
  <c r="Q19" i="34"/>
  <c r="R19" i="34" s="1"/>
  <c r="Q28" i="33"/>
  <c r="R28" i="33" s="1"/>
  <c r="R28" i="32"/>
  <c r="Q28" i="34"/>
  <c r="R28" i="34" s="1"/>
  <c r="R37" i="32"/>
  <c r="Q37" i="33"/>
  <c r="R37" i="33" s="1"/>
  <c r="Q37" i="34"/>
  <c r="R37" i="34" s="1"/>
  <c r="Q40" i="33"/>
  <c r="R40" i="33" s="1"/>
  <c r="R40" i="32"/>
  <c r="Q40" i="34"/>
  <c r="R40" i="34" s="1"/>
  <c r="R10" i="32"/>
  <c r="Q10" i="33"/>
  <c r="R10" i="33" s="1"/>
  <c r="Q10" i="34"/>
  <c r="R10" i="34" s="1"/>
  <c r="R13" i="32"/>
  <c r="Q13" i="33"/>
  <c r="R13" i="33" s="1"/>
  <c r="Q13" i="34"/>
  <c r="R13" i="34" s="1"/>
  <c r="R9" i="32"/>
  <c r="Q9" i="33"/>
  <c r="R9" i="33" s="1"/>
  <c r="Q9" i="34"/>
  <c r="R9" i="34" s="1"/>
  <c r="M42" i="28"/>
  <c r="O35" i="29"/>
  <c r="O35" i="43" s="1"/>
  <c r="O87" i="43" s="1"/>
  <c r="O35" i="30"/>
  <c r="O49" i="29"/>
  <c r="O49" i="43" s="1"/>
  <c r="O101" i="43" s="1"/>
  <c r="O49" i="30"/>
  <c r="O31" i="29"/>
  <c r="O31" i="43" s="1"/>
  <c r="O83" i="43" s="1"/>
  <c r="O31" i="30"/>
  <c r="O45" i="29"/>
  <c r="O45" i="43" s="1"/>
  <c r="O97" i="43" s="1"/>
  <c r="O45" i="30"/>
  <c r="O27" i="29"/>
  <c r="O27" i="43" s="1"/>
  <c r="O79" i="43" s="1"/>
  <c r="O27" i="30"/>
  <c r="O24" i="29"/>
  <c r="O24" i="43" s="1"/>
  <c r="O76" i="43" s="1"/>
  <c r="O24" i="30"/>
  <c r="O50" i="29"/>
  <c r="O50" i="43" s="1"/>
  <c r="O102" i="43" s="1"/>
  <c r="O50" i="30"/>
  <c r="O8" i="29"/>
  <c r="O8" i="43" s="1"/>
  <c r="O60" i="43" s="1"/>
  <c r="O8" i="30"/>
  <c r="O16" i="29"/>
  <c r="O16" i="43" s="1"/>
  <c r="O68" i="43" s="1"/>
  <c r="O16" i="30"/>
  <c r="O25" i="29"/>
  <c r="O25" i="43" s="1"/>
  <c r="O77" i="43" s="1"/>
  <c r="O25" i="30"/>
  <c r="O12" i="29"/>
  <c r="O12" i="43" s="1"/>
  <c r="O64" i="43" s="1"/>
  <c r="O12" i="30"/>
  <c r="M37" i="28"/>
  <c r="L44" i="30"/>
  <c r="L38" i="30"/>
  <c r="L40" i="30"/>
  <c r="L34" i="30"/>
  <c r="L50" i="30"/>
  <c r="L37" i="30"/>
  <c r="L6" i="30"/>
  <c r="L9" i="30"/>
  <c r="L29" i="30"/>
  <c r="L26" i="30"/>
  <c r="M21" i="28"/>
  <c r="AD35" i="28"/>
  <c r="AC35" i="29"/>
  <c r="AD35" i="29" s="1"/>
  <c r="AC35" i="30"/>
  <c r="AD35" i="30" s="1"/>
  <c r="AH22" i="29"/>
  <c r="AD22" i="43" s="1"/>
  <c r="AD74" i="43" s="1"/>
  <c r="AH22" i="30"/>
  <c r="T40" i="33"/>
  <c r="R40" i="44" s="1"/>
  <c r="R82" i="44" s="1"/>
  <c r="T40" i="34"/>
  <c r="T18" i="33"/>
  <c r="R18" i="44" s="1"/>
  <c r="R60" i="44" s="1"/>
  <c r="T18" i="34"/>
  <c r="T23" i="33"/>
  <c r="R23" i="44" s="1"/>
  <c r="R65" i="44" s="1"/>
  <c r="T23" i="34"/>
  <c r="T36" i="33"/>
  <c r="R36" i="44" s="1"/>
  <c r="R78" i="44" s="1"/>
  <c r="T36" i="34"/>
  <c r="T33" i="33"/>
  <c r="R33" i="44" s="1"/>
  <c r="R75" i="44" s="1"/>
  <c r="T33" i="34"/>
  <c r="T11" i="33"/>
  <c r="R11" i="44" s="1"/>
  <c r="R53" i="44" s="1"/>
  <c r="T11" i="34"/>
  <c r="T6" i="33"/>
  <c r="R6" i="44" s="1"/>
  <c r="R48" i="44" s="1"/>
  <c r="T6" i="34"/>
  <c r="T9" i="33"/>
  <c r="R9" i="44" s="1"/>
  <c r="R51" i="44" s="1"/>
  <c r="T9" i="34"/>
  <c r="M28" i="28"/>
  <c r="R38" i="30"/>
  <c r="R48" i="30"/>
  <c r="R35" i="30"/>
  <c r="R44" i="30"/>
  <c r="R45" i="30"/>
  <c r="R5" i="30"/>
  <c r="R53" i="28"/>
  <c r="R28" i="30"/>
  <c r="R9" i="30"/>
  <c r="R29" i="30"/>
  <c r="R20" i="30"/>
  <c r="R17" i="30"/>
  <c r="S53" i="28"/>
  <c r="M47" i="28"/>
  <c r="P41" i="29"/>
  <c r="P41" i="43" s="1"/>
  <c r="P93" i="43" s="1"/>
  <c r="P41" i="30"/>
  <c r="P34" i="29"/>
  <c r="P34" i="43" s="1"/>
  <c r="P86" i="43" s="1"/>
  <c r="P34" i="30"/>
  <c r="P51" i="29"/>
  <c r="P51" i="43" s="1"/>
  <c r="P103" i="43" s="1"/>
  <c r="P51" i="30"/>
  <c r="P49" i="29"/>
  <c r="P49" i="43" s="1"/>
  <c r="P101" i="43" s="1"/>
  <c r="P49" i="30"/>
  <c r="P6" i="29"/>
  <c r="P6" i="43" s="1"/>
  <c r="P58" i="43" s="1"/>
  <c r="P6" i="30"/>
  <c r="P27" i="29"/>
  <c r="P27" i="30"/>
  <c r="P23" i="29"/>
  <c r="P23" i="30"/>
  <c r="P22" i="29"/>
  <c r="P22" i="30"/>
  <c r="P24" i="29"/>
  <c r="P24" i="30"/>
  <c r="P18" i="29"/>
  <c r="P18" i="43" s="1"/>
  <c r="P70" i="43" s="1"/>
  <c r="P18" i="30"/>
  <c r="AH48" i="29"/>
  <c r="AD48" i="43" s="1"/>
  <c r="AD100" i="43" s="1"/>
  <c r="AH48" i="30"/>
  <c r="AH35" i="29"/>
  <c r="AD35" i="43" s="1"/>
  <c r="AD87" i="43" s="1"/>
  <c r="AH35" i="30"/>
  <c r="AH44" i="29"/>
  <c r="AD44" i="43" s="1"/>
  <c r="AD96" i="43" s="1"/>
  <c r="AH44" i="30"/>
  <c r="AH45" i="29"/>
  <c r="AD45" i="43" s="1"/>
  <c r="AD97" i="43" s="1"/>
  <c r="AH45" i="30"/>
  <c r="AH50" i="29"/>
  <c r="AD50" i="43" s="1"/>
  <c r="AD102" i="43" s="1"/>
  <c r="AH50" i="30"/>
  <c r="AH24" i="29"/>
  <c r="AD24" i="43" s="1"/>
  <c r="AD76" i="43" s="1"/>
  <c r="AH24" i="30"/>
  <c r="AH9" i="29"/>
  <c r="AD9" i="43" s="1"/>
  <c r="AD61" i="43" s="1"/>
  <c r="AH9" i="30"/>
  <c r="AH34" i="29"/>
  <c r="AD34" i="43" s="1"/>
  <c r="AD86" i="43" s="1"/>
  <c r="AH34" i="30"/>
  <c r="AH21" i="29"/>
  <c r="AD21" i="43" s="1"/>
  <c r="AD73" i="43" s="1"/>
  <c r="AH21" i="30"/>
  <c r="AH12" i="29"/>
  <c r="AD12" i="43" s="1"/>
  <c r="AD64" i="43" s="1"/>
  <c r="AH12" i="30"/>
  <c r="AH14" i="29"/>
  <c r="AD14" i="43" s="1"/>
  <c r="AD66" i="43" s="1"/>
  <c r="AH14" i="30"/>
  <c r="Q31" i="29"/>
  <c r="Q31" i="43" s="1"/>
  <c r="Q83" i="43" s="1"/>
  <c r="Q31" i="30"/>
  <c r="Q49" i="29"/>
  <c r="Q49" i="43" s="1"/>
  <c r="Q101" i="43" s="1"/>
  <c r="Q49" i="30"/>
  <c r="T29" i="33"/>
  <c r="T29" i="34"/>
  <c r="N41" i="33"/>
  <c r="N41" i="34"/>
  <c r="N31" i="33"/>
  <c r="N31" i="34"/>
  <c r="N37" i="33"/>
  <c r="N37" i="34"/>
  <c r="N27" i="33"/>
  <c r="N27" i="34"/>
  <c r="N36" i="33"/>
  <c r="N36" i="34"/>
  <c r="N5" i="33"/>
  <c r="N5" i="34"/>
  <c r="N43" i="32"/>
  <c r="N13" i="33"/>
  <c r="N13" i="34"/>
  <c r="N15" i="33"/>
  <c r="N15" i="44" s="1"/>
  <c r="N57" i="44" s="1"/>
  <c r="N15" i="34"/>
  <c r="M46" i="28"/>
  <c r="U21" i="29"/>
  <c r="T21" i="43" s="1"/>
  <c r="T73" i="43" s="1"/>
  <c r="U21" i="30"/>
  <c r="U41" i="29"/>
  <c r="T41" i="43" s="1"/>
  <c r="T93" i="43" s="1"/>
  <c r="U41" i="30"/>
  <c r="U22" i="29"/>
  <c r="T22" i="43" s="1"/>
  <c r="T74" i="43" s="1"/>
  <c r="U22" i="30"/>
  <c r="U32" i="29"/>
  <c r="T32" i="43" s="1"/>
  <c r="T84" i="43" s="1"/>
  <c r="U32" i="30"/>
  <c r="U33" i="29"/>
  <c r="T33" i="43" s="1"/>
  <c r="T85" i="43" s="1"/>
  <c r="U33" i="30"/>
  <c r="U6" i="29"/>
  <c r="T6" i="43" s="1"/>
  <c r="T58" i="43" s="1"/>
  <c r="U6" i="30"/>
  <c r="U8" i="29"/>
  <c r="T8" i="43" s="1"/>
  <c r="T60" i="43" s="1"/>
  <c r="U8" i="30"/>
  <c r="U19" i="29"/>
  <c r="T19" i="43" s="1"/>
  <c r="T71" i="43" s="1"/>
  <c r="U19" i="30"/>
  <c r="U42" i="29"/>
  <c r="T42" i="43" s="1"/>
  <c r="T94" i="43" s="1"/>
  <c r="U42" i="30"/>
  <c r="U10" i="29"/>
  <c r="T10" i="43" s="1"/>
  <c r="T62" i="43" s="1"/>
  <c r="U10" i="30"/>
  <c r="M33" i="28"/>
  <c r="Q42" i="29"/>
  <c r="Q42" i="43" s="1"/>
  <c r="Q94" i="43" s="1"/>
  <c r="Q42" i="30"/>
  <c r="Q36" i="29"/>
  <c r="Q36" i="43" s="1"/>
  <c r="Q88" i="43" s="1"/>
  <c r="Q36" i="30"/>
  <c r="Q7" i="29"/>
  <c r="Q7" i="43" s="1"/>
  <c r="Q59" i="43" s="1"/>
  <c r="Q7" i="30"/>
  <c r="Q39" i="29"/>
  <c r="Q39" i="43" s="1"/>
  <c r="Q91" i="43" s="1"/>
  <c r="Q39" i="30"/>
  <c r="Q32" i="29"/>
  <c r="Q32" i="43" s="1"/>
  <c r="Q84" i="43" s="1"/>
  <c r="Q32" i="30"/>
  <c r="Q35" i="29"/>
  <c r="Q35" i="43" s="1"/>
  <c r="Q87" i="43" s="1"/>
  <c r="Q35" i="30"/>
  <c r="Q8" i="29"/>
  <c r="Q8" i="43" s="1"/>
  <c r="Q60" i="43" s="1"/>
  <c r="Q8" i="30"/>
  <c r="Q12" i="29"/>
  <c r="Q12" i="43" s="1"/>
  <c r="Q64" i="43" s="1"/>
  <c r="Q12" i="30"/>
  <c r="Q20" i="29"/>
  <c r="Q20" i="43" s="1"/>
  <c r="Q72" i="43" s="1"/>
  <c r="Q20" i="30"/>
  <c r="Q13" i="29"/>
  <c r="Q13" i="43" s="1"/>
  <c r="Q65" i="43" s="1"/>
  <c r="Q13" i="30"/>
  <c r="Q24" i="29"/>
  <c r="Q24" i="43" s="1"/>
  <c r="Q76" i="43" s="1"/>
  <c r="Q24" i="30"/>
  <c r="Q29" i="33"/>
  <c r="R46" i="33"/>
  <c r="R46" i="34"/>
  <c r="R46" i="32"/>
  <c r="R46" i="31"/>
  <c r="Y54" i="30"/>
  <c r="Y54" i="29"/>
  <c r="Y58" i="29" s="1"/>
  <c r="Y54" i="28"/>
  <c r="U7" i="32"/>
  <c r="U6" i="32"/>
  <c r="U24" i="32"/>
  <c r="U10" i="32"/>
  <c r="U9" i="32"/>
  <c r="U8" i="32"/>
  <c r="U15" i="32"/>
  <c r="U28" i="32"/>
  <c r="U16" i="32"/>
  <c r="U5" i="32"/>
  <c r="U17" i="32"/>
  <c r="U33" i="32"/>
  <c r="U14" i="32"/>
  <c r="U35" i="32"/>
  <c r="U32" i="32"/>
  <c r="U13" i="32"/>
  <c r="U38" i="32"/>
  <c r="U21" i="32"/>
  <c r="U37" i="32"/>
  <c r="U19" i="32"/>
  <c r="U11" i="32"/>
  <c r="U36" i="32"/>
  <c r="U22" i="32"/>
  <c r="U25" i="32"/>
  <c r="U41" i="32"/>
  <c r="U18" i="32"/>
  <c r="U27" i="32"/>
  <c r="U40" i="32"/>
  <c r="U30" i="32"/>
  <c r="U23" i="32"/>
  <c r="U39" i="32"/>
  <c r="U12" i="32"/>
  <c r="U26" i="32"/>
  <c r="U31" i="32"/>
  <c r="U29" i="32"/>
  <c r="U20" i="32"/>
  <c r="U34" i="32"/>
  <c r="AI38" i="30"/>
  <c r="AI8" i="30"/>
  <c r="AI32" i="29"/>
  <c r="AE32" i="43" s="1"/>
  <c r="AE84" i="43" s="1"/>
  <c r="AI32" i="30"/>
  <c r="AI6" i="30"/>
  <c r="AI44" i="29"/>
  <c r="AE44" i="43" s="1"/>
  <c r="AE96" i="43" s="1"/>
  <c r="AI44" i="30"/>
  <c r="AI20" i="30"/>
  <c r="AI45" i="30"/>
  <c r="AI41" i="30"/>
  <c r="AI28" i="30"/>
  <c r="AI31" i="30"/>
  <c r="AI24" i="30"/>
  <c r="AI51" i="30"/>
  <c r="AI39" i="30"/>
  <c r="AI43" i="30"/>
  <c r="AI29" i="30"/>
  <c r="AI22" i="30"/>
  <c r="AI50" i="30"/>
  <c r="AI49" i="30"/>
  <c r="AI37" i="30"/>
  <c r="AI42" i="30"/>
  <c r="AI34" i="30"/>
  <c r="AI23" i="30"/>
  <c r="AI27" i="30"/>
  <c r="AI26" i="30"/>
  <c r="AI48" i="30"/>
  <c r="AI47" i="30"/>
  <c r="AI35" i="30"/>
  <c r="AI40" i="30"/>
  <c r="AI30" i="30"/>
  <c r="AI33" i="30"/>
  <c r="Q47" i="29"/>
  <c r="Q47" i="43" s="1"/>
  <c r="Q99" i="43" s="1"/>
  <c r="Q47" i="30"/>
  <c r="Q40" i="29"/>
  <c r="Q40" i="43" s="1"/>
  <c r="Q92" i="43" s="1"/>
  <c r="Q40" i="30"/>
  <c r="N16" i="33"/>
  <c r="N16" i="44" s="1"/>
  <c r="N58" i="44" s="1"/>
  <c r="N16" i="34"/>
  <c r="R18" i="32"/>
  <c r="Q18" i="33"/>
  <c r="R18" i="33" s="1"/>
  <c r="Q18" i="34"/>
  <c r="R18" i="34" s="1"/>
  <c r="Z53" i="29"/>
  <c r="M18" i="28"/>
  <c r="M24" i="28"/>
  <c r="AC33" i="29"/>
  <c r="AD33" i="29" s="1"/>
  <c r="AD33" i="28"/>
  <c r="AC33" i="30"/>
  <c r="AD33" i="30" s="1"/>
  <c r="AC26" i="29"/>
  <c r="AD26" i="29" s="1"/>
  <c r="AD26" i="28"/>
  <c r="AC26" i="30"/>
  <c r="AD26" i="30" s="1"/>
  <c r="AD48" i="28"/>
  <c r="AC48" i="29"/>
  <c r="AD48" i="29" s="1"/>
  <c r="AC48" i="30"/>
  <c r="AD48" i="30" s="1"/>
  <c r="AD21" i="28"/>
  <c r="AC21" i="29"/>
  <c r="AD21" i="29" s="1"/>
  <c r="AC21" i="30"/>
  <c r="AD21" i="30" s="1"/>
  <c r="AD44" i="28"/>
  <c r="AC44" i="29"/>
  <c r="AD44" i="29" s="1"/>
  <c r="AC44" i="30"/>
  <c r="AD44" i="30" s="1"/>
  <c r="AD34" i="28"/>
  <c r="AC34" i="29"/>
  <c r="AD34" i="29" s="1"/>
  <c r="AC34" i="30"/>
  <c r="AD34" i="30" s="1"/>
  <c r="AD10" i="28"/>
  <c r="AC10" i="29"/>
  <c r="AD10" i="29" s="1"/>
  <c r="AC10" i="30"/>
  <c r="AD10" i="30" s="1"/>
  <c r="AC32" i="29"/>
  <c r="AD32" i="29" s="1"/>
  <c r="AD32" i="28"/>
  <c r="AC32" i="30"/>
  <c r="AD32" i="30" s="1"/>
  <c r="AD11" i="28"/>
  <c r="AC11" i="29"/>
  <c r="AD11" i="29" s="1"/>
  <c r="AC11" i="30"/>
  <c r="AD11" i="30" s="1"/>
  <c r="AD40" i="28"/>
  <c r="AC40" i="29"/>
  <c r="AD40" i="29" s="1"/>
  <c r="AC40" i="30"/>
  <c r="AD40" i="30" s="1"/>
  <c r="M27" i="28"/>
  <c r="W6" i="29"/>
  <c r="V6" i="43" s="1"/>
  <c r="V58" i="43" s="1"/>
  <c r="W6" i="30"/>
  <c r="W21" i="29"/>
  <c r="V21" i="43" s="1"/>
  <c r="V73" i="43" s="1"/>
  <c r="W21" i="30"/>
  <c r="W36" i="29"/>
  <c r="V36" i="43" s="1"/>
  <c r="V88" i="43" s="1"/>
  <c r="W36" i="30"/>
  <c r="W12" i="29"/>
  <c r="V12" i="43" s="1"/>
  <c r="V64" i="43" s="1"/>
  <c r="W12" i="30"/>
  <c r="W35" i="29"/>
  <c r="V35" i="43" s="1"/>
  <c r="V87" i="43" s="1"/>
  <c r="W35" i="30"/>
  <c r="W16" i="29"/>
  <c r="V16" i="43" s="1"/>
  <c r="V68" i="43" s="1"/>
  <c r="W16" i="30"/>
  <c r="W43" i="29"/>
  <c r="V43" i="43" s="1"/>
  <c r="V95" i="43" s="1"/>
  <c r="W43" i="30"/>
  <c r="W13" i="29"/>
  <c r="V13" i="43" s="1"/>
  <c r="V65" i="43" s="1"/>
  <c r="W13" i="30"/>
  <c r="W31" i="29"/>
  <c r="V31" i="43" s="1"/>
  <c r="V83" i="43" s="1"/>
  <c r="W31" i="30"/>
  <c r="W9" i="29"/>
  <c r="V9" i="43" s="1"/>
  <c r="V61" i="43" s="1"/>
  <c r="W9" i="30"/>
  <c r="W25" i="29"/>
  <c r="V25" i="43" s="1"/>
  <c r="V77" i="43" s="1"/>
  <c r="W25" i="30"/>
  <c r="W40" i="29"/>
  <c r="V40" i="43" s="1"/>
  <c r="V92" i="43" s="1"/>
  <c r="W40" i="30"/>
  <c r="X5" i="30"/>
  <c r="X53" i="28"/>
  <c r="X58" i="28" s="1"/>
  <c r="X7" i="29" s="1"/>
  <c r="W7" i="43" s="1"/>
  <c r="W59" i="43" s="1"/>
  <c r="X19" i="30"/>
  <c r="X42" i="30"/>
  <c r="X21" i="30"/>
  <c r="X39" i="30"/>
  <c r="X14" i="30"/>
  <c r="X37" i="30"/>
  <c r="X11" i="29"/>
  <c r="W11" i="43" s="1"/>
  <c r="W63" i="43" s="1"/>
  <c r="X11" i="30"/>
  <c r="X26" i="30"/>
  <c r="X12" i="29"/>
  <c r="W12" i="43" s="1"/>
  <c r="W64" i="43" s="1"/>
  <c r="X12" i="30"/>
  <c r="X28" i="30"/>
  <c r="X43" i="30"/>
  <c r="U45" i="29"/>
  <c r="T45" i="43" s="1"/>
  <c r="T97" i="43" s="1"/>
  <c r="U45" i="30"/>
  <c r="R42" i="30"/>
  <c r="Q39" i="33"/>
  <c r="R39" i="33" s="1"/>
  <c r="R39" i="32"/>
  <c r="Q39" i="34"/>
  <c r="R39" i="34" s="1"/>
  <c r="S15" i="32"/>
  <c r="S5" i="32"/>
  <c r="S20" i="32"/>
  <c r="S16" i="32"/>
  <c r="S11" i="32"/>
  <c r="S6" i="32"/>
  <c r="S32" i="32"/>
  <c r="S24" i="32"/>
  <c r="S10" i="32"/>
  <c r="S8" i="32"/>
  <c r="S36" i="32"/>
  <c r="S9" i="32"/>
  <c r="S7" i="32"/>
  <c r="S12" i="32"/>
  <c r="S29" i="32"/>
  <c r="S26" i="32"/>
  <c r="S40" i="32"/>
  <c r="S35" i="32"/>
  <c r="S17" i="32"/>
  <c r="S33" i="32"/>
  <c r="S13" i="32"/>
  <c r="S30" i="32"/>
  <c r="S19" i="32"/>
  <c r="S39" i="32"/>
  <c r="S21" i="32"/>
  <c r="S37" i="32"/>
  <c r="S18" i="32"/>
  <c r="S34" i="32"/>
  <c r="S23" i="32"/>
  <c r="S14" i="32"/>
  <c r="S28" i="32"/>
  <c r="S25" i="32"/>
  <c r="S22" i="32"/>
  <c r="S31" i="32"/>
  <c r="S41" i="32"/>
  <c r="S38" i="32"/>
  <c r="S27" i="32"/>
  <c r="Q32" i="33"/>
  <c r="R32" i="33" s="1"/>
  <c r="R32" i="32"/>
  <c r="Q32" i="34"/>
  <c r="R32" i="34" s="1"/>
  <c r="R41" i="32"/>
  <c r="Q41" i="33"/>
  <c r="R41" i="33" s="1"/>
  <c r="Q41" i="34"/>
  <c r="R41" i="34" s="1"/>
  <c r="Q11" i="34"/>
  <c r="R11" i="34" s="1"/>
  <c r="Q11" i="33"/>
  <c r="R11" i="33" s="1"/>
  <c r="R11" i="32"/>
  <c r="R26" i="32"/>
  <c r="Q26" i="33"/>
  <c r="R26" i="33" s="1"/>
  <c r="Q26" i="34"/>
  <c r="R26" i="34" s="1"/>
  <c r="Q24" i="33"/>
  <c r="R24" i="33" s="1"/>
  <c r="R24" i="32"/>
  <c r="Q24" i="34"/>
  <c r="R24" i="34" s="1"/>
  <c r="R6" i="32"/>
  <c r="Q6" i="33"/>
  <c r="R6" i="33" s="1"/>
  <c r="Q6" i="34"/>
  <c r="R6" i="34" s="1"/>
  <c r="Q15" i="34"/>
  <c r="R15" i="34" s="1"/>
  <c r="Q15" i="33"/>
  <c r="R15" i="33" s="1"/>
  <c r="R15" i="32"/>
  <c r="M50" i="28"/>
  <c r="O46" i="29"/>
  <c r="O46" i="43" s="1"/>
  <c r="O98" i="43" s="1"/>
  <c r="O46" i="30"/>
  <c r="O33" i="29"/>
  <c r="O33" i="43" s="1"/>
  <c r="O85" i="43" s="1"/>
  <c r="O33" i="30"/>
  <c r="O42" i="29"/>
  <c r="O42" i="43" s="1"/>
  <c r="O94" i="43" s="1"/>
  <c r="O42" i="30"/>
  <c r="O29" i="29"/>
  <c r="O29" i="43" s="1"/>
  <c r="O81" i="43" s="1"/>
  <c r="O29" i="30"/>
  <c r="O38" i="29"/>
  <c r="O38" i="43" s="1"/>
  <c r="O90" i="43" s="1"/>
  <c r="O38" i="30"/>
  <c r="O32" i="29"/>
  <c r="O32" i="43" s="1"/>
  <c r="O84" i="43" s="1"/>
  <c r="O32" i="30"/>
  <c r="O34" i="29"/>
  <c r="O34" i="43" s="1"/>
  <c r="O86" i="43" s="1"/>
  <c r="O34" i="30"/>
  <c r="O14" i="29"/>
  <c r="O14" i="43" s="1"/>
  <c r="O66" i="43" s="1"/>
  <c r="O14" i="30"/>
  <c r="O17" i="29"/>
  <c r="O17" i="43" s="1"/>
  <c r="O69" i="43" s="1"/>
  <c r="O17" i="30"/>
  <c r="O6" i="29"/>
  <c r="O6" i="43" s="1"/>
  <c r="O58" i="43" s="1"/>
  <c r="O6" i="30"/>
  <c r="O15" i="29"/>
  <c r="O15" i="43" s="1"/>
  <c r="O67" i="43" s="1"/>
  <c r="O15" i="30"/>
  <c r="M45" i="28"/>
  <c r="L20" i="30"/>
  <c r="L7" i="30"/>
  <c r="L12" i="30"/>
  <c r="L41" i="30"/>
  <c r="L39" i="30"/>
  <c r="L48" i="30"/>
  <c r="L13" i="30"/>
  <c r="L10" i="30"/>
  <c r="L5" i="30"/>
  <c r="L53" i="28"/>
  <c r="L58" i="28" s="1"/>
  <c r="L51" i="29" s="1"/>
  <c r="L51" i="43" s="1"/>
  <c r="L103" i="43" s="1"/>
  <c r="L16" i="30"/>
  <c r="T17" i="33"/>
  <c r="R17" i="44" s="1"/>
  <c r="R59" i="44" s="1"/>
  <c r="T17" i="34"/>
  <c r="T25" i="33"/>
  <c r="R25" i="44" s="1"/>
  <c r="R67" i="44" s="1"/>
  <c r="T25" i="34"/>
  <c r="T41" i="33"/>
  <c r="R41" i="44" s="1"/>
  <c r="R83" i="44" s="1"/>
  <c r="T41" i="34"/>
  <c r="T16" i="33"/>
  <c r="R16" i="44" s="1"/>
  <c r="R58" i="44" s="1"/>
  <c r="T16" i="34"/>
  <c r="V30" i="32"/>
  <c r="T30" i="33"/>
  <c r="R30" i="44" s="1"/>
  <c r="R72" i="44" s="1"/>
  <c r="T30" i="34"/>
  <c r="T31" i="33"/>
  <c r="R31" i="44" s="1"/>
  <c r="R73" i="44" s="1"/>
  <c r="T31" i="34"/>
  <c r="T7" i="33"/>
  <c r="R7" i="44" s="1"/>
  <c r="R49" i="44" s="1"/>
  <c r="T7" i="34"/>
  <c r="T34" i="33"/>
  <c r="R34" i="44" s="1"/>
  <c r="R76" i="44" s="1"/>
  <c r="T34" i="34"/>
  <c r="AA53" i="29"/>
  <c r="M36" i="28"/>
  <c r="R39" i="30"/>
  <c r="R32" i="30"/>
  <c r="R50" i="30"/>
  <c r="R47" i="30"/>
  <c r="R40" i="30"/>
  <c r="R13" i="30"/>
  <c r="R10" i="30"/>
  <c r="R12" i="30"/>
  <c r="R8" i="30"/>
  <c r="R23" i="30"/>
  <c r="R22" i="30"/>
  <c r="M12" i="28"/>
  <c r="P40" i="29"/>
  <c r="P40" i="43" s="1"/>
  <c r="P92" i="43" s="1"/>
  <c r="P40" i="30"/>
  <c r="P36" i="29"/>
  <c r="P36" i="43" s="1"/>
  <c r="P88" i="43" s="1"/>
  <c r="P36" i="30"/>
  <c r="P37" i="29"/>
  <c r="P37" i="43" s="1"/>
  <c r="P89" i="43" s="1"/>
  <c r="P37" i="30"/>
  <c r="P35" i="29"/>
  <c r="P35" i="43" s="1"/>
  <c r="P87" i="43" s="1"/>
  <c r="P35" i="30"/>
  <c r="P33" i="29"/>
  <c r="P33" i="43" s="1"/>
  <c r="P85" i="43" s="1"/>
  <c r="P33" i="30"/>
  <c r="P9" i="29"/>
  <c r="P9" i="43" s="1"/>
  <c r="P61" i="43" s="1"/>
  <c r="P9" i="30"/>
  <c r="P8" i="29"/>
  <c r="P8" i="43" s="1"/>
  <c r="P60" i="43" s="1"/>
  <c r="P8" i="30"/>
  <c r="P11" i="29"/>
  <c r="P11" i="43" s="1"/>
  <c r="P63" i="43" s="1"/>
  <c r="P11" i="30"/>
  <c r="P28" i="29"/>
  <c r="P28" i="30"/>
  <c r="P25" i="29"/>
  <c r="P25" i="43" s="1"/>
  <c r="P77" i="43" s="1"/>
  <c r="P25" i="30"/>
  <c r="P21" i="29"/>
  <c r="P21" i="30"/>
  <c r="AH32" i="29"/>
  <c r="AD32" i="43" s="1"/>
  <c r="AD84" i="43" s="1"/>
  <c r="AH32" i="30"/>
  <c r="AH26" i="29"/>
  <c r="AD26" i="43" s="1"/>
  <c r="AD78" i="43" s="1"/>
  <c r="AH26" i="30"/>
  <c r="AH28" i="29"/>
  <c r="AD28" i="43" s="1"/>
  <c r="AD80" i="43" s="1"/>
  <c r="AH28" i="30"/>
  <c r="AH29" i="29"/>
  <c r="AD29" i="43" s="1"/>
  <c r="AD81" i="43" s="1"/>
  <c r="AH29" i="30"/>
  <c r="AH43" i="29"/>
  <c r="AD43" i="43" s="1"/>
  <c r="AD95" i="43" s="1"/>
  <c r="AH43" i="30"/>
  <c r="AH36" i="29"/>
  <c r="AD36" i="43" s="1"/>
  <c r="AD88" i="43" s="1"/>
  <c r="AH36" i="30"/>
  <c r="AH20" i="29"/>
  <c r="AD20" i="43" s="1"/>
  <c r="AD72" i="43" s="1"/>
  <c r="AH20" i="30"/>
  <c r="AH10" i="29"/>
  <c r="AD10" i="43" s="1"/>
  <c r="AD62" i="43" s="1"/>
  <c r="AH10" i="30"/>
  <c r="AH25" i="29"/>
  <c r="AD25" i="43" s="1"/>
  <c r="AD77" i="43" s="1"/>
  <c r="AH25" i="30"/>
  <c r="AH18" i="29"/>
  <c r="AD18" i="43" s="1"/>
  <c r="AD70" i="43" s="1"/>
  <c r="AH18" i="30"/>
  <c r="AH19" i="29"/>
  <c r="AD19" i="43" s="1"/>
  <c r="AD71" i="43" s="1"/>
  <c r="AH19" i="30"/>
  <c r="AC51" i="29"/>
  <c r="AD51" i="29" s="1"/>
  <c r="AD51" i="28"/>
  <c r="AC51" i="30"/>
  <c r="AD51" i="30" s="1"/>
  <c r="U31" i="29"/>
  <c r="T31" i="43" s="1"/>
  <c r="T83" i="43" s="1"/>
  <c r="U31" i="30"/>
  <c r="N25" i="33"/>
  <c r="N25" i="44" s="1"/>
  <c r="N67" i="44" s="1"/>
  <c r="N25" i="34"/>
  <c r="N14" i="33"/>
  <c r="N14" i="44" s="1"/>
  <c r="N56" i="44" s="1"/>
  <c r="N14" i="34"/>
  <c r="N21" i="33"/>
  <c r="N21" i="44" s="1"/>
  <c r="N63" i="44" s="1"/>
  <c r="N21" i="34"/>
  <c r="N34" i="33"/>
  <c r="N34" i="44" s="1"/>
  <c r="N76" i="44" s="1"/>
  <c r="N34" i="34"/>
  <c r="N20" i="33"/>
  <c r="N20" i="44" s="1"/>
  <c r="N62" i="44" s="1"/>
  <c r="N20" i="34"/>
  <c r="N6" i="33"/>
  <c r="N6" i="44" s="1"/>
  <c r="N48" i="44" s="1"/>
  <c r="N6" i="34"/>
  <c r="N8" i="33"/>
  <c r="N8" i="44" s="1"/>
  <c r="N50" i="44" s="1"/>
  <c r="N8" i="34"/>
  <c r="M14" i="28"/>
  <c r="M22" i="28"/>
  <c r="U43" i="29"/>
  <c r="T43" i="43" s="1"/>
  <c r="T95" i="43" s="1"/>
  <c r="U43" i="30"/>
  <c r="U24" i="29"/>
  <c r="T24" i="43" s="1"/>
  <c r="T76" i="43" s="1"/>
  <c r="U24" i="30"/>
  <c r="U38" i="29"/>
  <c r="T38" i="43" s="1"/>
  <c r="T90" i="43" s="1"/>
  <c r="U38" i="30"/>
  <c r="U51" i="29"/>
  <c r="T51" i="43" s="1"/>
  <c r="T103" i="43" s="1"/>
  <c r="U51" i="30"/>
  <c r="U44" i="29"/>
  <c r="T44" i="43" s="1"/>
  <c r="T96" i="43" s="1"/>
  <c r="U44" i="30"/>
  <c r="U9" i="29"/>
  <c r="T9" i="43" s="1"/>
  <c r="T61" i="43" s="1"/>
  <c r="U9" i="30"/>
  <c r="U11" i="29"/>
  <c r="T11" i="43" s="1"/>
  <c r="T63" i="43" s="1"/>
  <c r="U11" i="30"/>
  <c r="U25" i="29"/>
  <c r="T25" i="43" s="1"/>
  <c r="T77" i="43" s="1"/>
  <c r="U25" i="30"/>
  <c r="U7" i="29"/>
  <c r="T7" i="43" s="1"/>
  <c r="T59" i="43" s="1"/>
  <c r="U7" i="30"/>
  <c r="U13" i="29"/>
  <c r="T13" i="43" s="1"/>
  <c r="T65" i="43" s="1"/>
  <c r="U13" i="30"/>
  <c r="M41" i="28"/>
  <c r="Q18" i="29"/>
  <c r="Q18" i="43" s="1"/>
  <c r="Q70" i="43" s="1"/>
  <c r="Q18" i="30"/>
  <c r="Q43" i="29"/>
  <c r="Q43" i="43" s="1"/>
  <c r="Q95" i="43" s="1"/>
  <c r="Q43" i="30"/>
  <c r="Q41" i="29"/>
  <c r="Q41" i="43" s="1"/>
  <c r="Q93" i="43" s="1"/>
  <c r="Q41" i="30"/>
  <c r="Q11" i="29"/>
  <c r="Q11" i="43" s="1"/>
  <c r="Q63" i="43" s="1"/>
  <c r="Q11" i="30"/>
  <c r="Q37" i="29"/>
  <c r="Q37" i="43" s="1"/>
  <c r="Q89" i="43" s="1"/>
  <c r="Q37" i="30"/>
  <c r="Q46" i="29"/>
  <c r="Q46" i="43" s="1"/>
  <c r="Q98" i="43" s="1"/>
  <c r="Q46" i="30"/>
  <c r="Q10" i="29"/>
  <c r="Q10" i="43" s="1"/>
  <c r="Q62" i="43" s="1"/>
  <c r="Q10" i="30"/>
  <c r="Q15" i="29"/>
  <c r="Q15" i="43" s="1"/>
  <c r="Q67" i="43" s="1"/>
  <c r="Q15" i="30"/>
  <c r="Q23" i="29"/>
  <c r="Q23" i="43" s="1"/>
  <c r="Q75" i="43" s="1"/>
  <c r="Q23" i="30"/>
  <c r="Q22" i="29"/>
  <c r="Q22" i="43" s="1"/>
  <c r="Q74" i="43" s="1"/>
  <c r="Q22" i="30"/>
  <c r="Q27" i="29"/>
  <c r="Q27" i="43" s="1"/>
  <c r="Q79" i="43" s="1"/>
  <c r="Q27" i="30"/>
  <c r="D4" i="5"/>
  <c r="N56" i="27" s="1"/>
  <c r="D34" i="5"/>
  <c r="H9" i="46" l="1"/>
  <c r="H15" i="46" s="1"/>
  <c r="H11" i="46"/>
  <c r="V34" i="32"/>
  <c r="V26" i="32"/>
  <c r="AI38" i="29"/>
  <c r="AE38" i="43" s="1"/>
  <c r="AE90" i="43" s="1"/>
  <c r="U17" i="29"/>
  <c r="T17" i="43" s="1"/>
  <c r="T69" i="43" s="1"/>
  <c r="AH41" i="29"/>
  <c r="AD41" i="43" s="1"/>
  <c r="AD93" i="43" s="1"/>
  <c r="AD37" i="29"/>
  <c r="AA37" i="43"/>
  <c r="AA89" i="43" s="1"/>
  <c r="R29" i="44"/>
  <c r="R71" i="44" s="1"/>
  <c r="H7" i="46" s="1"/>
  <c r="H13" i="46" s="1"/>
  <c r="P40" i="44"/>
  <c r="P82" i="44" s="1"/>
  <c r="P21" i="44"/>
  <c r="P63" i="44" s="1"/>
  <c r="AA10" i="43"/>
  <c r="AA62" i="43" s="1"/>
  <c r="P8" i="44"/>
  <c r="P50" i="44" s="1"/>
  <c r="P35" i="44"/>
  <c r="P77" i="44" s="1"/>
  <c r="AA9" i="43"/>
  <c r="AA61" i="43" s="1"/>
  <c r="AA44" i="43"/>
  <c r="AA96" i="43" s="1"/>
  <c r="AA35" i="43"/>
  <c r="AA87" i="43" s="1"/>
  <c r="P22" i="44"/>
  <c r="P64" i="44" s="1"/>
  <c r="P34" i="44"/>
  <c r="P76" i="44" s="1"/>
  <c r="AA21" i="43"/>
  <c r="AA73" i="43" s="1"/>
  <c r="N27" i="44"/>
  <c r="N69" i="44" s="1"/>
  <c r="N29" i="44"/>
  <c r="N71" i="44" s="1"/>
  <c r="P15" i="44"/>
  <c r="P57" i="44" s="1"/>
  <c r="P11" i="44"/>
  <c r="P53" i="44" s="1"/>
  <c r="AA6" i="43"/>
  <c r="AA58" i="43" s="1"/>
  <c r="AA24" i="43"/>
  <c r="AA76" i="43" s="1"/>
  <c r="AA49" i="43"/>
  <c r="AA101" i="43" s="1"/>
  <c r="V18" i="32"/>
  <c r="R29" i="33"/>
  <c r="P29" i="44"/>
  <c r="P71" i="44" s="1"/>
  <c r="P9" i="44"/>
  <c r="P51" i="44" s="1"/>
  <c r="P37" i="44"/>
  <c r="P79" i="44" s="1"/>
  <c r="P36" i="44"/>
  <c r="P78" i="44" s="1"/>
  <c r="AA31" i="43"/>
  <c r="AA83" i="43" s="1"/>
  <c r="AA48" i="43"/>
  <c r="AA100" i="43" s="1"/>
  <c r="P12" i="44"/>
  <c r="P54" i="44" s="1"/>
  <c r="P38" i="44"/>
  <c r="P80" i="44" s="1"/>
  <c r="AA33" i="43"/>
  <c r="AA85" i="43" s="1"/>
  <c r="P27" i="44"/>
  <c r="P69" i="44" s="1"/>
  <c r="P16" i="44"/>
  <c r="P58" i="44" s="1"/>
  <c r="N13" i="44"/>
  <c r="N55" i="44" s="1"/>
  <c r="N37" i="44"/>
  <c r="N79" i="44" s="1"/>
  <c r="P6" i="44"/>
  <c r="P48" i="44" s="1"/>
  <c r="F7" i="46" s="1"/>
  <c r="F13" i="46" s="1"/>
  <c r="P41" i="44"/>
  <c r="P83" i="44" s="1"/>
  <c r="AA18" i="43"/>
  <c r="AA70" i="43" s="1"/>
  <c r="AA38" i="43"/>
  <c r="AA90" i="43" s="1"/>
  <c r="P18" i="44"/>
  <c r="P60" i="44" s="1"/>
  <c r="AA34" i="43"/>
  <c r="AA86" i="43" s="1"/>
  <c r="AI36" i="29"/>
  <c r="AE36" i="43" s="1"/>
  <c r="AE88" i="43" s="1"/>
  <c r="AH5" i="29"/>
  <c r="AD5" i="43" s="1"/>
  <c r="AD57" i="43" s="1"/>
  <c r="P13" i="44"/>
  <c r="P55" i="44" s="1"/>
  <c r="P28" i="44"/>
  <c r="P70" i="44" s="1"/>
  <c r="AA41" i="43"/>
  <c r="AA93" i="43" s="1"/>
  <c r="AA30" i="43"/>
  <c r="AA82" i="43" s="1"/>
  <c r="AA51" i="43"/>
  <c r="AA103" i="43" s="1"/>
  <c r="P7" i="44"/>
  <c r="P49" i="44" s="1"/>
  <c r="P14" i="44"/>
  <c r="P56" i="44" s="1"/>
  <c r="P33" i="44"/>
  <c r="P75" i="44" s="1"/>
  <c r="P39" i="44"/>
  <c r="P81" i="44" s="1"/>
  <c r="AA40" i="43"/>
  <c r="AA92" i="43" s="1"/>
  <c r="N5" i="44"/>
  <c r="N47" i="44" s="1"/>
  <c r="N31" i="44"/>
  <c r="N73" i="44" s="1"/>
  <c r="P24" i="44"/>
  <c r="P66" i="44" s="1"/>
  <c r="P32" i="44"/>
  <c r="P74" i="44" s="1"/>
  <c r="AA20" i="43"/>
  <c r="AA72" i="43" s="1"/>
  <c r="AA8" i="43"/>
  <c r="AA60" i="43" s="1"/>
  <c r="AA29" i="43"/>
  <c r="AA81" i="43" s="1"/>
  <c r="P23" i="44"/>
  <c r="P65" i="44" s="1"/>
  <c r="AA26" i="43"/>
  <c r="AA78" i="43" s="1"/>
  <c r="U47" i="29"/>
  <c r="T47" i="43" s="1"/>
  <c r="T99" i="43" s="1"/>
  <c r="AI17" i="29"/>
  <c r="AE17" i="43" s="1"/>
  <c r="AE69" i="43" s="1"/>
  <c r="Q9" i="29"/>
  <c r="Q9" i="43" s="1"/>
  <c r="Q61" i="43" s="1"/>
  <c r="AH11" i="29"/>
  <c r="AD11" i="43" s="1"/>
  <c r="AD63" i="43" s="1"/>
  <c r="AH16" i="29"/>
  <c r="AD16" i="43" s="1"/>
  <c r="AD68" i="43" s="1"/>
  <c r="AH31" i="29"/>
  <c r="AD31" i="43" s="1"/>
  <c r="AD83" i="43" s="1"/>
  <c r="AH42" i="29"/>
  <c r="AD42" i="43" s="1"/>
  <c r="AD94" i="43" s="1"/>
  <c r="W33" i="29"/>
  <c r="V33" i="43" s="1"/>
  <c r="V85" i="43" s="1"/>
  <c r="P10" i="44"/>
  <c r="P52" i="44" s="1"/>
  <c r="P19" i="44"/>
  <c r="P61" i="44" s="1"/>
  <c r="P20" i="44"/>
  <c r="P62" i="44" s="1"/>
  <c r="AA23" i="43"/>
  <c r="AA75" i="43" s="1"/>
  <c r="P17" i="44"/>
  <c r="P59" i="44" s="1"/>
  <c r="AA32" i="43"/>
  <c r="AA84" i="43" s="1"/>
  <c r="P30" i="44"/>
  <c r="P72" i="44" s="1"/>
  <c r="P31" i="44"/>
  <c r="P73" i="44" s="1"/>
  <c r="AA11" i="43"/>
  <c r="AA63" i="43" s="1"/>
  <c r="N36" i="44"/>
  <c r="N78" i="44" s="1"/>
  <c r="N41" i="44"/>
  <c r="N83" i="44" s="1"/>
  <c r="P26" i="44"/>
  <c r="P68" i="44" s="1"/>
  <c r="P25" i="44"/>
  <c r="P67" i="44" s="1"/>
  <c r="AA17" i="43"/>
  <c r="AA69" i="43" s="1"/>
  <c r="AA50" i="43"/>
  <c r="AA102" i="43" s="1"/>
  <c r="AA42" i="43"/>
  <c r="AA94" i="43" s="1"/>
  <c r="O14" i="45"/>
  <c r="P14" i="45"/>
  <c r="O13" i="45"/>
  <c r="P13" i="45"/>
  <c r="X43" i="29"/>
  <c r="W43" i="43" s="1"/>
  <c r="W95" i="43" s="1"/>
  <c r="X42" i="29"/>
  <c r="W42" i="43" s="1"/>
  <c r="W94" i="43" s="1"/>
  <c r="AI20" i="29"/>
  <c r="AE20" i="43" s="1"/>
  <c r="AE72" i="43" s="1"/>
  <c r="AI6" i="29"/>
  <c r="AE6" i="43" s="1"/>
  <c r="AE58" i="43" s="1"/>
  <c r="AI8" i="29"/>
  <c r="AE8" i="43" s="1"/>
  <c r="AE60" i="43" s="1"/>
  <c r="Q5" i="29"/>
  <c r="Q5" i="43" s="1"/>
  <c r="Q57" i="43" s="1"/>
  <c r="Q25" i="29"/>
  <c r="Q25" i="43" s="1"/>
  <c r="Q77" i="43" s="1"/>
  <c r="U15" i="29"/>
  <c r="T15" i="43" s="1"/>
  <c r="T67" i="43" s="1"/>
  <c r="U49" i="29"/>
  <c r="T49" i="43" s="1"/>
  <c r="T101" i="43" s="1"/>
  <c r="U46" i="29"/>
  <c r="T46" i="43" s="1"/>
  <c r="T98" i="43" s="1"/>
  <c r="P30" i="29"/>
  <c r="P30" i="43" s="1"/>
  <c r="P82" i="43" s="1"/>
  <c r="P50" i="29"/>
  <c r="P50" i="43" s="1"/>
  <c r="P102" i="43" s="1"/>
  <c r="O11" i="29"/>
  <c r="O11" i="43" s="1"/>
  <c r="O63" i="43" s="1"/>
  <c r="O51" i="29"/>
  <c r="O51" i="43" s="1"/>
  <c r="O103" i="43" s="1"/>
  <c r="W41" i="29"/>
  <c r="V41" i="43" s="1"/>
  <c r="V93" i="43" s="1"/>
  <c r="AC7" i="29"/>
  <c r="AC22" i="29"/>
  <c r="P12" i="29"/>
  <c r="P12" i="43" s="1"/>
  <c r="P64" i="43" s="1"/>
  <c r="O20" i="29"/>
  <c r="O20" i="43" s="1"/>
  <c r="O72" i="43" s="1"/>
  <c r="AC13" i="29"/>
  <c r="AI46" i="29"/>
  <c r="AE46" i="43" s="1"/>
  <c r="AE98" i="43" s="1"/>
  <c r="AI16" i="29"/>
  <c r="AE16" i="43" s="1"/>
  <c r="AE68" i="43" s="1"/>
  <c r="AI14" i="29"/>
  <c r="AE14" i="43" s="1"/>
  <c r="AE66" i="43" s="1"/>
  <c r="AI21" i="29"/>
  <c r="AE21" i="43" s="1"/>
  <c r="AE73" i="43" s="1"/>
  <c r="AC15" i="29"/>
  <c r="AC16" i="29"/>
  <c r="AC25" i="29"/>
  <c r="AC27" i="29"/>
  <c r="AC45" i="29"/>
  <c r="AH13" i="29"/>
  <c r="AD13" i="43" s="1"/>
  <c r="AD65" i="43" s="1"/>
  <c r="P16" i="29"/>
  <c r="P16" i="43" s="1"/>
  <c r="P68" i="43" s="1"/>
  <c r="Q51" i="29"/>
  <c r="Q51" i="43" s="1"/>
  <c r="Q103" i="43" s="1"/>
  <c r="P5" i="29"/>
  <c r="P5" i="43" s="1"/>
  <c r="P57" i="43" s="1"/>
  <c r="P32" i="29"/>
  <c r="P32" i="43" s="1"/>
  <c r="P84" i="43" s="1"/>
  <c r="P38" i="29"/>
  <c r="P38" i="43" s="1"/>
  <c r="P90" i="43" s="1"/>
  <c r="P10" i="29"/>
  <c r="P10" i="43" s="1"/>
  <c r="P62" i="43" s="1"/>
  <c r="P46" i="29"/>
  <c r="P46" i="43" s="1"/>
  <c r="P98" i="43" s="1"/>
  <c r="M14" i="30"/>
  <c r="M12" i="30"/>
  <c r="P44" i="34"/>
  <c r="P44" i="33"/>
  <c r="P44" i="32"/>
  <c r="P44" i="31"/>
  <c r="M36" i="30"/>
  <c r="L5" i="29"/>
  <c r="L5" i="43" s="1"/>
  <c r="L57" i="43" s="1"/>
  <c r="L13" i="29"/>
  <c r="L13" i="43" s="1"/>
  <c r="L65" i="43" s="1"/>
  <c r="L39" i="29"/>
  <c r="L39" i="43" s="1"/>
  <c r="L91" i="43" s="1"/>
  <c r="L12" i="29"/>
  <c r="L12" i="43" s="1"/>
  <c r="L64" i="43" s="1"/>
  <c r="L20" i="29"/>
  <c r="L20" i="43" s="1"/>
  <c r="L72" i="43" s="1"/>
  <c r="M50" i="30"/>
  <c r="V41" i="32"/>
  <c r="S41" i="33"/>
  <c r="Q41" i="44" s="1"/>
  <c r="Q83" i="44" s="1"/>
  <c r="S41" i="34"/>
  <c r="V28" i="32"/>
  <c r="S28" i="33"/>
  <c r="Q28" i="44" s="1"/>
  <c r="Q70" i="44" s="1"/>
  <c r="S28" i="34"/>
  <c r="S18" i="33"/>
  <c r="Q18" i="44" s="1"/>
  <c r="Q60" i="44" s="1"/>
  <c r="S18" i="34"/>
  <c r="S19" i="33"/>
  <c r="Q19" i="44" s="1"/>
  <c r="Q61" i="44" s="1"/>
  <c r="V19" i="32"/>
  <c r="S19" i="34"/>
  <c r="V17" i="32"/>
  <c r="S17" i="33"/>
  <c r="Q17" i="44" s="1"/>
  <c r="Q59" i="44" s="1"/>
  <c r="S17" i="34"/>
  <c r="V29" i="32"/>
  <c r="S29" i="33"/>
  <c r="Q29" i="44" s="1"/>
  <c r="Q71" i="44" s="1"/>
  <c r="S29" i="34"/>
  <c r="V36" i="32"/>
  <c r="S36" i="33"/>
  <c r="Q36" i="44" s="1"/>
  <c r="Q78" i="44" s="1"/>
  <c r="S36" i="34"/>
  <c r="V32" i="32"/>
  <c r="S32" i="33"/>
  <c r="Q32" i="44" s="1"/>
  <c r="Q74" i="44" s="1"/>
  <c r="S32" i="34"/>
  <c r="V20" i="32"/>
  <c r="S20" i="33"/>
  <c r="Q20" i="44" s="1"/>
  <c r="Q62" i="44" s="1"/>
  <c r="S20" i="34"/>
  <c r="X28" i="29"/>
  <c r="W28" i="43" s="1"/>
  <c r="W80" i="43" s="1"/>
  <c r="X26" i="29"/>
  <c r="W26" i="43" s="1"/>
  <c r="W78" i="43" s="1"/>
  <c r="X19" i="29"/>
  <c r="W19" i="43" s="1"/>
  <c r="W71" i="43" s="1"/>
  <c r="X5" i="29"/>
  <c r="W5" i="43" s="1"/>
  <c r="W57" i="43" s="1"/>
  <c r="U31" i="33"/>
  <c r="S31" i="44" s="1"/>
  <c r="S73" i="44" s="1"/>
  <c r="U31" i="34"/>
  <c r="U23" i="33"/>
  <c r="S23" i="44" s="1"/>
  <c r="S65" i="44" s="1"/>
  <c r="U23" i="34"/>
  <c r="U18" i="33"/>
  <c r="S18" i="44" s="1"/>
  <c r="S60" i="44" s="1"/>
  <c r="U18" i="34"/>
  <c r="U36" i="33"/>
  <c r="S36" i="44" s="1"/>
  <c r="S78" i="44" s="1"/>
  <c r="U36" i="34"/>
  <c r="U21" i="33"/>
  <c r="S21" i="44" s="1"/>
  <c r="S63" i="44" s="1"/>
  <c r="U21" i="34"/>
  <c r="U35" i="33"/>
  <c r="S35" i="44" s="1"/>
  <c r="S77" i="44" s="1"/>
  <c r="U35" i="34"/>
  <c r="U5" i="33"/>
  <c r="S5" i="44" s="1"/>
  <c r="S47" i="44" s="1"/>
  <c r="U5" i="34"/>
  <c r="U43" i="32"/>
  <c r="U8" i="33"/>
  <c r="S8" i="44" s="1"/>
  <c r="S50" i="44" s="1"/>
  <c r="U8" i="34"/>
  <c r="U6" i="33"/>
  <c r="S6" i="44" s="1"/>
  <c r="S48" i="44" s="1"/>
  <c r="U6" i="34"/>
  <c r="M33" i="30"/>
  <c r="M46" i="30"/>
  <c r="S58" i="28"/>
  <c r="R58" i="28"/>
  <c r="L53" i="30"/>
  <c r="X36" i="29"/>
  <c r="W36" i="43" s="1"/>
  <c r="W88" i="43" s="1"/>
  <c r="X53" i="30"/>
  <c r="X33" i="29"/>
  <c r="W33" i="43" s="1"/>
  <c r="W85" i="43" s="1"/>
  <c r="X30" i="29"/>
  <c r="W30" i="43" s="1"/>
  <c r="W82" i="43" s="1"/>
  <c r="M17" i="30"/>
  <c r="W10" i="29"/>
  <c r="V10" i="43" s="1"/>
  <c r="V62" i="43" s="1"/>
  <c r="AI5" i="29"/>
  <c r="AE5" i="43" s="1"/>
  <c r="AE57" i="43" s="1"/>
  <c r="M33" i="33"/>
  <c r="M33" i="44" s="1"/>
  <c r="M75" i="44" s="1"/>
  <c r="M33" i="34"/>
  <c r="M27" i="33"/>
  <c r="M27" i="44" s="1"/>
  <c r="M69" i="44" s="1"/>
  <c r="M27" i="34"/>
  <c r="M26" i="33"/>
  <c r="M26" i="44" s="1"/>
  <c r="M68" i="44" s="1"/>
  <c r="M26" i="34"/>
  <c r="M35" i="33"/>
  <c r="M35" i="44" s="1"/>
  <c r="M77" i="44" s="1"/>
  <c r="M35" i="34"/>
  <c r="M41" i="33"/>
  <c r="M41" i="44" s="1"/>
  <c r="M83" i="44" s="1"/>
  <c r="M41" i="34"/>
  <c r="M14" i="33"/>
  <c r="M14" i="44" s="1"/>
  <c r="M56" i="44" s="1"/>
  <c r="M14" i="34"/>
  <c r="M21" i="33"/>
  <c r="M21" i="44" s="1"/>
  <c r="M63" i="44" s="1"/>
  <c r="M21" i="34"/>
  <c r="M8" i="33"/>
  <c r="M8" i="44" s="1"/>
  <c r="M50" i="44" s="1"/>
  <c r="M8" i="34"/>
  <c r="M11" i="33"/>
  <c r="M11" i="44" s="1"/>
  <c r="M53" i="44" s="1"/>
  <c r="M11" i="34"/>
  <c r="L47" i="31"/>
  <c r="L47" i="33" s="1"/>
  <c r="U48" i="29"/>
  <c r="T48" i="43" s="1"/>
  <c r="T100" i="43" s="1"/>
  <c r="AH7" i="29"/>
  <c r="AD7" i="43" s="1"/>
  <c r="AD59" i="43" s="1"/>
  <c r="AH23" i="29"/>
  <c r="AD23" i="43" s="1"/>
  <c r="AD75" i="43" s="1"/>
  <c r="AH33" i="29"/>
  <c r="AD33" i="43" s="1"/>
  <c r="AD85" i="43" s="1"/>
  <c r="R53" i="30"/>
  <c r="M8" i="30"/>
  <c r="T43" i="33"/>
  <c r="M29" i="30"/>
  <c r="O19" i="29"/>
  <c r="O19" i="43" s="1"/>
  <c r="O71" i="43" s="1"/>
  <c r="O7" i="29"/>
  <c r="O7" i="43" s="1"/>
  <c r="O59" i="43" s="1"/>
  <c r="O41" i="29"/>
  <c r="O41" i="43" s="1"/>
  <c r="O93" i="43" s="1"/>
  <c r="O23" i="29"/>
  <c r="O23" i="43" s="1"/>
  <c r="O75" i="43" s="1"/>
  <c r="O28" i="29"/>
  <c r="O28" i="43" s="1"/>
  <c r="O80" i="43" s="1"/>
  <c r="R5" i="34"/>
  <c r="R43" i="34" s="1"/>
  <c r="Q43" i="34"/>
  <c r="X41" i="29"/>
  <c r="W41" i="43" s="1"/>
  <c r="W93" i="43" s="1"/>
  <c r="W48" i="29"/>
  <c r="V48" i="43" s="1"/>
  <c r="V100" i="43" s="1"/>
  <c r="W17" i="29"/>
  <c r="V17" i="43" s="1"/>
  <c r="V69" i="43" s="1"/>
  <c r="W24" i="29"/>
  <c r="V24" i="43" s="1"/>
  <c r="V76" i="43" s="1"/>
  <c r="W23" i="29"/>
  <c r="V23" i="43" s="1"/>
  <c r="V75" i="43" s="1"/>
  <c r="W18" i="29"/>
  <c r="V18" i="43" s="1"/>
  <c r="V70" i="43" s="1"/>
  <c r="W32" i="29"/>
  <c r="V32" i="43" s="1"/>
  <c r="V84" i="43" s="1"/>
  <c r="M43" i="30"/>
  <c r="AC14" i="29"/>
  <c r="Z36" i="32"/>
  <c r="Y36" i="33"/>
  <c r="Z36" i="33" s="1"/>
  <c r="Y36" i="34"/>
  <c r="Z36" i="34" s="1"/>
  <c r="Z24" i="32"/>
  <c r="Y24" i="33"/>
  <c r="Z24" i="33" s="1"/>
  <c r="Y24" i="34"/>
  <c r="Z24" i="34" s="1"/>
  <c r="Y27" i="33"/>
  <c r="Z27" i="33" s="1"/>
  <c r="Z27" i="32"/>
  <c r="Y27" i="34"/>
  <c r="Z27" i="34" s="1"/>
  <c r="Y38" i="33"/>
  <c r="Z38" i="33" s="1"/>
  <c r="Z38" i="32"/>
  <c r="Y38" i="34"/>
  <c r="Z38" i="34" s="1"/>
  <c r="Z37" i="32"/>
  <c r="Y37" i="33"/>
  <c r="Z37" i="33" s="1"/>
  <c r="Y37" i="34"/>
  <c r="Z37" i="34" s="1"/>
  <c r="Y30" i="33"/>
  <c r="Z30" i="33" s="1"/>
  <c r="Z30" i="32"/>
  <c r="Y30" i="34"/>
  <c r="Z30" i="34" s="1"/>
  <c r="Z8" i="32"/>
  <c r="Y8" i="33"/>
  <c r="Z8" i="33" s="1"/>
  <c r="Y8" i="34"/>
  <c r="Z8" i="34" s="1"/>
  <c r="Y34" i="33"/>
  <c r="Z34" i="33" s="1"/>
  <c r="Z34" i="32"/>
  <c r="Y34" i="34"/>
  <c r="Z34" i="34" s="1"/>
  <c r="Y18" i="33"/>
  <c r="Z18" i="33" s="1"/>
  <c r="Z18" i="32"/>
  <c r="Y18" i="34"/>
  <c r="Z18" i="34" s="1"/>
  <c r="Q28" i="29"/>
  <c r="Q28" i="43" s="1"/>
  <c r="Q80" i="43" s="1"/>
  <c r="Q29" i="29"/>
  <c r="Q29" i="43" s="1"/>
  <c r="Q81" i="43" s="1"/>
  <c r="Q30" i="29"/>
  <c r="Q30" i="43" s="1"/>
  <c r="Q82" i="43" s="1"/>
  <c r="Q50" i="29"/>
  <c r="Q50" i="43" s="1"/>
  <c r="Q102" i="43" s="1"/>
  <c r="Q19" i="29"/>
  <c r="Q19" i="43" s="1"/>
  <c r="Q71" i="43" s="1"/>
  <c r="U12" i="29"/>
  <c r="T12" i="43" s="1"/>
  <c r="T64" i="43" s="1"/>
  <c r="U28" i="29"/>
  <c r="T28" i="43" s="1"/>
  <c r="T80" i="43" s="1"/>
  <c r="U27" i="29"/>
  <c r="T27" i="43" s="1"/>
  <c r="T79" i="43" s="1"/>
  <c r="M30" i="30"/>
  <c r="U26" i="29"/>
  <c r="T26" i="43" s="1"/>
  <c r="T78" i="43" s="1"/>
  <c r="AH53" i="30"/>
  <c r="AH15" i="29"/>
  <c r="AD15" i="43" s="1"/>
  <c r="AD67" i="43" s="1"/>
  <c r="AH6" i="29"/>
  <c r="AD6" i="43" s="1"/>
  <c r="AD58" i="43" s="1"/>
  <c r="AH40" i="29"/>
  <c r="AD40" i="43" s="1"/>
  <c r="AD92" i="43" s="1"/>
  <c r="AH49" i="29"/>
  <c r="AD49" i="43" s="1"/>
  <c r="AD101" i="43" s="1"/>
  <c r="P26" i="29"/>
  <c r="P7" i="29"/>
  <c r="P7" i="43" s="1"/>
  <c r="P59" i="43" s="1"/>
  <c r="P14" i="29"/>
  <c r="P14" i="43" s="1"/>
  <c r="P66" i="43" s="1"/>
  <c r="P44" i="29"/>
  <c r="P44" i="43" s="1"/>
  <c r="P96" i="43" s="1"/>
  <c r="P48" i="29"/>
  <c r="P48" i="43" s="1"/>
  <c r="P100" i="43" s="1"/>
  <c r="P43" i="29"/>
  <c r="P43" i="43" s="1"/>
  <c r="P95" i="43" s="1"/>
  <c r="Q33" i="29"/>
  <c r="Q33" i="43" s="1"/>
  <c r="Q85" i="43" s="1"/>
  <c r="L24" i="29"/>
  <c r="L24" i="43" s="1"/>
  <c r="L76" i="43" s="1"/>
  <c r="L21" i="29"/>
  <c r="L21" i="43" s="1"/>
  <c r="L73" i="43" s="1"/>
  <c r="L32" i="29"/>
  <c r="L32" i="43" s="1"/>
  <c r="L84" i="43" s="1"/>
  <c r="L17" i="29"/>
  <c r="L17" i="43" s="1"/>
  <c r="L69" i="43" s="1"/>
  <c r="L45" i="29"/>
  <c r="L45" i="43" s="1"/>
  <c r="L97" i="43" s="1"/>
  <c r="L49" i="29"/>
  <c r="L49" i="43" s="1"/>
  <c r="L101" i="43" s="1"/>
  <c r="O9" i="29"/>
  <c r="O9" i="43" s="1"/>
  <c r="O61" i="43" s="1"/>
  <c r="O18" i="29"/>
  <c r="O18" i="43" s="1"/>
  <c r="O70" i="43" s="1"/>
  <c r="M11" i="30"/>
  <c r="AH38" i="29"/>
  <c r="AD38" i="43" s="1"/>
  <c r="AD90" i="43" s="1"/>
  <c r="X31" i="29"/>
  <c r="W31" i="43" s="1"/>
  <c r="W83" i="43" s="1"/>
  <c r="X16" i="29"/>
  <c r="W16" i="43" s="1"/>
  <c r="W68" i="43" s="1"/>
  <c r="X18" i="29"/>
  <c r="W18" i="43" s="1"/>
  <c r="W70" i="43" s="1"/>
  <c r="X27" i="29"/>
  <c r="W27" i="43" s="1"/>
  <c r="W79" i="43" s="1"/>
  <c r="W30" i="29"/>
  <c r="V30" i="43" s="1"/>
  <c r="V82" i="43" s="1"/>
  <c r="W42" i="29"/>
  <c r="V42" i="43" s="1"/>
  <c r="V94" i="43" s="1"/>
  <c r="W46" i="29"/>
  <c r="V46" i="43" s="1"/>
  <c r="V98" i="43" s="1"/>
  <c r="W37" i="29"/>
  <c r="V37" i="43" s="1"/>
  <c r="V89" i="43" s="1"/>
  <c r="W39" i="29"/>
  <c r="V39" i="43" s="1"/>
  <c r="V91" i="43" s="1"/>
  <c r="W7" i="29"/>
  <c r="V7" i="43" s="1"/>
  <c r="V59" i="43" s="1"/>
  <c r="L9" i="45" s="1"/>
  <c r="AC19" i="29"/>
  <c r="AC5" i="29"/>
  <c r="AA5" i="43" s="1"/>
  <c r="AA57" i="43" s="1"/>
  <c r="AC36" i="29"/>
  <c r="AC47" i="29"/>
  <c r="M32" i="30"/>
  <c r="O24" i="33"/>
  <c r="O24" i="44" s="1"/>
  <c r="O66" i="44" s="1"/>
  <c r="O24" i="34"/>
  <c r="O21" i="33"/>
  <c r="O21" i="44" s="1"/>
  <c r="O63" i="44" s="1"/>
  <c r="O21" i="34"/>
  <c r="O40" i="33"/>
  <c r="O40" i="44" s="1"/>
  <c r="O82" i="44" s="1"/>
  <c r="O40" i="34"/>
  <c r="O13" i="33"/>
  <c r="O13" i="44" s="1"/>
  <c r="O55" i="44" s="1"/>
  <c r="O13" i="34"/>
  <c r="O36" i="33"/>
  <c r="O36" i="44" s="1"/>
  <c r="O78" i="44" s="1"/>
  <c r="O36" i="34"/>
  <c r="O12" i="33"/>
  <c r="O12" i="44" s="1"/>
  <c r="O54" i="44" s="1"/>
  <c r="O12" i="34"/>
  <c r="O22" i="33"/>
  <c r="O22" i="44" s="1"/>
  <c r="O64" i="44" s="1"/>
  <c r="O22" i="34"/>
  <c r="O10" i="34"/>
  <c r="O10" i="33"/>
  <c r="O10" i="44" s="1"/>
  <c r="O52" i="44" s="1"/>
  <c r="O7" i="34"/>
  <c r="O7" i="33"/>
  <c r="O7" i="44" s="1"/>
  <c r="O49" i="44" s="1"/>
  <c r="O8" i="34"/>
  <c r="O8" i="33"/>
  <c r="O8" i="44" s="1"/>
  <c r="O50" i="44" s="1"/>
  <c r="M9" i="30"/>
  <c r="M15" i="30"/>
  <c r="Y46" i="30"/>
  <c r="Y26" i="30"/>
  <c r="Y29" i="30"/>
  <c r="Y43" i="30"/>
  <c r="Y36" i="30"/>
  <c r="Y48" i="30"/>
  <c r="Y11" i="30"/>
  <c r="Y19" i="30"/>
  <c r="Y42" i="30"/>
  <c r="Y7" i="30"/>
  <c r="Y38" i="30"/>
  <c r="N54" i="29"/>
  <c r="N58" i="29" s="1"/>
  <c r="N54" i="30"/>
  <c r="N54" i="28"/>
  <c r="M41" i="30"/>
  <c r="L16" i="29"/>
  <c r="L16" i="43" s="1"/>
  <c r="L68" i="43" s="1"/>
  <c r="M45" i="30"/>
  <c r="S31" i="33"/>
  <c r="V31" i="33" s="1"/>
  <c r="V31" i="32"/>
  <c r="S31" i="34"/>
  <c r="V31" i="34" s="1"/>
  <c r="S14" i="33"/>
  <c r="Q14" i="44" s="1"/>
  <c r="Q56" i="44" s="1"/>
  <c r="S14" i="34"/>
  <c r="V37" i="32"/>
  <c r="S37" i="33"/>
  <c r="Q37" i="44" s="1"/>
  <c r="Q79" i="44" s="1"/>
  <c r="S37" i="34"/>
  <c r="S30" i="33"/>
  <c r="Q30" i="44" s="1"/>
  <c r="Q72" i="44" s="1"/>
  <c r="S30" i="34"/>
  <c r="S35" i="33"/>
  <c r="V35" i="33" s="1"/>
  <c r="V35" i="32"/>
  <c r="S35" i="34"/>
  <c r="V35" i="34" s="1"/>
  <c r="V12" i="32"/>
  <c r="S12" i="33"/>
  <c r="Q12" i="44" s="1"/>
  <c r="Q54" i="44" s="1"/>
  <c r="S12" i="34"/>
  <c r="V8" i="32"/>
  <c r="S8" i="33"/>
  <c r="V8" i="33" s="1"/>
  <c r="S8" i="34"/>
  <c r="V8" i="34" s="1"/>
  <c r="S6" i="33"/>
  <c r="V6" i="33" s="1"/>
  <c r="S6" i="34"/>
  <c r="V6" i="34" s="1"/>
  <c r="V5" i="32"/>
  <c r="S5" i="33"/>
  <c r="Q5" i="44" s="1"/>
  <c r="Q47" i="44" s="1"/>
  <c r="S5" i="34"/>
  <c r="S43" i="32"/>
  <c r="X37" i="29"/>
  <c r="W37" i="43" s="1"/>
  <c r="W89" i="43" s="1"/>
  <c r="X39" i="29"/>
  <c r="W39" i="43" s="1"/>
  <c r="W91" i="43" s="1"/>
  <c r="M24" i="30"/>
  <c r="U34" i="33"/>
  <c r="S34" i="44" s="1"/>
  <c r="S76" i="44" s="1"/>
  <c r="U34" i="34"/>
  <c r="U26" i="33"/>
  <c r="S26" i="44" s="1"/>
  <c r="S68" i="44" s="1"/>
  <c r="U26" i="34"/>
  <c r="U30" i="33"/>
  <c r="S30" i="44" s="1"/>
  <c r="S72" i="44" s="1"/>
  <c r="U30" i="34"/>
  <c r="U41" i="33"/>
  <c r="S41" i="44" s="1"/>
  <c r="S83" i="44" s="1"/>
  <c r="U41" i="34"/>
  <c r="U11" i="33"/>
  <c r="S11" i="44" s="1"/>
  <c r="S53" i="44" s="1"/>
  <c r="U11" i="34"/>
  <c r="U38" i="33"/>
  <c r="S38" i="44" s="1"/>
  <c r="S80" i="44" s="1"/>
  <c r="U38" i="34"/>
  <c r="U14" i="33"/>
  <c r="S14" i="44" s="1"/>
  <c r="S56" i="44" s="1"/>
  <c r="U14" i="34"/>
  <c r="U16" i="33"/>
  <c r="S16" i="44" s="1"/>
  <c r="S58" i="44" s="1"/>
  <c r="U16" i="34"/>
  <c r="U9" i="33"/>
  <c r="S9" i="44" s="1"/>
  <c r="S51" i="44" s="1"/>
  <c r="U9" i="34"/>
  <c r="U7" i="33"/>
  <c r="S7" i="44" s="1"/>
  <c r="S49" i="44" s="1"/>
  <c r="U7" i="34"/>
  <c r="M28" i="30"/>
  <c r="M21" i="30"/>
  <c r="L29" i="29"/>
  <c r="L29" i="43" s="1"/>
  <c r="L81" i="43" s="1"/>
  <c r="L6" i="29"/>
  <c r="L6" i="43" s="1"/>
  <c r="L58" i="43" s="1"/>
  <c r="L50" i="29"/>
  <c r="L50" i="43" s="1"/>
  <c r="L102" i="43" s="1"/>
  <c r="L40" i="29"/>
  <c r="L40" i="43" s="1"/>
  <c r="L92" i="43" s="1"/>
  <c r="L44" i="29"/>
  <c r="L44" i="43" s="1"/>
  <c r="L96" i="43" s="1"/>
  <c r="M42" i="30"/>
  <c r="X49" i="29"/>
  <c r="W49" i="43" s="1"/>
  <c r="W101" i="43" s="1"/>
  <c r="X6" i="29"/>
  <c r="W6" i="43" s="1"/>
  <c r="W58" i="43" s="1"/>
  <c r="X9" i="29"/>
  <c r="W9" i="43" s="1"/>
  <c r="W61" i="43" s="1"/>
  <c r="M51" i="30"/>
  <c r="M13" i="33"/>
  <c r="M13" i="44" s="1"/>
  <c r="M55" i="44" s="1"/>
  <c r="M13" i="34"/>
  <c r="M28" i="33"/>
  <c r="M28" i="44" s="1"/>
  <c r="M70" i="44" s="1"/>
  <c r="M28" i="34"/>
  <c r="M29" i="33"/>
  <c r="M29" i="44" s="1"/>
  <c r="M71" i="44" s="1"/>
  <c r="M29" i="34"/>
  <c r="M19" i="33"/>
  <c r="M19" i="44" s="1"/>
  <c r="M61" i="44" s="1"/>
  <c r="M19" i="34"/>
  <c r="M25" i="33"/>
  <c r="M25" i="44" s="1"/>
  <c r="M67" i="44" s="1"/>
  <c r="M25" i="34"/>
  <c r="M34" i="33"/>
  <c r="M34" i="44" s="1"/>
  <c r="M76" i="44" s="1"/>
  <c r="M34" i="34"/>
  <c r="M6" i="33"/>
  <c r="M6" i="44" s="1"/>
  <c r="M48" i="44" s="1"/>
  <c r="M6" i="34"/>
  <c r="M9" i="33"/>
  <c r="M9" i="44" s="1"/>
  <c r="M51" i="44" s="1"/>
  <c r="M9" i="34"/>
  <c r="M20" i="34"/>
  <c r="M20" i="33"/>
  <c r="M20" i="44" s="1"/>
  <c r="M62" i="44" s="1"/>
  <c r="L47" i="32"/>
  <c r="U23" i="29"/>
  <c r="T23" i="43" s="1"/>
  <c r="T75" i="43" s="1"/>
  <c r="L23" i="29"/>
  <c r="L23" i="43" s="1"/>
  <c r="L75" i="43" s="1"/>
  <c r="L28" i="29"/>
  <c r="L28" i="43" s="1"/>
  <c r="L80" i="43" s="1"/>
  <c r="L30" i="29"/>
  <c r="L30" i="43" s="1"/>
  <c r="L82" i="43" s="1"/>
  <c r="L19" i="29"/>
  <c r="L19" i="43" s="1"/>
  <c r="L71" i="43" s="1"/>
  <c r="L31" i="29"/>
  <c r="L31" i="43" s="1"/>
  <c r="L83" i="43" s="1"/>
  <c r="R5" i="33"/>
  <c r="R43" i="33" s="1"/>
  <c r="Q43" i="33"/>
  <c r="X51" i="29"/>
  <c r="W51" i="43" s="1"/>
  <c r="W103" i="43" s="1"/>
  <c r="X20" i="29"/>
  <c r="W20" i="43" s="1"/>
  <c r="W72" i="43" s="1"/>
  <c r="X17" i="29"/>
  <c r="W17" i="43" s="1"/>
  <c r="W69" i="43" s="1"/>
  <c r="X50" i="29"/>
  <c r="W50" i="43" s="1"/>
  <c r="W102" i="43" s="1"/>
  <c r="X48" i="29"/>
  <c r="W48" i="43" s="1"/>
  <c r="W100" i="43" s="1"/>
  <c r="L42" i="29"/>
  <c r="L42" i="43" s="1"/>
  <c r="L94" i="43" s="1"/>
  <c r="AI12" i="29"/>
  <c r="AE12" i="43" s="1"/>
  <c r="AE64" i="43" s="1"/>
  <c r="AI19" i="29"/>
  <c r="AE19" i="43" s="1"/>
  <c r="AE71" i="43" s="1"/>
  <c r="AI7" i="29"/>
  <c r="AE7" i="43" s="1"/>
  <c r="AE59" i="43" s="1"/>
  <c r="Z41" i="32"/>
  <c r="Y41" i="33"/>
  <c r="Z41" i="33" s="1"/>
  <c r="Y41" i="34"/>
  <c r="Z41" i="34" s="1"/>
  <c r="Y39" i="33"/>
  <c r="Z39" i="33" s="1"/>
  <c r="Z39" i="32"/>
  <c r="Y39" i="34"/>
  <c r="Z39" i="34" s="1"/>
  <c r="Z21" i="32"/>
  <c r="Y21" i="33"/>
  <c r="Z21" i="33" s="1"/>
  <c r="Y21" i="34"/>
  <c r="Z21" i="34" s="1"/>
  <c r="Z17" i="32"/>
  <c r="Y17" i="33"/>
  <c r="Z17" i="33" s="1"/>
  <c r="Y17" i="34"/>
  <c r="Z17" i="34" s="1"/>
  <c r="Z12" i="32"/>
  <c r="Y12" i="33"/>
  <c r="Z12" i="33" s="1"/>
  <c r="Y12" i="34"/>
  <c r="Z12" i="34" s="1"/>
  <c r="Z16" i="32"/>
  <c r="Y16" i="33"/>
  <c r="Z16" i="33" s="1"/>
  <c r="Y16" i="34"/>
  <c r="Z16" i="34" s="1"/>
  <c r="Z9" i="32"/>
  <c r="Y9" i="33"/>
  <c r="Z9" i="33" s="1"/>
  <c r="Y9" i="34"/>
  <c r="Z9" i="34" s="1"/>
  <c r="Y6" i="33"/>
  <c r="Z6" i="33" s="1"/>
  <c r="Z6" i="32"/>
  <c r="Y6" i="34"/>
  <c r="Z6" i="34" s="1"/>
  <c r="Z33" i="32"/>
  <c r="Y33" i="33"/>
  <c r="Z33" i="33" s="1"/>
  <c r="Y33" i="34"/>
  <c r="Z33" i="34" s="1"/>
  <c r="U18" i="29"/>
  <c r="T18" i="43" s="1"/>
  <c r="T70" i="43" s="1"/>
  <c r="U14" i="29"/>
  <c r="T14" i="43" s="1"/>
  <c r="T66" i="43" s="1"/>
  <c r="U36" i="29"/>
  <c r="T36" i="43" s="1"/>
  <c r="T88" i="43" s="1"/>
  <c r="M23" i="30"/>
  <c r="M31" i="30"/>
  <c r="V14" i="32"/>
  <c r="O39" i="29"/>
  <c r="O39" i="43" s="1"/>
  <c r="O91" i="43" s="1"/>
  <c r="O40" i="29"/>
  <c r="O40" i="43" s="1"/>
  <c r="O92" i="43" s="1"/>
  <c r="O44" i="29"/>
  <c r="O44" i="43" s="1"/>
  <c r="O96" i="43" s="1"/>
  <c r="M26" i="30"/>
  <c r="X24" i="29"/>
  <c r="W24" i="43" s="1"/>
  <c r="W76" i="43" s="1"/>
  <c r="M35" i="30"/>
  <c r="AD53" i="28"/>
  <c r="U29" i="29"/>
  <c r="T29" i="43" s="1"/>
  <c r="T81" i="43" s="1"/>
  <c r="AI9" i="29"/>
  <c r="AE9" i="43" s="1"/>
  <c r="AE61" i="43" s="1"/>
  <c r="O34" i="33"/>
  <c r="O34" i="44" s="1"/>
  <c r="O76" i="44" s="1"/>
  <c r="O34" i="34"/>
  <c r="O35" i="33"/>
  <c r="O35" i="44" s="1"/>
  <c r="O77" i="44" s="1"/>
  <c r="O35" i="34"/>
  <c r="O11" i="33"/>
  <c r="O11" i="44" s="1"/>
  <c r="O53" i="44" s="1"/>
  <c r="O11" i="34"/>
  <c r="O33" i="33"/>
  <c r="O33" i="44" s="1"/>
  <c r="O75" i="44" s="1"/>
  <c r="O33" i="34"/>
  <c r="O23" i="33"/>
  <c r="O23" i="44" s="1"/>
  <c r="O65" i="44" s="1"/>
  <c r="O23" i="34"/>
  <c r="O32" i="33"/>
  <c r="O32" i="44" s="1"/>
  <c r="O74" i="44" s="1"/>
  <c r="O32" i="34"/>
  <c r="O41" i="33"/>
  <c r="O41" i="44" s="1"/>
  <c r="O83" i="44" s="1"/>
  <c r="O41" i="34"/>
  <c r="O16" i="33"/>
  <c r="O16" i="44" s="1"/>
  <c r="O58" i="44" s="1"/>
  <c r="O16" i="34"/>
  <c r="O15" i="33"/>
  <c r="O15" i="44" s="1"/>
  <c r="O57" i="44" s="1"/>
  <c r="O15" i="34"/>
  <c r="M25" i="30"/>
  <c r="M53" i="28"/>
  <c r="M58" i="28" s="1"/>
  <c r="M12" i="29" s="1"/>
  <c r="M12" i="43" s="1"/>
  <c r="M64" i="43" s="1"/>
  <c r="M5" i="30"/>
  <c r="Y35" i="30"/>
  <c r="Y33" i="30"/>
  <c r="Y47" i="30"/>
  <c r="Y40" i="30"/>
  <c r="Y27" i="30"/>
  <c r="Y39" i="30"/>
  <c r="Y32" i="30"/>
  <c r="Y16" i="30"/>
  <c r="Y25" i="30"/>
  <c r="Y12" i="30"/>
  <c r="Y9" i="30"/>
  <c r="Y10" i="30"/>
  <c r="M22" i="30"/>
  <c r="L10" i="29"/>
  <c r="L10" i="43" s="1"/>
  <c r="L62" i="43" s="1"/>
  <c r="L48" i="29"/>
  <c r="L48" i="43" s="1"/>
  <c r="L100" i="43" s="1"/>
  <c r="L41" i="29"/>
  <c r="L41" i="43" s="1"/>
  <c r="L93" i="43" s="1"/>
  <c r="S27" i="33"/>
  <c r="Q27" i="44" s="1"/>
  <c r="Q69" i="44" s="1"/>
  <c r="V27" i="32"/>
  <c r="S27" i="34"/>
  <c r="S22" i="33"/>
  <c r="Q22" i="44" s="1"/>
  <c r="Q64" i="44" s="1"/>
  <c r="S22" i="34"/>
  <c r="V22" i="32"/>
  <c r="S23" i="33"/>
  <c r="V23" i="33" s="1"/>
  <c r="V23" i="32"/>
  <c r="S23" i="34"/>
  <c r="V23" i="34" s="1"/>
  <c r="V21" i="32"/>
  <c r="S21" i="33"/>
  <c r="V21" i="33" s="1"/>
  <c r="S21" i="34"/>
  <c r="V21" i="34" s="1"/>
  <c r="V13" i="32"/>
  <c r="S13" i="33"/>
  <c r="Q13" i="44" s="1"/>
  <c r="Q55" i="44" s="1"/>
  <c r="S13" i="34"/>
  <c r="S40" i="33"/>
  <c r="Q40" i="44" s="1"/>
  <c r="Q82" i="44" s="1"/>
  <c r="V40" i="32"/>
  <c r="S40" i="34"/>
  <c r="S7" i="33"/>
  <c r="Q7" i="44" s="1"/>
  <c r="Q49" i="44" s="1"/>
  <c r="V7" i="32"/>
  <c r="S7" i="34"/>
  <c r="V7" i="34" s="1"/>
  <c r="S10" i="33"/>
  <c r="Q10" i="44" s="1"/>
  <c r="Q52" i="44" s="1"/>
  <c r="S10" i="34"/>
  <c r="S11" i="33"/>
  <c r="V11" i="33" s="1"/>
  <c r="V11" i="32"/>
  <c r="S11" i="34"/>
  <c r="S15" i="33"/>
  <c r="Q15" i="44" s="1"/>
  <c r="Q57" i="44" s="1"/>
  <c r="V15" i="32"/>
  <c r="S15" i="34"/>
  <c r="M27" i="30"/>
  <c r="M18" i="30"/>
  <c r="U20" i="33"/>
  <c r="S20" i="44" s="1"/>
  <c r="S62" i="44" s="1"/>
  <c r="U20" i="34"/>
  <c r="U12" i="33"/>
  <c r="S12" i="44" s="1"/>
  <c r="S54" i="44" s="1"/>
  <c r="U12" i="34"/>
  <c r="U40" i="33"/>
  <c r="S40" i="44" s="1"/>
  <c r="S82" i="44" s="1"/>
  <c r="U40" i="34"/>
  <c r="U25" i="33"/>
  <c r="S25" i="44" s="1"/>
  <c r="S67" i="44" s="1"/>
  <c r="U25" i="34"/>
  <c r="U19" i="33"/>
  <c r="S19" i="44" s="1"/>
  <c r="S61" i="44" s="1"/>
  <c r="U19" i="34"/>
  <c r="U13" i="33"/>
  <c r="S13" i="44" s="1"/>
  <c r="S55" i="44" s="1"/>
  <c r="U13" i="34"/>
  <c r="U33" i="33"/>
  <c r="S33" i="44" s="1"/>
  <c r="S75" i="44" s="1"/>
  <c r="U33" i="34"/>
  <c r="U28" i="33"/>
  <c r="S28" i="44" s="1"/>
  <c r="S70" i="44" s="1"/>
  <c r="U28" i="34"/>
  <c r="U10" i="33"/>
  <c r="S10" i="44" s="1"/>
  <c r="S52" i="44" s="1"/>
  <c r="U10" i="34"/>
  <c r="N43" i="34"/>
  <c r="M47" i="30"/>
  <c r="V6" i="32"/>
  <c r="M37" i="30"/>
  <c r="L46" i="29"/>
  <c r="L46" i="43" s="1"/>
  <c r="L98" i="43" s="1"/>
  <c r="X23" i="29"/>
  <c r="W23" i="43" s="1"/>
  <c r="W75" i="43" s="1"/>
  <c r="X10" i="29"/>
  <c r="W10" i="43" s="1"/>
  <c r="W62" i="43" s="1"/>
  <c r="X13" i="29"/>
  <c r="W13" i="43" s="1"/>
  <c r="W65" i="43" s="1"/>
  <c r="AI53" i="30"/>
  <c r="M17" i="33"/>
  <c r="M17" i="44" s="1"/>
  <c r="M59" i="44" s="1"/>
  <c r="M17" i="34"/>
  <c r="M39" i="33"/>
  <c r="M39" i="44" s="1"/>
  <c r="M81" i="44" s="1"/>
  <c r="M39" i="34"/>
  <c r="M12" i="33"/>
  <c r="M12" i="44" s="1"/>
  <c r="M54" i="44" s="1"/>
  <c r="M12" i="34"/>
  <c r="M38" i="33"/>
  <c r="M38" i="44" s="1"/>
  <c r="M80" i="44" s="1"/>
  <c r="M38" i="34"/>
  <c r="M40" i="33"/>
  <c r="M40" i="44" s="1"/>
  <c r="M82" i="44" s="1"/>
  <c r="M40" i="34"/>
  <c r="M18" i="34"/>
  <c r="M18" i="33"/>
  <c r="M18" i="44" s="1"/>
  <c r="M60" i="44" s="1"/>
  <c r="M7" i="33"/>
  <c r="M7" i="44" s="1"/>
  <c r="M49" i="44" s="1"/>
  <c r="M7" i="34"/>
  <c r="M36" i="33"/>
  <c r="M36" i="44" s="1"/>
  <c r="M78" i="44" s="1"/>
  <c r="M36" i="34"/>
  <c r="M24" i="33"/>
  <c r="M24" i="44" s="1"/>
  <c r="M66" i="44" s="1"/>
  <c r="M24" i="34"/>
  <c r="Q53" i="30"/>
  <c r="M7" i="30"/>
  <c r="U53" i="30"/>
  <c r="M38" i="30"/>
  <c r="M39" i="30"/>
  <c r="R43" i="32"/>
  <c r="X29" i="29"/>
  <c r="W29" i="43" s="1"/>
  <c r="W81" i="43" s="1"/>
  <c r="X8" i="29"/>
  <c r="W8" i="43" s="1"/>
  <c r="W60" i="43" s="1"/>
  <c r="W53" i="30"/>
  <c r="M40" i="30"/>
  <c r="Y26" i="33"/>
  <c r="Z26" i="33" s="1"/>
  <c r="Z26" i="32"/>
  <c r="Y26" i="34"/>
  <c r="Z26" i="34" s="1"/>
  <c r="Z28" i="32"/>
  <c r="Y28" i="33"/>
  <c r="Z28" i="33" s="1"/>
  <c r="Y28" i="34"/>
  <c r="Z28" i="34" s="1"/>
  <c r="Z29" i="32"/>
  <c r="Y29" i="33"/>
  <c r="Z29" i="33" s="1"/>
  <c r="Y29" i="34"/>
  <c r="Z29" i="34" s="1"/>
  <c r="Y11" i="33"/>
  <c r="Z11" i="33" s="1"/>
  <c r="Z11" i="32"/>
  <c r="Y11" i="34"/>
  <c r="Z11" i="34" s="1"/>
  <c r="Z20" i="32"/>
  <c r="Y20" i="33"/>
  <c r="Z20" i="33" s="1"/>
  <c r="Y20" i="34"/>
  <c r="Z20" i="34" s="1"/>
  <c r="Z40" i="32"/>
  <c r="Y40" i="33"/>
  <c r="Z40" i="33" s="1"/>
  <c r="Y40" i="34"/>
  <c r="Z40" i="34" s="1"/>
  <c r="Y19" i="33"/>
  <c r="Z19" i="33" s="1"/>
  <c r="Z19" i="32"/>
  <c r="Y19" i="34"/>
  <c r="Z19" i="34" s="1"/>
  <c r="Y10" i="33"/>
  <c r="Z10" i="33" s="1"/>
  <c r="Z10" i="32"/>
  <c r="Y10" i="34"/>
  <c r="Z10" i="34" s="1"/>
  <c r="Y22" i="33"/>
  <c r="Z22" i="33" s="1"/>
  <c r="Z22" i="32"/>
  <c r="Y22" i="34"/>
  <c r="Z22" i="34" s="1"/>
  <c r="Z5" i="32"/>
  <c r="Y5" i="33"/>
  <c r="U5" i="44" s="1"/>
  <c r="U47" i="44" s="1"/>
  <c r="Y5" i="34"/>
  <c r="Y43" i="32"/>
  <c r="Q26" i="29"/>
  <c r="Q26" i="43" s="1"/>
  <c r="Q78" i="43" s="1"/>
  <c r="Q21" i="29"/>
  <c r="Q21" i="43" s="1"/>
  <c r="Q73" i="43" s="1"/>
  <c r="Q44" i="29"/>
  <c r="Q44" i="43" s="1"/>
  <c r="Q96" i="43" s="1"/>
  <c r="Q17" i="29"/>
  <c r="Q17" i="43" s="1"/>
  <c r="Q69" i="43" s="1"/>
  <c r="Q45" i="29"/>
  <c r="Q45" i="43" s="1"/>
  <c r="Q97" i="43" s="1"/>
  <c r="U16" i="29"/>
  <c r="T16" i="43" s="1"/>
  <c r="T68" i="43" s="1"/>
  <c r="U40" i="29"/>
  <c r="T40" i="43" s="1"/>
  <c r="T92" i="43" s="1"/>
  <c r="AH27" i="29"/>
  <c r="AD27" i="43" s="1"/>
  <c r="AD79" i="43" s="1"/>
  <c r="AH47" i="29"/>
  <c r="AD47" i="43" s="1"/>
  <c r="AD99" i="43" s="1"/>
  <c r="AH30" i="29"/>
  <c r="AD30" i="43" s="1"/>
  <c r="AD82" i="43" s="1"/>
  <c r="P39" i="29"/>
  <c r="P39" i="43" s="1"/>
  <c r="P91" i="43" s="1"/>
  <c r="M44" i="29"/>
  <c r="M44" i="43" s="1"/>
  <c r="M96" i="43" s="1"/>
  <c r="M44" i="30"/>
  <c r="P45" i="29"/>
  <c r="P45" i="43" s="1"/>
  <c r="P97" i="43" s="1"/>
  <c r="L14" i="29"/>
  <c r="L14" i="43" s="1"/>
  <c r="L66" i="43" s="1"/>
  <c r="L22" i="29"/>
  <c r="L22" i="43" s="1"/>
  <c r="L74" i="43" s="1"/>
  <c r="L11" i="29"/>
  <c r="L11" i="43" s="1"/>
  <c r="L63" i="43" s="1"/>
  <c r="L43" i="29"/>
  <c r="L43" i="43" s="1"/>
  <c r="L95" i="43" s="1"/>
  <c r="L47" i="29"/>
  <c r="L47" i="43" s="1"/>
  <c r="L99" i="43" s="1"/>
  <c r="O36" i="29"/>
  <c r="O36" i="43" s="1"/>
  <c r="O88" i="43" s="1"/>
  <c r="X46" i="29"/>
  <c r="W46" i="43" s="1"/>
  <c r="W98" i="43" s="1"/>
  <c r="X40" i="29"/>
  <c r="W40" i="43" s="1"/>
  <c r="W92" i="43" s="1"/>
  <c r="X38" i="29"/>
  <c r="W38" i="43" s="1"/>
  <c r="W90" i="43" s="1"/>
  <c r="X44" i="29"/>
  <c r="W44" i="43" s="1"/>
  <c r="W96" i="43" s="1"/>
  <c r="W45" i="29"/>
  <c r="V45" i="43" s="1"/>
  <c r="V97" i="43" s="1"/>
  <c r="W14" i="29"/>
  <c r="V14" i="43" s="1"/>
  <c r="V66" i="43" s="1"/>
  <c r="W19" i="29"/>
  <c r="V19" i="43" s="1"/>
  <c r="V71" i="43" s="1"/>
  <c r="W20" i="29"/>
  <c r="V20" i="43" s="1"/>
  <c r="V72" i="43" s="1"/>
  <c r="W15" i="29"/>
  <c r="V15" i="43" s="1"/>
  <c r="V67" i="43" s="1"/>
  <c r="W27" i="29"/>
  <c r="V27" i="43" s="1"/>
  <c r="V79" i="43" s="1"/>
  <c r="AC43" i="29"/>
  <c r="AC46" i="29"/>
  <c r="O37" i="33"/>
  <c r="O37" i="44" s="1"/>
  <c r="O79" i="44" s="1"/>
  <c r="O37" i="34"/>
  <c r="O14" i="33"/>
  <c r="O14" i="44" s="1"/>
  <c r="O56" i="44" s="1"/>
  <c r="O14" i="34"/>
  <c r="O31" i="33"/>
  <c r="O31" i="44" s="1"/>
  <c r="O73" i="44" s="1"/>
  <c r="O31" i="34"/>
  <c r="O17" i="33"/>
  <c r="O17" i="44" s="1"/>
  <c r="O59" i="44" s="1"/>
  <c r="O17" i="34"/>
  <c r="O26" i="33"/>
  <c r="O26" i="44" s="1"/>
  <c r="O68" i="44" s="1"/>
  <c r="O26" i="34"/>
  <c r="O19" i="33"/>
  <c r="O19" i="44" s="1"/>
  <c r="O61" i="44" s="1"/>
  <c r="O19" i="34"/>
  <c r="O25" i="33"/>
  <c r="O25" i="44" s="1"/>
  <c r="O67" i="44" s="1"/>
  <c r="O25" i="34"/>
  <c r="O20" i="33"/>
  <c r="O20" i="44" s="1"/>
  <c r="O62" i="44" s="1"/>
  <c r="O20" i="34"/>
  <c r="O28" i="33"/>
  <c r="O28" i="44" s="1"/>
  <c r="O70" i="44" s="1"/>
  <c r="O28" i="34"/>
  <c r="M13" i="30"/>
  <c r="M16" i="29"/>
  <c r="M16" i="43" s="1"/>
  <c r="M68" i="43" s="1"/>
  <c r="M16" i="30"/>
  <c r="Y49" i="30"/>
  <c r="Y44" i="30"/>
  <c r="Y31" i="30"/>
  <c r="Y23" i="30"/>
  <c r="Y41" i="30"/>
  <c r="Y22" i="30"/>
  <c r="Y5" i="30"/>
  <c r="Y53" i="28"/>
  <c r="Y58" i="28" s="1"/>
  <c r="Y35" i="29" s="1"/>
  <c r="X35" i="43" s="1"/>
  <c r="X87" i="43" s="1"/>
  <c r="Y17" i="30"/>
  <c r="Y30" i="30"/>
  <c r="Y15" i="30"/>
  <c r="Y14" i="30"/>
  <c r="Y13" i="30"/>
  <c r="L7" i="29"/>
  <c r="L7" i="43" s="1"/>
  <c r="L59" i="43" s="1"/>
  <c r="S38" i="33"/>
  <c r="V38" i="33" s="1"/>
  <c r="S38" i="34"/>
  <c r="V38" i="34" s="1"/>
  <c r="V25" i="32"/>
  <c r="S25" i="33"/>
  <c r="Q25" i="44" s="1"/>
  <c r="Q67" i="44" s="1"/>
  <c r="S25" i="34"/>
  <c r="V25" i="34" s="1"/>
  <c r="S34" i="33"/>
  <c r="V34" i="33" s="1"/>
  <c r="S34" i="34"/>
  <c r="V34" i="34" s="1"/>
  <c r="S39" i="33"/>
  <c r="Q39" i="44" s="1"/>
  <c r="Q81" i="44" s="1"/>
  <c r="V39" i="32"/>
  <c r="S39" i="34"/>
  <c r="V33" i="32"/>
  <c r="S33" i="33"/>
  <c r="Q33" i="44" s="1"/>
  <c r="Q75" i="44" s="1"/>
  <c r="S33" i="34"/>
  <c r="V33" i="34" s="1"/>
  <c r="S26" i="33"/>
  <c r="V26" i="33" s="1"/>
  <c r="S26" i="34"/>
  <c r="V26" i="34" s="1"/>
  <c r="V9" i="32"/>
  <c r="S9" i="33"/>
  <c r="V9" i="33" s="1"/>
  <c r="S9" i="34"/>
  <c r="V9" i="34" s="1"/>
  <c r="V24" i="32"/>
  <c r="S24" i="33"/>
  <c r="Q24" i="44" s="1"/>
  <c r="Q66" i="44" s="1"/>
  <c r="S24" i="34"/>
  <c r="V24" i="34" s="1"/>
  <c r="V16" i="32"/>
  <c r="S16" i="33"/>
  <c r="V16" i="33" s="1"/>
  <c r="S16" i="34"/>
  <c r="V16" i="34" s="1"/>
  <c r="X14" i="29"/>
  <c r="W14" i="43" s="1"/>
  <c r="W66" i="43" s="1"/>
  <c r="X21" i="29"/>
  <c r="W21" i="43" s="1"/>
  <c r="W73" i="43" s="1"/>
  <c r="U29" i="33"/>
  <c r="S29" i="44" s="1"/>
  <c r="S71" i="44" s="1"/>
  <c r="U29" i="34"/>
  <c r="U39" i="33"/>
  <c r="S39" i="44" s="1"/>
  <c r="S81" i="44" s="1"/>
  <c r="U39" i="34"/>
  <c r="U27" i="33"/>
  <c r="S27" i="44" s="1"/>
  <c r="S69" i="44" s="1"/>
  <c r="U27" i="34"/>
  <c r="U22" i="33"/>
  <c r="S22" i="44" s="1"/>
  <c r="S64" i="44" s="1"/>
  <c r="U22" i="34"/>
  <c r="U37" i="33"/>
  <c r="S37" i="44" s="1"/>
  <c r="S79" i="44" s="1"/>
  <c r="U37" i="34"/>
  <c r="U32" i="33"/>
  <c r="S32" i="44" s="1"/>
  <c r="S74" i="44" s="1"/>
  <c r="U32" i="34"/>
  <c r="U17" i="33"/>
  <c r="S17" i="44" s="1"/>
  <c r="S59" i="44" s="1"/>
  <c r="U17" i="34"/>
  <c r="U15" i="33"/>
  <c r="S15" i="44" s="1"/>
  <c r="S57" i="44" s="1"/>
  <c r="U15" i="34"/>
  <c r="U24" i="33"/>
  <c r="S24" i="44" s="1"/>
  <c r="S66" i="44" s="1"/>
  <c r="U24" i="34"/>
  <c r="N43" i="33"/>
  <c r="L26" i="29"/>
  <c r="L26" i="43" s="1"/>
  <c r="L78" i="43" s="1"/>
  <c r="L9" i="29"/>
  <c r="L9" i="43" s="1"/>
  <c r="L61" i="43" s="1"/>
  <c r="L37" i="29"/>
  <c r="L37" i="43" s="1"/>
  <c r="L89" i="43" s="1"/>
  <c r="L34" i="29"/>
  <c r="L34" i="43" s="1"/>
  <c r="L86" i="43" s="1"/>
  <c r="L38" i="29"/>
  <c r="L38" i="43" s="1"/>
  <c r="L90" i="43" s="1"/>
  <c r="X22" i="29"/>
  <c r="W22" i="43" s="1"/>
  <c r="W74" i="43" s="1"/>
  <c r="X35" i="29"/>
  <c r="W35" i="43" s="1"/>
  <c r="W87" i="43" s="1"/>
  <c r="M48" i="30"/>
  <c r="L18" i="29"/>
  <c r="L18" i="43" s="1"/>
  <c r="L70" i="43" s="1"/>
  <c r="AI48" i="29"/>
  <c r="AE48" i="43" s="1"/>
  <c r="AE100" i="43" s="1"/>
  <c r="AI24" i="29"/>
  <c r="AE24" i="43" s="1"/>
  <c r="AE76" i="43" s="1"/>
  <c r="AI37" i="29"/>
  <c r="AE37" i="43" s="1"/>
  <c r="AE89" i="43" s="1"/>
  <c r="AI49" i="29"/>
  <c r="AE49" i="43" s="1"/>
  <c r="AE101" i="43" s="1"/>
  <c r="AI31" i="29"/>
  <c r="AE31" i="43" s="1"/>
  <c r="AE83" i="43" s="1"/>
  <c r="AI50" i="29"/>
  <c r="AE50" i="43" s="1"/>
  <c r="AE102" i="43" s="1"/>
  <c r="AI33" i="29"/>
  <c r="AE33" i="43" s="1"/>
  <c r="AE85" i="43" s="1"/>
  <c r="AI42" i="29"/>
  <c r="AE42" i="43" s="1"/>
  <c r="AE94" i="43" s="1"/>
  <c r="AI45" i="29"/>
  <c r="AE45" i="43" s="1"/>
  <c r="AE97" i="43" s="1"/>
  <c r="AI43" i="29"/>
  <c r="AE43" i="43" s="1"/>
  <c r="AE95" i="43" s="1"/>
  <c r="AI39" i="29"/>
  <c r="AE39" i="43" s="1"/>
  <c r="AE91" i="43" s="1"/>
  <c r="AI30" i="29"/>
  <c r="AE30" i="43" s="1"/>
  <c r="AE82" i="43" s="1"/>
  <c r="AI34" i="29"/>
  <c r="AE34" i="43" s="1"/>
  <c r="AE86" i="43" s="1"/>
  <c r="AI51" i="29"/>
  <c r="AE51" i="43" s="1"/>
  <c r="AE103" i="43" s="1"/>
  <c r="AI26" i="29"/>
  <c r="AE26" i="43" s="1"/>
  <c r="AE78" i="43" s="1"/>
  <c r="AI29" i="29"/>
  <c r="AE29" i="43" s="1"/>
  <c r="AE81" i="43" s="1"/>
  <c r="AI27" i="29"/>
  <c r="AE27" i="43" s="1"/>
  <c r="AE79" i="43" s="1"/>
  <c r="AI22" i="29"/>
  <c r="AE22" i="43" s="1"/>
  <c r="AE74" i="43" s="1"/>
  <c r="AI41" i="29"/>
  <c r="AE41" i="43" s="1"/>
  <c r="AE93" i="43" s="1"/>
  <c r="AI40" i="29"/>
  <c r="AE40" i="43" s="1"/>
  <c r="AE92" i="43" s="1"/>
  <c r="AI35" i="29"/>
  <c r="AE35" i="43" s="1"/>
  <c r="AE87" i="43" s="1"/>
  <c r="AI28" i="29"/>
  <c r="AE28" i="43" s="1"/>
  <c r="AE80" i="43" s="1"/>
  <c r="AI47" i="29"/>
  <c r="AE47" i="43" s="1"/>
  <c r="AE99" i="43" s="1"/>
  <c r="AI23" i="29"/>
  <c r="AE23" i="43" s="1"/>
  <c r="AE75" i="43" s="1"/>
  <c r="M30" i="33"/>
  <c r="M30" i="44" s="1"/>
  <c r="M72" i="44" s="1"/>
  <c r="M30" i="34"/>
  <c r="M32" i="33"/>
  <c r="M32" i="44" s="1"/>
  <c r="M74" i="44" s="1"/>
  <c r="M32" i="34"/>
  <c r="M23" i="33"/>
  <c r="M23" i="44" s="1"/>
  <c r="M65" i="44" s="1"/>
  <c r="M23" i="34"/>
  <c r="M16" i="33"/>
  <c r="M16" i="44" s="1"/>
  <c r="M58" i="44" s="1"/>
  <c r="M16" i="34"/>
  <c r="M22" i="33"/>
  <c r="M22" i="44" s="1"/>
  <c r="M64" i="44" s="1"/>
  <c r="M22" i="34"/>
  <c r="M31" i="33"/>
  <c r="M31" i="44" s="1"/>
  <c r="M73" i="44" s="1"/>
  <c r="M31" i="34"/>
  <c r="M37" i="33"/>
  <c r="M37" i="44" s="1"/>
  <c r="M79" i="44" s="1"/>
  <c r="M37" i="34"/>
  <c r="M15" i="33"/>
  <c r="M15" i="44" s="1"/>
  <c r="M57" i="44" s="1"/>
  <c r="M15" i="34"/>
  <c r="M10" i="33"/>
  <c r="M10" i="44" s="1"/>
  <c r="M52" i="44" s="1"/>
  <c r="M10" i="34"/>
  <c r="M5" i="33"/>
  <c r="M5" i="44" s="1"/>
  <c r="M47" i="44" s="1"/>
  <c r="M43" i="32"/>
  <c r="M5" i="34"/>
  <c r="V19" i="28"/>
  <c r="V16" i="28"/>
  <c r="V11" i="28"/>
  <c r="V25" i="28"/>
  <c r="V10" i="28"/>
  <c r="V5" i="28"/>
  <c r="V40" i="28"/>
  <c r="V28" i="28"/>
  <c r="V17" i="28"/>
  <c r="V13" i="28"/>
  <c r="V23" i="28"/>
  <c r="V20" i="28"/>
  <c r="V14" i="28"/>
  <c r="V9" i="28"/>
  <c r="V18" i="28"/>
  <c r="V15" i="28"/>
  <c r="V12" i="28"/>
  <c r="V7" i="28"/>
  <c r="V6" i="28"/>
  <c r="V8" i="28"/>
  <c r="V30" i="28"/>
  <c r="V46" i="28"/>
  <c r="V35" i="28"/>
  <c r="V51" i="28"/>
  <c r="V36" i="28"/>
  <c r="V37" i="28"/>
  <c r="V32" i="28"/>
  <c r="V34" i="28"/>
  <c r="V50" i="28"/>
  <c r="V22" i="28"/>
  <c r="V39" i="28"/>
  <c r="V44" i="28"/>
  <c r="V24" i="28"/>
  <c r="V41" i="28"/>
  <c r="V21" i="28"/>
  <c r="V38" i="28"/>
  <c r="V27" i="28"/>
  <c r="V43" i="28"/>
  <c r="V48" i="28"/>
  <c r="V29" i="28"/>
  <c r="V45" i="28"/>
  <c r="V26" i="28"/>
  <c r="V42" i="28"/>
  <c r="V33" i="28"/>
  <c r="V31" i="28"/>
  <c r="V49" i="28"/>
  <c r="V47" i="28"/>
  <c r="Q14" i="29"/>
  <c r="Q14" i="43" s="1"/>
  <c r="Q66" i="43" s="1"/>
  <c r="Q6" i="29"/>
  <c r="Q6" i="43" s="1"/>
  <c r="Q58" i="43" s="1"/>
  <c r="Q34" i="29"/>
  <c r="Q34" i="43" s="1"/>
  <c r="Q86" i="43" s="1"/>
  <c r="M20" i="29"/>
  <c r="M20" i="43" s="1"/>
  <c r="M72" i="43" s="1"/>
  <c r="M20" i="30"/>
  <c r="U34" i="29"/>
  <c r="T34" i="43" s="1"/>
  <c r="T86" i="43" s="1"/>
  <c r="U20" i="29"/>
  <c r="T20" i="43" s="1"/>
  <c r="T72" i="43" s="1"/>
  <c r="U5" i="29"/>
  <c r="T5" i="43" s="1"/>
  <c r="T57" i="43" s="1"/>
  <c r="U39" i="29"/>
  <c r="T39" i="43" s="1"/>
  <c r="T91" i="43" s="1"/>
  <c r="P53" i="30"/>
  <c r="M19" i="29"/>
  <c r="M19" i="43" s="1"/>
  <c r="M71" i="43" s="1"/>
  <c r="M19" i="30"/>
  <c r="V10" i="32"/>
  <c r="T43" i="34"/>
  <c r="V38" i="32"/>
  <c r="L27" i="29"/>
  <c r="L27" i="43" s="1"/>
  <c r="L79" i="43" s="1"/>
  <c r="L15" i="29"/>
  <c r="L15" i="43" s="1"/>
  <c r="L67" i="43" s="1"/>
  <c r="L8" i="29"/>
  <c r="L8" i="43" s="1"/>
  <c r="L60" i="43" s="1"/>
  <c r="L36" i="29"/>
  <c r="L36" i="43" s="1"/>
  <c r="L88" i="43" s="1"/>
  <c r="L25" i="29"/>
  <c r="L25" i="43" s="1"/>
  <c r="L77" i="43" s="1"/>
  <c r="L33" i="29"/>
  <c r="L33" i="43" s="1"/>
  <c r="L85" i="43" s="1"/>
  <c r="O53" i="30"/>
  <c r="M34" i="29"/>
  <c r="M34" i="43" s="1"/>
  <c r="M86" i="43" s="1"/>
  <c r="M34" i="30"/>
  <c r="L35" i="29"/>
  <c r="L35" i="43" s="1"/>
  <c r="L87" i="43" s="1"/>
  <c r="X34" i="29"/>
  <c r="W34" i="43" s="1"/>
  <c r="W86" i="43" s="1"/>
  <c r="X45" i="29"/>
  <c r="W45" i="43" s="1"/>
  <c r="W97" i="43" s="1"/>
  <c r="X32" i="29"/>
  <c r="W32" i="43" s="1"/>
  <c r="W84" i="43" s="1"/>
  <c r="X25" i="29"/>
  <c r="W25" i="43" s="1"/>
  <c r="W77" i="43" s="1"/>
  <c r="AH37" i="29"/>
  <c r="AD37" i="43" s="1"/>
  <c r="AD89" i="43" s="1"/>
  <c r="AI15" i="29"/>
  <c r="AE15" i="43" s="1"/>
  <c r="AE67" i="43" s="1"/>
  <c r="AI11" i="29"/>
  <c r="AE11" i="43" s="1"/>
  <c r="AE63" i="43" s="1"/>
  <c r="Y14" i="33"/>
  <c r="Z14" i="33" s="1"/>
  <c r="Z14" i="32"/>
  <c r="Y14" i="34"/>
  <c r="Z14" i="34" s="1"/>
  <c r="Z25" i="32"/>
  <c r="Y25" i="33"/>
  <c r="Z25" i="33" s="1"/>
  <c r="Y25" i="34"/>
  <c r="Z25" i="34" s="1"/>
  <c r="Z32" i="32"/>
  <c r="Y32" i="33"/>
  <c r="Z32" i="33" s="1"/>
  <c r="Y32" i="34"/>
  <c r="Z32" i="34" s="1"/>
  <c r="Y35" i="33"/>
  <c r="Z35" i="33" s="1"/>
  <c r="Z35" i="32"/>
  <c r="Y35" i="34"/>
  <c r="Z35" i="34" s="1"/>
  <c r="Z23" i="32"/>
  <c r="Y23" i="33"/>
  <c r="Z23" i="33" s="1"/>
  <c r="Y23" i="34"/>
  <c r="Z23" i="34" s="1"/>
  <c r="Y31" i="33"/>
  <c r="Z31" i="33" s="1"/>
  <c r="Z31" i="32"/>
  <c r="Y31" i="34"/>
  <c r="Z31" i="34" s="1"/>
  <c r="Y7" i="33"/>
  <c r="Z7" i="33" s="1"/>
  <c r="Z7" i="32"/>
  <c r="Y7" i="34"/>
  <c r="Z7" i="34" s="1"/>
  <c r="Y15" i="33"/>
  <c r="Z15" i="33" s="1"/>
  <c r="Z15" i="32"/>
  <c r="Y15" i="34"/>
  <c r="Z15" i="34" s="1"/>
  <c r="Z13" i="32"/>
  <c r="Y13" i="33"/>
  <c r="Z13" i="33" s="1"/>
  <c r="Y13" i="34"/>
  <c r="Z13" i="34" s="1"/>
  <c r="M49" i="29"/>
  <c r="M49" i="43" s="1"/>
  <c r="M101" i="43" s="1"/>
  <c r="M49" i="30"/>
  <c r="U30" i="29"/>
  <c r="T30" i="43" s="1"/>
  <c r="T82" i="43" s="1"/>
  <c r="U35" i="29"/>
  <c r="T35" i="43" s="1"/>
  <c r="T87" i="43" s="1"/>
  <c r="U37" i="29"/>
  <c r="T37" i="43" s="1"/>
  <c r="T89" i="43" s="1"/>
  <c r="AH46" i="29"/>
  <c r="AD46" i="43" s="1"/>
  <c r="AD98" i="43" s="1"/>
  <c r="O5" i="29"/>
  <c r="O5" i="43" s="1"/>
  <c r="O57" i="43" s="1"/>
  <c r="O21" i="29"/>
  <c r="O21" i="43" s="1"/>
  <c r="O73" i="43" s="1"/>
  <c r="O26" i="29"/>
  <c r="O26" i="43" s="1"/>
  <c r="O78" i="43" s="1"/>
  <c r="O30" i="29"/>
  <c r="O30" i="43" s="1"/>
  <c r="O82" i="43" s="1"/>
  <c r="X15" i="29"/>
  <c r="W15" i="43" s="1"/>
  <c r="W67" i="43" s="1"/>
  <c r="X47" i="29"/>
  <c r="W47" i="43" s="1"/>
  <c r="W99" i="43" s="1"/>
  <c r="AC12" i="29"/>
  <c r="AD5" i="30"/>
  <c r="AD53" i="30" s="1"/>
  <c r="AC53" i="30"/>
  <c r="AC39" i="29"/>
  <c r="AC28" i="29"/>
  <c r="P31" i="29"/>
  <c r="P31" i="43" s="1"/>
  <c r="P83" i="43" s="1"/>
  <c r="AI25" i="29"/>
  <c r="AE25" i="43" s="1"/>
  <c r="AE77" i="43" s="1"/>
  <c r="AI10" i="29"/>
  <c r="AE10" i="43" s="1"/>
  <c r="AE62" i="43" s="1"/>
  <c r="AI18" i="29"/>
  <c r="AE18" i="43" s="1"/>
  <c r="AE70" i="43" s="1"/>
  <c r="O18" i="33"/>
  <c r="O18" i="44" s="1"/>
  <c r="O60" i="44" s="1"/>
  <c r="O18" i="34"/>
  <c r="O39" i="33"/>
  <c r="O39" i="44" s="1"/>
  <c r="O81" i="44" s="1"/>
  <c r="O39" i="34"/>
  <c r="O30" i="33"/>
  <c r="O30" i="44" s="1"/>
  <c r="O72" i="44" s="1"/>
  <c r="O30" i="34"/>
  <c r="O27" i="33"/>
  <c r="O27" i="44" s="1"/>
  <c r="O69" i="44" s="1"/>
  <c r="O27" i="34"/>
  <c r="O29" i="33"/>
  <c r="O29" i="44" s="1"/>
  <c r="O71" i="44" s="1"/>
  <c r="O29" i="34"/>
  <c r="O38" i="33"/>
  <c r="O38" i="44" s="1"/>
  <c r="O80" i="44" s="1"/>
  <c r="O38" i="34"/>
  <c r="O9" i="34"/>
  <c r="O9" i="33"/>
  <c r="O9" i="44" s="1"/>
  <c r="O51" i="44" s="1"/>
  <c r="O5" i="34"/>
  <c r="O5" i="33"/>
  <c r="O5" i="44" s="1"/>
  <c r="O47" i="44" s="1"/>
  <c r="O43" i="32"/>
  <c r="O6" i="34"/>
  <c r="O6" i="33"/>
  <c r="O6" i="44" s="1"/>
  <c r="O48" i="44" s="1"/>
  <c r="M6" i="29"/>
  <c r="M6" i="43" s="1"/>
  <c r="M58" i="43" s="1"/>
  <c r="M6" i="30"/>
  <c r="M10" i="29"/>
  <c r="M10" i="43" s="1"/>
  <c r="M62" i="43" s="1"/>
  <c r="M10" i="30"/>
  <c r="Y51" i="29"/>
  <c r="X51" i="43" s="1"/>
  <c r="X103" i="43" s="1"/>
  <c r="Y51" i="30"/>
  <c r="Y28" i="29"/>
  <c r="X28" i="43" s="1"/>
  <c r="X80" i="43" s="1"/>
  <c r="Y28" i="30"/>
  <c r="Y45" i="29"/>
  <c r="X45" i="43" s="1"/>
  <c r="X97" i="43" s="1"/>
  <c r="Y45" i="30"/>
  <c r="Y21" i="29"/>
  <c r="X21" i="43" s="1"/>
  <c r="X73" i="43" s="1"/>
  <c r="Y21" i="30"/>
  <c r="Y24" i="29"/>
  <c r="X24" i="43" s="1"/>
  <c r="X76" i="43" s="1"/>
  <c r="Y24" i="30"/>
  <c r="Y37" i="29"/>
  <c r="X37" i="43" s="1"/>
  <c r="X89" i="43" s="1"/>
  <c r="Y37" i="30"/>
  <c r="Y6" i="29"/>
  <c r="X6" i="43" s="1"/>
  <c r="X58" i="43" s="1"/>
  <c r="Y6" i="30"/>
  <c r="Y8" i="29"/>
  <c r="X8" i="43" s="1"/>
  <c r="X60" i="43" s="1"/>
  <c r="Y8" i="30"/>
  <c r="Y34" i="29"/>
  <c r="X34" i="43" s="1"/>
  <c r="X86" i="43" s="1"/>
  <c r="Y34" i="30"/>
  <c r="Y50" i="29"/>
  <c r="X50" i="43" s="1"/>
  <c r="X102" i="43" s="1"/>
  <c r="Y50" i="30"/>
  <c r="Y20" i="29"/>
  <c r="X20" i="43" s="1"/>
  <c r="X72" i="43" s="1"/>
  <c r="Y20" i="30"/>
  <c r="Y18" i="29"/>
  <c r="X18" i="43" s="1"/>
  <c r="X70" i="43" s="1"/>
  <c r="Y18" i="30"/>
  <c r="D45" i="5"/>
  <c r="F30" i="5"/>
  <c r="E30" i="5"/>
  <c r="F4" i="5"/>
  <c r="D10" i="5"/>
  <c r="T56" i="27" s="1"/>
  <c r="E4" i="5"/>
  <c r="H14" i="46" l="1"/>
  <c r="I7" i="46"/>
  <c r="I13" i="46" s="1"/>
  <c r="I9" i="46"/>
  <c r="I11" i="46"/>
  <c r="E11" i="46"/>
  <c r="E7" i="46"/>
  <c r="E13" i="46" s="1"/>
  <c r="E9" i="46"/>
  <c r="L15" i="45"/>
  <c r="L14" i="45"/>
  <c r="C11" i="46"/>
  <c r="C7" i="46"/>
  <c r="C13" i="46" s="1"/>
  <c r="C9" i="46"/>
  <c r="AD39" i="29"/>
  <c r="AA39" i="43"/>
  <c r="AA91" i="43" s="1"/>
  <c r="E9" i="45"/>
  <c r="E7" i="45"/>
  <c r="E13" i="45" s="1"/>
  <c r="E11" i="45"/>
  <c r="AD43" i="29"/>
  <c r="AA43" i="43"/>
  <c r="AA95" i="43" s="1"/>
  <c r="M37" i="29"/>
  <c r="M37" i="43" s="1"/>
  <c r="M89" i="43" s="1"/>
  <c r="M27" i="29"/>
  <c r="M27" i="43" s="1"/>
  <c r="M79" i="43" s="1"/>
  <c r="V14" i="34"/>
  <c r="AD19" i="29"/>
  <c r="AA19" i="43"/>
  <c r="AA71" i="43" s="1"/>
  <c r="M9" i="45"/>
  <c r="M11" i="45"/>
  <c r="M7" i="45"/>
  <c r="M13" i="45" s="1"/>
  <c r="AD27" i="29"/>
  <c r="AA27" i="43"/>
  <c r="AA79" i="43" s="1"/>
  <c r="AD13" i="29"/>
  <c r="AA13" i="43"/>
  <c r="AA65" i="43" s="1"/>
  <c r="AD7" i="29"/>
  <c r="AA7" i="43"/>
  <c r="AA59" i="43" s="1"/>
  <c r="U31" i="44"/>
  <c r="U73" i="44" s="1"/>
  <c r="U25" i="44"/>
  <c r="U67" i="44" s="1"/>
  <c r="U19" i="44"/>
  <c r="U61" i="44" s="1"/>
  <c r="U29" i="44"/>
  <c r="U71" i="44" s="1"/>
  <c r="U9" i="44"/>
  <c r="U51" i="44" s="1"/>
  <c r="U21" i="44"/>
  <c r="U63" i="44" s="1"/>
  <c r="U34" i="44"/>
  <c r="U76" i="44" s="1"/>
  <c r="U38" i="44"/>
  <c r="U80" i="44" s="1"/>
  <c r="Q9" i="44"/>
  <c r="Q51" i="44" s="1"/>
  <c r="Q38" i="44"/>
  <c r="Q80" i="44" s="1"/>
  <c r="L7" i="45"/>
  <c r="L13" i="45" s="1"/>
  <c r="AD47" i="29"/>
  <c r="AA47" i="43"/>
  <c r="AA99" i="43" s="1"/>
  <c r="U9" i="45"/>
  <c r="U11" i="45"/>
  <c r="U7" i="45"/>
  <c r="U13" i="45" s="1"/>
  <c r="AD25" i="29"/>
  <c r="AA25" i="43"/>
  <c r="AA77" i="43" s="1"/>
  <c r="U13" i="44"/>
  <c r="U55" i="44" s="1"/>
  <c r="U23" i="44"/>
  <c r="U65" i="44" s="1"/>
  <c r="U14" i="44"/>
  <c r="U56" i="44" s="1"/>
  <c r="Q11" i="44"/>
  <c r="Q53" i="44" s="1"/>
  <c r="Q35" i="44"/>
  <c r="Q77" i="44" s="1"/>
  <c r="U40" i="44"/>
  <c r="U82" i="44" s="1"/>
  <c r="U28" i="44"/>
  <c r="U70" i="44" s="1"/>
  <c r="Q8" i="44"/>
  <c r="Q50" i="44" s="1"/>
  <c r="U16" i="44"/>
  <c r="U58" i="44" s="1"/>
  <c r="U39" i="44"/>
  <c r="U81" i="44" s="1"/>
  <c r="U8" i="44"/>
  <c r="U50" i="44" s="1"/>
  <c r="U27" i="44"/>
  <c r="U69" i="44" s="1"/>
  <c r="Q26" i="44"/>
  <c r="Q68" i="44" s="1"/>
  <c r="Q34" i="44"/>
  <c r="Q76" i="44" s="1"/>
  <c r="L11" i="45"/>
  <c r="F11" i="46"/>
  <c r="AD28" i="29"/>
  <c r="AA28" i="43"/>
  <c r="AA80" i="43" s="1"/>
  <c r="AD12" i="29"/>
  <c r="AA12" i="43"/>
  <c r="AA64" i="43" s="1"/>
  <c r="Q7" i="45" s="1"/>
  <c r="Q13" i="45" s="1"/>
  <c r="J9" i="45"/>
  <c r="J7" i="45"/>
  <c r="J13" i="45" s="1"/>
  <c r="J11" i="45"/>
  <c r="AD36" i="29"/>
  <c r="AA36" i="43"/>
  <c r="AA88" i="43" s="1"/>
  <c r="AD14" i="29"/>
  <c r="AA14" i="43"/>
  <c r="AA66" i="43" s="1"/>
  <c r="AD16" i="29"/>
  <c r="AA16" i="43"/>
  <c r="AA68" i="43" s="1"/>
  <c r="G9" i="45"/>
  <c r="G7" i="45"/>
  <c r="G13" i="45" s="1"/>
  <c r="G11" i="45"/>
  <c r="U15" i="44"/>
  <c r="U57" i="44" s="1"/>
  <c r="U35" i="44"/>
  <c r="U77" i="44" s="1"/>
  <c r="Q21" i="44"/>
  <c r="Q63" i="44" s="1"/>
  <c r="D9" i="46"/>
  <c r="D11" i="46"/>
  <c r="D7" i="46"/>
  <c r="D13" i="46" s="1"/>
  <c r="U22" i="44"/>
  <c r="U64" i="44" s="1"/>
  <c r="U20" i="44"/>
  <c r="U62" i="44" s="1"/>
  <c r="U26" i="44"/>
  <c r="U68" i="44" s="1"/>
  <c r="U33" i="44"/>
  <c r="U75" i="44" s="1"/>
  <c r="U12" i="44"/>
  <c r="U54" i="44" s="1"/>
  <c r="U41" i="44"/>
  <c r="U83" i="44" s="1"/>
  <c r="U30" i="44"/>
  <c r="U72" i="44" s="1"/>
  <c r="U24" i="44"/>
  <c r="U66" i="44" s="1"/>
  <c r="Q16" i="44"/>
  <c r="Q58" i="44" s="1"/>
  <c r="F9" i="46"/>
  <c r="AD46" i="29"/>
  <c r="AA46" i="43"/>
  <c r="AA98" i="43" s="1"/>
  <c r="Q9" i="45"/>
  <c r="Q11" i="45"/>
  <c r="B11" i="45"/>
  <c r="B7" i="45"/>
  <c r="B13" i="45" s="1"/>
  <c r="B9" i="45"/>
  <c r="F7" i="45"/>
  <c r="F13" i="45" s="1"/>
  <c r="F11" i="45"/>
  <c r="F9" i="45"/>
  <c r="AD45" i="29"/>
  <c r="AA45" i="43"/>
  <c r="AA97" i="43" s="1"/>
  <c r="AD15" i="29"/>
  <c r="AA15" i="43"/>
  <c r="AA67" i="43" s="1"/>
  <c r="AD22" i="29"/>
  <c r="AA22" i="43"/>
  <c r="AA74" i="43" s="1"/>
  <c r="U7" i="44"/>
  <c r="U49" i="44" s="1"/>
  <c r="U32" i="44"/>
  <c r="U74" i="44" s="1"/>
  <c r="Q23" i="44"/>
  <c r="Q65" i="44" s="1"/>
  <c r="Q6" i="44"/>
  <c r="Q48" i="44" s="1"/>
  <c r="G9" i="46" s="1"/>
  <c r="Q31" i="44"/>
  <c r="Q73" i="44" s="1"/>
  <c r="T9" i="45"/>
  <c r="T11" i="45"/>
  <c r="T7" i="45"/>
  <c r="T13" i="45" s="1"/>
  <c r="U10" i="44"/>
  <c r="U52" i="44" s="1"/>
  <c r="U11" i="44"/>
  <c r="U53" i="44" s="1"/>
  <c r="U6" i="44"/>
  <c r="U48" i="44" s="1"/>
  <c r="K9" i="46" s="1"/>
  <c r="U17" i="44"/>
  <c r="U59" i="44" s="1"/>
  <c r="U18" i="44"/>
  <c r="U60" i="44" s="1"/>
  <c r="U37" i="44"/>
  <c r="U79" i="44" s="1"/>
  <c r="U36" i="44"/>
  <c r="U78" i="44" s="1"/>
  <c r="Q53" i="29"/>
  <c r="V30" i="33"/>
  <c r="M43" i="34"/>
  <c r="W53" i="29"/>
  <c r="O43" i="33"/>
  <c r="P53" i="29"/>
  <c r="V36" i="34"/>
  <c r="AH53" i="29"/>
  <c r="AA44" i="34"/>
  <c r="AA44" i="33"/>
  <c r="W48" i="33" s="1"/>
  <c r="AA44" i="32"/>
  <c r="AA44" i="31"/>
  <c r="N58" i="27"/>
  <c r="N56" i="30"/>
  <c r="N56" i="29"/>
  <c r="N56" i="28"/>
  <c r="L45" i="34"/>
  <c r="L45" i="33"/>
  <c r="L45" i="31"/>
  <c r="L45" i="32"/>
  <c r="Y53" i="30"/>
  <c r="V31" i="30"/>
  <c r="AB31" i="30" s="1"/>
  <c r="AB31" i="28"/>
  <c r="V45" i="30"/>
  <c r="AB45" i="30" s="1"/>
  <c r="AB45" i="28"/>
  <c r="V27" i="30"/>
  <c r="AB27" i="30" s="1"/>
  <c r="AB27" i="28"/>
  <c r="V24" i="30"/>
  <c r="AB24" i="30" s="1"/>
  <c r="AB24" i="28"/>
  <c r="V50" i="30"/>
  <c r="AB50" i="30" s="1"/>
  <c r="AB50" i="28"/>
  <c r="V36" i="30"/>
  <c r="AB36" i="30" s="1"/>
  <c r="AB36" i="28"/>
  <c r="V30" i="30"/>
  <c r="AB30" i="30" s="1"/>
  <c r="AB30" i="28"/>
  <c r="V12" i="30"/>
  <c r="AB12" i="30" s="1"/>
  <c r="AB12" i="28"/>
  <c r="V14" i="30"/>
  <c r="AB14" i="30" s="1"/>
  <c r="AB14" i="28"/>
  <c r="V17" i="30"/>
  <c r="AB17" i="30" s="1"/>
  <c r="AB17" i="28"/>
  <c r="V10" i="30"/>
  <c r="AB10" i="30" s="1"/>
  <c r="AB10" i="28"/>
  <c r="V19" i="30"/>
  <c r="AB19" i="30" s="1"/>
  <c r="AB19" i="28"/>
  <c r="M48" i="29"/>
  <c r="M48" i="43" s="1"/>
  <c r="M100" i="43" s="1"/>
  <c r="V24" i="33"/>
  <c r="V33" i="33"/>
  <c r="V39" i="33"/>
  <c r="V25" i="33"/>
  <c r="Y13" i="29"/>
  <c r="X13" i="43" s="1"/>
  <c r="X65" i="43" s="1"/>
  <c r="Y15" i="29"/>
  <c r="X15" i="43" s="1"/>
  <c r="X67" i="43" s="1"/>
  <c r="Y17" i="29"/>
  <c r="X17" i="43" s="1"/>
  <c r="X69" i="43" s="1"/>
  <c r="Z5" i="33"/>
  <c r="Z43" i="33" s="1"/>
  <c r="Y43" i="33"/>
  <c r="M39" i="29"/>
  <c r="M39" i="43" s="1"/>
  <c r="M91" i="43" s="1"/>
  <c r="M47" i="29"/>
  <c r="M47" i="43" s="1"/>
  <c r="M99" i="43" s="1"/>
  <c r="V10" i="34"/>
  <c r="V11" i="34"/>
  <c r="V10" i="33"/>
  <c r="V40" i="34"/>
  <c r="V13" i="33"/>
  <c r="M25" i="29"/>
  <c r="M25" i="43" s="1"/>
  <c r="M77" i="43" s="1"/>
  <c r="M31" i="29"/>
  <c r="M31" i="43" s="1"/>
  <c r="M83" i="43" s="1"/>
  <c r="M51" i="29"/>
  <c r="M51" i="43" s="1"/>
  <c r="M103" i="43" s="1"/>
  <c r="M21" i="29"/>
  <c r="M21" i="43" s="1"/>
  <c r="M73" i="43" s="1"/>
  <c r="V43" i="32"/>
  <c r="V30" i="34"/>
  <c r="Y38" i="29"/>
  <c r="X38" i="43" s="1"/>
  <c r="X90" i="43" s="1"/>
  <c r="Y42" i="29"/>
  <c r="X42" i="43" s="1"/>
  <c r="X94" i="43" s="1"/>
  <c r="Y11" i="29"/>
  <c r="X11" i="43" s="1"/>
  <c r="X63" i="43" s="1"/>
  <c r="Y36" i="29"/>
  <c r="X36" i="43" s="1"/>
  <c r="X88" i="43" s="1"/>
  <c r="Y29" i="29"/>
  <c r="X29" i="43" s="1"/>
  <c r="X81" i="43" s="1"/>
  <c r="Y46" i="29"/>
  <c r="X46" i="43" s="1"/>
  <c r="X98" i="43" s="1"/>
  <c r="M9" i="29"/>
  <c r="M9" i="43" s="1"/>
  <c r="M61" i="43" s="1"/>
  <c r="M11" i="29"/>
  <c r="M11" i="43" s="1"/>
  <c r="M63" i="43" s="1"/>
  <c r="M43" i="29"/>
  <c r="M43" i="43" s="1"/>
  <c r="M95" i="43" s="1"/>
  <c r="M29" i="29"/>
  <c r="M29" i="43" s="1"/>
  <c r="M81" i="43" s="1"/>
  <c r="L48" i="31"/>
  <c r="AI53" i="29"/>
  <c r="M17" i="29"/>
  <c r="M17" i="43" s="1"/>
  <c r="M69" i="43" s="1"/>
  <c r="M33" i="29"/>
  <c r="M33" i="43" s="1"/>
  <c r="M85" i="43" s="1"/>
  <c r="X53" i="29"/>
  <c r="V32" i="34"/>
  <c r="V36" i="33"/>
  <c r="V19" i="34"/>
  <c r="V18" i="33"/>
  <c r="V41" i="34"/>
  <c r="M50" i="29"/>
  <c r="M50" i="43" s="1"/>
  <c r="M102" i="43" s="1"/>
  <c r="L46" i="34"/>
  <c r="L46" i="33"/>
  <c r="L46" i="32"/>
  <c r="L46" i="31"/>
  <c r="V33" i="30"/>
  <c r="AB33" i="30" s="1"/>
  <c r="AB33" i="28"/>
  <c r="V29" i="30"/>
  <c r="AB29" i="30" s="1"/>
  <c r="AB29" i="28"/>
  <c r="V38" i="30"/>
  <c r="AB38" i="30" s="1"/>
  <c r="AB38" i="28"/>
  <c r="V44" i="30"/>
  <c r="AB44" i="30" s="1"/>
  <c r="AB44" i="28"/>
  <c r="V34" i="30"/>
  <c r="AB34" i="30" s="1"/>
  <c r="AB34" i="28"/>
  <c r="V51" i="30"/>
  <c r="AB51" i="30" s="1"/>
  <c r="AB51" i="28"/>
  <c r="V8" i="30"/>
  <c r="AB8" i="30" s="1"/>
  <c r="AB8" i="28"/>
  <c r="V15" i="30"/>
  <c r="AB15" i="30" s="1"/>
  <c r="AB15" i="28"/>
  <c r="V20" i="30"/>
  <c r="AB20" i="30" s="1"/>
  <c r="AB20" i="28"/>
  <c r="V28" i="30"/>
  <c r="AB28" i="30" s="1"/>
  <c r="AB28" i="28"/>
  <c r="V25" i="30"/>
  <c r="AB25" i="30" s="1"/>
  <c r="AB25" i="28"/>
  <c r="Y22" i="29"/>
  <c r="X22" i="43" s="1"/>
  <c r="X74" i="43" s="1"/>
  <c r="Y23" i="29"/>
  <c r="X23" i="43" s="1"/>
  <c r="X75" i="43" s="1"/>
  <c r="Y44" i="29"/>
  <c r="X44" i="43" s="1"/>
  <c r="X96" i="43" s="1"/>
  <c r="Z43" i="32"/>
  <c r="V15" i="34"/>
  <c r="V22" i="34"/>
  <c r="V27" i="33"/>
  <c r="Y10" i="29"/>
  <c r="X10" i="43" s="1"/>
  <c r="X62" i="43" s="1"/>
  <c r="Y12" i="29"/>
  <c r="X12" i="43" s="1"/>
  <c r="X64" i="43" s="1"/>
  <c r="Y16" i="29"/>
  <c r="X16" i="43" s="1"/>
  <c r="X68" i="43" s="1"/>
  <c r="Y39" i="29"/>
  <c r="X39" i="43" s="1"/>
  <c r="X91" i="43" s="1"/>
  <c r="Y40" i="29"/>
  <c r="X40" i="43" s="1"/>
  <c r="X92" i="43" s="1"/>
  <c r="Y33" i="29"/>
  <c r="X33" i="43" s="1"/>
  <c r="X85" i="43" s="1"/>
  <c r="M42" i="29"/>
  <c r="M42" i="43" s="1"/>
  <c r="M94" i="43" s="1"/>
  <c r="M24" i="29"/>
  <c r="M24" i="43" s="1"/>
  <c r="M76" i="43" s="1"/>
  <c r="M46" i="29"/>
  <c r="M46" i="43" s="1"/>
  <c r="M98" i="43" s="1"/>
  <c r="V20" i="34"/>
  <c r="V32" i="33"/>
  <c r="V17" i="34"/>
  <c r="V28" i="34"/>
  <c r="V41" i="33"/>
  <c r="L53" i="29"/>
  <c r="O43" i="34"/>
  <c r="U53" i="29"/>
  <c r="V47" i="30"/>
  <c r="AB47" i="30" s="1"/>
  <c r="AB47" i="28"/>
  <c r="V42" i="30"/>
  <c r="AB42" i="30" s="1"/>
  <c r="AB42" i="28"/>
  <c r="V48" i="30"/>
  <c r="AB48" i="30" s="1"/>
  <c r="AB48" i="28"/>
  <c r="V21" i="30"/>
  <c r="AB21" i="30" s="1"/>
  <c r="AB21" i="28"/>
  <c r="V39" i="30"/>
  <c r="AB39" i="30" s="1"/>
  <c r="AB39" i="28"/>
  <c r="AB32" i="28"/>
  <c r="V32" i="30"/>
  <c r="AB32" i="30" s="1"/>
  <c r="V35" i="30"/>
  <c r="AB35" i="30" s="1"/>
  <c r="AB35" i="28"/>
  <c r="V6" i="30"/>
  <c r="AB6" i="30" s="1"/>
  <c r="AB6" i="28"/>
  <c r="V18" i="30"/>
  <c r="AB18" i="30" s="1"/>
  <c r="AB18" i="28"/>
  <c r="V23" i="30"/>
  <c r="AB23" i="30" s="1"/>
  <c r="AB23" i="28"/>
  <c r="V40" i="30"/>
  <c r="AB40" i="30" s="1"/>
  <c r="AB40" i="28"/>
  <c r="V11" i="30"/>
  <c r="AB11" i="30" s="1"/>
  <c r="AB11" i="28"/>
  <c r="V39" i="34"/>
  <c r="Y14" i="29"/>
  <c r="X14" i="43" s="1"/>
  <c r="X66" i="43" s="1"/>
  <c r="Y30" i="29"/>
  <c r="X30" i="43" s="1"/>
  <c r="X82" i="43" s="1"/>
  <c r="M40" i="29"/>
  <c r="M40" i="43" s="1"/>
  <c r="M92" i="43" s="1"/>
  <c r="M38" i="29"/>
  <c r="M38" i="43" s="1"/>
  <c r="M90" i="43" s="1"/>
  <c r="M7" i="29"/>
  <c r="M7" i="43" s="1"/>
  <c r="M59" i="43" s="1"/>
  <c r="V40" i="33"/>
  <c r="V22" i="33"/>
  <c r="M22" i="29"/>
  <c r="M22" i="43" s="1"/>
  <c r="M74" i="43" s="1"/>
  <c r="M5" i="29"/>
  <c r="M5" i="43" s="1"/>
  <c r="M57" i="43" s="1"/>
  <c r="M26" i="29"/>
  <c r="M26" i="43" s="1"/>
  <c r="M78" i="43" s="1"/>
  <c r="M23" i="29"/>
  <c r="M23" i="43" s="1"/>
  <c r="M75" i="43" s="1"/>
  <c r="M28" i="29"/>
  <c r="M28" i="43" s="1"/>
  <c r="M80" i="43" s="1"/>
  <c r="V5" i="34"/>
  <c r="S43" i="34"/>
  <c r="V12" i="34"/>
  <c r="V37" i="34"/>
  <c r="V14" i="33"/>
  <c r="Y7" i="29"/>
  <c r="X7" i="43" s="1"/>
  <c r="X59" i="43" s="1"/>
  <c r="Y19" i="29"/>
  <c r="X19" i="43" s="1"/>
  <c r="X71" i="43" s="1"/>
  <c r="Y48" i="29"/>
  <c r="X48" i="43" s="1"/>
  <c r="X100" i="43" s="1"/>
  <c r="Y43" i="29"/>
  <c r="X43" i="43" s="1"/>
  <c r="X95" i="43" s="1"/>
  <c r="Y26" i="29"/>
  <c r="X26" i="43" s="1"/>
  <c r="X78" i="43" s="1"/>
  <c r="M15" i="29"/>
  <c r="M15" i="43" s="1"/>
  <c r="M67" i="43" s="1"/>
  <c r="AD5" i="29"/>
  <c r="AD53" i="29" s="1"/>
  <c r="AC53" i="29"/>
  <c r="R37" i="29"/>
  <c r="R37" i="43" s="1"/>
  <c r="R89" i="43" s="1"/>
  <c r="R51" i="29"/>
  <c r="R51" i="43" s="1"/>
  <c r="R103" i="43" s="1"/>
  <c r="R24" i="29"/>
  <c r="R16" i="29"/>
  <c r="R16" i="43" s="1"/>
  <c r="R68" i="43" s="1"/>
  <c r="R14" i="29"/>
  <c r="R14" i="43" s="1"/>
  <c r="R66" i="43" s="1"/>
  <c r="R38" i="29"/>
  <c r="R38" i="43" s="1"/>
  <c r="R90" i="43" s="1"/>
  <c r="R44" i="29"/>
  <c r="R44" i="43" s="1"/>
  <c r="R96" i="43" s="1"/>
  <c r="R9" i="29"/>
  <c r="R9" i="43" s="1"/>
  <c r="R61" i="43" s="1"/>
  <c r="R29" i="29"/>
  <c r="R17" i="29"/>
  <c r="R17" i="43" s="1"/>
  <c r="R69" i="43" s="1"/>
  <c r="R50" i="29"/>
  <c r="R50" i="43" s="1"/>
  <c r="R102" i="43" s="1"/>
  <c r="R23" i="29"/>
  <c r="R47" i="29"/>
  <c r="R47" i="43" s="1"/>
  <c r="R99" i="43" s="1"/>
  <c r="R13" i="29"/>
  <c r="R13" i="43" s="1"/>
  <c r="R65" i="43" s="1"/>
  <c r="R22" i="29"/>
  <c r="R36" i="29"/>
  <c r="R36" i="43" s="1"/>
  <c r="R88" i="43" s="1"/>
  <c r="R33" i="29"/>
  <c r="R33" i="43" s="1"/>
  <c r="R85" i="43" s="1"/>
  <c r="R46" i="29"/>
  <c r="R46" i="43" s="1"/>
  <c r="R98" i="43" s="1"/>
  <c r="R7" i="29"/>
  <c r="R7" i="43" s="1"/>
  <c r="R59" i="43" s="1"/>
  <c r="R27" i="29"/>
  <c r="R18" i="29"/>
  <c r="R18" i="43" s="1"/>
  <c r="R70" i="43" s="1"/>
  <c r="R41" i="29"/>
  <c r="R41" i="43" s="1"/>
  <c r="R93" i="43" s="1"/>
  <c r="R28" i="29"/>
  <c r="R20" i="29"/>
  <c r="R20" i="43" s="1"/>
  <c r="R72" i="43" s="1"/>
  <c r="R34" i="29"/>
  <c r="R34" i="43" s="1"/>
  <c r="R86" i="43" s="1"/>
  <c r="R30" i="29"/>
  <c r="R30" i="43" s="1"/>
  <c r="R82" i="43" s="1"/>
  <c r="R26" i="29"/>
  <c r="R43" i="29"/>
  <c r="R43" i="43" s="1"/>
  <c r="R95" i="43" s="1"/>
  <c r="R42" i="29"/>
  <c r="R42" i="43" s="1"/>
  <c r="R94" i="43" s="1"/>
  <c r="R49" i="29"/>
  <c r="R49" i="43" s="1"/>
  <c r="R101" i="43" s="1"/>
  <c r="R31" i="29"/>
  <c r="R31" i="43" s="1"/>
  <c r="R83" i="43" s="1"/>
  <c r="R6" i="29"/>
  <c r="R6" i="43" s="1"/>
  <c r="R58" i="43" s="1"/>
  <c r="R19" i="29"/>
  <c r="R19" i="43" s="1"/>
  <c r="R71" i="43" s="1"/>
  <c r="R21" i="29"/>
  <c r="R15" i="29"/>
  <c r="R15" i="43" s="1"/>
  <c r="R67" i="43" s="1"/>
  <c r="R11" i="29"/>
  <c r="R11" i="43" s="1"/>
  <c r="R63" i="43" s="1"/>
  <c r="R25" i="29"/>
  <c r="R25" i="43" s="1"/>
  <c r="R77" i="43" s="1"/>
  <c r="R48" i="29"/>
  <c r="R48" i="43" s="1"/>
  <c r="R100" i="43" s="1"/>
  <c r="R35" i="29"/>
  <c r="R35" i="43" s="1"/>
  <c r="R87" i="43" s="1"/>
  <c r="R45" i="29"/>
  <c r="R45" i="43" s="1"/>
  <c r="R97" i="43" s="1"/>
  <c r="R5" i="29"/>
  <c r="R5" i="43" s="1"/>
  <c r="R57" i="43" s="1"/>
  <c r="R32" i="29"/>
  <c r="R32" i="43" s="1"/>
  <c r="R84" i="43" s="1"/>
  <c r="R40" i="29"/>
  <c r="R40" i="43" s="1"/>
  <c r="R92" i="43" s="1"/>
  <c r="R10" i="29"/>
  <c r="R10" i="43" s="1"/>
  <c r="R62" i="43" s="1"/>
  <c r="R12" i="29"/>
  <c r="R12" i="43" s="1"/>
  <c r="R64" i="43" s="1"/>
  <c r="R8" i="29"/>
  <c r="R8" i="43" s="1"/>
  <c r="R60" i="43" s="1"/>
  <c r="R39" i="29"/>
  <c r="R39" i="43" s="1"/>
  <c r="R91" i="43" s="1"/>
  <c r="U43" i="34"/>
  <c r="V20" i="33"/>
  <c r="V29" i="34"/>
  <c r="V17" i="33"/>
  <c r="V19" i="33"/>
  <c r="V28" i="33"/>
  <c r="M14" i="29"/>
  <c r="M14" i="43" s="1"/>
  <c r="M66" i="43" s="1"/>
  <c r="N57" i="27"/>
  <c r="N55" i="30"/>
  <c r="N55" i="29"/>
  <c r="N55" i="28"/>
  <c r="T54" i="29"/>
  <c r="T54" i="30"/>
  <c r="T54" i="28"/>
  <c r="O53" i="29"/>
  <c r="V49" i="30"/>
  <c r="AB49" i="30" s="1"/>
  <c r="AB49" i="28"/>
  <c r="V26" i="30"/>
  <c r="AB26" i="30" s="1"/>
  <c r="AB26" i="28"/>
  <c r="V43" i="30"/>
  <c r="AB43" i="30" s="1"/>
  <c r="AB43" i="28"/>
  <c r="V41" i="30"/>
  <c r="AB41" i="30" s="1"/>
  <c r="AB41" i="28"/>
  <c r="V22" i="30"/>
  <c r="AB22" i="30" s="1"/>
  <c r="AB22" i="28"/>
  <c r="V37" i="30"/>
  <c r="AB37" i="30" s="1"/>
  <c r="AB37" i="28"/>
  <c r="V46" i="30"/>
  <c r="AB46" i="30" s="1"/>
  <c r="AB46" i="28"/>
  <c r="V7" i="30"/>
  <c r="AB7" i="30" s="1"/>
  <c r="AB7" i="28"/>
  <c r="V9" i="30"/>
  <c r="AB9" i="28"/>
  <c r="V13" i="30"/>
  <c r="AB13" i="30" s="1"/>
  <c r="AB13" i="28"/>
  <c r="V53" i="28"/>
  <c r="V58" i="28" s="1"/>
  <c r="V31" i="29" s="1"/>
  <c r="U31" i="43" s="1"/>
  <c r="U83" i="43" s="1"/>
  <c r="V5" i="30"/>
  <c r="AB5" i="30" s="1"/>
  <c r="AB5" i="28"/>
  <c r="V16" i="30"/>
  <c r="AB16" i="30" s="1"/>
  <c r="AB16" i="28"/>
  <c r="M43" i="33"/>
  <c r="Y5" i="29"/>
  <c r="X5" i="43" s="1"/>
  <c r="X57" i="43" s="1"/>
  <c r="Y41" i="29"/>
  <c r="X41" i="43" s="1"/>
  <c r="X93" i="43" s="1"/>
  <c r="Y31" i="29"/>
  <c r="X31" i="43" s="1"/>
  <c r="X83" i="43" s="1"/>
  <c r="Y49" i="29"/>
  <c r="X49" i="43" s="1"/>
  <c r="X101" i="43" s="1"/>
  <c r="M13" i="29"/>
  <c r="M13" i="43" s="1"/>
  <c r="M65" i="43" s="1"/>
  <c r="Z5" i="34"/>
  <c r="Z43" i="34" s="1"/>
  <c r="Y43" i="34"/>
  <c r="M18" i="29"/>
  <c r="M18" i="43" s="1"/>
  <c r="M70" i="43" s="1"/>
  <c r="V15" i="33"/>
  <c r="V7" i="33"/>
  <c r="V13" i="34"/>
  <c r="V27" i="34"/>
  <c r="Y9" i="29"/>
  <c r="X9" i="43" s="1"/>
  <c r="X61" i="43" s="1"/>
  <c r="Y25" i="29"/>
  <c r="X25" i="43" s="1"/>
  <c r="X77" i="43" s="1"/>
  <c r="Y32" i="29"/>
  <c r="X32" i="43" s="1"/>
  <c r="X84" i="43" s="1"/>
  <c r="Y27" i="29"/>
  <c r="X27" i="43" s="1"/>
  <c r="X79" i="43" s="1"/>
  <c r="Y47" i="29"/>
  <c r="X47" i="43" s="1"/>
  <c r="X99" i="43" s="1"/>
  <c r="M35" i="29"/>
  <c r="M35" i="43" s="1"/>
  <c r="M87" i="43" s="1"/>
  <c r="V5" i="33"/>
  <c r="S43" i="33"/>
  <c r="V12" i="33"/>
  <c r="V37" i="33"/>
  <c r="M45" i="29"/>
  <c r="M45" i="43" s="1"/>
  <c r="M97" i="43" s="1"/>
  <c r="M41" i="29"/>
  <c r="M41" i="43" s="1"/>
  <c r="M93" i="43" s="1"/>
  <c r="M53" i="30"/>
  <c r="M32" i="29"/>
  <c r="M32" i="43" s="1"/>
  <c r="M84" i="43" s="1"/>
  <c r="M30" i="29"/>
  <c r="M30" i="43" s="1"/>
  <c r="M82" i="43" s="1"/>
  <c r="M8" i="29"/>
  <c r="M8" i="43" s="1"/>
  <c r="M60" i="43" s="1"/>
  <c r="S36" i="29"/>
  <c r="S33" i="29"/>
  <c r="S46" i="29"/>
  <c r="S7" i="29"/>
  <c r="S27" i="29"/>
  <c r="S18" i="29"/>
  <c r="S48" i="29"/>
  <c r="S35" i="29"/>
  <c r="S45" i="29"/>
  <c r="S5" i="29"/>
  <c r="S28" i="29"/>
  <c r="S20" i="29"/>
  <c r="S13" i="29"/>
  <c r="S32" i="29"/>
  <c r="S10" i="29"/>
  <c r="S8" i="29"/>
  <c r="S37" i="29"/>
  <c r="S51" i="29"/>
  <c r="S24" i="29"/>
  <c r="S16" i="29"/>
  <c r="S14" i="29"/>
  <c r="S9" i="29"/>
  <c r="S29" i="29"/>
  <c r="S17" i="29"/>
  <c r="S49" i="29"/>
  <c r="S31" i="29"/>
  <c r="S6" i="29"/>
  <c r="S19" i="29"/>
  <c r="S21" i="29"/>
  <c r="S15" i="29"/>
  <c r="S11" i="29"/>
  <c r="S25" i="29"/>
  <c r="S41" i="29"/>
  <c r="S34" i="29"/>
  <c r="S30" i="29"/>
  <c r="S26" i="29"/>
  <c r="S43" i="29"/>
  <c r="S38" i="29"/>
  <c r="S44" i="29"/>
  <c r="S42" i="29"/>
  <c r="S39" i="29"/>
  <c r="S47" i="29"/>
  <c r="S22" i="29"/>
  <c r="S50" i="29"/>
  <c r="S40" i="29"/>
  <c r="S12" i="29"/>
  <c r="S23" i="29"/>
  <c r="U43" i="33"/>
  <c r="V29" i="33"/>
  <c r="V18" i="34"/>
  <c r="M36" i="29"/>
  <c r="M36" i="43" s="1"/>
  <c r="M88" i="43" s="1"/>
  <c r="E34" i="5"/>
  <c r="F34" i="5"/>
  <c r="E10" i="5"/>
  <c r="F10" i="5"/>
  <c r="D46" i="5"/>
  <c r="D29" i="5"/>
  <c r="G15" i="46" l="1"/>
  <c r="G14" i="46"/>
  <c r="K15" i="46"/>
  <c r="K14" i="46"/>
  <c r="C11" i="45"/>
  <c r="C9" i="45"/>
  <c r="C7" i="45"/>
  <c r="C13" i="45" s="1"/>
  <c r="J15" i="45"/>
  <c r="J14" i="45"/>
  <c r="E15" i="45"/>
  <c r="E14" i="45"/>
  <c r="G7" i="46"/>
  <c r="G13" i="46" s="1"/>
  <c r="B15" i="45"/>
  <c r="B14" i="45"/>
  <c r="F15" i="46"/>
  <c r="F14" i="46"/>
  <c r="D15" i="46"/>
  <c r="D14" i="46"/>
  <c r="U15" i="45"/>
  <c r="U14" i="45"/>
  <c r="G11" i="46"/>
  <c r="K7" i="46"/>
  <c r="K13" i="46" s="1"/>
  <c r="T15" i="45"/>
  <c r="T14" i="45"/>
  <c r="F15" i="45"/>
  <c r="F14" i="45"/>
  <c r="Q15" i="45"/>
  <c r="Q14" i="45"/>
  <c r="M15" i="45"/>
  <c r="M14" i="45"/>
  <c r="C15" i="46"/>
  <c r="C14" i="46"/>
  <c r="K11" i="46"/>
  <c r="N9" i="45"/>
  <c r="N11" i="45"/>
  <c r="N7" i="45"/>
  <c r="N13" i="45" s="1"/>
  <c r="H11" i="45"/>
  <c r="H9" i="45"/>
  <c r="H7" i="45"/>
  <c r="H13" i="45" s="1"/>
  <c r="G15" i="45"/>
  <c r="G14" i="45"/>
  <c r="E15" i="46"/>
  <c r="E14" i="46"/>
  <c r="I15" i="46"/>
  <c r="I14" i="46"/>
  <c r="V7" i="29"/>
  <c r="AB31" i="29"/>
  <c r="V41" i="29"/>
  <c r="T58" i="27"/>
  <c r="T56" i="30"/>
  <c r="T56" i="29"/>
  <c r="T56" i="28"/>
  <c r="AM56" i="27"/>
  <c r="AM54" i="30"/>
  <c r="AM54" i="28"/>
  <c r="AM54" i="29" s="1"/>
  <c r="P46" i="34"/>
  <c r="P46" i="33"/>
  <c r="P46" i="32"/>
  <c r="P46" i="31"/>
  <c r="V9" i="29"/>
  <c r="V22" i="29"/>
  <c r="V49" i="29"/>
  <c r="V40" i="29"/>
  <c r="V35" i="29"/>
  <c r="V48" i="29"/>
  <c r="V20" i="29"/>
  <c r="V34" i="29"/>
  <c r="V33" i="29"/>
  <c r="V17" i="29"/>
  <c r="V36" i="29"/>
  <c r="V45" i="29"/>
  <c r="S53" i="29"/>
  <c r="Y53" i="29"/>
  <c r="V13" i="29"/>
  <c r="V37" i="29"/>
  <c r="V26" i="29"/>
  <c r="R53" i="29"/>
  <c r="S58" i="29" s="1"/>
  <c r="V11" i="29"/>
  <c r="V6" i="29"/>
  <c r="V21" i="29"/>
  <c r="V28" i="29"/>
  <c r="V51" i="29"/>
  <c r="V29" i="29"/>
  <c r="L9" i="32"/>
  <c r="L7" i="32"/>
  <c r="L6" i="32"/>
  <c r="L10" i="32"/>
  <c r="L30" i="32"/>
  <c r="L8" i="32"/>
  <c r="L15" i="32"/>
  <c r="L5" i="32"/>
  <c r="L19" i="32"/>
  <c r="L35" i="32"/>
  <c r="L16" i="32"/>
  <c r="L32" i="32"/>
  <c r="L12" i="32"/>
  <c r="L29" i="32"/>
  <c r="L22" i="32"/>
  <c r="L38" i="32"/>
  <c r="L23" i="32"/>
  <c r="L39" i="32"/>
  <c r="L20" i="32"/>
  <c r="L36" i="32"/>
  <c r="L17" i="32"/>
  <c r="L33" i="32"/>
  <c r="L26" i="32"/>
  <c r="L27" i="32"/>
  <c r="L24" i="32"/>
  <c r="L40" i="32"/>
  <c r="L21" i="32"/>
  <c r="L37" i="32"/>
  <c r="L18" i="32"/>
  <c r="L14" i="32"/>
  <c r="L11" i="32"/>
  <c r="L41" i="32"/>
  <c r="L34" i="32"/>
  <c r="L31" i="32"/>
  <c r="L28" i="32"/>
  <c r="L13" i="32"/>
  <c r="L25" i="32"/>
  <c r="V10" i="29"/>
  <c r="V30" i="29"/>
  <c r="V27" i="29"/>
  <c r="T57" i="27"/>
  <c r="T55" i="30"/>
  <c r="T55" i="29"/>
  <c r="T55" i="28"/>
  <c r="P45" i="34"/>
  <c r="P45" i="33"/>
  <c r="P45" i="31"/>
  <c r="P45" i="32"/>
  <c r="V43" i="33"/>
  <c r="V16" i="29"/>
  <c r="V5" i="29"/>
  <c r="U5" i="43" s="1"/>
  <c r="U57" i="43" s="1"/>
  <c r="V46" i="29"/>
  <c r="V43" i="29"/>
  <c r="V18" i="29"/>
  <c r="V32" i="29"/>
  <c r="V39" i="29"/>
  <c r="V47" i="29"/>
  <c r="V25" i="29"/>
  <c r="V8" i="29"/>
  <c r="V38" i="29"/>
  <c r="V19" i="29"/>
  <c r="V12" i="29"/>
  <c r="V24" i="29"/>
  <c r="V53" i="30"/>
  <c r="AB9" i="30"/>
  <c r="AB53" i="30" s="1"/>
  <c r="V43" i="34"/>
  <c r="M53" i="29"/>
  <c r="V23" i="29"/>
  <c r="AB53" i="28"/>
  <c r="V42" i="29"/>
  <c r="V15" i="29"/>
  <c r="V44" i="29"/>
  <c r="V14" i="29"/>
  <c r="V50" i="29"/>
  <c r="F46" i="5"/>
  <c r="F29" i="5"/>
  <c r="F45" i="5"/>
  <c r="E41" i="5"/>
  <c r="E21" i="5"/>
  <c r="AB50" i="29" l="1"/>
  <c r="U50" i="43"/>
  <c r="U102" i="43" s="1"/>
  <c r="AB42" i="29"/>
  <c r="U42" i="43"/>
  <c r="U94" i="43" s="1"/>
  <c r="AB12" i="29"/>
  <c r="U12" i="43"/>
  <c r="U64" i="43" s="1"/>
  <c r="AB25" i="29"/>
  <c r="U25" i="43"/>
  <c r="U77" i="43" s="1"/>
  <c r="AB18" i="29"/>
  <c r="U18" i="43"/>
  <c r="U70" i="43" s="1"/>
  <c r="AB16" i="29"/>
  <c r="U16" i="43"/>
  <c r="U68" i="43" s="1"/>
  <c r="AB10" i="29"/>
  <c r="U10" i="43"/>
  <c r="U62" i="43" s="1"/>
  <c r="AB28" i="29"/>
  <c r="U28" i="43"/>
  <c r="U80" i="43" s="1"/>
  <c r="AB17" i="29"/>
  <c r="U17" i="43"/>
  <c r="U69" i="43" s="1"/>
  <c r="AB48" i="29"/>
  <c r="U48" i="43"/>
  <c r="U100" i="43" s="1"/>
  <c r="AB22" i="29"/>
  <c r="U22" i="43"/>
  <c r="U74" i="43" s="1"/>
  <c r="AB19" i="29"/>
  <c r="U19" i="43"/>
  <c r="U71" i="43" s="1"/>
  <c r="AB47" i="29"/>
  <c r="U47" i="43"/>
  <c r="U99" i="43" s="1"/>
  <c r="AB43" i="29"/>
  <c r="U43" i="43"/>
  <c r="U95" i="43" s="1"/>
  <c r="AB33" i="29"/>
  <c r="U33" i="43"/>
  <c r="U85" i="43" s="1"/>
  <c r="AB35" i="29"/>
  <c r="U35" i="43"/>
  <c r="U87" i="43" s="1"/>
  <c r="AB9" i="29"/>
  <c r="U9" i="43"/>
  <c r="U61" i="43" s="1"/>
  <c r="AB41" i="29"/>
  <c r="U41" i="43"/>
  <c r="U93" i="43" s="1"/>
  <c r="C15" i="45"/>
  <c r="C14" i="45"/>
  <c r="AB21" i="29"/>
  <c r="U21" i="43"/>
  <c r="U73" i="43" s="1"/>
  <c r="AB26" i="29"/>
  <c r="U26" i="43"/>
  <c r="U78" i="43" s="1"/>
  <c r="AB44" i="29"/>
  <c r="U44" i="43"/>
  <c r="U96" i="43" s="1"/>
  <c r="AB23" i="29"/>
  <c r="U23" i="43"/>
  <c r="U75" i="43" s="1"/>
  <c r="AB38" i="29"/>
  <c r="U38" i="43"/>
  <c r="U90" i="43" s="1"/>
  <c r="AB39" i="29"/>
  <c r="U39" i="43"/>
  <c r="U91" i="43" s="1"/>
  <c r="AB46" i="29"/>
  <c r="U46" i="43"/>
  <c r="U98" i="43" s="1"/>
  <c r="AB27" i="29"/>
  <c r="U27" i="43"/>
  <c r="U79" i="43" s="1"/>
  <c r="AB29" i="29"/>
  <c r="U29" i="43"/>
  <c r="U81" i="43" s="1"/>
  <c r="AB6" i="29"/>
  <c r="U6" i="43"/>
  <c r="U58" i="43" s="1"/>
  <c r="K9" i="45" s="1"/>
  <c r="AB37" i="29"/>
  <c r="U37" i="43"/>
  <c r="U89" i="43" s="1"/>
  <c r="AB45" i="29"/>
  <c r="U45" i="43"/>
  <c r="U97" i="43" s="1"/>
  <c r="AB34" i="29"/>
  <c r="U34" i="43"/>
  <c r="U86" i="43" s="1"/>
  <c r="AB40" i="29"/>
  <c r="U40" i="43"/>
  <c r="U92" i="43" s="1"/>
  <c r="AB14" i="29"/>
  <c r="U14" i="43"/>
  <c r="U66" i="43" s="1"/>
  <c r="AB15" i="29"/>
  <c r="U15" i="43"/>
  <c r="U67" i="43" s="1"/>
  <c r="AB24" i="29"/>
  <c r="U24" i="43"/>
  <c r="U76" i="43" s="1"/>
  <c r="AB8" i="29"/>
  <c r="U8" i="43"/>
  <c r="U60" i="43" s="1"/>
  <c r="AB32" i="29"/>
  <c r="U32" i="43"/>
  <c r="U84" i="43" s="1"/>
  <c r="AB30" i="29"/>
  <c r="U30" i="43"/>
  <c r="U82" i="43" s="1"/>
  <c r="AB51" i="29"/>
  <c r="U51" i="43"/>
  <c r="U103" i="43" s="1"/>
  <c r="AB11" i="29"/>
  <c r="U11" i="43"/>
  <c r="U63" i="43" s="1"/>
  <c r="AB13" i="29"/>
  <c r="U13" i="43"/>
  <c r="U65" i="43" s="1"/>
  <c r="AB36" i="29"/>
  <c r="U36" i="43"/>
  <c r="U88" i="43" s="1"/>
  <c r="AB20" i="29"/>
  <c r="U20" i="43"/>
  <c r="U72" i="43" s="1"/>
  <c r="AB49" i="29"/>
  <c r="U49" i="43"/>
  <c r="U101" i="43" s="1"/>
  <c r="AB7" i="29"/>
  <c r="U7" i="43"/>
  <c r="U59" i="43" s="1"/>
  <c r="H15" i="45"/>
  <c r="H14" i="45"/>
  <c r="N15" i="45"/>
  <c r="N14" i="45"/>
  <c r="W45" i="34"/>
  <c r="W45" i="33"/>
  <c r="W45" i="31"/>
  <c r="W45" i="32"/>
  <c r="W48" i="32" s="1"/>
  <c r="AM58" i="27"/>
  <c r="AM56" i="30"/>
  <c r="AM56" i="29"/>
  <c r="AM56" i="28"/>
  <c r="AE57" i="27"/>
  <c r="AE55" i="30"/>
  <c r="AE55" i="29"/>
  <c r="AO54" i="29" s="1"/>
  <c r="AE55" i="28"/>
  <c r="P31" i="32"/>
  <c r="AA31" i="32" s="1"/>
  <c r="L31" i="33"/>
  <c r="P31" i="33" s="1"/>
  <c r="L31" i="34"/>
  <c r="P31" i="34" s="1"/>
  <c r="P14" i="32"/>
  <c r="AA14" i="32" s="1"/>
  <c r="L14" i="33"/>
  <c r="P14" i="33" s="1"/>
  <c r="L14" i="34"/>
  <c r="P14" i="34" s="1"/>
  <c r="P40" i="32"/>
  <c r="AA40" i="32" s="1"/>
  <c r="L40" i="33"/>
  <c r="P40" i="33" s="1"/>
  <c r="L40" i="34"/>
  <c r="P40" i="34" s="1"/>
  <c r="P33" i="32"/>
  <c r="AA33" i="32" s="1"/>
  <c r="L33" i="33"/>
  <c r="P33" i="33" s="1"/>
  <c r="L33" i="34"/>
  <c r="P33" i="34" s="1"/>
  <c r="P39" i="32"/>
  <c r="AA39" i="32" s="1"/>
  <c r="L39" i="33"/>
  <c r="P39" i="33" s="1"/>
  <c r="L39" i="34"/>
  <c r="P39" i="34" s="1"/>
  <c r="P29" i="32"/>
  <c r="AA29" i="32" s="1"/>
  <c r="L29" i="33"/>
  <c r="P29" i="33" s="1"/>
  <c r="L29" i="34"/>
  <c r="P29" i="34" s="1"/>
  <c r="P35" i="32"/>
  <c r="AA35" i="32" s="1"/>
  <c r="L35" i="33"/>
  <c r="P35" i="33" s="1"/>
  <c r="L35" i="34"/>
  <c r="P35" i="34" s="1"/>
  <c r="P8" i="32"/>
  <c r="AA8" i="32" s="1"/>
  <c r="L8" i="33"/>
  <c r="P8" i="33" s="1"/>
  <c r="L8" i="34"/>
  <c r="P8" i="34" s="1"/>
  <c r="P7" i="32"/>
  <c r="AA7" i="32" s="1"/>
  <c r="L7" i="33"/>
  <c r="P7" i="33" s="1"/>
  <c r="L7" i="34"/>
  <c r="P7" i="34" s="1"/>
  <c r="P25" i="32"/>
  <c r="AA25" i="32" s="1"/>
  <c r="L25" i="33"/>
  <c r="P25" i="33" s="1"/>
  <c r="L25" i="34"/>
  <c r="P25" i="34" s="1"/>
  <c r="P34" i="32"/>
  <c r="AA34" i="32" s="1"/>
  <c r="L34" i="33"/>
  <c r="P34" i="33" s="1"/>
  <c r="L34" i="34"/>
  <c r="P34" i="34" s="1"/>
  <c r="P18" i="32"/>
  <c r="AA18" i="32" s="1"/>
  <c r="L18" i="33"/>
  <c r="P18" i="33" s="1"/>
  <c r="L18" i="34"/>
  <c r="P18" i="34" s="1"/>
  <c r="P24" i="32"/>
  <c r="AA24" i="32" s="1"/>
  <c r="L24" i="33"/>
  <c r="P24" i="33" s="1"/>
  <c r="L24" i="34"/>
  <c r="P24" i="34" s="1"/>
  <c r="P17" i="32"/>
  <c r="AA17" i="32" s="1"/>
  <c r="L17" i="33"/>
  <c r="P17" i="33" s="1"/>
  <c r="L17" i="34"/>
  <c r="P17" i="34" s="1"/>
  <c r="P23" i="32"/>
  <c r="AA23" i="32" s="1"/>
  <c r="L23" i="33"/>
  <c r="P23" i="33" s="1"/>
  <c r="L23" i="34"/>
  <c r="P23" i="34" s="1"/>
  <c r="P12" i="32"/>
  <c r="AA12" i="32" s="1"/>
  <c r="L12" i="33"/>
  <c r="P12" i="33" s="1"/>
  <c r="L12" i="34"/>
  <c r="P12" i="34" s="1"/>
  <c r="P19" i="32"/>
  <c r="AA19" i="32" s="1"/>
  <c r="L19" i="33"/>
  <c r="P19" i="33" s="1"/>
  <c r="L19" i="34"/>
  <c r="P19" i="34" s="1"/>
  <c r="P30" i="32"/>
  <c r="AA30" i="32" s="1"/>
  <c r="L30" i="33"/>
  <c r="P30" i="33" s="1"/>
  <c r="L30" i="34"/>
  <c r="P30" i="34" s="1"/>
  <c r="P9" i="32"/>
  <c r="AA9" i="32" s="1"/>
  <c r="L9" i="33"/>
  <c r="P9" i="33" s="1"/>
  <c r="L9" i="34"/>
  <c r="P9" i="34" s="1"/>
  <c r="S34" i="30"/>
  <c r="S34" i="43" s="1"/>
  <c r="S86" i="43" s="1"/>
  <c r="S19" i="30"/>
  <c r="S19" i="43" s="1"/>
  <c r="S71" i="43" s="1"/>
  <c r="S21" i="30"/>
  <c r="S21" i="43" s="1"/>
  <c r="S73" i="43" s="1"/>
  <c r="S15" i="30"/>
  <c r="S15" i="43" s="1"/>
  <c r="S67" i="43" s="1"/>
  <c r="S11" i="30"/>
  <c r="S11" i="43" s="1"/>
  <c r="S63" i="43" s="1"/>
  <c r="S25" i="30"/>
  <c r="S25" i="43" s="1"/>
  <c r="S77" i="43" s="1"/>
  <c r="S42" i="30"/>
  <c r="S42" i="43" s="1"/>
  <c r="S94" i="43" s="1"/>
  <c r="S30" i="30"/>
  <c r="S30" i="43" s="1"/>
  <c r="S82" i="43" s="1"/>
  <c r="S49" i="30"/>
  <c r="S49" i="43" s="1"/>
  <c r="S101" i="43" s="1"/>
  <c r="S31" i="30"/>
  <c r="S31" i="43" s="1"/>
  <c r="S83" i="43" s="1"/>
  <c r="S6" i="30"/>
  <c r="S6" i="43" s="1"/>
  <c r="S58" i="43" s="1"/>
  <c r="S26" i="30"/>
  <c r="S26" i="43" s="1"/>
  <c r="S78" i="43" s="1"/>
  <c r="S43" i="30"/>
  <c r="S43" i="43" s="1"/>
  <c r="S95" i="43" s="1"/>
  <c r="S38" i="30"/>
  <c r="S38" i="43" s="1"/>
  <c r="S90" i="43" s="1"/>
  <c r="S48" i="30"/>
  <c r="S48" i="43" s="1"/>
  <c r="S100" i="43" s="1"/>
  <c r="S44" i="30"/>
  <c r="S44" i="43" s="1"/>
  <c r="S96" i="43" s="1"/>
  <c r="S45" i="30"/>
  <c r="S45" i="43" s="1"/>
  <c r="S97" i="43" s="1"/>
  <c r="S5" i="30"/>
  <c r="S5" i="43" s="1"/>
  <c r="S57" i="43" s="1"/>
  <c r="S36" i="30"/>
  <c r="S36" i="43" s="1"/>
  <c r="S88" i="43" s="1"/>
  <c r="S37" i="30"/>
  <c r="S37" i="43" s="1"/>
  <c r="S89" i="43" s="1"/>
  <c r="S51" i="30"/>
  <c r="S51" i="43" s="1"/>
  <c r="S103" i="43" s="1"/>
  <c r="S7" i="30"/>
  <c r="S7" i="43" s="1"/>
  <c r="S59" i="43" s="1"/>
  <c r="S24" i="30"/>
  <c r="S24" i="43" s="1"/>
  <c r="S76" i="43" s="1"/>
  <c r="S27" i="30"/>
  <c r="S27" i="43" s="1"/>
  <c r="S79" i="43" s="1"/>
  <c r="S16" i="30"/>
  <c r="S16" i="43" s="1"/>
  <c r="S68" i="43" s="1"/>
  <c r="S35" i="30"/>
  <c r="S35" i="43" s="1"/>
  <c r="S87" i="43" s="1"/>
  <c r="S9" i="30"/>
  <c r="S9" i="43" s="1"/>
  <c r="S61" i="43" s="1"/>
  <c r="S29" i="30"/>
  <c r="S29" i="43" s="1"/>
  <c r="S81" i="43" s="1"/>
  <c r="S17" i="30"/>
  <c r="S17" i="43" s="1"/>
  <c r="S69" i="43" s="1"/>
  <c r="S32" i="30"/>
  <c r="S32" i="43" s="1"/>
  <c r="S84" i="43" s="1"/>
  <c r="S50" i="30"/>
  <c r="S50" i="43" s="1"/>
  <c r="S102" i="43" s="1"/>
  <c r="S13" i="30"/>
  <c r="S13" i="43" s="1"/>
  <c r="S65" i="43" s="1"/>
  <c r="S10" i="30"/>
  <c r="S10" i="43" s="1"/>
  <c r="S62" i="43" s="1"/>
  <c r="S12" i="30"/>
  <c r="S12" i="43" s="1"/>
  <c r="S64" i="43" s="1"/>
  <c r="S8" i="30"/>
  <c r="S8" i="43" s="1"/>
  <c r="S60" i="43" s="1"/>
  <c r="S23" i="30"/>
  <c r="S23" i="43" s="1"/>
  <c r="S75" i="43" s="1"/>
  <c r="S33" i="30"/>
  <c r="S33" i="43" s="1"/>
  <c r="S85" i="43" s="1"/>
  <c r="S46" i="30"/>
  <c r="S46" i="43" s="1"/>
  <c r="S98" i="43" s="1"/>
  <c r="S18" i="30"/>
  <c r="S18" i="43" s="1"/>
  <c r="S70" i="43" s="1"/>
  <c r="S14" i="30"/>
  <c r="S14" i="43" s="1"/>
  <c r="S66" i="43" s="1"/>
  <c r="S41" i="30"/>
  <c r="S41" i="43" s="1"/>
  <c r="S93" i="43" s="1"/>
  <c r="S28" i="30"/>
  <c r="S28" i="43" s="1"/>
  <c r="S80" i="43" s="1"/>
  <c r="S20" i="30"/>
  <c r="S20" i="43" s="1"/>
  <c r="S72" i="43" s="1"/>
  <c r="S39" i="30"/>
  <c r="S39" i="43" s="1"/>
  <c r="S91" i="43" s="1"/>
  <c r="S47" i="30"/>
  <c r="S47" i="43" s="1"/>
  <c r="S99" i="43" s="1"/>
  <c r="S40" i="30"/>
  <c r="S40" i="43" s="1"/>
  <c r="S92" i="43" s="1"/>
  <c r="S22" i="30"/>
  <c r="S22" i="43" s="1"/>
  <c r="S74" i="43" s="1"/>
  <c r="V53" i="29"/>
  <c r="AB5" i="29"/>
  <c r="AB53" i="29" s="1"/>
  <c r="P13" i="32"/>
  <c r="AA13" i="32" s="1"/>
  <c r="L13" i="33"/>
  <c r="P13" i="33" s="1"/>
  <c r="L13" i="34"/>
  <c r="P13" i="34" s="1"/>
  <c r="P41" i="32"/>
  <c r="AA41" i="32" s="1"/>
  <c r="L41" i="33"/>
  <c r="P41" i="33" s="1"/>
  <c r="L41" i="34"/>
  <c r="P41" i="34" s="1"/>
  <c r="P37" i="32"/>
  <c r="AA37" i="32" s="1"/>
  <c r="L37" i="33"/>
  <c r="P37" i="33" s="1"/>
  <c r="L37" i="34"/>
  <c r="P37" i="34" s="1"/>
  <c r="P27" i="32"/>
  <c r="AA27" i="32" s="1"/>
  <c r="L27" i="33"/>
  <c r="P27" i="33" s="1"/>
  <c r="L27" i="34"/>
  <c r="P27" i="34" s="1"/>
  <c r="P36" i="32"/>
  <c r="AA36" i="32" s="1"/>
  <c r="L36" i="33"/>
  <c r="P36" i="33" s="1"/>
  <c r="L36" i="34"/>
  <c r="P36" i="34" s="1"/>
  <c r="P38" i="32"/>
  <c r="AA38" i="32" s="1"/>
  <c r="L38" i="33"/>
  <c r="P38" i="33" s="1"/>
  <c r="L38" i="34"/>
  <c r="P38" i="34" s="1"/>
  <c r="P32" i="32"/>
  <c r="AA32" i="32" s="1"/>
  <c r="L32" i="33"/>
  <c r="P32" i="33" s="1"/>
  <c r="L32" i="34"/>
  <c r="P32" i="34" s="1"/>
  <c r="P5" i="32"/>
  <c r="L5" i="33"/>
  <c r="L5" i="44" s="1"/>
  <c r="L47" i="44" s="1"/>
  <c r="L5" i="34"/>
  <c r="L43" i="32"/>
  <c r="P10" i="32"/>
  <c r="AA10" i="32" s="1"/>
  <c r="L10" i="33"/>
  <c r="P10" i="33" s="1"/>
  <c r="L10" i="34"/>
  <c r="P10" i="34" s="1"/>
  <c r="AA46" i="34"/>
  <c r="AA46" i="33"/>
  <c r="AA46" i="32"/>
  <c r="AA46" i="31"/>
  <c r="P28" i="32"/>
  <c r="AA28" i="32" s="1"/>
  <c r="L28" i="33"/>
  <c r="P28" i="33" s="1"/>
  <c r="L28" i="34"/>
  <c r="P28" i="34" s="1"/>
  <c r="P11" i="32"/>
  <c r="AA11" i="32" s="1"/>
  <c r="L11" i="33"/>
  <c r="P11" i="33" s="1"/>
  <c r="L11" i="34"/>
  <c r="P11" i="34" s="1"/>
  <c r="P21" i="32"/>
  <c r="AA21" i="32" s="1"/>
  <c r="L21" i="33"/>
  <c r="P21" i="33" s="1"/>
  <c r="L21" i="34"/>
  <c r="P21" i="34" s="1"/>
  <c r="P26" i="32"/>
  <c r="AA26" i="32" s="1"/>
  <c r="L26" i="33"/>
  <c r="P26" i="33" s="1"/>
  <c r="L26" i="34"/>
  <c r="P26" i="34" s="1"/>
  <c r="P20" i="32"/>
  <c r="AA20" i="32" s="1"/>
  <c r="L20" i="33"/>
  <c r="P20" i="33" s="1"/>
  <c r="L20" i="34"/>
  <c r="P20" i="34" s="1"/>
  <c r="P22" i="32"/>
  <c r="AA22" i="32" s="1"/>
  <c r="L22" i="33"/>
  <c r="P22" i="33" s="1"/>
  <c r="L22" i="34"/>
  <c r="P22" i="34" s="1"/>
  <c r="P16" i="32"/>
  <c r="AA16" i="32" s="1"/>
  <c r="L16" i="33"/>
  <c r="P16" i="33" s="1"/>
  <c r="L16" i="34"/>
  <c r="P16" i="34" s="1"/>
  <c r="P15" i="32"/>
  <c r="AA15" i="32" s="1"/>
  <c r="L15" i="33"/>
  <c r="P15" i="33" s="1"/>
  <c r="L15" i="34"/>
  <c r="P15" i="34" s="1"/>
  <c r="P6" i="32"/>
  <c r="AA6" i="32" s="1"/>
  <c r="L6" i="33"/>
  <c r="P6" i="33" s="1"/>
  <c r="L6" i="34"/>
  <c r="P6" i="34" s="1"/>
  <c r="E42" i="5"/>
  <c r="E23" i="5"/>
  <c r="K15" i="45" l="1"/>
  <c r="K14" i="45"/>
  <c r="B11" i="46"/>
  <c r="L16" i="44"/>
  <c r="L58" i="44" s="1"/>
  <c r="L11" i="44"/>
  <c r="L53" i="44" s="1"/>
  <c r="L38" i="44"/>
  <c r="L80" i="44" s="1"/>
  <c r="L41" i="44"/>
  <c r="L83" i="44" s="1"/>
  <c r="L19" i="44"/>
  <c r="L61" i="44" s="1"/>
  <c r="L18" i="44"/>
  <c r="L60" i="44" s="1"/>
  <c r="L7" i="44"/>
  <c r="L49" i="44" s="1"/>
  <c r="L39" i="44"/>
  <c r="L81" i="44" s="1"/>
  <c r="L31" i="44"/>
  <c r="L73" i="44" s="1"/>
  <c r="L28" i="44"/>
  <c r="L70" i="44" s="1"/>
  <c r="I11" i="45"/>
  <c r="I9" i="45"/>
  <c r="I7" i="45"/>
  <c r="I13" i="45" s="1"/>
  <c r="L22" i="44"/>
  <c r="L64" i="44" s="1"/>
  <c r="L10" i="44"/>
  <c r="L52" i="44" s="1"/>
  <c r="L36" i="44"/>
  <c r="L78" i="44" s="1"/>
  <c r="L13" i="44"/>
  <c r="L55" i="44" s="1"/>
  <c r="L12" i="44"/>
  <c r="L54" i="44" s="1"/>
  <c r="L34" i="44"/>
  <c r="L76" i="44" s="1"/>
  <c r="L24" i="44"/>
  <c r="L66" i="44" s="1"/>
  <c r="L8" i="44"/>
  <c r="L50" i="44" s="1"/>
  <c r="B7" i="46" s="1"/>
  <c r="B13" i="46" s="1"/>
  <c r="L33" i="44"/>
  <c r="L75" i="44" s="1"/>
  <c r="K7" i="45"/>
  <c r="K13" i="45" s="1"/>
  <c r="L6" i="44"/>
  <c r="L48" i="44" s="1"/>
  <c r="B9" i="46" s="1"/>
  <c r="L20" i="44"/>
  <c r="L62" i="44" s="1"/>
  <c r="L27" i="44"/>
  <c r="L69" i="44" s="1"/>
  <c r="L9" i="44"/>
  <c r="L51" i="44" s="1"/>
  <c r="L23" i="44"/>
  <c r="L65" i="44" s="1"/>
  <c r="L25" i="44"/>
  <c r="L67" i="44" s="1"/>
  <c r="L35" i="44"/>
  <c r="L77" i="44" s="1"/>
  <c r="L40" i="44"/>
  <c r="L82" i="44" s="1"/>
  <c r="K11" i="45"/>
  <c r="L15" i="44"/>
  <c r="L57" i="44" s="1"/>
  <c r="L21" i="44"/>
  <c r="L63" i="44" s="1"/>
  <c r="L32" i="44"/>
  <c r="L74" i="44" s="1"/>
  <c r="L37" i="44"/>
  <c r="L79" i="44" s="1"/>
  <c r="L30" i="44"/>
  <c r="L72" i="44" s="1"/>
  <c r="L17" i="44"/>
  <c r="L59" i="44" s="1"/>
  <c r="L29" i="44"/>
  <c r="L71" i="44" s="1"/>
  <c r="L14" i="44"/>
  <c r="L56" i="44" s="1"/>
  <c r="L26" i="44"/>
  <c r="L68" i="44" s="1"/>
  <c r="W21" i="33"/>
  <c r="X21" i="33" s="1"/>
  <c r="W21" i="34"/>
  <c r="P5" i="33"/>
  <c r="L43" i="33"/>
  <c r="X45" i="34"/>
  <c r="X45" i="33"/>
  <c r="X45" i="32"/>
  <c r="X45" i="31"/>
  <c r="W15" i="33"/>
  <c r="X15" i="33" s="1"/>
  <c r="AA15" i="33" s="1"/>
  <c r="W15" i="34"/>
  <c r="W26" i="33"/>
  <c r="X26" i="33" s="1"/>
  <c r="W26" i="34"/>
  <c r="W10" i="33"/>
  <c r="X10" i="33" s="1"/>
  <c r="AA10" i="33" s="1"/>
  <c r="W10" i="34"/>
  <c r="P43" i="32"/>
  <c r="AA5" i="32"/>
  <c r="W27" i="33"/>
  <c r="X27" i="33" s="1"/>
  <c r="AA27" i="33" s="1"/>
  <c r="W27" i="34"/>
  <c r="W30" i="33"/>
  <c r="X30" i="33" s="1"/>
  <c r="W30" i="34"/>
  <c r="W17" i="33"/>
  <c r="X17" i="33" s="1"/>
  <c r="W17" i="34"/>
  <c r="W25" i="33"/>
  <c r="X25" i="33" s="1"/>
  <c r="AA25" i="33" s="1"/>
  <c r="W25" i="34"/>
  <c r="W29" i="33"/>
  <c r="X29" i="33" s="1"/>
  <c r="W29" i="34"/>
  <c r="W14" i="33"/>
  <c r="X14" i="33" s="1"/>
  <c r="W14" i="34"/>
  <c r="W6" i="33"/>
  <c r="X6" i="33" s="1"/>
  <c r="AA6" i="33" s="1"/>
  <c r="W6" i="34"/>
  <c r="W28" i="33"/>
  <c r="X28" i="33" s="1"/>
  <c r="AA28" i="33" s="1"/>
  <c r="W28" i="34"/>
  <c r="W36" i="33"/>
  <c r="X36" i="33" s="1"/>
  <c r="AA36" i="33" s="1"/>
  <c r="W36" i="34"/>
  <c r="W13" i="33"/>
  <c r="X13" i="33" s="1"/>
  <c r="AA13" i="33" s="1"/>
  <c r="W13" i="34"/>
  <c r="S53" i="30"/>
  <c r="W9" i="33"/>
  <c r="X9" i="33" s="1"/>
  <c r="AA9" i="33" s="1"/>
  <c r="W9" i="34"/>
  <c r="W23" i="33"/>
  <c r="X23" i="33" s="1"/>
  <c r="AA23" i="33" s="1"/>
  <c r="W23" i="34"/>
  <c r="W34" i="33"/>
  <c r="X34" i="33" s="1"/>
  <c r="AA34" i="33" s="1"/>
  <c r="W34" i="34"/>
  <c r="W35" i="33"/>
  <c r="X35" i="33" s="1"/>
  <c r="AA35" i="33" s="1"/>
  <c r="W35" i="34"/>
  <c r="W40" i="33"/>
  <c r="X40" i="33" s="1"/>
  <c r="AA40" i="33" s="1"/>
  <c r="W40" i="34"/>
  <c r="AG57" i="27"/>
  <c r="AG55" i="30"/>
  <c r="AG55" i="29"/>
  <c r="AG55" i="28"/>
  <c r="W20" i="33"/>
  <c r="X20" i="33" s="1"/>
  <c r="AA20" i="33" s="1"/>
  <c r="W20" i="34"/>
  <c r="W22" i="33"/>
  <c r="X22" i="33" s="1"/>
  <c r="AA22" i="33" s="1"/>
  <c r="W22" i="34"/>
  <c r="AA21" i="33"/>
  <c r="W11" i="33"/>
  <c r="X11" i="33" s="1"/>
  <c r="AA11" i="33" s="1"/>
  <c r="W11" i="34"/>
  <c r="L43" i="34"/>
  <c r="P5" i="34"/>
  <c r="W38" i="33"/>
  <c r="X38" i="33" s="1"/>
  <c r="AA38" i="33" s="1"/>
  <c r="W38" i="34"/>
  <c r="W41" i="33"/>
  <c r="X41" i="33" s="1"/>
  <c r="AA41" i="33" s="1"/>
  <c r="W41" i="34"/>
  <c r="W12" i="33"/>
  <c r="X12" i="33" s="1"/>
  <c r="AA12" i="33" s="1"/>
  <c r="W12" i="34"/>
  <c r="W18" i="33"/>
  <c r="X18" i="33" s="1"/>
  <c r="AA18" i="33" s="1"/>
  <c r="W18" i="34"/>
  <c r="W8" i="33"/>
  <c r="X8" i="33" s="1"/>
  <c r="AA8" i="33" s="1"/>
  <c r="W8" i="34"/>
  <c r="W33" i="33"/>
  <c r="X33" i="33" s="1"/>
  <c r="AA33" i="33" s="1"/>
  <c r="W33" i="34"/>
  <c r="W16" i="33"/>
  <c r="X16" i="33" s="1"/>
  <c r="AA16" i="33" s="1"/>
  <c r="W16" i="34"/>
  <c r="AA26" i="33"/>
  <c r="W32" i="33"/>
  <c r="X32" i="33" s="1"/>
  <c r="AA32" i="33" s="1"/>
  <c r="W32" i="34"/>
  <c r="W37" i="33"/>
  <c r="X37" i="33" s="1"/>
  <c r="AA37" i="33" s="1"/>
  <c r="W37" i="34"/>
  <c r="AA30" i="33"/>
  <c r="W19" i="33"/>
  <c r="X19" i="33" s="1"/>
  <c r="AA19" i="33" s="1"/>
  <c r="W19" i="34"/>
  <c r="AA17" i="33"/>
  <c r="W24" i="33"/>
  <c r="X24" i="33" s="1"/>
  <c r="AA24" i="33" s="1"/>
  <c r="W24" i="34"/>
  <c r="W7" i="33"/>
  <c r="X7" i="33" s="1"/>
  <c r="AA7" i="33" s="1"/>
  <c r="W7" i="34"/>
  <c r="AA29" i="33"/>
  <c r="W39" i="33"/>
  <c r="X39" i="33" s="1"/>
  <c r="AA39" i="33" s="1"/>
  <c r="W39" i="34"/>
  <c r="AA14" i="33"/>
  <c r="W31" i="33"/>
  <c r="X31" i="33" s="1"/>
  <c r="AA31" i="33" s="1"/>
  <c r="W31" i="34"/>
  <c r="E45" i="5"/>
  <c r="E46" i="5"/>
  <c r="E29" i="5"/>
  <c r="B15" i="46" l="1"/>
  <c r="B14" i="46"/>
  <c r="I15" i="45"/>
  <c r="I14" i="45"/>
  <c r="X13" i="34"/>
  <c r="AA13" i="34" s="1"/>
  <c r="T13" i="44"/>
  <c r="T55" i="44" s="1"/>
  <c r="X28" i="34"/>
  <c r="AA28" i="34" s="1"/>
  <c r="S22" i="48" s="1"/>
  <c r="T28" i="44"/>
  <c r="T70" i="44" s="1"/>
  <c r="X14" i="34"/>
  <c r="AA14" i="34" s="1"/>
  <c r="AA231" i="38" s="1"/>
  <c r="T14" i="44"/>
  <c r="T56" i="44" s="1"/>
  <c r="X25" i="34"/>
  <c r="AA25" i="34" s="1"/>
  <c r="S18" i="48" s="1"/>
  <c r="T25" i="44"/>
  <c r="T67" i="44" s="1"/>
  <c r="X30" i="34"/>
  <c r="AA30" i="34" s="1"/>
  <c r="S24" i="48" s="1"/>
  <c r="T30" i="44"/>
  <c r="T72" i="44" s="1"/>
  <c r="X26" i="34"/>
  <c r="AA26" i="34" s="1"/>
  <c r="S19" i="48" s="1"/>
  <c r="T26" i="44"/>
  <c r="T68" i="44" s="1"/>
  <c r="X7" i="34"/>
  <c r="AA7" i="34" s="1"/>
  <c r="S5" i="48" s="1"/>
  <c r="T7" i="44"/>
  <c r="T49" i="44" s="1"/>
  <c r="X16" i="34"/>
  <c r="AA16" i="34" s="1"/>
  <c r="S10" i="48" s="1"/>
  <c r="T16" i="44"/>
  <c r="T58" i="44" s="1"/>
  <c r="X8" i="34"/>
  <c r="AA8" i="34" s="1"/>
  <c r="S6" i="48" s="1"/>
  <c r="T8" i="44"/>
  <c r="T50" i="44" s="1"/>
  <c r="X12" i="34"/>
  <c r="AA12" i="34" s="1"/>
  <c r="T12" i="44"/>
  <c r="T54" i="44" s="1"/>
  <c r="X38" i="34"/>
  <c r="AA38" i="34" s="1"/>
  <c r="S31" i="48" s="1"/>
  <c r="T38" i="44"/>
  <c r="T80" i="44" s="1"/>
  <c r="X11" i="34"/>
  <c r="AA11" i="34" s="1"/>
  <c r="S11" i="48" s="1"/>
  <c r="T11" i="44"/>
  <c r="T53" i="44" s="1"/>
  <c r="X22" i="34"/>
  <c r="AA22" i="34" s="1"/>
  <c r="S14" i="48" s="1"/>
  <c r="T22" i="44"/>
  <c r="T64" i="44" s="1"/>
  <c r="X40" i="34"/>
  <c r="AA40" i="34" s="1"/>
  <c r="S32" i="48" s="1"/>
  <c r="T40" i="44"/>
  <c r="T82" i="44" s="1"/>
  <c r="X34" i="34"/>
  <c r="AA34" i="34" s="1"/>
  <c r="T34" i="44"/>
  <c r="T76" i="44" s="1"/>
  <c r="X9" i="34"/>
  <c r="AA9" i="34" s="1"/>
  <c r="S7" i="48" s="1"/>
  <c r="T9" i="44"/>
  <c r="T51" i="44" s="1"/>
  <c r="X19" i="34"/>
  <c r="AA19" i="34" s="1"/>
  <c r="T19" i="44"/>
  <c r="T61" i="44" s="1"/>
  <c r="X37" i="34"/>
  <c r="AA37" i="34" s="1"/>
  <c r="S29" i="48" s="1"/>
  <c r="T37" i="44"/>
  <c r="T79" i="44" s="1"/>
  <c r="X24" i="34"/>
  <c r="AA24" i="34" s="1"/>
  <c r="S17" i="48" s="1"/>
  <c r="T24" i="44"/>
  <c r="T66" i="44" s="1"/>
  <c r="X31" i="34"/>
  <c r="AA31" i="34" s="1"/>
  <c r="T31" i="44"/>
  <c r="T73" i="44" s="1"/>
  <c r="X39" i="34"/>
  <c r="AA39" i="34" s="1"/>
  <c r="S30" i="48" s="1"/>
  <c r="T39" i="44"/>
  <c r="T81" i="44" s="1"/>
  <c r="X32" i="34"/>
  <c r="AA32" i="34" s="1"/>
  <c r="T32" i="44"/>
  <c r="T74" i="44" s="1"/>
  <c r="X36" i="34"/>
  <c r="AA36" i="34" s="1"/>
  <c r="S28" i="48" s="1"/>
  <c r="T36" i="44"/>
  <c r="T78" i="44" s="1"/>
  <c r="X6" i="34"/>
  <c r="AA6" i="34" s="1"/>
  <c r="AA279" i="37" s="1"/>
  <c r="AG279" i="37" s="1"/>
  <c r="T6" i="44"/>
  <c r="T48" i="44" s="1"/>
  <c r="X29" i="34"/>
  <c r="AA29" i="34" s="1"/>
  <c r="S23" i="48" s="1"/>
  <c r="T29" i="44"/>
  <c r="T71" i="44" s="1"/>
  <c r="X17" i="34"/>
  <c r="AA17" i="34" s="1"/>
  <c r="T17" i="44"/>
  <c r="T59" i="44" s="1"/>
  <c r="X27" i="34"/>
  <c r="AA27" i="34" s="1"/>
  <c r="T27" i="44"/>
  <c r="T69" i="44" s="1"/>
  <c r="X10" i="34"/>
  <c r="AA10" i="34" s="1"/>
  <c r="S9" i="48" s="1"/>
  <c r="T10" i="44"/>
  <c r="T52" i="44" s="1"/>
  <c r="X15" i="34"/>
  <c r="AA15" i="34" s="1"/>
  <c r="S8" i="48" s="1"/>
  <c r="T15" i="44"/>
  <c r="T57" i="44" s="1"/>
  <c r="X21" i="34"/>
  <c r="AA21" i="34" s="1"/>
  <c r="S13" i="48" s="1"/>
  <c r="T21" i="44"/>
  <c r="T63" i="44" s="1"/>
  <c r="X33" i="34"/>
  <c r="AA33" i="34" s="1"/>
  <c r="T33" i="44"/>
  <c r="T75" i="44" s="1"/>
  <c r="X18" i="34"/>
  <c r="AA18" i="34" s="1"/>
  <c r="T18" i="44"/>
  <c r="T60" i="44" s="1"/>
  <c r="X41" i="34"/>
  <c r="AA41" i="34" s="1"/>
  <c r="S33" i="48" s="1"/>
  <c r="T41" i="44"/>
  <c r="T83" i="44" s="1"/>
  <c r="X20" i="34"/>
  <c r="AA20" i="34" s="1"/>
  <c r="S12" i="48" s="1"/>
  <c r="T20" i="44"/>
  <c r="T62" i="44" s="1"/>
  <c r="X35" i="34"/>
  <c r="AA35" i="34" s="1"/>
  <c r="S27" i="48" s="1"/>
  <c r="T35" i="44"/>
  <c r="T77" i="44" s="1"/>
  <c r="X23" i="34"/>
  <c r="AA23" i="34" s="1"/>
  <c r="AA350" i="38" s="1"/>
  <c r="T23" i="44"/>
  <c r="T65" i="44" s="1"/>
  <c r="AA729" i="37"/>
  <c r="AG729" i="37" s="1"/>
  <c r="AA359" i="38"/>
  <c r="AA726" i="37"/>
  <c r="AG726" i="37" s="1"/>
  <c r="AA366" i="38"/>
  <c r="AA720" i="37"/>
  <c r="AG720" i="37" s="1"/>
  <c r="AA618" i="37"/>
  <c r="AA244" i="38"/>
  <c r="AA242" i="38"/>
  <c r="AA236" i="38"/>
  <c r="AA234" i="38"/>
  <c r="AA493" i="37"/>
  <c r="AA496" i="37"/>
  <c r="AA232" i="38"/>
  <c r="AA230" i="38"/>
  <c r="AA226" i="38"/>
  <c r="AA225" i="38"/>
  <c r="AA221" i="38"/>
  <c r="AA220" i="38"/>
  <c r="AA485" i="37"/>
  <c r="AG485" i="37" s="1"/>
  <c r="AA477" i="37"/>
  <c r="AG477" i="37" s="1"/>
  <c r="AA476" i="37"/>
  <c r="AG476" i="37" s="1"/>
  <c r="AA483" i="37"/>
  <c r="AG483" i="37" s="1"/>
  <c r="AA394" i="37"/>
  <c r="AA390" i="37"/>
  <c r="AA396" i="37"/>
  <c r="AA388" i="37"/>
  <c r="AA193" i="38"/>
  <c r="AA190" i="38"/>
  <c r="AA186" i="38"/>
  <c r="AA446" i="37"/>
  <c r="AG446" i="37" s="1"/>
  <c r="AA442" i="37"/>
  <c r="AG442" i="37" s="1"/>
  <c r="AA438" i="37"/>
  <c r="AG438" i="37" s="1"/>
  <c r="AA444" i="37"/>
  <c r="AG444" i="37" s="1"/>
  <c r="AA436" i="37"/>
  <c r="AG436" i="37" s="1"/>
  <c r="AA439" i="37"/>
  <c r="AG439" i="37" s="1"/>
  <c r="AA256" i="38"/>
  <c r="AA507" i="37"/>
  <c r="AA734" i="37"/>
  <c r="AA741" i="37"/>
  <c r="AA735" i="37"/>
  <c r="AA739" i="37"/>
  <c r="AA732" i="37"/>
  <c r="AA625" i="37"/>
  <c r="AA624" i="37"/>
  <c r="AA268" i="38"/>
  <c r="AA512" i="37"/>
  <c r="AA227" i="37"/>
  <c r="AG227" i="37" s="1"/>
  <c r="AA191" i="37"/>
  <c r="AA136" i="37"/>
  <c r="AA128" i="37"/>
  <c r="AA42" i="37"/>
  <c r="AA38" i="37"/>
  <c r="AA34" i="37"/>
  <c r="AA2" i="37"/>
  <c r="AA45" i="38"/>
  <c r="AA39" i="38"/>
  <c r="AA222" i="37"/>
  <c r="AG222" i="37" s="1"/>
  <c r="AA186" i="37"/>
  <c r="AA135" i="37"/>
  <c r="AA119" i="37"/>
  <c r="AA115" i="37"/>
  <c r="AA41" i="37"/>
  <c r="AA9" i="37"/>
  <c r="AA5" i="37"/>
  <c r="AA43" i="38"/>
  <c r="AA38" i="38"/>
  <c r="AA225" i="37"/>
  <c r="AG225" i="37" s="1"/>
  <c r="AA193" i="37"/>
  <c r="AA130" i="37"/>
  <c r="AA126" i="37"/>
  <c r="AA122" i="37"/>
  <c r="AA36" i="37"/>
  <c r="AA28" i="37"/>
  <c r="AA8" i="37"/>
  <c r="AA44" i="38"/>
  <c r="AA184" i="37"/>
  <c r="AA129" i="37"/>
  <c r="AA224" i="37"/>
  <c r="AG224" i="37" s="1"/>
  <c r="AA39" i="37"/>
  <c r="AA7" i="37"/>
  <c r="AA192" i="37"/>
  <c r="AA137" i="37"/>
  <c r="AA3" i="37"/>
  <c r="AA642" i="37"/>
  <c r="AA644" i="37"/>
  <c r="AA637" i="37"/>
  <c r="AA348" i="38"/>
  <c r="AA342" i="38"/>
  <c r="AA334" i="38"/>
  <c r="AA326" i="38"/>
  <c r="AA318" i="38"/>
  <c r="AA316" i="38"/>
  <c r="AA302" i="38"/>
  <c r="AA300" i="38"/>
  <c r="AA294" i="38"/>
  <c r="AA284" i="38"/>
  <c r="AA278" i="38"/>
  <c r="AA270" i="38"/>
  <c r="AA582" i="37"/>
  <c r="AG582" i="37" s="1"/>
  <c r="AA550" i="37"/>
  <c r="AG550" i="37" s="1"/>
  <c r="AA542" i="37"/>
  <c r="AG542" i="37" s="1"/>
  <c r="AA577" i="37"/>
  <c r="AG577" i="37" s="1"/>
  <c r="AA569" i="37"/>
  <c r="AG569" i="37" s="1"/>
  <c r="AA545" i="37"/>
  <c r="AG545" i="37" s="1"/>
  <c r="AA592" i="37"/>
  <c r="AG592" i="37" s="1"/>
  <c r="AA568" i="37"/>
  <c r="AG568" i="37" s="1"/>
  <c r="AA536" i="37"/>
  <c r="AG536" i="37" s="1"/>
  <c r="AA531" i="37"/>
  <c r="AG531" i="37" s="1"/>
  <c r="AA599" i="37"/>
  <c r="AG599" i="37" s="1"/>
  <c r="AA603" i="37"/>
  <c r="AG603" i="37" s="1"/>
  <c r="AA366" i="37"/>
  <c r="AA369" i="37"/>
  <c r="AA365" i="37"/>
  <c r="AA371" i="37"/>
  <c r="AA367" i="37"/>
  <c r="AA382" i="37"/>
  <c r="AA378" i="37"/>
  <c r="AA384" i="37"/>
  <c r="AA376" i="37"/>
  <c r="AA206" i="38"/>
  <c r="AA205" i="38"/>
  <c r="AA204" i="38"/>
  <c r="AA203" i="38"/>
  <c r="AA202" i="38"/>
  <c r="AA201" i="38"/>
  <c r="AA200" i="38"/>
  <c r="AA199" i="38"/>
  <c r="AA198" i="38"/>
  <c r="AA197" i="38"/>
  <c r="AA196" i="38"/>
  <c r="AA195" i="38"/>
  <c r="AA458" i="37"/>
  <c r="AG458" i="37" s="1"/>
  <c r="AA454" i="37"/>
  <c r="AG454" i="37" s="1"/>
  <c r="AA450" i="37"/>
  <c r="AG450" i="37" s="1"/>
  <c r="AA457" i="37"/>
  <c r="AG457" i="37" s="1"/>
  <c r="AA453" i="37"/>
  <c r="AG453" i="37" s="1"/>
  <c r="AA449" i="37"/>
  <c r="AG449" i="37" s="1"/>
  <c r="AA456" i="37"/>
  <c r="AG456" i="37" s="1"/>
  <c r="AA452" i="37"/>
  <c r="AG452" i="37" s="1"/>
  <c r="AA448" i="37"/>
  <c r="AG448" i="37" s="1"/>
  <c r="AA451" i="37"/>
  <c r="AG451" i="37" s="1"/>
  <c r="AA459" i="37"/>
  <c r="AG459" i="37" s="1"/>
  <c r="AA455" i="37"/>
  <c r="AG455" i="37" s="1"/>
  <c r="AA718" i="37"/>
  <c r="AA706" i="37"/>
  <c r="AA702" i="37"/>
  <c r="AA690" i="37"/>
  <c r="AA686" i="37"/>
  <c r="AA674" i="37"/>
  <c r="AA670" i="37"/>
  <c r="AA658" i="37"/>
  <c r="AA654" i="37"/>
  <c r="AA715" i="37"/>
  <c r="AA709" i="37"/>
  <c r="AA708" i="37"/>
  <c r="AA703" i="37"/>
  <c r="AA712" i="37"/>
  <c r="AA711" i="37"/>
  <c r="AA689" i="37"/>
  <c r="AA684" i="37"/>
  <c r="AA668" i="37"/>
  <c r="AA663" i="37"/>
  <c r="AA647" i="37"/>
  <c r="AA707" i="37"/>
  <c r="AA688" i="37"/>
  <c r="AA683" i="37"/>
  <c r="AA667" i="37"/>
  <c r="AA661" i="37"/>
  <c r="AA705" i="37"/>
  <c r="AA699" i="37"/>
  <c r="AA692" i="37"/>
  <c r="AA681" i="37"/>
  <c r="AA676" i="37"/>
  <c r="AA671" i="37"/>
  <c r="AA660" i="37"/>
  <c r="AA655" i="37"/>
  <c r="AA649" i="37"/>
  <c r="AA675" i="37"/>
  <c r="AA653" i="37"/>
  <c r="AA680" i="37"/>
  <c r="AA669" i="37"/>
  <c r="AA648" i="37"/>
  <c r="AA704" i="37"/>
  <c r="AA685" i="37"/>
  <c r="AA664" i="37"/>
  <c r="AA659" i="37"/>
  <c r="AA430" i="37"/>
  <c r="AA426" i="37"/>
  <c r="AA410" i="37"/>
  <c r="AA402" i="37"/>
  <c r="AA433" i="37"/>
  <c r="AA417" i="37"/>
  <c r="AA413" i="37"/>
  <c r="AA401" i="37"/>
  <c r="AA424" i="37"/>
  <c r="AA416" i="37"/>
  <c r="AA408" i="37"/>
  <c r="AA419" i="37"/>
  <c r="AA403" i="37"/>
  <c r="AA407" i="37"/>
  <c r="AA411" i="37"/>
  <c r="AA219" i="38"/>
  <c r="AA218" i="38"/>
  <c r="AA217" i="38"/>
  <c r="AA216" i="38"/>
  <c r="AA215" i="38"/>
  <c r="AA214" i="38"/>
  <c r="AA213" i="38"/>
  <c r="AA212" i="38"/>
  <c r="AA211" i="38"/>
  <c r="AA210" i="38"/>
  <c r="AA209" i="38"/>
  <c r="AA208" i="38"/>
  <c r="AA207" i="38"/>
  <c r="AA470" i="37"/>
  <c r="AG470" i="37" s="1"/>
  <c r="AA466" i="37"/>
  <c r="AG466" i="37" s="1"/>
  <c r="AA462" i="37"/>
  <c r="AG462" i="37" s="1"/>
  <c r="AA469" i="37"/>
  <c r="AG469" i="37" s="1"/>
  <c r="AA465" i="37"/>
  <c r="AG465" i="37" s="1"/>
  <c r="AA461" i="37"/>
  <c r="AG461" i="37" s="1"/>
  <c r="AA472" i="37"/>
  <c r="AG472" i="37" s="1"/>
  <c r="AA468" i="37"/>
  <c r="AG468" i="37" s="1"/>
  <c r="AA464" i="37"/>
  <c r="AG464" i="37" s="1"/>
  <c r="AA460" i="37"/>
  <c r="AG460" i="37" s="1"/>
  <c r="AA467" i="37"/>
  <c r="AG467" i="37" s="1"/>
  <c r="AA471" i="37"/>
  <c r="AG471" i="37" s="1"/>
  <c r="AA463" i="37"/>
  <c r="AG463" i="37" s="1"/>
  <c r="AM57" i="27"/>
  <c r="AM55" i="30"/>
  <c r="AM55" i="29"/>
  <c r="AM55" i="28"/>
  <c r="P43" i="34"/>
  <c r="P43" i="33"/>
  <c r="AA45" i="33"/>
  <c r="AA45" i="34"/>
  <c r="AA45" i="31"/>
  <c r="AA45" i="32"/>
  <c r="W5" i="33"/>
  <c r="W5" i="34"/>
  <c r="AA43" i="32"/>
  <c r="AA188" i="38" l="1"/>
  <c r="AA328" i="37"/>
  <c r="AG328" i="37" s="1"/>
  <c r="AA520" i="37"/>
  <c r="AA361" i="38"/>
  <c r="AA567" i="37"/>
  <c r="AG567" i="37" s="1"/>
  <c r="AA528" i="37"/>
  <c r="AG528" i="37" s="1"/>
  <c r="AA600" i="37"/>
  <c r="AG600" i="37" s="1"/>
  <c r="AA609" i="37"/>
  <c r="AG609" i="37" s="1"/>
  <c r="AA606" i="37"/>
  <c r="AG606" i="37" s="1"/>
  <c r="AA286" i="38"/>
  <c r="AA310" i="38"/>
  <c r="AA332" i="38"/>
  <c r="AA248" i="38"/>
  <c r="AA610" i="37"/>
  <c r="S26" i="48"/>
  <c r="S21" i="48"/>
  <c r="S16" i="48"/>
  <c r="G11" i="48"/>
  <c r="G6" i="48"/>
  <c r="S20" i="48"/>
  <c r="S25" i="48"/>
  <c r="S15" i="48"/>
  <c r="AA427" i="37"/>
  <c r="AA404" i="37"/>
  <c r="AG404" i="37" s="1"/>
  <c r="AA432" i="37"/>
  <c r="AA421" i="37"/>
  <c r="AG421" i="37" s="1"/>
  <c r="AA418" i="37"/>
  <c r="AA364" i="37"/>
  <c r="AG364" i="37" s="1"/>
  <c r="AA374" i="37"/>
  <c r="AA607" i="37"/>
  <c r="AG607" i="37" s="1"/>
  <c r="AA560" i="37"/>
  <c r="AG560" i="37" s="1"/>
  <c r="AA537" i="37"/>
  <c r="AG537" i="37" s="1"/>
  <c r="AA601" i="37"/>
  <c r="AG601" i="37" s="1"/>
  <c r="AA574" i="37"/>
  <c r="AG574" i="37" s="1"/>
  <c r="AA276" i="38"/>
  <c r="AA292" i="38"/>
  <c r="AA308" i="38"/>
  <c r="AA324" i="38"/>
  <c r="AA340" i="38"/>
  <c r="AA356" i="38"/>
  <c r="AA133" i="37"/>
  <c r="AA220" i="37"/>
  <c r="AG220" i="37" s="1"/>
  <c r="AA43" i="37"/>
  <c r="AA47" i="38"/>
  <c r="AA40" i="37"/>
  <c r="AA189" i="37"/>
  <c r="L189" i="41" s="1"/>
  <c r="O189" i="41" s="1"/>
  <c r="AA41" i="38"/>
  <c r="AA33" i="37"/>
  <c r="L33" i="41" s="1"/>
  <c r="O33" i="41" s="1"/>
  <c r="AA131" i="37"/>
  <c r="AA226" i="37"/>
  <c r="AG226" i="37" s="1"/>
  <c r="AA6" i="37"/>
  <c r="AA124" i="37"/>
  <c r="AG124" i="37" s="1"/>
  <c r="AA223" i="37"/>
  <c r="AG223" i="37" s="1"/>
  <c r="AA258" i="38"/>
  <c r="AA736" i="37"/>
  <c r="AA508" i="37"/>
  <c r="AG508" i="37" s="1"/>
  <c r="AA744" i="37"/>
  <c r="AA437" i="37"/>
  <c r="AG437" i="37" s="1"/>
  <c r="AA185" i="38"/>
  <c r="AA192" i="38"/>
  <c r="AA151" i="38"/>
  <c r="AA260" i="38"/>
  <c r="AA246" i="38"/>
  <c r="AA338" i="37"/>
  <c r="AG338" i="37" s="1"/>
  <c r="AA543" i="37"/>
  <c r="AG543" i="37" s="1"/>
  <c r="AA608" i="37"/>
  <c r="AG608" i="37" s="1"/>
  <c r="AA558" i="37"/>
  <c r="AG558" i="37" s="1"/>
  <c r="AA280" i="38"/>
  <c r="AA304" i="38"/>
  <c r="AA328" i="38"/>
  <c r="AA352" i="38"/>
  <c r="AA517" i="37"/>
  <c r="L517" i="41" s="1"/>
  <c r="O517" i="41" s="1"/>
  <c r="AA264" i="38"/>
  <c r="AA505" i="37"/>
  <c r="AG505" i="37" s="1"/>
  <c r="AA250" i="38"/>
  <c r="AA154" i="38"/>
  <c r="AA539" i="37"/>
  <c r="AG539" i="37" s="1"/>
  <c r="AA563" i="37"/>
  <c r="AG563" i="37" s="1"/>
  <c r="AA544" i="37"/>
  <c r="AG544" i="37" s="1"/>
  <c r="AA576" i="37"/>
  <c r="AG576" i="37" s="1"/>
  <c r="AA553" i="37"/>
  <c r="AG553" i="37" s="1"/>
  <c r="AA585" i="37"/>
  <c r="AG585" i="37" s="1"/>
  <c r="AA526" i="37"/>
  <c r="AG526" i="37" s="1"/>
  <c r="AA590" i="37"/>
  <c r="AG590" i="37" s="1"/>
  <c r="AA272" i="38"/>
  <c r="AA288" i="38"/>
  <c r="AA296" i="38"/>
  <c r="AA312" i="38"/>
  <c r="AA320" i="38"/>
  <c r="AA336" i="38"/>
  <c r="AA344" i="38"/>
  <c r="AA415" i="37"/>
  <c r="AG415" i="37" s="1"/>
  <c r="AA400" i="37"/>
  <c r="AA420" i="37"/>
  <c r="AG420" i="37" s="1"/>
  <c r="AA405" i="37"/>
  <c r="L405" i="41" s="1"/>
  <c r="O405" i="41" s="1"/>
  <c r="AA429" i="37"/>
  <c r="AG429" i="37" s="1"/>
  <c r="AA414" i="37"/>
  <c r="AA434" i="37"/>
  <c r="L434" i="41" s="1"/>
  <c r="O434" i="41" s="1"/>
  <c r="AA372" i="37"/>
  <c r="AG372" i="37" s="1"/>
  <c r="AA370" i="37"/>
  <c r="AG370" i="37" s="1"/>
  <c r="AA571" i="37"/>
  <c r="AG571" i="37" s="1"/>
  <c r="AA575" i="37"/>
  <c r="AG575" i="37" s="1"/>
  <c r="AA595" i="37"/>
  <c r="AG595" i="37" s="1"/>
  <c r="AA552" i="37"/>
  <c r="AG552" i="37" s="1"/>
  <c r="AA584" i="37"/>
  <c r="AG584" i="37" s="1"/>
  <c r="AA529" i="37"/>
  <c r="AG529" i="37" s="1"/>
  <c r="AA561" i="37"/>
  <c r="AG561" i="37" s="1"/>
  <c r="AA593" i="37"/>
  <c r="AG593" i="37" s="1"/>
  <c r="AA534" i="37"/>
  <c r="AG534" i="37" s="1"/>
  <c r="AA566" i="37"/>
  <c r="AG566" i="37" s="1"/>
  <c r="AA598" i="37"/>
  <c r="AG598" i="37" s="1"/>
  <c r="AA274" i="38"/>
  <c r="AA282" i="38"/>
  <c r="AA290" i="38"/>
  <c r="AA298" i="38"/>
  <c r="AA306" i="38"/>
  <c r="AA314" i="38"/>
  <c r="AA322" i="38"/>
  <c r="AA330" i="38"/>
  <c r="AA338" i="38"/>
  <c r="AA346" i="38"/>
  <c r="AA354" i="38"/>
  <c r="AA634" i="37"/>
  <c r="AG634" i="37" s="1"/>
  <c r="AA35" i="37"/>
  <c r="AG35" i="37" s="1"/>
  <c r="AA188" i="37"/>
  <c r="AA11" i="37"/>
  <c r="AG11" i="37" s="1"/>
  <c r="AA40" i="38"/>
  <c r="AA12" i="37"/>
  <c r="AG12" i="37" s="1"/>
  <c r="AA44" i="37"/>
  <c r="AA185" i="37"/>
  <c r="AG185" i="37" s="1"/>
  <c r="AA229" i="37"/>
  <c r="AG229" i="37" s="1"/>
  <c r="AA49" i="38"/>
  <c r="AA37" i="37"/>
  <c r="AA123" i="37"/>
  <c r="AG123" i="37" s="1"/>
  <c r="AA194" i="37"/>
  <c r="L194" i="41" s="1"/>
  <c r="O194" i="41" s="1"/>
  <c r="AA42" i="38"/>
  <c r="AA10" i="37"/>
  <c r="AA120" i="37"/>
  <c r="AG120" i="37" s="1"/>
  <c r="AA187" i="37"/>
  <c r="AG187" i="37" s="1"/>
  <c r="AA231" i="37"/>
  <c r="AG231" i="37" s="1"/>
  <c r="AA518" i="37"/>
  <c r="AA266" i="38"/>
  <c r="AA737" i="37"/>
  <c r="AG737" i="37" s="1"/>
  <c r="AA740" i="37"/>
  <c r="L740" i="41" s="1"/>
  <c r="O740" i="41" s="1"/>
  <c r="AA742" i="37"/>
  <c r="AA498" i="37"/>
  <c r="L498" i="41" s="1"/>
  <c r="O498" i="41" s="1"/>
  <c r="AA254" i="38"/>
  <c r="AA447" i="37"/>
  <c r="AG447" i="37" s="1"/>
  <c r="AA441" i="37"/>
  <c r="AG441" i="37" s="1"/>
  <c r="AA184" i="38"/>
  <c r="AA189" i="38"/>
  <c r="AA194" i="38"/>
  <c r="AA51" i="38"/>
  <c r="AA716" i="37"/>
  <c r="AG716" i="37" s="1"/>
  <c r="AA691" i="37"/>
  <c r="AG691" i="37" s="1"/>
  <c r="AA696" i="37"/>
  <c r="AG696" i="37" s="1"/>
  <c r="AA665" i="37"/>
  <c r="AG665" i="37" s="1"/>
  <c r="AA687" i="37"/>
  <c r="AG687" i="37" s="1"/>
  <c r="AA651" i="37"/>
  <c r="AG651" i="37" s="1"/>
  <c r="AA672" i="37"/>
  <c r="AG672" i="37" s="1"/>
  <c r="AA693" i="37"/>
  <c r="AG693" i="37" s="1"/>
  <c r="AA652" i="37"/>
  <c r="AG652" i="37" s="1"/>
  <c r="AA673" i="37"/>
  <c r="AG673" i="37" s="1"/>
  <c r="AA695" i="37"/>
  <c r="AG695" i="37" s="1"/>
  <c r="AA717" i="37"/>
  <c r="AG717" i="37" s="1"/>
  <c r="AA713" i="37"/>
  <c r="AG713" i="37" s="1"/>
  <c r="AA662" i="37"/>
  <c r="AG662" i="37" s="1"/>
  <c r="AA678" i="37"/>
  <c r="AG678" i="37" s="1"/>
  <c r="AA694" i="37"/>
  <c r="AG694" i="37" s="1"/>
  <c r="AA710" i="37"/>
  <c r="AG710" i="37" s="1"/>
  <c r="AA383" i="37"/>
  <c r="AG383" i="37" s="1"/>
  <c r="AA377" i="37"/>
  <c r="AG377" i="37" s="1"/>
  <c r="AA386" i="37"/>
  <c r="AG386" i="37" s="1"/>
  <c r="AA640" i="37"/>
  <c r="L640" i="41" s="1"/>
  <c r="O640" i="41" s="1"/>
  <c r="AA519" i="37"/>
  <c r="AG519" i="37" s="1"/>
  <c r="AA510" i="37"/>
  <c r="AG510" i="37" s="1"/>
  <c r="AA262" i="38"/>
  <c r="AA632" i="37"/>
  <c r="AG632" i="37" s="1"/>
  <c r="AA622" i="37"/>
  <c r="L622" i="41" s="1"/>
  <c r="O622" i="41" s="1"/>
  <c r="AA500" i="37"/>
  <c r="AG500" i="37" s="1"/>
  <c r="AA506" i="37"/>
  <c r="AG506" i="37" s="1"/>
  <c r="AA252" i="38"/>
  <c r="AA747" i="37"/>
  <c r="AG747" i="37" s="1"/>
  <c r="AA391" i="37"/>
  <c r="AG391" i="37" s="1"/>
  <c r="AA389" i="37"/>
  <c r="AG389" i="37" s="1"/>
  <c r="AA398" i="37"/>
  <c r="L398" i="41" s="1"/>
  <c r="O398" i="41" s="1"/>
  <c r="AA484" i="37"/>
  <c r="AG484" i="37" s="1"/>
  <c r="AA474" i="37"/>
  <c r="AG474" i="37" s="1"/>
  <c r="AA222" i="38"/>
  <c r="AA228" i="38"/>
  <c r="AA487" i="37"/>
  <c r="AG487" i="37" s="1"/>
  <c r="AA486" i="37"/>
  <c r="AG486" i="37" s="1"/>
  <c r="AA238" i="38"/>
  <c r="AA612" i="37"/>
  <c r="AG612" i="37" s="1"/>
  <c r="AA719" i="37"/>
  <c r="AG719" i="37" s="1"/>
  <c r="AA368" i="38"/>
  <c r="AA363" i="38"/>
  <c r="AA157" i="38"/>
  <c r="AA275" i="37"/>
  <c r="AG275" i="37" s="1"/>
  <c r="AA656" i="37"/>
  <c r="L656" i="41" s="1"/>
  <c r="O656" i="41" s="1"/>
  <c r="AA677" i="37"/>
  <c r="AG677" i="37" s="1"/>
  <c r="AA700" i="37"/>
  <c r="AG700" i="37" s="1"/>
  <c r="AA657" i="37"/>
  <c r="L657" i="41" s="1"/>
  <c r="O657" i="41" s="1"/>
  <c r="AA679" i="37"/>
  <c r="AG679" i="37" s="1"/>
  <c r="AA701" i="37"/>
  <c r="AG701" i="37" s="1"/>
  <c r="AA697" i="37"/>
  <c r="AG697" i="37" s="1"/>
  <c r="AA650" i="37"/>
  <c r="AG650" i="37" s="1"/>
  <c r="AA666" i="37"/>
  <c r="L666" i="41" s="1"/>
  <c r="O666" i="41" s="1"/>
  <c r="AA682" i="37"/>
  <c r="AG682" i="37" s="1"/>
  <c r="AA698" i="37"/>
  <c r="L698" i="41" s="1"/>
  <c r="O698" i="41" s="1"/>
  <c r="AA714" i="37"/>
  <c r="AG714" i="37" s="1"/>
  <c r="AA387" i="37"/>
  <c r="L387" i="41" s="1"/>
  <c r="O387" i="41" s="1"/>
  <c r="AA381" i="37"/>
  <c r="AG381" i="37" s="1"/>
  <c r="AA636" i="37"/>
  <c r="AG636" i="37" s="1"/>
  <c r="AA628" i="37"/>
  <c r="L628" i="41" s="1"/>
  <c r="O628" i="41" s="1"/>
  <c r="AA630" i="37"/>
  <c r="AG630" i="37" s="1"/>
  <c r="AA754" i="37"/>
  <c r="AG754" i="37" s="1"/>
  <c r="AA399" i="37"/>
  <c r="AG399" i="37" s="1"/>
  <c r="AA393" i="37"/>
  <c r="AG393" i="37" s="1"/>
  <c r="AA479" i="37"/>
  <c r="AG479" i="37" s="1"/>
  <c r="AA473" i="37"/>
  <c r="L484" i="41" s="1"/>
  <c r="AA478" i="37"/>
  <c r="AG478" i="37" s="1"/>
  <c r="AA224" i="38"/>
  <c r="AA229" i="38"/>
  <c r="AA488" i="37"/>
  <c r="AG488" i="37" s="1"/>
  <c r="AA494" i="37"/>
  <c r="AG494" i="37" s="1"/>
  <c r="AA240" i="38"/>
  <c r="AA727" i="37"/>
  <c r="AG727" i="37" s="1"/>
  <c r="AA357" i="38"/>
  <c r="AA721" i="37"/>
  <c r="AG721" i="37" s="1"/>
  <c r="AA423" i="37"/>
  <c r="AG423" i="37" s="1"/>
  <c r="AA431" i="37"/>
  <c r="L431" i="41" s="1"/>
  <c r="O431" i="41" s="1"/>
  <c r="AA435" i="37"/>
  <c r="AG435" i="37" s="1"/>
  <c r="AA412" i="37"/>
  <c r="AG412" i="37" s="1"/>
  <c r="AA428" i="37"/>
  <c r="L428" i="41" s="1"/>
  <c r="O428" i="41" s="1"/>
  <c r="AA409" i="37"/>
  <c r="AG409" i="37" s="1"/>
  <c r="AA425" i="37"/>
  <c r="AG425" i="37" s="1"/>
  <c r="AA406" i="37"/>
  <c r="AG406" i="37" s="1"/>
  <c r="AA422" i="37"/>
  <c r="AG422" i="37" s="1"/>
  <c r="AA182" i="38"/>
  <c r="AA379" i="37"/>
  <c r="AG379" i="37" s="1"/>
  <c r="AA380" i="37"/>
  <c r="AG380" i="37" s="1"/>
  <c r="AA385" i="37"/>
  <c r="AG385" i="37" s="1"/>
  <c r="AA375" i="37"/>
  <c r="L375" i="41" s="1"/>
  <c r="O375" i="41" s="1"/>
  <c r="AA368" i="37"/>
  <c r="AG368" i="37" s="1"/>
  <c r="AA373" i="37"/>
  <c r="AG373" i="37" s="1"/>
  <c r="AA535" i="37"/>
  <c r="AG535" i="37" s="1"/>
  <c r="AA555" i="37"/>
  <c r="AG555" i="37" s="1"/>
  <c r="AA551" i="37"/>
  <c r="AG551" i="37" s="1"/>
  <c r="AA559" i="37"/>
  <c r="AG559" i="37" s="1"/>
  <c r="AA583" i="37"/>
  <c r="AG583" i="37" s="1"/>
  <c r="AA579" i="37"/>
  <c r="AG579" i="37" s="1"/>
  <c r="AA532" i="37"/>
  <c r="AG532" i="37" s="1"/>
  <c r="AA548" i="37"/>
  <c r="AG548" i="37" s="1"/>
  <c r="AA564" i="37"/>
  <c r="AG564" i="37" s="1"/>
  <c r="AA580" i="37"/>
  <c r="AG580" i="37" s="1"/>
  <c r="AA596" i="37"/>
  <c r="AG596" i="37" s="1"/>
  <c r="AA525" i="37"/>
  <c r="AG525" i="37" s="1"/>
  <c r="AA541" i="37"/>
  <c r="AG541" i="37" s="1"/>
  <c r="AA557" i="37"/>
  <c r="AG557" i="37" s="1"/>
  <c r="AA573" i="37"/>
  <c r="AG573" i="37" s="1"/>
  <c r="AA589" i="37"/>
  <c r="AG589" i="37" s="1"/>
  <c r="AA605" i="37"/>
  <c r="AG605" i="37" s="1"/>
  <c r="AA530" i="37"/>
  <c r="AG530" i="37" s="1"/>
  <c r="AA546" i="37"/>
  <c r="AG546" i="37" s="1"/>
  <c r="AA562" i="37"/>
  <c r="AG562" i="37" s="1"/>
  <c r="AA578" i="37"/>
  <c r="AG578" i="37" s="1"/>
  <c r="AA594" i="37"/>
  <c r="AG594" i="37" s="1"/>
  <c r="AA269" i="38"/>
  <c r="AA273" i="38"/>
  <c r="AA277" i="38"/>
  <c r="AA281" i="38"/>
  <c r="AA285" i="38"/>
  <c r="AA289" i="38"/>
  <c r="AA293" i="38"/>
  <c r="AA297" i="38"/>
  <c r="AA301" i="38"/>
  <c r="AA305" i="38"/>
  <c r="AA309" i="38"/>
  <c r="AA313" i="38"/>
  <c r="AA317" i="38"/>
  <c r="AA321" i="38"/>
  <c r="AA325" i="38"/>
  <c r="AA329" i="38"/>
  <c r="AA333" i="38"/>
  <c r="AA337" i="38"/>
  <c r="AA341" i="38"/>
  <c r="AA345" i="38"/>
  <c r="AA349" i="38"/>
  <c r="AA353" i="38"/>
  <c r="AA643" i="37"/>
  <c r="L643" i="41" s="1"/>
  <c r="O643" i="41" s="1"/>
  <c r="AA635" i="37"/>
  <c r="AG635" i="37" s="1"/>
  <c r="AA641" i="37"/>
  <c r="AG641" i="37" s="1"/>
  <c r="AA646" i="37"/>
  <c r="AG646" i="37" s="1"/>
  <c r="AA121" i="37"/>
  <c r="AG121" i="37" s="1"/>
  <c r="AA117" i="37"/>
  <c r="AG117" i="37" s="1"/>
  <c r="AA125" i="37"/>
  <c r="AG125" i="37" s="1"/>
  <c r="AA27" i="37"/>
  <c r="AG27" i="37" s="1"/>
  <c r="AA228" i="37"/>
  <c r="AG228" i="37" s="1"/>
  <c r="AA4" i="37"/>
  <c r="AG4" i="37" s="1"/>
  <c r="AA32" i="37"/>
  <c r="AG32" i="37" s="1"/>
  <c r="AA118" i="37"/>
  <c r="AG118" i="37" s="1"/>
  <c r="AA134" i="37"/>
  <c r="L134" i="41" s="1"/>
  <c r="O134" i="41" s="1"/>
  <c r="AA221" i="37"/>
  <c r="AG221" i="37" s="1"/>
  <c r="AA46" i="38"/>
  <c r="AA13" i="37"/>
  <c r="L13" i="41" s="1"/>
  <c r="O13" i="41" s="1"/>
  <c r="AA45" i="37"/>
  <c r="AG45" i="37" s="1"/>
  <c r="AA127" i="37"/>
  <c r="L127" i="41" s="1"/>
  <c r="O127" i="41" s="1"/>
  <c r="AA190" i="37"/>
  <c r="AG190" i="37" s="1"/>
  <c r="AA230" i="37"/>
  <c r="AG230" i="37" s="1"/>
  <c r="AA48" i="38"/>
  <c r="AA26" i="37"/>
  <c r="AG26" i="37" s="1"/>
  <c r="AA116" i="37"/>
  <c r="AG116" i="37" s="1"/>
  <c r="AA132" i="37"/>
  <c r="L132" i="41" s="1"/>
  <c r="O132" i="41" s="1"/>
  <c r="AA195" i="37"/>
  <c r="AG195" i="37" s="1"/>
  <c r="AA515" i="37"/>
  <c r="AG515" i="37" s="1"/>
  <c r="AA513" i="37"/>
  <c r="AG513" i="37" s="1"/>
  <c r="AA514" i="37"/>
  <c r="AG514" i="37" s="1"/>
  <c r="AA259" i="38"/>
  <c r="AA263" i="38"/>
  <c r="AA267" i="38"/>
  <c r="AA623" i="37"/>
  <c r="L623" i="41" s="1"/>
  <c r="O623" i="41" s="1"/>
  <c r="AA629" i="37"/>
  <c r="AG629" i="37" s="1"/>
  <c r="AA626" i="37"/>
  <c r="AG626" i="37" s="1"/>
  <c r="AA733" i="37"/>
  <c r="AG733" i="37" s="1"/>
  <c r="AA731" i="37"/>
  <c r="AG731" i="37" s="1"/>
  <c r="AA738" i="37"/>
  <c r="AG738" i="37" s="1"/>
  <c r="AA499" i="37"/>
  <c r="AG499" i="37" s="1"/>
  <c r="AA501" i="37"/>
  <c r="AG501" i="37" s="1"/>
  <c r="AA502" i="37"/>
  <c r="AG502" i="37" s="1"/>
  <c r="AA247" i="38"/>
  <c r="AA251" i="38"/>
  <c r="AA255" i="38"/>
  <c r="AA745" i="37"/>
  <c r="AG745" i="37" s="1"/>
  <c r="AA443" i="37"/>
  <c r="AG443" i="37" s="1"/>
  <c r="AA440" i="37"/>
  <c r="AG440" i="37" s="1"/>
  <c r="AA445" i="37"/>
  <c r="AG445" i="37" s="1"/>
  <c r="AA183" i="38"/>
  <c r="AA187" i="38"/>
  <c r="AA191" i="38"/>
  <c r="AA395" i="37"/>
  <c r="AG395" i="37" s="1"/>
  <c r="AA392" i="37"/>
  <c r="AG392" i="37" s="1"/>
  <c r="AA397" i="37"/>
  <c r="AG397" i="37" s="1"/>
  <c r="AA475" i="37"/>
  <c r="AG475" i="37" s="1"/>
  <c r="AA480" i="37"/>
  <c r="AG480" i="37" s="1"/>
  <c r="AA481" i="37"/>
  <c r="AG481" i="37" s="1"/>
  <c r="AA482" i="37"/>
  <c r="AG482" i="37" s="1"/>
  <c r="AA223" i="38"/>
  <c r="AA227" i="38"/>
  <c r="AA495" i="37"/>
  <c r="AG495" i="37" s="1"/>
  <c r="AA489" i="37"/>
  <c r="AG489" i="37" s="1"/>
  <c r="AA490" i="37"/>
  <c r="AG490" i="37" s="1"/>
  <c r="AA235" i="38"/>
  <c r="AA239" i="38"/>
  <c r="AA243" i="38"/>
  <c r="AA613" i="37"/>
  <c r="AG613" i="37" s="1"/>
  <c r="AA364" i="38"/>
  <c r="AA723" i="37"/>
  <c r="AG723" i="37" s="1"/>
  <c r="AA722" i="37"/>
  <c r="AG722" i="37" s="1"/>
  <c r="AA724" i="37"/>
  <c r="AG724" i="37" s="1"/>
  <c r="AA360" i="38"/>
  <c r="AA367" i="38"/>
  <c r="AA103" i="38"/>
  <c r="AA270" i="37"/>
  <c r="AG270" i="37" s="1"/>
  <c r="AA269" i="37"/>
  <c r="AG269" i="37" s="1"/>
  <c r="AA94" i="38"/>
  <c r="T5" i="44"/>
  <c r="T47" i="44" s="1"/>
  <c r="J11" i="46" s="1"/>
  <c r="L11" i="46" s="1"/>
  <c r="AA523" i="37"/>
  <c r="AG523" i="37" s="1"/>
  <c r="AA587" i="37"/>
  <c r="AG587" i="37" s="1"/>
  <c r="AA527" i="37"/>
  <c r="AG527" i="37" s="1"/>
  <c r="AA591" i="37"/>
  <c r="AG591" i="37" s="1"/>
  <c r="AA547" i="37"/>
  <c r="AG547" i="37" s="1"/>
  <c r="AA524" i="37"/>
  <c r="AG524" i="37" s="1"/>
  <c r="AA540" i="37"/>
  <c r="AG540" i="37" s="1"/>
  <c r="AA556" i="37"/>
  <c r="AG556" i="37" s="1"/>
  <c r="AA572" i="37"/>
  <c r="AG572" i="37" s="1"/>
  <c r="AA588" i="37"/>
  <c r="AG588" i="37" s="1"/>
  <c r="AA604" i="37"/>
  <c r="AG604" i="37" s="1"/>
  <c r="AA533" i="37"/>
  <c r="AG533" i="37" s="1"/>
  <c r="AA549" i="37"/>
  <c r="AG549" i="37" s="1"/>
  <c r="AA565" i="37"/>
  <c r="AG565" i="37" s="1"/>
  <c r="AA581" i="37"/>
  <c r="AG581" i="37" s="1"/>
  <c r="AA597" i="37"/>
  <c r="AG597" i="37" s="1"/>
  <c r="AA522" i="37"/>
  <c r="AG522" i="37" s="1"/>
  <c r="AA538" i="37"/>
  <c r="AG538" i="37" s="1"/>
  <c r="AA554" i="37"/>
  <c r="AG554" i="37" s="1"/>
  <c r="AA570" i="37"/>
  <c r="AG570" i="37" s="1"/>
  <c r="AA586" i="37"/>
  <c r="AG586" i="37" s="1"/>
  <c r="AA602" i="37"/>
  <c r="AG602" i="37" s="1"/>
  <c r="AA271" i="38"/>
  <c r="AA275" i="38"/>
  <c r="AA279" i="38"/>
  <c r="AA283" i="38"/>
  <c r="AA287" i="38"/>
  <c r="AA291" i="38"/>
  <c r="AA295" i="38"/>
  <c r="AA299" i="38"/>
  <c r="AA303" i="38"/>
  <c r="AA307" i="38"/>
  <c r="AA311" i="38"/>
  <c r="AA315" i="38"/>
  <c r="AA319" i="38"/>
  <c r="AA323" i="38"/>
  <c r="AA327" i="38"/>
  <c r="AA331" i="38"/>
  <c r="AA335" i="38"/>
  <c r="AA339" i="38"/>
  <c r="AA343" i="38"/>
  <c r="AA347" i="38"/>
  <c r="AA351" i="38"/>
  <c r="AA355" i="38"/>
  <c r="AA639" i="37"/>
  <c r="AG639" i="37" s="1"/>
  <c r="AA645" i="37"/>
  <c r="AA638" i="37"/>
  <c r="AG638" i="37" s="1"/>
  <c r="AA511" i="37"/>
  <c r="AA516" i="37"/>
  <c r="AG516" i="37" s="1"/>
  <c r="AA521" i="37"/>
  <c r="AA257" i="38"/>
  <c r="AA261" i="38"/>
  <c r="AA265" i="38"/>
  <c r="AA627" i="37"/>
  <c r="AA633" i="37"/>
  <c r="AG633" i="37" s="1"/>
  <c r="AA631" i="37"/>
  <c r="AA503" i="37"/>
  <c r="AG503" i="37" s="1"/>
  <c r="AA504" i="37"/>
  <c r="AA509" i="37"/>
  <c r="AG509" i="37" s="1"/>
  <c r="AA245" i="38"/>
  <c r="AA249" i="38"/>
  <c r="AA253" i="38"/>
  <c r="AA748" i="37"/>
  <c r="AG748" i="37" s="1"/>
  <c r="AA746" i="37"/>
  <c r="AA491" i="37"/>
  <c r="AG491" i="37" s="1"/>
  <c r="AA492" i="37"/>
  <c r="AA497" i="37"/>
  <c r="AG497" i="37" s="1"/>
  <c r="AA233" i="38"/>
  <c r="AA237" i="38"/>
  <c r="AA241" i="38"/>
  <c r="AA621" i="37"/>
  <c r="AG621" i="37" s="1"/>
  <c r="AA620" i="37"/>
  <c r="AA365" i="38"/>
  <c r="AA728" i="37"/>
  <c r="AG728" i="37" s="1"/>
  <c r="AA730" i="37"/>
  <c r="AG730" i="37" s="1"/>
  <c r="AA358" i="38"/>
  <c r="AA362" i="38"/>
  <c r="AA725" i="37"/>
  <c r="AG725" i="37" s="1"/>
  <c r="AA56" i="38"/>
  <c r="AA97" i="38"/>
  <c r="AA152" i="38"/>
  <c r="AA240" i="37"/>
  <c r="AG240" i="37" s="1"/>
  <c r="AA96" i="38"/>
  <c r="AA57" i="38"/>
  <c r="AA285" i="37"/>
  <c r="AG285" i="37" s="1"/>
  <c r="AA54" i="38"/>
  <c r="AA280" i="37"/>
  <c r="AG280" i="37" s="1"/>
  <c r="AA743" i="37"/>
  <c r="AA749" i="37"/>
  <c r="AG749" i="37" s="1"/>
  <c r="AA752" i="37"/>
  <c r="AA611" i="37"/>
  <c r="AG611" i="37" s="1"/>
  <c r="AA619" i="37"/>
  <c r="AA614" i="37"/>
  <c r="AG614" i="37" s="1"/>
  <c r="AA235" i="37"/>
  <c r="AG235" i="37" s="1"/>
  <c r="AA88" i="38"/>
  <c r="AA238" i="37"/>
  <c r="AG238" i="37" s="1"/>
  <c r="AA336" i="37"/>
  <c r="AG336" i="37" s="1"/>
  <c r="AA146" i="38"/>
  <c r="AA277" i="37"/>
  <c r="AG277" i="37" s="1"/>
  <c r="AA91" i="38"/>
  <c r="AA333" i="37"/>
  <c r="AG333" i="37" s="1"/>
  <c r="AA102" i="38"/>
  <c r="AA272" i="37"/>
  <c r="AG272" i="37" s="1"/>
  <c r="AA753" i="37"/>
  <c r="AG753" i="37" s="1"/>
  <c r="AA751" i="37"/>
  <c r="AG751" i="37" s="1"/>
  <c r="AA750" i="37"/>
  <c r="L750" i="41" s="1"/>
  <c r="O750" i="41" s="1"/>
  <c r="AA616" i="37"/>
  <c r="AG616" i="37" s="1"/>
  <c r="AA617" i="37"/>
  <c r="AG617" i="37" s="1"/>
  <c r="AA615" i="37"/>
  <c r="L615" i="41" s="1"/>
  <c r="O615" i="41" s="1"/>
  <c r="AA59" i="38"/>
  <c r="AA337" i="37"/>
  <c r="AG337" i="37" s="1"/>
  <c r="AA149" i="38"/>
  <c r="AA278" i="37"/>
  <c r="AG278" i="37" s="1"/>
  <c r="AA89" i="38"/>
  <c r="AA237" i="37"/>
  <c r="AG237" i="37" s="1"/>
  <c r="AA335" i="37"/>
  <c r="AG335" i="37" s="1"/>
  <c r="AA239" i="37"/>
  <c r="AG239" i="37" s="1"/>
  <c r="AA86" i="38"/>
  <c r="AA232" i="37"/>
  <c r="AG232" i="37" s="1"/>
  <c r="AA330" i="37"/>
  <c r="AG330" i="37" s="1"/>
  <c r="AA55" i="38"/>
  <c r="AA148" i="38"/>
  <c r="AA329" i="37"/>
  <c r="AG329" i="37" s="1"/>
  <c r="AA60" i="38"/>
  <c r="AA100" i="38"/>
  <c r="AA234" i="37"/>
  <c r="AG234" i="37" s="1"/>
  <c r="AA274" i="37"/>
  <c r="AG274" i="37" s="1"/>
  <c r="AA332" i="37"/>
  <c r="AG332" i="37" s="1"/>
  <c r="AA61" i="38"/>
  <c r="AA101" i="38"/>
  <c r="AA233" i="37"/>
  <c r="AG233" i="37" s="1"/>
  <c r="AA273" i="37"/>
  <c r="AG273" i="37" s="1"/>
  <c r="AA331" i="37"/>
  <c r="AG331" i="37" s="1"/>
  <c r="AA87" i="38"/>
  <c r="AA156" i="38"/>
  <c r="AA283" i="37"/>
  <c r="AG283" i="37" s="1"/>
  <c r="AA58" i="38"/>
  <c r="AA98" i="38"/>
  <c r="AA155" i="38"/>
  <c r="AA268" i="37"/>
  <c r="AG268" i="37" s="1"/>
  <c r="AA284" i="37"/>
  <c r="AG284" i="37" s="1"/>
  <c r="J9" i="46"/>
  <c r="AA99" i="38"/>
  <c r="AA271" i="37"/>
  <c r="AG271" i="37" s="1"/>
  <c r="AA52" i="38"/>
  <c r="AA92" i="38"/>
  <c r="AA153" i="38"/>
  <c r="AA242" i="37"/>
  <c r="AG242" i="37" s="1"/>
  <c r="AA282" i="37"/>
  <c r="AG282" i="37" s="1"/>
  <c r="AA53" i="38"/>
  <c r="AA93" i="38"/>
  <c r="AA150" i="38"/>
  <c r="AA241" i="37"/>
  <c r="AG241" i="37" s="1"/>
  <c r="AA281" i="37"/>
  <c r="AG281" i="37" s="1"/>
  <c r="AA339" i="37"/>
  <c r="AG339" i="37" s="1"/>
  <c r="AA95" i="38"/>
  <c r="AA243" i="37"/>
  <c r="AG243" i="37" s="1"/>
  <c r="AA50" i="38"/>
  <c r="AA90" i="38"/>
  <c r="AA147" i="38"/>
  <c r="AA236" i="37"/>
  <c r="AG236" i="37" s="1"/>
  <c r="AA276" i="37"/>
  <c r="AG276" i="37" s="1"/>
  <c r="AA334" i="37"/>
  <c r="AG334" i="37" s="1"/>
  <c r="AG427" i="37"/>
  <c r="L427" i="41"/>
  <c r="O427" i="41" s="1"/>
  <c r="L420" i="41"/>
  <c r="O420" i="41" s="1"/>
  <c r="AG433" i="37"/>
  <c r="L433" i="41"/>
  <c r="O433" i="41" s="1"/>
  <c r="AG664" i="37"/>
  <c r="L664" i="41"/>
  <c r="O664" i="41" s="1"/>
  <c r="AG655" i="37"/>
  <c r="L655" i="41"/>
  <c r="O655" i="41" s="1"/>
  <c r="AG656" i="37"/>
  <c r="AG658" i="37"/>
  <c r="L658" i="41"/>
  <c r="O658" i="41" s="1"/>
  <c r="AG367" i="37"/>
  <c r="L367" i="41"/>
  <c r="O367" i="41" s="1"/>
  <c r="AG637" i="37"/>
  <c r="L637" i="41"/>
  <c r="O637" i="41" s="1"/>
  <c r="AG133" i="37"/>
  <c r="L133" i="41"/>
  <c r="O133" i="41" s="1"/>
  <c r="AG7" i="37"/>
  <c r="L7" i="41"/>
  <c r="O7" i="41" s="1"/>
  <c r="AG28" i="37"/>
  <c r="L28" i="41"/>
  <c r="O28" i="41" s="1"/>
  <c r="AG193" i="37"/>
  <c r="L193" i="41"/>
  <c r="O193" i="41" s="1"/>
  <c r="AG5" i="37"/>
  <c r="L5" i="41"/>
  <c r="O5" i="41" s="1"/>
  <c r="L330" i="41"/>
  <c r="L270" i="41"/>
  <c r="L283" i="41"/>
  <c r="L233" i="41"/>
  <c r="L284" i="41"/>
  <c r="L236" i="41"/>
  <c r="L220" i="41"/>
  <c r="L331" i="41"/>
  <c r="L242" i="41"/>
  <c r="L238" i="41"/>
  <c r="O238" i="41" s="1"/>
  <c r="L235" i="41"/>
  <c r="O235" i="41" s="1"/>
  <c r="L230" i="41"/>
  <c r="L243" i="41"/>
  <c r="O243" i="41" s="1"/>
  <c r="L195" i="41"/>
  <c r="O195" i="41" s="1"/>
  <c r="AG394" i="37"/>
  <c r="L394" i="41"/>
  <c r="O394" i="41" s="1"/>
  <c r="AG473" i="37"/>
  <c r="L478" i="41"/>
  <c r="L470" i="41"/>
  <c r="O470" i="41" s="1"/>
  <c r="L462" i="41"/>
  <c r="O462" i="41" s="1"/>
  <c r="L454" i="41"/>
  <c r="O454" i="41" s="1"/>
  <c r="L457" i="41"/>
  <c r="O457" i="41" s="1"/>
  <c r="L446" i="41"/>
  <c r="O446" i="41" s="1"/>
  <c r="L438" i="41"/>
  <c r="O438" i="41" s="1"/>
  <c r="L467" i="41"/>
  <c r="O467" i="41" s="1"/>
  <c r="L485" i="41"/>
  <c r="O485" i="41" s="1"/>
  <c r="L445" i="41"/>
  <c r="O445" i="41" s="1"/>
  <c r="L463" i="41"/>
  <c r="O463" i="41" s="1"/>
  <c r="L477" i="41"/>
  <c r="O477" i="41" s="1"/>
  <c r="AG615" i="37"/>
  <c r="AG419" i="37"/>
  <c r="L419" i="41"/>
  <c r="O419" i="41" s="1"/>
  <c r="AG408" i="37"/>
  <c r="L408" i="41"/>
  <c r="O408" i="41" s="1"/>
  <c r="AG424" i="37"/>
  <c r="L424" i="41"/>
  <c r="O424" i="41" s="1"/>
  <c r="AG405" i="37"/>
  <c r="AG402" i="37"/>
  <c r="L402" i="41"/>
  <c r="O402" i="41" s="1"/>
  <c r="AG418" i="37"/>
  <c r="L418" i="41"/>
  <c r="O418" i="41" s="1"/>
  <c r="AG434" i="37"/>
  <c r="AG685" i="37"/>
  <c r="L685" i="41"/>
  <c r="O685" i="41" s="1"/>
  <c r="AG669" i="37"/>
  <c r="L669" i="41"/>
  <c r="O669" i="41" s="1"/>
  <c r="AG675" i="37"/>
  <c r="L675" i="41"/>
  <c r="O675" i="41" s="1"/>
  <c r="AG660" i="37"/>
  <c r="L660" i="41"/>
  <c r="O660" i="41" s="1"/>
  <c r="AG681" i="37"/>
  <c r="L681" i="41"/>
  <c r="O681" i="41" s="1"/>
  <c r="AG705" i="37"/>
  <c r="L705" i="41"/>
  <c r="O705" i="41" s="1"/>
  <c r="AG661" i="37"/>
  <c r="L661" i="41"/>
  <c r="O661" i="41" s="1"/>
  <c r="AG683" i="37"/>
  <c r="L683" i="41"/>
  <c r="O683" i="41" s="1"/>
  <c r="AG707" i="37"/>
  <c r="L707" i="41"/>
  <c r="O707" i="41" s="1"/>
  <c r="AG657" i="37"/>
  <c r="L679" i="41"/>
  <c r="O679" i="41" s="1"/>
  <c r="L701" i="41"/>
  <c r="O701" i="41" s="1"/>
  <c r="AG708" i="37"/>
  <c r="L708" i="41"/>
  <c r="O708" i="41" s="1"/>
  <c r="L662" i="41"/>
  <c r="O662" i="41" s="1"/>
  <c r="L694" i="41"/>
  <c r="O694" i="41" s="1"/>
  <c r="AG387" i="37"/>
  <c r="AG382" i="37"/>
  <c r="L382" i="41"/>
  <c r="O382" i="41" s="1"/>
  <c r="AG371" i="37"/>
  <c r="L371" i="41"/>
  <c r="O371" i="41" s="1"/>
  <c r="AG365" i="37"/>
  <c r="L365" i="41"/>
  <c r="O365" i="41" s="1"/>
  <c r="L639" i="41"/>
  <c r="O639" i="41" s="1"/>
  <c r="AG645" i="37"/>
  <c r="L645" i="41"/>
  <c r="O645" i="41" s="1"/>
  <c r="AG3" i="37"/>
  <c r="L3" i="41"/>
  <c r="O3" i="41" s="1"/>
  <c r="AG192" i="37"/>
  <c r="L192" i="41"/>
  <c r="O192" i="41" s="1"/>
  <c r="AG39" i="37"/>
  <c r="L39" i="41"/>
  <c r="O39" i="41" s="1"/>
  <c r="AG43" i="37"/>
  <c r="L43" i="41"/>
  <c r="O43" i="41" s="1"/>
  <c r="L4" i="41"/>
  <c r="O4" i="41" s="1"/>
  <c r="L32" i="41"/>
  <c r="O32" i="41" s="1"/>
  <c r="AG134" i="37"/>
  <c r="AG9" i="37"/>
  <c r="L9" i="41"/>
  <c r="O9" i="41" s="1"/>
  <c r="AG41" i="37"/>
  <c r="L41" i="41"/>
  <c r="O41" i="41" s="1"/>
  <c r="AG186" i="37"/>
  <c r="L186" i="41"/>
  <c r="O186" i="41" s="1"/>
  <c r="AG2" i="37"/>
  <c r="L2" i="41"/>
  <c r="AG34" i="37"/>
  <c r="L34" i="41"/>
  <c r="O34" i="41" s="1"/>
  <c r="AG136" i="37"/>
  <c r="L136" i="41"/>
  <c r="O136" i="41" s="1"/>
  <c r="AG512" i="37"/>
  <c r="L512" i="41"/>
  <c r="O512" i="41" s="1"/>
  <c r="AG518" i="37"/>
  <c r="L518" i="41"/>
  <c r="O518" i="41" s="1"/>
  <c r="AG628" i="37"/>
  <c r="AG625" i="37"/>
  <c r="L625" i="41"/>
  <c r="O625" i="41" s="1"/>
  <c r="L630" i="41"/>
  <c r="O630" i="41" s="1"/>
  <c r="AG739" i="37"/>
  <c r="L739" i="41"/>
  <c r="O739" i="41" s="1"/>
  <c r="AG736" i="37"/>
  <c r="L736" i="41"/>
  <c r="O736" i="41" s="1"/>
  <c r="AG742" i="37"/>
  <c r="L742" i="41"/>
  <c r="O742" i="41" s="1"/>
  <c r="L500" i="41"/>
  <c r="O500" i="41" s="1"/>
  <c r="L505" i="41"/>
  <c r="O505" i="41" s="1"/>
  <c r="L506" i="41"/>
  <c r="O506" i="41" s="1"/>
  <c r="AG744" i="37"/>
  <c r="L744" i="41"/>
  <c r="O744" i="41" s="1"/>
  <c r="L747" i="41"/>
  <c r="O747" i="41" s="1"/>
  <c r="AG388" i="37"/>
  <c r="L388" i="41"/>
  <c r="O388" i="41" s="1"/>
  <c r="L393" i="41"/>
  <c r="O393" i="41" s="1"/>
  <c r="AG398" i="37"/>
  <c r="L487" i="41"/>
  <c r="O487" i="41" s="1"/>
  <c r="AG496" i="37"/>
  <c r="L496" i="41"/>
  <c r="O496" i="41" s="1"/>
  <c r="L613" i="41"/>
  <c r="O613" i="41" s="1"/>
  <c r="AG620" i="37"/>
  <c r="L620" i="41"/>
  <c r="O620" i="41" s="1"/>
  <c r="L404" i="41"/>
  <c r="O404" i="41" s="1"/>
  <c r="AG417" i="37"/>
  <c r="L417" i="41"/>
  <c r="O417" i="41" s="1"/>
  <c r="AG430" i="37"/>
  <c r="L430" i="41"/>
  <c r="O430" i="41" s="1"/>
  <c r="AG653" i="37"/>
  <c r="L653" i="41"/>
  <c r="O653" i="41" s="1"/>
  <c r="AG699" i="37"/>
  <c r="L699" i="41"/>
  <c r="O699" i="41" s="1"/>
  <c r="AG690" i="37"/>
  <c r="L690" i="41"/>
  <c r="O690" i="41" s="1"/>
  <c r="AG378" i="37"/>
  <c r="L378" i="41"/>
  <c r="O378" i="41" s="1"/>
  <c r="AG366" i="37"/>
  <c r="L366" i="41"/>
  <c r="O366" i="41" s="1"/>
  <c r="L634" i="41"/>
  <c r="O634" i="41" s="1"/>
  <c r="AG130" i="37"/>
  <c r="L130" i="41"/>
  <c r="O130" i="41" s="1"/>
  <c r="AG119" i="37"/>
  <c r="L119" i="41"/>
  <c r="O119" i="41" s="1"/>
  <c r="AG132" i="37"/>
  <c r="L629" i="41"/>
  <c r="O629" i="41" s="1"/>
  <c r="L731" i="41"/>
  <c r="L501" i="41"/>
  <c r="O501" i="41" s="1"/>
  <c r="AG492" i="37"/>
  <c r="L492" i="41"/>
  <c r="O492" i="41" s="1"/>
  <c r="AG431" i="37"/>
  <c r="AG428" i="37"/>
  <c r="L409" i="41"/>
  <c r="O409" i="41" s="1"/>
  <c r="L406" i="41"/>
  <c r="O406" i="41" s="1"/>
  <c r="AG667" i="37"/>
  <c r="L667" i="41"/>
  <c r="O667" i="41" s="1"/>
  <c r="AG688" i="37"/>
  <c r="L688" i="41"/>
  <c r="O688" i="41" s="1"/>
  <c r="AG663" i="37"/>
  <c r="L663" i="41"/>
  <c r="O663" i="41" s="1"/>
  <c r="AG684" i="37"/>
  <c r="L684" i="41"/>
  <c r="O684" i="41" s="1"/>
  <c r="AG711" i="37"/>
  <c r="L711" i="41"/>
  <c r="O711" i="41" s="1"/>
  <c r="AG709" i="37"/>
  <c r="L709" i="41"/>
  <c r="O709" i="41" s="1"/>
  <c r="AG666" i="37"/>
  <c r="L682" i="41"/>
  <c r="O682" i="41" s="1"/>
  <c r="AG698" i="37"/>
  <c r="AG376" i="37"/>
  <c r="L376" i="41"/>
  <c r="O376" i="41" s="1"/>
  <c r="L381" i="41"/>
  <c r="O381" i="41" s="1"/>
  <c r="L364" i="41"/>
  <c r="AG369" i="37"/>
  <c r="L369" i="41"/>
  <c r="O369" i="41" s="1"/>
  <c r="AG374" i="37"/>
  <c r="L374" i="41"/>
  <c r="O374" i="41" s="1"/>
  <c r="AG644" i="37"/>
  <c r="L644" i="41"/>
  <c r="O644" i="41" s="1"/>
  <c r="AG642" i="37"/>
  <c r="L642" i="41"/>
  <c r="O642" i="41" s="1"/>
  <c r="L117" i="41"/>
  <c r="O117" i="41" s="1"/>
  <c r="L125" i="41"/>
  <c r="O125" i="41" s="1"/>
  <c r="AG129" i="37"/>
  <c r="L129" i="41"/>
  <c r="O129" i="41" s="1"/>
  <c r="AG8" i="37"/>
  <c r="L8" i="41"/>
  <c r="O8" i="41" s="1"/>
  <c r="AG36" i="37"/>
  <c r="L36" i="41"/>
  <c r="O36" i="41" s="1"/>
  <c r="AG122" i="37"/>
  <c r="L122" i="41"/>
  <c r="O122" i="41" s="1"/>
  <c r="AG13" i="37"/>
  <c r="L45" i="41"/>
  <c r="O45" i="41" s="1"/>
  <c r="AG127" i="37"/>
  <c r="AG6" i="37"/>
  <c r="L6" i="41"/>
  <c r="O6" i="41" s="1"/>
  <c r="AG38" i="37"/>
  <c r="L38" i="41"/>
  <c r="O38" i="41" s="1"/>
  <c r="AG511" i="37"/>
  <c r="L511" i="41"/>
  <c r="O511" i="41" s="1"/>
  <c r="AG521" i="37"/>
  <c r="L521" i="41"/>
  <c r="O521" i="41" s="1"/>
  <c r="AG627" i="37"/>
  <c r="L627" i="41"/>
  <c r="O627" i="41" s="1"/>
  <c r="AG631" i="37"/>
  <c r="L631" i="41"/>
  <c r="O631" i="41" s="1"/>
  <c r="AG735" i="37"/>
  <c r="L735" i="41"/>
  <c r="O735" i="41" s="1"/>
  <c r="AG741" i="37"/>
  <c r="L741" i="41"/>
  <c r="O741" i="41" s="1"/>
  <c r="AG504" i="37"/>
  <c r="L504" i="41"/>
  <c r="O504" i="41" s="1"/>
  <c r="AG743" i="37"/>
  <c r="L743" i="41"/>
  <c r="O743" i="41" s="1"/>
  <c r="AG752" i="37"/>
  <c r="L752" i="41"/>
  <c r="O752" i="41" s="1"/>
  <c r="L495" i="41"/>
  <c r="O495" i="41" s="1"/>
  <c r="L490" i="41"/>
  <c r="O490" i="41" s="1"/>
  <c r="AG619" i="37"/>
  <c r="L619" i="41"/>
  <c r="O619" i="41" s="1"/>
  <c r="AG403" i="37"/>
  <c r="L403" i="41"/>
  <c r="O403" i="41" s="1"/>
  <c r="AG401" i="37"/>
  <c r="L401" i="41"/>
  <c r="O401" i="41" s="1"/>
  <c r="AG414" i="37"/>
  <c r="L414" i="41"/>
  <c r="O414" i="41" s="1"/>
  <c r="AG648" i="37"/>
  <c r="L648" i="41"/>
  <c r="O648" i="41" s="1"/>
  <c r="AG676" i="37"/>
  <c r="L676" i="41"/>
  <c r="O676" i="41" s="1"/>
  <c r="L673" i="41"/>
  <c r="O673" i="41" s="1"/>
  <c r="AG703" i="37"/>
  <c r="L703" i="41"/>
  <c r="O703" i="41" s="1"/>
  <c r="AG674" i="37"/>
  <c r="L674" i="41"/>
  <c r="O674" i="41" s="1"/>
  <c r="AG706" i="37"/>
  <c r="L706" i="41"/>
  <c r="O706" i="41" s="1"/>
  <c r="AG384" i="37"/>
  <c r="L384" i="41"/>
  <c r="O384" i="41" s="1"/>
  <c r="AG640" i="37"/>
  <c r="AG137" i="37"/>
  <c r="L137" i="41"/>
  <c r="O137" i="41" s="1"/>
  <c r="AG44" i="37"/>
  <c r="L44" i="41"/>
  <c r="O44" i="41" s="1"/>
  <c r="AG37" i="37"/>
  <c r="L37" i="41"/>
  <c r="O37" i="41" s="1"/>
  <c r="AG135" i="37"/>
  <c r="L135" i="41"/>
  <c r="O135" i="41" s="1"/>
  <c r="L515" i="41"/>
  <c r="O515" i="41" s="1"/>
  <c r="AG623" i="37"/>
  <c r="L733" i="41"/>
  <c r="O733" i="41" s="1"/>
  <c r="L499" i="41"/>
  <c r="O499" i="41" s="1"/>
  <c r="AG411" i="37"/>
  <c r="L411" i="41"/>
  <c r="O411" i="41" s="1"/>
  <c r="AG407" i="37"/>
  <c r="L407" i="41"/>
  <c r="O407" i="41" s="1"/>
  <c r="AG400" i="37"/>
  <c r="L608" i="41"/>
  <c r="O608" i="41" s="1"/>
  <c r="L606" i="41"/>
  <c r="O606" i="41" s="1"/>
  <c r="L604" i="41"/>
  <c r="L602" i="41"/>
  <c r="O602" i="41" s="1"/>
  <c r="L600" i="41"/>
  <c r="O600" i="41" s="1"/>
  <c r="L598" i="41"/>
  <c r="L596" i="41"/>
  <c r="L594" i="41"/>
  <c r="L592" i="41"/>
  <c r="O592" i="41" s="1"/>
  <c r="L590" i="41"/>
  <c r="L588" i="41"/>
  <c r="O588" i="41" s="1"/>
  <c r="L586" i="41"/>
  <c r="L584" i="41"/>
  <c r="O584" i="41" s="1"/>
  <c r="L582" i="41"/>
  <c r="O582" i="41" s="1"/>
  <c r="L580" i="41"/>
  <c r="L578" i="41"/>
  <c r="O578" i="41" s="1"/>
  <c r="L576" i="41"/>
  <c r="O576" i="41" s="1"/>
  <c r="L574" i="41"/>
  <c r="L572" i="41"/>
  <c r="L570" i="41"/>
  <c r="O570" i="41" s="1"/>
  <c r="L568" i="41"/>
  <c r="O568" i="41" s="1"/>
  <c r="L566" i="41"/>
  <c r="L564" i="41"/>
  <c r="L562" i="41"/>
  <c r="L560" i="41"/>
  <c r="O560" i="41" s="1"/>
  <c r="L558" i="41"/>
  <c r="O558" i="41" s="1"/>
  <c r="L556" i="41"/>
  <c r="O556" i="41" s="1"/>
  <c r="L554" i="41"/>
  <c r="L552" i="41"/>
  <c r="O552" i="41" s="1"/>
  <c r="L550" i="41"/>
  <c r="O550" i="41" s="1"/>
  <c r="L605" i="41"/>
  <c r="L549" i="41"/>
  <c r="L547" i="41"/>
  <c r="O547" i="41" s="1"/>
  <c r="L545" i="41"/>
  <c r="O545" i="41" s="1"/>
  <c r="L543" i="41"/>
  <c r="O543" i="41" s="1"/>
  <c r="L541" i="41"/>
  <c r="O541" i="41" s="1"/>
  <c r="L539" i="41"/>
  <c r="O539" i="41" s="1"/>
  <c r="L537" i="41"/>
  <c r="L535" i="41"/>
  <c r="L533" i="41"/>
  <c r="O533" i="41" s="1"/>
  <c r="L531" i="41"/>
  <c r="O531" i="41" s="1"/>
  <c r="L529" i="41"/>
  <c r="L527" i="41"/>
  <c r="L525" i="41"/>
  <c r="L523" i="41"/>
  <c r="O523" i="41" s="1"/>
  <c r="L603" i="41"/>
  <c r="O603" i="41" s="1"/>
  <c r="L599" i="41"/>
  <c r="O599" i="41" s="1"/>
  <c r="L597" i="41"/>
  <c r="O597" i="41" s="1"/>
  <c r="L595" i="41"/>
  <c r="L593" i="41"/>
  <c r="L591" i="41"/>
  <c r="O591" i="41" s="1"/>
  <c r="L589" i="41"/>
  <c r="L587" i="41"/>
  <c r="O587" i="41" s="1"/>
  <c r="L585" i="41"/>
  <c r="L583" i="41"/>
  <c r="L581" i="41"/>
  <c r="L579" i="41"/>
  <c r="O579" i="41" s="1"/>
  <c r="L577" i="41"/>
  <c r="O577" i="41" s="1"/>
  <c r="L575" i="41"/>
  <c r="L573" i="41"/>
  <c r="L571" i="41"/>
  <c r="O571" i="41" s="1"/>
  <c r="L567" i="41"/>
  <c r="O567" i="41" s="1"/>
  <c r="L563" i="41"/>
  <c r="L559" i="41"/>
  <c r="L555" i="41"/>
  <c r="O555" i="41" s="1"/>
  <c r="L551" i="41"/>
  <c r="L609" i="41"/>
  <c r="L601" i="41"/>
  <c r="O601" i="41" s="1"/>
  <c r="L548" i="41"/>
  <c r="O548" i="41" s="1"/>
  <c r="L546" i="41"/>
  <c r="L544" i="41"/>
  <c r="L542" i="41"/>
  <c r="O542" i="41" s="1"/>
  <c r="L540" i="41"/>
  <c r="L538" i="41"/>
  <c r="O538" i="41" s="1"/>
  <c r="L536" i="41"/>
  <c r="O536" i="41" s="1"/>
  <c r="L534" i="41"/>
  <c r="O534" i="41" s="1"/>
  <c r="L532" i="41"/>
  <c r="O532" i="41" s="1"/>
  <c r="L530" i="41"/>
  <c r="L528" i="41"/>
  <c r="O528" i="41" s="1"/>
  <c r="L526" i="41"/>
  <c r="O526" i="41" s="1"/>
  <c r="L524" i="41"/>
  <c r="O524" i="41" s="1"/>
  <c r="L522" i="41"/>
  <c r="L607" i="41"/>
  <c r="L569" i="41"/>
  <c r="O569" i="41" s="1"/>
  <c r="L565" i="41"/>
  <c r="O565" i="41" s="1"/>
  <c r="L561" i="41"/>
  <c r="L557" i="41"/>
  <c r="L553" i="41"/>
  <c r="O553" i="41" s="1"/>
  <c r="L400" i="41"/>
  <c r="O400" i="41" s="1"/>
  <c r="AG416" i="37"/>
  <c r="L416" i="41"/>
  <c r="O416" i="41" s="1"/>
  <c r="AG432" i="37"/>
  <c r="L432" i="41"/>
  <c r="O432" i="41" s="1"/>
  <c r="AG413" i="37"/>
  <c r="L413" i="41"/>
  <c r="O413" i="41" s="1"/>
  <c r="L429" i="41"/>
  <c r="O429" i="41" s="1"/>
  <c r="AG410" i="37"/>
  <c r="L410" i="41"/>
  <c r="O410" i="41" s="1"/>
  <c r="AG426" i="37"/>
  <c r="L426" i="41"/>
  <c r="O426" i="41" s="1"/>
  <c r="AG659" i="37"/>
  <c r="L659" i="41"/>
  <c r="O659" i="41" s="1"/>
  <c r="AG704" i="37"/>
  <c r="L704" i="41"/>
  <c r="O704" i="41" s="1"/>
  <c r="AG680" i="37"/>
  <c r="L680" i="41"/>
  <c r="O680" i="41" s="1"/>
  <c r="AG649" i="37"/>
  <c r="L649" i="41"/>
  <c r="O649" i="41" s="1"/>
  <c r="AG671" i="37"/>
  <c r="L671" i="41"/>
  <c r="O671" i="41" s="1"/>
  <c r="AG692" i="37"/>
  <c r="L692" i="41"/>
  <c r="O692" i="41" s="1"/>
  <c r="AG647" i="37"/>
  <c r="L647" i="41"/>
  <c r="O647" i="41" s="1"/>
  <c r="AG668" i="37"/>
  <c r="L668" i="41"/>
  <c r="O668" i="41" s="1"/>
  <c r="AG689" i="37"/>
  <c r="L689" i="41"/>
  <c r="O689" i="41" s="1"/>
  <c r="AG712" i="37"/>
  <c r="L712" i="41"/>
  <c r="O712" i="41" s="1"/>
  <c r="L697" i="41"/>
  <c r="O697" i="41" s="1"/>
  <c r="AG715" i="37"/>
  <c r="L715" i="41"/>
  <c r="O715" i="41" s="1"/>
  <c r="AG654" i="37"/>
  <c r="L654" i="41"/>
  <c r="O654" i="41" s="1"/>
  <c r="AG670" i="37"/>
  <c r="L670" i="41"/>
  <c r="O670" i="41" s="1"/>
  <c r="AG686" i="37"/>
  <c r="L686" i="41"/>
  <c r="O686" i="41" s="1"/>
  <c r="AG702" i="37"/>
  <c r="L702" i="41"/>
  <c r="O702" i="41" s="1"/>
  <c r="AG718" i="37"/>
  <c r="L729" i="41"/>
  <c r="O729" i="41" s="1"/>
  <c r="L725" i="41"/>
  <c r="O725" i="41" s="1"/>
  <c r="L721" i="41"/>
  <c r="L726" i="41"/>
  <c r="O726" i="41" s="1"/>
  <c r="L730" i="41"/>
  <c r="L723" i="41"/>
  <c r="L728" i="41"/>
  <c r="O728" i="41" s="1"/>
  <c r="L719" i="41"/>
  <c r="L724" i="41"/>
  <c r="L722" i="41"/>
  <c r="O722" i="41" s="1"/>
  <c r="L727" i="41"/>
  <c r="L720" i="41"/>
  <c r="O720" i="41" s="1"/>
  <c r="L718" i="41"/>
  <c r="O718" i="41" s="1"/>
  <c r="AG375" i="37"/>
  <c r="AG643" i="37"/>
  <c r="L635" i="41"/>
  <c r="O635" i="41" s="1"/>
  <c r="AG188" i="37"/>
  <c r="L188" i="41"/>
  <c r="O188" i="41" s="1"/>
  <c r="AG184" i="37"/>
  <c r="L184" i="41"/>
  <c r="O184" i="41" s="1"/>
  <c r="AG40" i="37"/>
  <c r="L40" i="41"/>
  <c r="O40" i="41" s="1"/>
  <c r="AG126" i="37"/>
  <c r="L126" i="41"/>
  <c r="O126" i="41" s="1"/>
  <c r="AG189" i="37"/>
  <c r="AG33" i="37"/>
  <c r="AG115" i="37"/>
  <c r="L115" i="41"/>
  <c r="O115" i="41" s="1"/>
  <c r="AG131" i="37"/>
  <c r="L131" i="41"/>
  <c r="O131" i="41" s="1"/>
  <c r="AG194" i="37"/>
  <c r="AG10" i="37"/>
  <c r="L10" i="41"/>
  <c r="O10" i="41" s="1"/>
  <c r="AG42" i="37"/>
  <c r="L42" i="41"/>
  <c r="O42" i="41" s="1"/>
  <c r="AG128" i="37"/>
  <c r="L128" i="41"/>
  <c r="O128" i="41" s="1"/>
  <c r="AG191" i="37"/>
  <c r="L191" i="41"/>
  <c r="O191" i="41" s="1"/>
  <c r="AG520" i="37"/>
  <c r="L520" i="41"/>
  <c r="O520" i="41" s="1"/>
  <c r="AG624" i="37"/>
  <c r="L624" i="41"/>
  <c r="O624" i="41" s="1"/>
  <c r="AG622" i="37"/>
  <c r="AG732" i="37"/>
  <c r="L732" i="41"/>
  <c r="O732" i="41" s="1"/>
  <c r="AG740" i="37"/>
  <c r="AG734" i="37"/>
  <c r="L734" i="41"/>
  <c r="O734" i="41" s="1"/>
  <c r="AG507" i="37"/>
  <c r="L507" i="41"/>
  <c r="O507" i="41" s="1"/>
  <c r="AG498" i="37"/>
  <c r="AG746" i="37"/>
  <c r="L746" i="41"/>
  <c r="O746" i="41" s="1"/>
  <c r="L391" i="41"/>
  <c r="O391" i="41" s="1"/>
  <c r="AG396" i="37"/>
  <c r="L396" i="41"/>
  <c r="O396" i="41" s="1"/>
  <c r="AG390" i="37"/>
  <c r="L390" i="41"/>
  <c r="O390" i="41" s="1"/>
  <c r="L488" i="41"/>
  <c r="O488" i="41" s="1"/>
  <c r="AG493" i="37"/>
  <c r="L493" i="41"/>
  <c r="O493" i="41" s="1"/>
  <c r="L494" i="41"/>
  <c r="O494" i="41" s="1"/>
  <c r="AG610" i="37"/>
  <c r="L610" i="41"/>
  <c r="AG618" i="37"/>
  <c r="L618" i="41"/>
  <c r="O618" i="41" s="1"/>
  <c r="W43" i="34"/>
  <c r="X5" i="34"/>
  <c r="X5" i="33"/>
  <c r="W43" i="33"/>
  <c r="L508" i="41" l="1"/>
  <c r="O508" i="41" s="1"/>
  <c r="O724" i="41"/>
  <c r="O594" i="41"/>
  <c r="L124" i="41"/>
  <c r="O124" i="41" s="1"/>
  <c r="L696" i="41"/>
  <c r="O696" i="41" s="1"/>
  <c r="L370" i="41"/>
  <c r="O370" i="41" s="1"/>
  <c r="L377" i="41"/>
  <c r="O377" i="41" s="1"/>
  <c r="L415" i="41"/>
  <c r="O415" i="41" s="1"/>
  <c r="L491" i="41"/>
  <c r="O491" i="41" s="1"/>
  <c r="L626" i="41"/>
  <c r="O626" i="41" s="1"/>
  <c r="L26" i="41"/>
  <c r="O26" i="41" s="1"/>
  <c r="O557" i="41"/>
  <c r="O609" i="41"/>
  <c r="O580" i="41"/>
  <c r="L751" i="41"/>
  <c r="O751" i="41" s="1"/>
  <c r="L35" i="41"/>
  <c r="O35" i="41" s="1"/>
  <c r="L695" i="41"/>
  <c r="O695" i="41" s="1"/>
  <c r="L486" i="41"/>
  <c r="L678" i="41"/>
  <c r="O678" i="41" s="1"/>
  <c r="O283" i="41"/>
  <c r="L510" i="41"/>
  <c r="O510" i="41" s="1"/>
  <c r="L12" i="41"/>
  <c r="O12" i="41" s="1"/>
  <c r="L672" i="41"/>
  <c r="O672" i="41" s="1"/>
  <c r="O727" i="41"/>
  <c r="O530" i="41"/>
  <c r="O593" i="41"/>
  <c r="O537" i="41"/>
  <c r="O590" i="41"/>
  <c r="AG517" i="37"/>
  <c r="O236" i="41"/>
  <c r="O270" i="41"/>
  <c r="O330" i="41"/>
  <c r="L745" i="41"/>
  <c r="O745" i="41" s="1"/>
  <c r="L11" i="41"/>
  <c r="O11" i="41" s="1"/>
  <c r="L646" i="41"/>
  <c r="O646" i="41" s="1"/>
  <c r="O559" i="41"/>
  <c r="O581" i="41"/>
  <c r="O589" i="41"/>
  <c r="O525" i="41"/>
  <c r="O554" i="41"/>
  <c r="O562" i="41"/>
  <c r="L185" i="41"/>
  <c r="O185" i="41" s="1"/>
  <c r="L412" i="41"/>
  <c r="O412" i="41" s="1"/>
  <c r="L616" i="41"/>
  <c r="O616" i="41" s="1"/>
  <c r="L399" i="41"/>
  <c r="O399" i="41" s="1"/>
  <c r="L118" i="41"/>
  <c r="O118" i="41" s="1"/>
  <c r="L710" i="41"/>
  <c r="O710" i="41" s="1"/>
  <c r="L421" i="41"/>
  <c r="O421" i="41" s="1"/>
  <c r="O607" i="41"/>
  <c r="O563" i="41"/>
  <c r="O575" i="41"/>
  <c r="L392" i="41"/>
  <c r="O392" i="41" s="1"/>
  <c r="L636" i="41"/>
  <c r="O636" i="41" s="1"/>
  <c r="L713" i="41"/>
  <c r="O713" i="41" s="1"/>
  <c r="L687" i="41"/>
  <c r="O687" i="41" s="1"/>
  <c r="L716" i="41"/>
  <c r="O716" i="41" s="1"/>
  <c r="L700" i="41"/>
  <c r="O700" i="41" s="1"/>
  <c r="L120" i="41"/>
  <c r="O120" i="41" s="1"/>
  <c r="L123" i="41"/>
  <c r="O123" i="41" s="1"/>
  <c r="O478" i="41"/>
  <c r="L502" i="41"/>
  <c r="O502" i="41" s="1"/>
  <c r="L514" i="41"/>
  <c r="O514" i="41" s="1"/>
  <c r="O230" i="41"/>
  <c r="O233" i="41"/>
  <c r="L27" i="41"/>
  <c r="O27" i="41" s="1"/>
  <c r="L652" i="41"/>
  <c r="O652" i="41" s="1"/>
  <c r="L612" i="41"/>
  <c r="O612" i="41" s="1"/>
  <c r="L632" i="41"/>
  <c r="O632" i="41" s="1"/>
  <c r="L373" i="41"/>
  <c r="O373" i="41" s="1"/>
  <c r="L380" i="41"/>
  <c r="O380" i="41" s="1"/>
  <c r="O721" i="41"/>
  <c r="O723" i="41"/>
  <c r="O585" i="41"/>
  <c r="O529" i="41"/>
  <c r="O566" i="41"/>
  <c r="O574" i="41"/>
  <c r="O220" i="41"/>
  <c r="L748" i="41"/>
  <c r="O748" i="41" s="1"/>
  <c r="L519" i="41"/>
  <c r="O519" i="41" s="1"/>
  <c r="L121" i="41"/>
  <c r="O121" i="41" s="1"/>
  <c r="L385" i="41"/>
  <c r="O385" i="41" s="1"/>
  <c r="O730" i="41"/>
  <c r="L651" i="41"/>
  <c r="O651" i="41" s="1"/>
  <c r="O544" i="41"/>
  <c r="O583" i="41"/>
  <c r="O527" i="41"/>
  <c r="O535" i="41"/>
  <c r="O605" i="41"/>
  <c r="O564" i="41"/>
  <c r="O604" i="41"/>
  <c r="L497" i="41"/>
  <c r="O497" i="41" s="1"/>
  <c r="L650" i="41"/>
  <c r="O650" i="41" s="1"/>
  <c r="L691" i="41"/>
  <c r="O691" i="41" s="1"/>
  <c r="L422" i="41"/>
  <c r="O422" i="41" s="1"/>
  <c r="L423" i="41"/>
  <c r="O423" i="41" s="1"/>
  <c r="L269" i="41"/>
  <c r="O269" i="41" s="1"/>
  <c r="L276" i="41"/>
  <c r="O276" i="41" s="1"/>
  <c r="L272" i="41"/>
  <c r="L240" i="41"/>
  <c r="O240" i="41" s="1"/>
  <c r="L328" i="41"/>
  <c r="O328" i="41" s="1"/>
  <c r="L271" i="41"/>
  <c r="O271" i="41" s="1"/>
  <c r="L333" i="41"/>
  <c r="L223" i="41"/>
  <c r="O223" i="41" s="1"/>
  <c r="L239" i="41"/>
  <c r="O239" i="41" s="1"/>
  <c r="L221" i="41"/>
  <c r="O221" i="41" s="1"/>
  <c r="L237" i="41"/>
  <c r="O237" i="41" s="1"/>
  <c r="L329" i="41"/>
  <c r="L274" i="41"/>
  <c r="L334" i="41"/>
  <c r="O334" i="41" s="1"/>
  <c r="J7" i="46"/>
  <c r="O719" i="41"/>
  <c r="O561" i="41"/>
  <c r="O598" i="41"/>
  <c r="L372" i="41"/>
  <c r="O372" i="41" s="1"/>
  <c r="L611" i="41"/>
  <c r="O611" i="41" s="1"/>
  <c r="L489" i="41"/>
  <c r="O489" i="41" s="1"/>
  <c r="L397" i="41"/>
  <c r="O397" i="41" s="1"/>
  <c r="L509" i="41"/>
  <c r="O509" i="41" s="1"/>
  <c r="L737" i="41"/>
  <c r="O737" i="41" s="1"/>
  <c r="L633" i="41"/>
  <c r="O633" i="41" s="1"/>
  <c r="L187" i="41"/>
  <c r="O187" i="41" s="1"/>
  <c r="L714" i="41"/>
  <c r="O714" i="41" s="1"/>
  <c r="L621" i="41"/>
  <c r="O621" i="41" s="1"/>
  <c r="L638" i="41"/>
  <c r="O638" i="41" s="1"/>
  <c r="L738" i="41"/>
  <c r="O738" i="41" s="1"/>
  <c r="L336" i="41"/>
  <c r="L227" i="41"/>
  <c r="O227" i="41" s="1"/>
  <c r="L279" i="41"/>
  <c r="O279" i="41" s="1"/>
  <c r="L285" i="41"/>
  <c r="O285" i="41" s="1"/>
  <c r="L226" i="41"/>
  <c r="O226" i="41" s="1"/>
  <c r="L273" i="41"/>
  <c r="O273" i="41" s="1"/>
  <c r="L335" i="41"/>
  <c r="O335" i="41" s="1"/>
  <c r="L228" i="41"/>
  <c r="O228" i="41" s="1"/>
  <c r="L268" i="41"/>
  <c r="O268" i="41" s="1"/>
  <c r="L225" i="41"/>
  <c r="O225" i="41" s="1"/>
  <c r="L241" i="41"/>
  <c r="O241" i="41" s="1"/>
  <c r="L332" i="41"/>
  <c r="O332" i="41" s="1"/>
  <c r="L278" i="41"/>
  <c r="O278" i="41" s="1"/>
  <c r="L338" i="41"/>
  <c r="O338" i="41" s="1"/>
  <c r="L383" i="41"/>
  <c r="O383" i="41" s="1"/>
  <c r="AP3" i="37"/>
  <c r="AQ3" i="37" s="1"/>
  <c r="O484" i="41"/>
  <c r="O540" i="41"/>
  <c r="O595" i="41"/>
  <c r="AG750" i="37"/>
  <c r="AC12" i="41" s="1"/>
  <c r="L232" i="41"/>
  <c r="O232" i="41" s="1"/>
  <c r="L281" i="41"/>
  <c r="O281" i="41" s="1"/>
  <c r="L224" i="41"/>
  <c r="O224" i="41" s="1"/>
  <c r="L222" i="41"/>
  <c r="O222" i="41" s="1"/>
  <c r="L234" i="41"/>
  <c r="O234" i="41" s="1"/>
  <c r="L280" i="41"/>
  <c r="O280" i="41" s="1"/>
  <c r="L339" i="41"/>
  <c r="O339" i="41" s="1"/>
  <c r="L231" i="41"/>
  <c r="O231" i="41" s="1"/>
  <c r="L277" i="41"/>
  <c r="O277" i="41" s="1"/>
  <c r="L229" i="41"/>
  <c r="O229" i="41" s="1"/>
  <c r="L275" i="41"/>
  <c r="O275" i="41" s="1"/>
  <c r="L337" i="41"/>
  <c r="O337" i="41" s="1"/>
  <c r="L282" i="41"/>
  <c r="O573" i="41"/>
  <c r="O549" i="41"/>
  <c r="O586" i="41"/>
  <c r="L443" i="41"/>
  <c r="O443" i="41" s="1"/>
  <c r="L479" i="41"/>
  <c r="O479" i="41" s="1"/>
  <c r="L449" i="41"/>
  <c r="O449" i="41" s="1"/>
  <c r="L455" i="41"/>
  <c r="O455" i="41" s="1"/>
  <c r="L475" i="41"/>
  <c r="O475" i="41" s="1"/>
  <c r="L440" i="41"/>
  <c r="O440" i="41" s="1"/>
  <c r="L448" i="41"/>
  <c r="O448" i="41" s="1"/>
  <c r="L465" i="41"/>
  <c r="O465" i="41" s="1"/>
  <c r="L456" i="41"/>
  <c r="O456" i="41" s="1"/>
  <c r="L464" i="41"/>
  <c r="O464" i="41" s="1"/>
  <c r="L472" i="41"/>
  <c r="O472" i="41" s="1"/>
  <c r="L480" i="41"/>
  <c r="O480" i="41" s="1"/>
  <c r="O333" i="41"/>
  <c r="O329" i="41"/>
  <c r="O274" i="41"/>
  <c r="L641" i="41"/>
  <c r="O641" i="41" s="1"/>
  <c r="L368" i="41"/>
  <c r="O368" i="41" s="1"/>
  <c r="L379" i="41"/>
  <c r="O379" i="41" s="1"/>
  <c r="L693" i="41"/>
  <c r="O693" i="41" s="1"/>
  <c r="O572" i="41"/>
  <c r="O596" i="41"/>
  <c r="L617" i="41"/>
  <c r="O617" i="41" s="1"/>
  <c r="L389" i="41"/>
  <c r="O389" i="41" s="1"/>
  <c r="L116" i="41"/>
  <c r="O116" i="41" s="1"/>
  <c r="L677" i="41"/>
  <c r="O677" i="41" s="1"/>
  <c r="L614" i="41"/>
  <c r="O614" i="41" s="1"/>
  <c r="L395" i="41"/>
  <c r="O395" i="41" s="1"/>
  <c r="L749" i="41"/>
  <c r="O749" i="41" s="1"/>
  <c r="L503" i="41"/>
  <c r="O503" i="41" s="1"/>
  <c r="L516" i="41"/>
  <c r="O516" i="41" s="1"/>
  <c r="L190" i="41"/>
  <c r="O190" i="41" s="1"/>
  <c r="L386" i="41"/>
  <c r="O386" i="41" s="1"/>
  <c r="L665" i="41"/>
  <c r="O665" i="41" s="1"/>
  <c r="L425" i="41"/>
  <c r="O425" i="41" s="1"/>
  <c r="L435" i="41"/>
  <c r="O435" i="41" s="1"/>
  <c r="L753" i="41"/>
  <c r="O753" i="41" s="1"/>
  <c r="L513" i="41"/>
  <c r="O513" i="41" s="1"/>
  <c r="L754" i="41"/>
  <c r="O754" i="41" s="1"/>
  <c r="L451" i="41"/>
  <c r="O451" i="41" s="1"/>
  <c r="L461" i="41"/>
  <c r="O461" i="41" s="1"/>
  <c r="L437" i="41"/>
  <c r="O437" i="41" s="1"/>
  <c r="L453" i="41"/>
  <c r="O453" i="41" s="1"/>
  <c r="L471" i="41"/>
  <c r="O471" i="41" s="1"/>
  <c r="L483" i="41"/>
  <c r="O483" i="41" s="1"/>
  <c r="L442" i="41"/>
  <c r="O442" i="41" s="1"/>
  <c r="L450" i="41"/>
  <c r="O450" i="41" s="1"/>
  <c r="L473" i="41"/>
  <c r="O473" i="41" s="1"/>
  <c r="L458" i="41"/>
  <c r="O458" i="41" s="1"/>
  <c r="L466" i="41"/>
  <c r="O466" i="41" s="1"/>
  <c r="L474" i="41"/>
  <c r="O474" i="41" s="1"/>
  <c r="L482" i="41"/>
  <c r="O482" i="41" s="1"/>
  <c r="O336" i="41"/>
  <c r="L717" i="41"/>
  <c r="O717" i="41" s="1"/>
  <c r="AC11" i="41"/>
  <c r="O522" i="41"/>
  <c r="O546" i="41"/>
  <c r="O551" i="41"/>
  <c r="L439" i="41"/>
  <c r="O439" i="41" s="1"/>
  <c r="L447" i="41"/>
  <c r="O447" i="41" s="1"/>
  <c r="L441" i="41"/>
  <c r="O441" i="41" s="1"/>
  <c r="L469" i="41"/>
  <c r="O469" i="41" s="1"/>
  <c r="L459" i="41"/>
  <c r="O459" i="41" s="1"/>
  <c r="L436" i="41"/>
  <c r="O436" i="41" s="1"/>
  <c r="L444" i="41"/>
  <c r="O444" i="41" s="1"/>
  <c r="L452" i="41"/>
  <c r="O452" i="41" s="1"/>
  <c r="L481" i="41"/>
  <c r="O481" i="41" s="1"/>
  <c r="L460" i="41"/>
  <c r="O460" i="41" s="1"/>
  <c r="L468" i="41"/>
  <c r="O468" i="41" s="1"/>
  <c r="L476" i="41"/>
  <c r="O476" i="41" s="1"/>
  <c r="O282" i="41"/>
  <c r="O242" i="41"/>
  <c r="O331" i="41"/>
  <c r="O284" i="41"/>
  <c r="O272" i="41"/>
  <c r="J15" i="46"/>
  <c r="L9" i="46"/>
  <c r="J14" i="46"/>
  <c r="L7" i="46"/>
  <c r="L13" i="46" s="1"/>
  <c r="J13" i="46"/>
  <c r="AP4" i="37"/>
  <c r="AQ4" i="37" s="1"/>
  <c r="AP6" i="37"/>
  <c r="AQ6" i="37" s="1"/>
  <c r="AC10" i="41"/>
  <c r="AP5" i="37"/>
  <c r="AQ5" i="37" s="1"/>
  <c r="O364" i="41"/>
  <c r="AC9" i="41"/>
  <c r="T11" i="41"/>
  <c r="O610" i="41"/>
  <c r="O731" i="41"/>
  <c r="O486" i="41"/>
  <c r="O2" i="41"/>
  <c r="X43" i="33"/>
  <c r="AA5" i="33"/>
  <c r="AA43" i="33" s="1"/>
  <c r="X43" i="34"/>
  <c r="AA5" i="34"/>
  <c r="T10" i="41" l="1"/>
  <c r="W12" i="41"/>
  <c r="G5" i="48"/>
  <c r="G10" i="48"/>
  <c r="T12" i="41"/>
  <c r="Z12" i="41" s="1"/>
  <c r="AH12" i="41" s="1"/>
  <c r="W9" i="41"/>
  <c r="W10" i="41"/>
  <c r="W11" i="41"/>
  <c r="Z11" i="41" s="1"/>
  <c r="AH11" i="41" s="1"/>
  <c r="T9" i="41"/>
  <c r="L15" i="46"/>
  <c r="L14" i="46"/>
  <c r="AP8" i="37"/>
  <c r="AQ8" i="37" s="1"/>
  <c r="Z10" i="41"/>
  <c r="AH10" i="41" s="1"/>
  <c r="AA354" i="37"/>
  <c r="AG354" i="37" s="1"/>
  <c r="AA326" i="37"/>
  <c r="AG326" i="37" s="1"/>
  <c r="AA322" i="37"/>
  <c r="AG322" i="37" s="1"/>
  <c r="AA318" i="37"/>
  <c r="AA314" i="37"/>
  <c r="AG314" i="37" s="1"/>
  <c r="AA310" i="37"/>
  <c r="AG310" i="37" s="1"/>
  <c r="AA264" i="37"/>
  <c r="AG264" i="37" s="1"/>
  <c r="AA260" i="37"/>
  <c r="AG260" i="37" s="1"/>
  <c r="AA256" i="37"/>
  <c r="AG256" i="37" s="1"/>
  <c r="AA178" i="38"/>
  <c r="AA174" i="38"/>
  <c r="AA170" i="38"/>
  <c r="AA143" i="38"/>
  <c r="AA139" i="38"/>
  <c r="AA135" i="38"/>
  <c r="AA131" i="38"/>
  <c r="AA127" i="38"/>
  <c r="AA82" i="38"/>
  <c r="AA78" i="38"/>
  <c r="AA74" i="38"/>
  <c r="AA360" i="37"/>
  <c r="AG360" i="37" s="1"/>
  <c r="AA359" i="37"/>
  <c r="AG359" i="37" s="1"/>
  <c r="AA353" i="37"/>
  <c r="AG353" i="37" s="1"/>
  <c r="AA325" i="37"/>
  <c r="AG325" i="37" s="1"/>
  <c r="AA317" i="37"/>
  <c r="AG317" i="37" s="1"/>
  <c r="AA309" i="37"/>
  <c r="AG309" i="37" s="1"/>
  <c r="AA263" i="37"/>
  <c r="AG263" i="37" s="1"/>
  <c r="AA179" i="38"/>
  <c r="AA140" i="38"/>
  <c r="AA136" i="38"/>
  <c r="AA128" i="38"/>
  <c r="AA83" i="38"/>
  <c r="AA75" i="38"/>
  <c r="AA355" i="37"/>
  <c r="AG355" i="37" s="1"/>
  <c r="AA327" i="37"/>
  <c r="AG327" i="37" s="1"/>
  <c r="AA323" i="37"/>
  <c r="AG323" i="37" s="1"/>
  <c r="AA319" i="37"/>
  <c r="AG319" i="37" s="1"/>
  <c r="AA315" i="37"/>
  <c r="AG315" i="37" s="1"/>
  <c r="AA311" i="37"/>
  <c r="AG311" i="37" s="1"/>
  <c r="AA265" i="37"/>
  <c r="AG265" i="37" s="1"/>
  <c r="AA261" i="37"/>
  <c r="AG261" i="37" s="1"/>
  <c r="AA257" i="37"/>
  <c r="AG257" i="37" s="1"/>
  <c r="AA181" i="38"/>
  <c r="AA177" i="38"/>
  <c r="AA173" i="38"/>
  <c r="AA142" i="38"/>
  <c r="AA138" i="38"/>
  <c r="AA134" i="38"/>
  <c r="AA130" i="38"/>
  <c r="AA85" i="38"/>
  <c r="AA81" i="38"/>
  <c r="AA77" i="38"/>
  <c r="AA363" i="37"/>
  <c r="AG363" i="37" s="1"/>
  <c r="AA361" i="37"/>
  <c r="AG361" i="37" s="1"/>
  <c r="AA356" i="37"/>
  <c r="AG356" i="37" s="1"/>
  <c r="AA352" i="37"/>
  <c r="AA324" i="37"/>
  <c r="AG324" i="37" s="1"/>
  <c r="AA320" i="37"/>
  <c r="AG320" i="37" s="1"/>
  <c r="AA316" i="37"/>
  <c r="AG316" i="37" s="1"/>
  <c r="AA312" i="37"/>
  <c r="AA266" i="37"/>
  <c r="AG266" i="37" s="1"/>
  <c r="AA262" i="37"/>
  <c r="AG262" i="37" s="1"/>
  <c r="AA258" i="37"/>
  <c r="AG258" i="37" s="1"/>
  <c r="AA180" i="38"/>
  <c r="AA176" i="38"/>
  <c r="AA172" i="38"/>
  <c r="AA145" i="38"/>
  <c r="AA141" i="38"/>
  <c r="AA137" i="38"/>
  <c r="AA133" i="38"/>
  <c r="AA129" i="38"/>
  <c r="AA84" i="38"/>
  <c r="AA80" i="38"/>
  <c r="AA76" i="38"/>
  <c r="AA362" i="37"/>
  <c r="AG362" i="37" s="1"/>
  <c r="AA358" i="37"/>
  <c r="AG358" i="37" s="1"/>
  <c r="AA357" i="37"/>
  <c r="AG357" i="37" s="1"/>
  <c r="AA321" i="37"/>
  <c r="AG321" i="37" s="1"/>
  <c r="AA313" i="37"/>
  <c r="AG313" i="37" s="1"/>
  <c r="AA267" i="37"/>
  <c r="AG267" i="37" s="1"/>
  <c r="AA259" i="37"/>
  <c r="AG259" i="37" s="1"/>
  <c r="AA175" i="38"/>
  <c r="AA171" i="38"/>
  <c r="AA144" i="38"/>
  <c r="AA132" i="38"/>
  <c r="AA79" i="38"/>
  <c r="AA43" i="34"/>
  <c r="AG318" i="37"/>
  <c r="AA219" i="37"/>
  <c r="AA215" i="37"/>
  <c r="AA211" i="37"/>
  <c r="AA183" i="37"/>
  <c r="AA179" i="37"/>
  <c r="AA175" i="37"/>
  <c r="AA171" i="37"/>
  <c r="AA167" i="37"/>
  <c r="AA163" i="37"/>
  <c r="AA76" i="37"/>
  <c r="AA72" i="37"/>
  <c r="AA68" i="37"/>
  <c r="AA64" i="37"/>
  <c r="AA30" i="37"/>
  <c r="AA22" i="37"/>
  <c r="AA18" i="37"/>
  <c r="AA14" i="37"/>
  <c r="AA218" i="37"/>
  <c r="AA214" i="37"/>
  <c r="AA210" i="37"/>
  <c r="AA182" i="37"/>
  <c r="AA178" i="37"/>
  <c r="AA174" i="37"/>
  <c r="AA170" i="37"/>
  <c r="AA166" i="37"/>
  <c r="AA162" i="37"/>
  <c r="AA75" i="37"/>
  <c r="AA71" i="37"/>
  <c r="AA67" i="37"/>
  <c r="AA29" i="37"/>
  <c r="AA25" i="37"/>
  <c r="AA21" i="37"/>
  <c r="AA17" i="37"/>
  <c r="AG352" i="37"/>
  <c r="AG312" i="37"/>
  <c r="AA217" i="37"/>
  <c r="AA213" i="37"/>
  <c r="AA209" i="37"/>
  <c r="AA181" i="37"/>
  <c r="AA177" i="37"/>
  <c r="AA173" i="37"/>
  <c r="AA169" i="37"/>
  <c r="AA165" i="37"/>
  <c r="AA161" i="37"/>
  <c r="AA78" i="37"/>
  <c r="AA74" i="37"/>
  <c r="AA70" i="37"/>
  <c r="AA66" i="37"/>
  <c r="AA24" i="37"/>
  <c r="AA20" i="37"/>
  <c r="AA16" i="37"/>
  <c r="AA212" i="37"/>
  <c r="AA168" i="37"/>
  <c r="AA77" i="37"/>
  <c r="AA172" i="37"/>
  <c r="AA65" i="37"/>
  <c r="AA208" i="37"/>
  <c r="AA180" i="37"/>
  <c r="AA164" i="37"/>
  <c r="AA73" i="37"/>
  <c r="AA23" i="37"/>
  <c r="AA15" i="37"/>
  <c r="AA176" i="37"/>
  <c r="AA69" i="37"/>
  <c r="AA19" i="37"/>
  <c r="AA216" i="37"/>
  <c r="AA31" i="37"/>
  <c r="Z9" i="41" l="1"/>
  <c r="AH9" i="41" s="1"/>
  <c r="AG65" i="37"/>
  <c r="L65" i="41"/>
  <c r="O65" i="41" s="1"/>
  <c r="AG70" i="37"/>
  <c r="L70" i="41"/>
  <c r="O70" i="41" s="1"/>
  <c r="AG162" i="37"/>
  <c r="L162" i="41"/>
  <c r="O162" i="41" s="1"/>
  <c r="AG218" i="37"/>
  <c r="L218" i="41"/>
  <c r="O218" i="41" s="1"/>
  <c r="AG215" i="37"/>
  <c r="L215" i="41"/>
  <c r="O215" i="41" s="1"/>
  <c r="AG208" i="37"/>
  <c r="L208" i="41"/>
  <c r="O208" i="41" s="1"/>
  <c r="AG31" i="37"/>
  <c r="L31" i="41"/>
  <c r="O31" i="41" s="1"/>
  <c r="AG176" i="37"/>
  <c r="L176" i="41"/>
  <c r="O176" i="41" s="1"/>
  <c r="AG15" i="37"/>
  <c r="L15" i="41"/>
  <c r="O15" i="41" s="1"/>
  <c r="AG73" i="37"/>
  <c r="L73" i="41"/>
  <c r="O73" i="41" s="1"/>
  <c r="AG168" i="37"/>
  <c r="L168" i="41"/>
  <c r="O168" i="41" s="1"/>
  <c r="AG66" i="37"/>
  <c r="L66" i="41"/>
  <c r="O66" i="41" s="1"/>
  <c r="AG161" i="37"/>
  <c r="L161" i="41"/>
  <c r="O161" i="41" s="1"/>
  <c r="AG177" i="37"/>
  <c r="L177" i="41"/>
  <c r="O177" i="41" s="1"/>
  <c r="AG217" i="37"/>
  <c r="L217" i="41"/>
  <c r="O217" i="41" s="1"/>
  <c r="AG25" i="37"/>
  <c r="L25" i="41"/>
  <c r="O25" i="41" s="1"/>
  <c r="AG75" i="37"/>
  <c r="L75" i="41"/>
  <c r="O75" i="41" s="1"/>
  <c r="AG174" i="37"/>
  <c r="L174" i="41"/>
  <c r="O174" i="41" s="1"/>
  <c r="AG214" i="37"/>
  <c r="L214" i="41"/>
  <c r="O214" i="41" s="1"/>
  <c r="AG22" i="37"/>
  <c r="L22" i="41"/>
  <c r="O22" i="41" s="1"/>
  <c r="AG72" i="37"/>
  <c r="L72" i="41"/>
  <c r="O72" i="41" s="1"/>
  <c r="AG171" i="37"/>
  <c r="L171" i="41"/>
  <c r="O171" i="41" s="1"/>
  <c r="AG211" i="37"/>
  <c r="L211" i="41"/>
  <c r="O211" i="41" s="1"/>
  <c r="AG216" i="37"/>
  <c r="L216" i="41"/>
  <c r="O216" i="41" s="1"/>
  <c r="AG30" i="37"/>
  <c r="L30" i="41"/>
  <c r="O30" i="41" s="1"/>
  <c r="AG164" i="37"/>
  <c r="L164" i="41"/>
  <c r="O164" i="41" s="1"/>
  <c r="AG16" i="37"/>
  <c r="L16" i="41"/>
  <c r="O16" i="41" s="1"/>
  <c r="AG181" i="37"/>
  <c r="L181" i="41"/>
  <c r="O181" i="41" s="1"/>
  <c r="AG29" i="37"/>
  <c r="L29" i="41"/>
  <c r="O29" i="41" s="1"/>
  <c r="AG178" i="37"/>
  <c r="L178" i="41"/>
  <c r="O178" i="41" s="1"/>
  <c r="AG76" i="37"/>
  <c r="L76" i="41"/>
  <c r="O76" i="41" s="1"/>
  <c r="AG19" i="37"/>
  <c r="L19" i="41"/>
  <c r="O19" i="41" s="1"/>
  <c r="AG180" i="37"/>
  <c r="L180" i="41"/>
  <c r="O180" i="41" s="1"/>
  <c r="AG172" i="37"/>
  <c r="L172" i="41"/>
  <c r="O172" i="41" s="1"/>
  <c r="AG20" i="37"/>
  <c r="L20" i="41"/>
  <c r="O20" i="41" s="1"/>
  <c r="AG74" i="37"/>
  <c r="L74" i="41"/>
  <c r="O74" i="41" s="1"/>
  <c r="AG169" i="37"/>
  <c r="L169" i="41"/>
  <c r="O169" i="41" s="1"/>
  <c r="AG209" i="37"/>
  <c r="L209" i="41"/>
  <c r="O209" i="41" s="1"/>
  <c r="AG17" i="37"/>
  <c r="L17" i="41"/>
  <c r="O17" i="41" s="1"/>
  <c r="AG67" i="37"/>
  <c r="L67" i="41"/>
  <c r="O67" i="41" s="1"/>
  <c r="AG166" i="37"/>
  <c r="L166" i="41"/>
  <c r="O166" i="41" s="1"/>
  <c r="AG182" i="37"/>
  <c r="L182" i="41"/>
  <c r="O182" i="41" s="1"/>
  <c r="AG14" i="37"/>
  <c r="L14" i="41"/>
  <c r="AG64" i="37"/>
  <c r="L64" i="41"/>
  <c r="O64" i="41" s="1"/>
  <c r="AG163" i="37"/>
  <c r="L163" i="41"/>
  <c r="O163" i="41" s="1"/>
  <c r="AG179" i="37"/>
  <c r="L179" i="41"/>
  <c r="O179" i="41" s="1"/>
  <c r="AG219" i="37"/>
  <c r="L362" i="41"/>
  <c r="O362" i="41" s="1"/>
  <c r="L358" i="41"/>
  <c r="O358" i="41" s="1"/>
  <c r="L354" i="41"/>
  <c r="O354" i="41" s="1"/>
  <c r="L326" i="41"/>
  <c r="O326" i="41" s="1"/>
  <c r="L322" i="41"/>
  <c r="O322" i="41" s="1"/>
  <c r="L318" i="41"/>
  <c r="O318" i="41" s="1"/>
  <c r="L314" i="41"/>
  <c r="O314" i="41" s="1"/>
  <c r="L310" i="41"/>
  <c r="O310" i="41" s="1"/>
  <c r="L266" i="41"/>
  <c r="O266" i="41" s="1"/>
  <c r="L262" i="41"/>
  <c r="O262" i="41" s="1"/>
  <c r="L258" i="41"/>
  <c r="O258" i="41" s="1"/>
  <c r="L363" i="41"/>
  <c r="O363" i="41" s="1"/>
  <c r="L355" i="41"/>
  <c r="O355" i="41" s="1"/>
  <c r="L324" i="41"/>
  <c r="O324" i="41" s="1"/>
  <c r="L321" i="41"/>
  <c r="O321" i="41" s="1"/>
  <c r="L316" i="41"/>
  <c r="O316" i="41" s="1"/>
  <c r="L313" i="41"/>
  <c r="O313" i="41" s="1"/>
  <c r="L267" i="41"/>
  <c r="O267" i="41" s="1"/>
  <c r="L259" i="41"/>
  <c r="O259" i="41" s="1"/>
  <c r="L361" i="41"/>
  <c r="O361" i="41" s="1"/>
  <c r="L359" i="41"/>
  <c r="O359" i="41" s="1"/>
  <c r="L352" i="41"/>
  <c r="O352" i="41" s="1"/>
  <c r="L261" i="41"/>
  <c r="O261" i="41" s="1"/>
  <c r="L357" i="41"/>
  <c r="O357" i="41" s="1"/>
  <c r="L327" i="41"/>
  <c r="O327" i="41" s="1"/>
  <c r="L325" i="41"/>
  <c r="O325" i="41" s="1"/>
  <c r="L323" i="41"/>
  <c r="O323" i="41" s="1"/>
  <c r="L319" i="41"/>
  <c r="O319" i="41" s="1"/>
  <c r="L317" i="41"/>
  <c r="O317" i="41" s="1"/>
  <c r="L315" i="41"/>
  <c r="O315" i="41" s="1"/>
  <c r="L311" i="41"/>
  <c r="O311" i="41" s="1"/>
  <c r="L309" i="41"/>
  <c r="O309" i="41" s="1"/>
  <c r="L264" i="41"/>
  <c r="O264" i="41" s="1"/>
  <c r="L257" i="41"/>
  <c r="O257" i="41" s="1"/>
  <c r="L263" i="41"/>
  <c r="O263" i="41" s="1"/>
  <c r="L256" i="41"/>
  <c r="O256" i="41" s="1"/>
  <c r="L356" i="41"/>
  <c r="O356" i="41" s="1"/>
  <c r="L320" i="41"/>
  <c r="O320" i="41" s="1"/>
  <c r="L265" i="41"/>
  <c r="O265" i="41" s="1"/>
  <c r="L260" i="41"/>
  <c r="O260" i="41" s="1"/>
  <c r="L353" i="41"/>
  <c r="O353" i="41" s="1"/>
  <c r="L312" i="41"/>
  <c r="O312" i="41" s="1"/>
  <c r="L360" i="41"/>
  <c r="O360" i="41" s="1"/>
  <c r="L219" i="41"/>
  <c r="O219" i="41" s="1"/>
  <c r="AG212" i="37"/>
  <c r="L212" i="41"/>
  <c r="O212" i="41" s="1"/>
  <c r="AG165" i="37"/>
  <c r="L165" i="41"/>
  <c r="O165" i="41" s="1"/>
  <c r="AG175" i="37"/>
  <c r="L175" i="41"/>
  <c r="O175" i="41" s="1"/>
  <c r="AG69" i="37"/>
  <c r="L69" i="41"/>
  <c r="O69" i="41" s="1"/>
  <c r="AG23" i="37"/>
  <c r="L23" i="41"/>
  <c r="O23" i="41" s="1"/>
  <c r="AG77" i="37"/>
  <c r="L77" i="41"/>
  <c r="O77" i="41" s="1"/>
  <c r="AG24" i="37"/>
  <c r="L24" i="41"/>
  <c r="O24" i="41" s="1"/>
  <c r="AG78" i="37"/>
  <c r="L78" i="41"/>
  <c r="O78" i="41" s="1"/>
  <c r="AG173" i="37"/>
  <c r="L173" i="41"/>
  <c r="O173" i="41" s="1"/>
  <c r="AG213" i="37"/>
  <c r="L213" i="41"/>
  <c r="O213" i="41" s="1"/>
  <c r="AG21" i="37"/>
  <c r="L21" i="41"/>
  <c r="O21" i="41" s="1"/>
  <c r="AG71" i="37"/>
  <c r="L71" i="41"/>
  <c r="O71" i="41" s="1"/>
  <c r="AG170" i="37"/>
  <c r="L170" i="41"/>
  <c r="O170" i="41" s="1"/>
  <c r="AG210" i="37"/>
  <c r="L210" i="41"/>
  <c r="O210" i="41" s="1"/>
  <c r="AG18" i="37"/>
  <c r="L18" i="41"/>
  <c r="O18" i="41" s="1"/>
  <c r="AG68" i="37"/>
  <c r="AP2" i="37" s="1"/>
  <c r="AP7" i="37" s="1"/>
  <c r="L68" i="41"/>
  <c r="O68" i="41" s="1"/>
  <c r="AG167" i="37"/>
  <c r="L167" i="41"/>
  <c r="O167" i="41" s="1"/>
  <c r="AG183" i="37"/>
  <c r="L183" i="41"/>
  <c r="O183" i="41" s="1"/>
  <c r="O14" i="41" l="1"/>
  <c r="W7" i="41" s="1"/>
  <c r="T7" i="41"/>
  <c r="AC7" i="41"/>
  <c r="AQ2" i="37"/>
  <c r="AQ7" i="37"/>
  <c r="AP9" i="37"/>
  <c r="AQ9" i="37" s="1"/>
  <c r="Z7" i="41" l="1"/>
  <c r="AH7" i="41" s="1"/>
  <c r="J2" i="41"/>
  <c r="K2" i="41"/>
  <c r="M2" i="41"/>
  <c r="N2" i="41"/>
  <c r="J3" i="41"/>
  <c r="K3" i="41"/>
  <c r="M3" i="41"/>
  <c r="N3" i="41"/>
  <c r="J4" i="41"/>
  <c r="K4" i="41"/>
  <c r="M4" i="41"/>
  <c r="N4" i="41"/>
  <c r="J5" i="41"/>
  <c r="K5" i="41"/>
  <c r="M5" i="41"/>
  <c r="N5" i="41"/>
  <c r="J6" i="41"/>
  <c r="K6" i="41"/>
  <c r="M6" i="41"/>
  <c r="N6" i="41"/>
  <c r="J7" i="41"/>
  <c r="K7" i="41"/>
  <c r="M7" i="41"/>
  <c r="N7" i="41"/>
  <c r="R7" i="41"/>
  <c r="S7" i="41"/>
  <c r="U7" i="41"/>
  <c r="V7" i="41"/>
  <c r="X7" i="41"/>
  <c r="Y7" i="41"/>
  <c r="AA7" i="41"/>
  <c r="AB7" i="41"/>
  <c r="AD7" i="41"/>
  <c r="AE7" i="41"/>
  <c r="AF7" i="41"/>
  <c r="AG7" i="41"/>
  <c r="AI7" i="41"/>
  <c r="AJ7" i="41"/>
  <c r="J8" i="41"/>
  <c r="K8" i="41"/>
  <c r="M8" i="41"/>
  <c r="N8" i="41"/>
  <c r="J9" i="41"/>
  <c r="K9" i="41"/>
  <c r="M9" i="41"/>
  <c r="N9" i="41"/>
  <c r="S9" i="41"/>
  <c r="V9" i="41"/>
  <c r="Y9" i="41"/>
  <c r="AB9" i="41"/>
  <c r="AE9" i="41"/>
  <c r="AG9" i="41"/>
  <c r="AJ9" i="41"/>
  <c r="J10" i="41"/>
  <c r="K10" i="41"/>
  <c r="M10" i="41"/>
  <c r="N10" i="41"/>
  <c r="S10" i="41"/>
  <c r="V10" i="41"/>
  <c r="Y10" i="41"/>
  <c r="AB10" i="41"/>
  <c r="AE10" i="41"/>
  <c r="AG10" i="41"/>
  <c r="AJ10" i="41"/>
  <c r="J11" i="41"/>
  <c r="K11" i="41"/>
  <c r="M11" i="41"/>
  <c r="N11" i="41"/>
  <c r="S11" i="41"/>
  <c r="V11" i="41"/>
  <c r="Y11" i="41"/>
  <c r="AB11" i="41"/>
  <c r="AE11" i="41"/>
  <c r="AG11" i="41"/>
  <c r="AJ11" i="41"/>
  <c r="J12" i="41"/>
  <c r="K12" i="41"/>
  <c r="M12" i="41"/>
  <c r="N12" i="41"/>
  <c r="S12" i="41"/>
  <c r="V12" i="41"/>
  <c r="Y12" i="41"/>
  <c r="AB12" i="41"/>
  <c r="AG12" i="41"/>
  <c r="AJ12" i="41"/>
  <c r="J13" i="41"/>
  <c r="K13" i="41"/>
  <c r="M13" i="41"/>
  <c r="N13" i="41"/>
  <c r="J14" i="41"/>
  <c r="K14" i="41"/>
  <c r="M14" i="41"/>
  <c r="N14" i="41"/>
  <c r="J15" i="41"/>
  <c r="K15" i="41"/>
  <c r="M15" i="41"/>
  <c r="N15" i="41"/>
  <c r="J16" i="41"/>
  <c r="K16" i="41"/>
  <c r="M16" i="41"/>
  <c r="N16" i="41"/>
  <c r="J17" i="41"/>
  <c r="K17" i="41"/>
  <c r="M17" i="41"/>
  <c r="N17" i="41"/>
  <c r="J18" i="41"/>
  <c r="K18" i="41"/>
  <c r="M18" i="41"/>
  <c r="N18" i="41"/>
  <c r="J19" i="41"/>
  <c r="K19" i="41"/>
  <c r="M19" i="41"/>
  <c r="N19" i="41"/>
  <c r="J20" i="41"/>
  <c r="K20" i="41"/>
  <c r="M20" i="41"/>
  <c r="N20" i="41"/>
  <c r="J21" i="41"/>
  <c r="K21" i="41"/>
  <c r="M21" i="41"/>
  <c r="N21" i="41"/>
  <c r="J22" i="41"/>
  <c r="K22" i="41"/>
  <c r="M22" i="41"/>
  <c r="N22" i="41"/>
  <c r="J23" i="41"/>
  <c r="K23" i="41"/>
  <c r="M23" i="41"/>
  <c r="N23" i="41"/>
  <c r="J24" i="41"/>
  <c r="K24" i="41"/>
  <c r="M24" i="41"/>
  <c r="N24" i="41"/>
  <c r="J25" i="41"/>
  <c r="K25" i="41"/>
  <c r="M25" i="41"/>
  <c r="N25" i="41"/>
  <c r="J26" i="41"/>
  <c r="K26" i="41"/>
  <c r="M26" i="41"/>
  <c r="N26" i="41"/>
  <c r="J27" i="41"/>
  <c r="K27" i="41"/>
  <c r="M27" i="41"/>
  <c r="N27" i="41"/>
  <c r="J28" i="41"/>
  <c r="K28" i="41"/>
  <c r="M28" i="41"/>
  <c r="N28" i="41"/>
  <c r="J29" i="41"/>
  <c r="K29" i="41"/>
  <c r="M29" i="41"/>
  <c r="N29" i="41"/>
  <c r="J30" i="41"/>
  <c r="K30" i="41"/>
  <c r="M30" i="41"/>
  <c r="N30" i="41"/>
  <c r="J31" i="41"/>
  <c r="K31" i="41"/>
  <c r="M31" i="41"/>
  <c r="N31" i="41"/>
  <c r="K32" i="41"/>
  <c r="N32" i="41"/>
  <c r="K33" i="41"/>
  <c r="N33" i="41"/>
  <c r="K34" i="41"/>
  <c r="N34" i="41"/>
  <c r="K35" i="41"/>
  <c r="N35" i="41"/>
  <c r="K36" i="41"/>
  <c r="N36" i="41"/>
  <c r="K37" i="41"/>
  <c r="N37" i="41"/>
  <c r="K38" i="41"/>
  <c r="N38" i="41"/>
  <c r="K39" i="41"/>
  <c r="N39" i="41"/>
  <c r="K40" i="41"/>
  <c r="N40" i="41"/>
  <c r="K41" i="41"/>
  <c r="N41" i="41"/>
  <c r="K42" i="41"/>
  <c r="N42" i="41"/>
  <c r="K43" i="41"/>
  <c r="N43" i="41"/>
  <c r="K44" i="41"/>
  <c r="N44" i="41"/>
  <c r="K45" i="41"/>
  <c r="N45" i="41"/>
  <c r="J46" i="41"/>
  <c r="M46" i="41"/>
  <c r="J47" i="41"/>
  <c r="M47" i="41"/>
  <c r="J48" i="41"/>
  <c r="M48" i="41"/>
  <c r="J49" i="41"/>
  <c r="M49" i="41"/>
  <c r="J50" i="41"/>
  <c r="M50" i="41"/>
  <c r="J51" i="41"/>
  <c r="M51" i="41"/>
  <c r="J52" i="41"/>
  <c r="M52" i="41"/>
  <c r="J53" i="41"/>
  <c r="M53" i="41"/>
  <c r="J54" i="41"/>
  <c r="M54" i="41"/>
  <c r="J55" i="41"/>
  <c r="M55" i="41"/>
  <c r="J56" i="41"/>
  <c r="M56" i="41"/>
  <c r="J57" i="41"/>
  <c r="M57" i="41"/>
  <c r="J58" i="41"/>
  <c r="M58" i="41"/>
  <c r="J59" i="41"/>
  <c r="M59" i="41"/>
  <c r="J60" i="41"/>
  <c r="M60" i="41"/>
  <c r="J61" i="41"/>
  <c r="M61" i="41"/>
  <c r="J62" i="41"/>
  <c r="M62" i="41"/>
  <c r="J63" i="41"/>
  <c r="M63" i="41"/>
  <c r="K64" i="41"/>
  <c r="N64" i="41"/>
  <c r="K65" i="41"/>
  <c r="N65" i="41"/>
  <c r="K66" i="41"/>
  <c r="N66" i="41"/>
  <c r="K67" i="41"/>
  <c r="N67" i="41"/>
  <c r="K68" i="41"/>
  <c r="N68" i="41"/>
  <c r="K69" i="41"/>
  <c r="N69" i="41"/>
  <c r="K70" i="41"/>
  <c r="N70" i="41"/>
  <c r="K71" i="41"/>
  <c r="N71" i="41"/>
  <c r="K72" i="41"/>
  <c r="N72" i="41"/>
  <c r="K73" i="41"/>
  <c r="N73" i="41"/>
  <c r="K74" i="41"/>
  <c r="N74" i="41"/>
  <c r="K75" i="41"/>
  <c r="N75" i="41"/>
  <c r="K76" i="41"/>
  <c r="N76" i="41"/>
  <c r="K77" i="41"/>
  <c r="N77" i="41"/>
  <c r="K78" i="41"/>
  <c r="N78" i="41"/>
  <c r="K79" i="41"/>
  <c r="N79" i="41"/>
  <c r="K80" i="41"/>
  <c r="N80" i="41"/>
  <c r="K81" i="41"/>
  <c r="N81" i="41"/>
  <c r="K82" i="41"/>
  <c r="N82" i="41"/>
  <c r="K83" i="41"/>
  <c r="N83" i="41"/>
  <c r="K84" i="41"/>
  <c r="N84" i="41"/>
  <c r="K85" i="41"/>
  <c r="N85" i="41"/>
  <c r="K86" i="41"/>
  <c r="N86" i="41"/>
  <c r="K87" i="41"/>
  <c r="N87" i="41"/>
  <c r="K88" i="41"/>
  <c r="N88" i="41"/>
  <c r="K89" i="41"/>
  <c r="N89" i="41"/>
  <c r="K90" i="41"/>
  <c r="N90" i="41"/>
  <c r="J91" i="41"/>
  <c r="M91" i="41"/>
  <c r="J92" i="41"/>
  <c r="M92" i="41"/>
  <c r="J93" i="41"/>
  <c r="M93" i="41"/>
  <c r="J94" i="41"/>
  <c r="M94" i="41"/>
  <c r="J95" i="41"/>
  <c r="M95" i="41"/>
  <c r="J96" i="41"/>
  <c r="M96" i="41"/>
  <c r="J97" i="41"/>
  <c r="M97" i="41"/>
  <c r="J98" i="41"/>
  <c r="M98" i="41"/>
  <c r="J99" i="41"/>
  <c r="M99" i="41"/>
  <c r="J100" i="41"/>
  <c r="M100" i="41"/>
  <c r="J101" i="41"/>
  <c r="M101" i="41"/>
  <c r="J102" i="41"/>
  <c r="M102" i="41"/>
  <c r="K103" i="41"/>
  <c r="N103" i="41"/>
  <c r="K104" i="41"/>
  <c r="N104" i="41"/>
  <c r="K105" i="41"/>
  <c r="N105" i="41"/>
  <c r="K106" i="41"/>
  <c r="N106" i="41"/>
  <c r="K107" i="41"/>
  <c r="N107" i="41"/>
  <c r="K108" i="41"/>
  <c r="N108" i="41"/>
  <c r="K109" i="41"/>
  <c r="N109" i="41"/>
  <c r="K110" i="41"/>
  <c r="N110" i="41"/>
  <c r="K111" i="41"/>
  <c r="N111" i="41"/>
  <c r="K112" i="41"/>
  <c r="N112" i="41"/>
  <c r="K113" i="41"/>
  <c r="N113" i="41"/>
  <c r="K114" i="41"/>
  <c r="N114" i="41"/>
  <c r="K115" i="41"/>
  <c r="N115" i="41"/>
  <c r="K116" i="41"/>
  <c r="N116" i="41"/>
  <c r="K117" i="41"/>
  <c r="N117" i="41"/>
  <c r="K118" i="41"/>
  <c r="N118" i="41"/>
  <c r="K119" i="41"/>
  <c r="N119" i="41"/>
  <c r="K120" i="41"/>
  <c r="N120" i="41"/>
  <c r="K121" i="41"/>
  <c r="N121" i="41"/>
  <c r="K122" i="41"/>
  <c r="N122" i="41"/>
  <c r="K123" i="41"/>
  <c r="N123" i="41"/>
  <c r="K124" i="41"/>
  <c r="N124" i="41"/>
  <c r="K125" i="41"/>
  <c r="N125" i="41"/>
  <c r="K126" i="41"/>
  <c r="N126" i="41"/>
  <c r="K127" i="41"/>
  <c r="N127" i="41"/>
  <c r="K128" i="41"/>
  <c r="N128" i="41"/>
  <c r="K129" i="41"/>
  <c r="N129" i="41"/>
  <c r="K130" i="41"/>
  <c r="N130" i="41"/>
  <c r="K131" i="41"/>
  <c r="N131" i="41"/>
  <c r="K132" i="41"/>
  <c r="N132" i="41"/>
  <c r="K133" i="41"/>
  <c r="N133" i="41"/>
  <c r="K134" i="41"/>
  <c r="N134" i="41"/>
  <c r="K135" i="41"/>
  <c r="N135" i="41"/>
  <c r="K136" i="41"/>
  <c r="N136" i="41"/>
  <c r="K137" i="41"/>
  <c r="N137" i="41"/>
  <c r="J138" i="41"/>
  <c r="M138" i="41"/>
  <c r="J139" i="41"/>
  <c r="M139" i="41"/>
  <c r="J140" i="41"/>
  <c r="M140" i="41"/>
  <c r="J141" i="41"/>
  <c r="M141" i="41"/>
  <c r="J142" i="41"/>
  <c r="M142" i="41"/>
  <c r="J143" i="41"/>
  <c r="M143" i="41"/>
  <c r="J144" i="41"/>
  <c r="M144" i="41"/>
  <c r="J145" i="41"/>
  <c r="M145" i="41"/>
  <c r="J146" i="41"/>
  <c r="M146" i="41"/>
  <c r="J147" i="41"/>
  <c r="M147" i="41"/>
  <c r="J148" i="41"/>
  <c r="M148" i="41"/>
  <c r="J149" i="41"/>
  <c r="M149" i="41"/>
  <c r="J150" i="41"/>
  <c r="M150" i="41"/>
  <c r="J151" i="41"/>
  <c r="M151" i="41"/>
  <c r="J152" i="41"/>
  <c r="M152" i="41"/>
  <c r="J153" i="41"/>
  <c r="M153" i="41"/>
  <c r="J154" i="41"/>
  <c r="M154" i="41"/>
  <c r="J155" i="41"/>
  <c r="M155" i="41"/>
  <c r="J156" i="41"/>
  <c r="M156" i="41"/>
  <c r="J157" i="41"/>
  <c r="M157" i="41"/>
  <c r="J158" i="41"/>
  <c r="M158" i="41"/>
  <c r="J159" i="41"/>
  <c r="M159" i="41"/>
  <c r="J160" i="41"/>
  <c r="M160" i="41"/>
  <c r="K161" i="41"/>
  <c r="N161" i="41"/>
  <c r="K162" i="41"/>
  <c r="N162" i="41"/>
  <c r="K163" i="41"/>
  <c r="N163" i="41"/>
  <c r="K164" i="41"/>
  <c r="N164" i="41"/>
  <c r="K165" i="41"/>
  <c r="N165" i="41"/>
  <c r="K166" i="41"/>
  <c r="N166" i="41"/>
  <c r="K167" i="41"/>
  <c r="N167" i="41"/>
  <c r="K168" i="41"/>
  <c r="N168" i="41"/>
  <c r="K169" i="41"/>
  <c r="N169" i="41"/>
  <c r="K170" i="41"/>
  <c r="N170" i="41"/>
  <c r="K171" i="41"/>
  <c r="N171" i="41"/>
  <c r="K172" i="41"/>
  <c r="N172" i="41"/>
  <c r="K173" i="41"/>
  <c r="N173" i="41"/>
  <c r="K174" i="41"/>
  <c r="N174" i="41"/>
  <c r="K175" i="41"/>
  <c r="N175" i="41"/>
  <c r="K176" i="41"/>
  <c r="N176" i="41"/>
  <c r="K177" i="41"/>
  <c r="N177" i="41"/>
  <c r="K178" i="41"/>
  <c r="N178" i="41"/>
  <c r="K179" i="41"/>
  <c r="N179" i="41"/>
  <c r="K180" i="41"/>
  <c r="N180" i="41"/>
  <c r="K181" i="41"/>
  <c r="N181" i="41"/>
  <c r="K182" i="41"/>
  <c r="N182" i="41"/>
  <c r="K183" i="41"/>
  <c r="N183" i="41"/>
  <c r="K184" i="41"/>
  <c r="N184" i="41"/>
  <c r="K185" i="41"/>
  <c r="N185" i="41"/>
  <c r="K186" i="41"/>
  <c r="N186" i="41"/>
  <c r="K187" i="41"/>
  <c r="N187" i="41"/>
  <c r="K188" i="41"/>
  <c r="N188" i="41"/>
  <c r="K189" i="41"/>
  <c r="N189" i="41"/>
  <c r="K190" i="41"/>
  <c r="N190" i="41"/>
  <c r="K191" i="41"/>
  <c r="N191" i="41"/>
  <c r="K192" i="41"/>
  <c r="N192" i="41"/>
  <c r="K193" i="41"/>
  <c r="N193" i="41"/>
  <c r="K194" i="41"/>
  <c r="N194" i="41"/>
  <c r="K195" i="41"/>
  <c r="N195" i="41"/>
  <c r="J196" i="41"/>
  <c r="M196" i="41"/>
  <c r="J197" i="41"/>
  <c r="M197" i="41"/>
  <c r="J198" i="41"/>
  <c r="M198" i="41"/>
  <c r="J199" i="41"/>
  <c r="M199" i="41"/>
  <c r="J200" i="41"/>
  <c r="M200" i="41"/>
  <c r="J201" i="41"/>
  <c r="M201" i="41"/>
  <c r="J202" i="41"/>
  <c r="M202" i="41"/>
  <c r="J203" i="41"/>
  <c r="M203" i="41"/>
  <c r="J204" i="41"/>
  <c r="M204" i="41"/>
  <c r="J205" i="41"/>
  <c r="M205" i="41"/>
  <c r="J206" i="41"/>
  <c r="M206" i="41"/>
  <c r="J207" i="41"/>
  <c r="M207" i="41"/>
  <c r="K208" i="41"/>
  <c r="N208" i="41"/>
  <c r="K209" i="41"/>
  <c r="N209" i="41"/>
  <c r="K210" i="41"/>
  <c r="N210" i="41"/>
  <c r="K211" i="41"/>
  <c r="N211" i="41"/>
  <c r="K212" i="41"/>
  <c r="N212" i="41"/>
  <c r="K213" i="41"/>
  <c r="N213" i="41"/>
  <c r="K214" i="41"/>
  <c r="N214" i="41"/>
  <c r="K215" i="41"/>
  <c r="N215" i="41"/>
  <c r="K216" i="41"/>
  <c r="N216" i="41"/>
  <c r="K217" i="41"/>
  <c r="N217" i="41"/>
  <c r="K218" i="41"/>
  <c r="N218" i="41"/>
  <c r="K219" i="41"/>
  <c r="N219" i="41"/>
  <c r="K220" i="41"/>
  <c r="N220" i="41"/>
  <c r="K221" i="41"/>
  <c r="N221" i="41"/>
  <c r="K222" i="41"/>
  <c r="N222" i="41"/>
  <c r="K223" i="41"/>
  <c r="N223" i="41"/>
  <c r="K224" i="41"/>
  <c r="N224" i="41"/>
  <c r="K225" i="41"/>
  <c r="N225" i="41"/>
  <c r="K226" i="41"/>
  <c r="N226" i="41"/>
  <c r="K227" i="41"/>
  <c r="N227" i="41"/>
  <c r="K228" i="41"/>
  <c r="N228" i="41"/>
  <c r="K229" i="41"/>
  <c r="N229" i="41"/>
  <c r="K230" i="41"/>
  <c r="N230" i="41"/>
  <c r="K231" i="41"/>
  <c r="N231" i="41"/>
  <c r="K232" i="41"/>
  <c r="N232" i="41"/>
  <c r="K233" i="41"/>
  <c r="N233" i="41"/>
  <c r="K234" i="41"/>
  <c r="N234" i="41"/>
  <c r="K235" i="41"/>
  <c r="N235" i="41"/>
  <c r="K236" i="41"/>
  <c r="N236" i="41"/>
  <c r="K237" i="41"/>
  <c r="N237" i="41"/>
  <c r="K238" i="41"/>
  <c r="N238" i="41"/>
  <c r="K239" i="41"/>
  <c r="N239" i="41"/>
  <c r="K240" i="41"/>
  <c r="N240" i="41"/>
  <c r="K241" i="41"/>
  <c r="N241" i="41"/>
  <c r="K242" i="41"/>
  <c r="N242" i="41"/>
  <c r="K243" i="41"/>
  <c r="N243" i="41"/>
  <c r="J244" i="41"/>
  <c r="M244" i="41"/>
  <c r="J245" i="41"/>
  <c r="M245" i="41"/>
  <c r="J246" i="41"/>
  <c r="M246" i="41"/>
  <c r="J247" i="41"/>
  <c r="M247" i="41"/>
  <c r="J248" i="41"/>
  <c r="M248" i="41"/>
  <c r="J249" i="41"/>
  <c r="M249" i="41"/>
  <c r="J250" i="41"/>
  <c r="M250" i="41"/>
  <c r="J251" i="41"/>
  <c r="M251" i="41"/>
  <c r="J252" i="41"/>
  <c r="M252" i="41"/>
  <c r="J253" i="41"/>
  <c r="M253" i="41"/>
  <c r="J254" i="41"/>
  <c r="M254" i="41"/>
  <c r="J255" i="41"/>
  <c r="M255" i="41"/>
  <c r="K256" i="41"/>
  <c r="N256" i="41"/>
  <c r="K257" i="41"/>
  <c r="N257" i="41"/>
  <c r="K258" i="41"/>
  <c r="N258" i="41"/>
  <c r="K259" i="41"/>
  <c r="N259" i="41"/>
  <c r="K260" i="41"/>
  <c r="N260" i="41"/>
  <c r="K261" i="41"/>
  <c r="N261" i="41"/>
  <c r="K262" i="41"/>
  <c r="N262" i="41"/>
  <c r="K263" i="41"/>
  <c r="N263" i="41"/>
  <c r="K264" i="41"/>
  <c r="N264" i="41"/>
  <c r="K265" i="41"/>
  <c r="N265" i="41"/>
  <c r="K266" i="41"/>
  <c r="N266" i="41"/>
  <c r="K267" i="41"/>
  <c r="N267" i="41"/>
  <c r="K268" i="41"/>
  <c r="N268" i="41"/>
  <c r="K269" i="41"/>
  <c r="N269" i="41"/>
  <c r="K270" i="41"/>
  <c r="N270" i="41"/>
  <c r="K271" i="41"/>
  <c r="N271" i="41"/>
  <c r="K272" i="41"/>
  <c r="N272" i="41"/>
  <c r="K273" i="41"/>
  <c r="N273" i="41"/>
  <c r="K274" i="41"/>
  <c r="N274" i="41"/>
  <c r="K275" i="41"/>
  <c r="N275" i="41"/>
  <c r="K276" i="41"/>
  <c r="N276" i="41"/>
  <c r="K277" i="41"/>
  <c r="N277" i="41"/>
  <c r="K278" i="41"/>
  <c r="N278" i="41"/>
  <c r="K279" i="41"/>
  <c r="N279" i="41"/>
  <c r="K280" i="41"/>
  <c r="N280" i="41"/>
  <c r="K281" i="41"/>
  <c r="N281" i="41"/>
  <c r="K282" i="41"/>
  <c r="N282" i="41"/>
  <c r="K283" i="41"/>
  <c r="N283" i="41"/>
  <c r="K284" i="41"/>
  <c r="N284" i="41"/>
  <c r="K285" i="41"/>
  <c r="N285" i="41"/>
  <c r="J286" i="41"/>
  <c r="M286" i="41"/>
  <c r="J287" i="41"/>
  <c r="M287" i="41"/>
  <c r="J288" i="41"/>
  <c r="M288" i="41"/>
  <c r="J289" i="41"/>
  <c r="M289" i="41"/>
  <c r="J290" i="41"/>
  <c r="M290" i="41"/>
  <c r="J291" i="41"/>
  <c r="M291" i="41"/>
  <c r="J292" i="41"/>
  <c r="M292" i="41"/>
  <c r="J293" i="41"/>
  <c r="M293" i="41"/>
  <c r="J294" i="41"/>
  <c r="M294" i="41"/>
  <c r="J295" i="41"/>
  <c r="M295" i="41"/>
  <c r="J296" i="41"/>
  <c r="M296" i="41"/>
  <c r="J297" i="41"/>
  <c r="M297" i="41"/>
  <c r="J298" i="41"/>
  <c r="M298" i="41"/>
  <c r="J299" i="41"/>
  <c r="M299" i="41"/>
  <c r="J300" i="41"/>
  <c r="M300" i="41"/>
  <c r="J301" i="41"/>
  <c r="M301" i="41"/>
  <c r="J302" i="41"/>
  <c r="M302" i="41"/>
  <c r="J303" i="41"/>
  <c r="M303" i="41"/>
  <c r="J304" i="41"/>
  <c r="M304" i="41"/>
  <c r="J305" i="41"/>
  <c r="M305" i="41"/>
  <c r="J306" i="41"/>
  <c r="M306" i="41"/>
  <c r="J307" i="41"/>
  <c r="M307" i="41"/>
  <c r="J308" i="41"/>
  <c r="M308" i="41"/>
  <c r="K309" i="41"/>
  <c r="N309" i="41"/>
  <c r="K310" i="41"/>
  <c r="N310" i="41"/>
  <c r="K311" i="41"/>
  <c r="N311" i="41"/>
  <c r="K312" i="41"/>
  <c r="N312" i="41"/>
  <c r="K313" i="41"/>
  <c r="N313" i="41"/>
  <c r="K314" i="41"/>
  <c r="N314" i="41"/>
  <c r="K315" i="41"/>
  <c r="N315" i="41"/>
  <c r="K316" i="41"/>
  <c r="N316" i="41"/>
  <c r="K317" i="41"/>
  <c r="N317" i="41"/>
  <c r="K318" i="41"/>
  <c r="N318" i="41"/>
  <c r="K319" i="41"/>
  <c r="N319" i="41"/>
  <c r="K320" i="41"/>
  <c r="N320" i="41"/>
  <c r="K321" i="41"/>
  <c r="N321" i="41"/>
  <c r="K322" i="41"/>
  <c r="N322" i="41"/>
  <c r="K323" i="41"/>
  <c r="N323" i="41"/>
  <c r="K324" i="41"/>
  <c r="N324" i="41"/>
  <c r="K325" i="41"/>
  <c r="N325" i="41"/>
  <c r="K326" i="41"/>
  <c r="N326" i="41"/>
  <c r="K327" i="41"/>
  <c r="N327" i="41"/>
  <c r="K328" i="41"/>
  <c r="N328" i="41"/>
  <c r="K329" i="41"/>
  <c r="N329" i="41"/>
  <c r="K330" i="41"/>
  <c r="N330" i="41"/>
  <c r="K331" i="41"/>
  <c r="N331" i="41"/>
  <c r="K332" i="41"/>
  <c r="N332" i="41"/>
  <c r="K333" i="41"/>
  <c r="N333" i="41"/>
  <c r="K334" i="41"/>
  <c r="N334" i="41"/>
  <c r="K335" i="41"/>
  <c r="N335" i="41"/>
  <c r="K336" i="41"/>
  <c r="N336" i="41"/>
  <c r="K337" i="41"/>
  <c r="N337" i="41"/>
  <c r="K338" i="41"/>
  <c r="N338" i="41"/>
  <c r="K339" i="41"/>
  <c r="N339" i="41"/>
  <c r="J340" i="41"/>
  <c r="M340" i="41"/>
  <c r="J341" i="41"/>
  <c r="M341" i="41"/>
  <c r="J342" i="41"/>
  <c r="M342" i="41"/>
  <c r="J343" i="41"/>
  <c r="M343" i="41"/>
  <c r="J344" i="41"/>
  <c r="M344" i="41"/>
  <c r="J345" i="41"/>
  <c r="M345" i="41"/>
  <c r="J346" i="41"/>
  <c r="M346" i="41"/>
  <c r="J347" i="41"/>
  <c r="M347" i="41"/>
  <c r="J348" i="41"/>
  <c r="M348" i="41"/>
  <c r="J349" i="41"/>
  <c r="M349" i="41"/>
  <c r="J350" i="41"/>
  <c r="M350" i="41"/>
  <c r="J351" i="41"/>
  <c r="M351" i="41"/>
  <c r="K352" i="41"/>
  <c r="N352" i="41"/>
  <c r="K353" i="41"/>
  <c r="N353" i="41"/>
  <c r="K354" i="41"/>
  <c r="N354" i="41"/>
  <c r="K355" i="41"/>
  <c r="N355" i="41"/>
  <c r="K356" i="41"/>
  <c r="N356" i="41"/>
  <c r="K357" i="41"/>
  <c r="N357" i="41"/>
  <c r="K358" i="41"/>
  <c r="N358" i="41"/>
  <c r="K359" i="41"/>
  <c r="N359" i="41"/>
  <c r="K360" i="41"/>
  <c r="N360" i="41"/>
  <c r="K361" i="41"/>
  <c r="N361" i="41"/>
  <c r="K362" i="41"/>
  <c r="N362" i="41"/>
  <c r="K363" i="41"/>
  <c r="N363" i="41"/>
  <c r="K364" i="41"/>
  <c r="N364" i="41"/>
  <c r="K365" i="41"/>
  <c r="N365" i="41"/>
  <c r="K366" i="41"/>
  <c r="N366" i="41"/>
  <c r="K367" i="41"/>
  <c r="N367" i="41"/>
  <c r="K368" i="41"/>
  <c r="N368" i="41"/>
  <c r="K369" i="41"/>
  <c r="N369" i="41"/>
  <c r="K370" i="41"/>
  <c r="N370" i="41"/>
  <c r="K371" i="41"/>
  <c r="N371" i="41"/>
  <c r="K372" i="41"/>
  <c r="N372" i="41"/>
  <c r="K373" i="41"/>
  <c r="N373" i="41"/>
  <c r="K374" i="41"/>
  <c r="N374" i="41"/>
  <c r="K375" i="41"/>
  <c r="N375" i="41"/>
  <c r="K376" i="41"/>
  <c r="N376" i="41"/>
  <c r="K377" i="41"/>
  <c r="N377" i="41"/>
  <c r="K378" i="41"/>
  <c r="N378" i="41"/>
  <c r="K379" i="41"/>
  <c r="N379" i="41"/>
  <c r="K380" i="41"/>
  <c r="N380" i="41"/>
  <c r="K381" i="41"/>
  <c r="N381" i="41"/>
  <c r="K382" i="41"/>
  <c r="N382" i="41"/>
  <c r="K383" i="41"/>
  <c r="N383" i="41"/>
  <c r="K384" i="41"/>
  <c r="N384" i="41"/>
  <c r="K385" i="41"/>
  <c r="N385" i="41"/>
  <c r="K386" i="41"/>
  <c r="N386" i="41"/>
  <c r="K387" i="41"/>
  <c r="N387" i="41"/>
  <c r="K388" i="41"/>
  <c r="N388" i="41"/>
  <c r="K389" i="41"/>
  <c r="N389" i="41"/>
  <c r="K390" i="41"/>
  <c r="N390" i="41"/>
  <c r="K391" i="41"/>
  <c r="N391" i="41"/>
  <c r="K392" i="41"/>
  <c r="N392" i="41"/>
  <c r="K393" i="41"/>
  <c r="N393" i="41"/>
  <c r="K394" i="41"/>
  <c r="N394" i="41"/>
  <c r="K395" i="41"/>
  <c r="N395" i="41"/>
  <c r="K396" i="41"/>
  <c r="N396" i="41"/>
  <c r="K397" i="41"/>
  <c r="N397" i="41"/>
  <c r="K398" i="41"/>
  <c r="N398" i="41"/>
  <c r="K399" i="41"/>
  <c r="N399" i="41"/>
  <c r="K400" i="41"/>
  <c r="N400" i="41"/>
  <c r="K401" i="41"/>
  <c r="N401" i="41"/>
  <c r="K402" i="41"/>
  <c r="N402" i="41"/>
  <c r="K403" i="41"/>
  <c r="N403" i="41"/>
  <c r="K404" i="41"/>
  <c r="N404" i="41"/>
  <c r="K405" i="41"/>
  <c r="N405" i="41"/>
  <c r="K406" i="41"/>
  <c r="N406" i="41"/>
  <c r="K407" i="41"/>
  <c r="N407" i="41"/>
  <c r="K408" i="41"/>
  <c r="N408" i="41"/>
  <c r="K409" i="41"/>
  <c r="N409" i="41"/>
  <c r="K410" i="41"/>
  <c r="N410" i="41"/>
  <c r="K411" i="41"/>
  <c r="N411" i="41"/>
  <c r="K412" i="41"/>
  <c r="N412" i="41"/>
  <c r="K413" i="41"/>
  <c r="N413" i="41"/>
  <c r="K414" i="41"/>
  <c r="N414" i="41"/>
  <c r="K415" i="41"/>
  <c r="N415" i="41"/>
  <c r="K416" i="41"/>
  <c r="N416" i="41"/>
  <c r="K417" i="41"/>
  <c r="N417" i="41"/>
  <c r="K418" i="41"/>
  <c r="N418" i="41"/>
  <c r="K419" i="41"/>
  <c r="N419" i="41"/>
  <c r="K420" i="41"/>
  <c r="N420" i="41"/>
  <c r="K421" i="41"/>
  <c r="N421" i="41"/>
  <c r="K422" i="41"/>
  <c r="N422" i="41"/>
  <c r="K423" i="41"/>
  <c r="N423" i="41"/>
  <c r="K424" i="41"/>
  <c r="N424" i="41"/>
  <c r="K425" i="41"/>
  <c r="N425" i="41"/>
  <c r="K426" i="41"/>
  <c r="N426" i="41"/>
  <c r="K427" i="41"/>
  <c r="N427" i="41"/>
  <c r="K428" i="41"/>
  <c r="N428" i="41"/>
  <c r="K429" i="41"/>
  <c r="N429" i="41"/>
  <c r="K430" i="41"/>
  <c r="N430" i="41"/>
  <c r="K431" i="41"/>
  <c r="N431" i="41"/>
  <c r="K432" i="41"/>
  <c r="N432" i="41"/>
  <c r="K433" i="41"/>
  <c r="N433" i="41"/>
  <c r="K434" i="41"/>
  <c r="N434" i="41"/>
  <c r="K435" i="41"/>
  <c r="N435" i="41"/>
  <c r="K436" i="41"/>
  <c r="N436" i="41"/>
  <c r="K437" i="41"/>
  <c r="N437" i="41"/>
  <c r="K438" i="41"/>
  <c r="N438" i="41"/>
  <c r="K439" i="41"/>
  <c r="N439" i="41"/>
  <c r="K440" i="41"/>
  <c r="N440" i="41"/>
  <c r="K441" i="41"/>
  <c r="N441" i="41"/>
  <c r="K442" i="41"/>
  <c r="N442" i="41"/>
  <c r="K443" i="41"/>
  <c r="N443" i="41"/>
  <c r="K444" i="41"/>
  <c r="N444" i="41"/>
  <c r="K445" i="41"/>
  <c r="N445" i="41"/>
  <c r="K446" i="41"/>
  <c r="N446" i="41"/>
  <c r="K447" i="41"/>
  <c r="N447" i="41"/>
  <c r="K448" i="41"/>
  <c r="N448" i="41"/>
  <c r="K449" i="41"/>
  <c r="N449" i="41"/>
  <c r="K450" i="41"/>
  <c r="N450" i="41"/>
  <c r="K451" i="41"/>
  <c r="N451" i="41"/>
  <c r="K452" i="41"/>
  <c r="N452" i="41"/>
  <c r="K453" i="41"/>
  <c r="N453" i="41"/>
  <c r="K454" i="41"/>
  <c r="N454" i="41"/>
  <c r="K455" i="41"/>
  <c r="N455" i="41"/>
  <c r="K456" i="41"/>
  <c r="N456" i="41"/>
  <c r="K457" i="41"/>
  <c r="N457" i="41"/>
  <c r="K458" i="41"/>
  <c r="N458" i="41"/>
  <c r="K459" i="41"/>
  <c r="N459" i="41"/>
  <c r="K460" i="41"/>
  <c r="N460" i="41"/>
  <c r="K461" i="41"/>
  <c r="N461" i="41"/>
  <c r="K462" i="41"/>
  <c r="N462" i="41"/>
  <c r="K463" i="41"/>
  <c r="N463" i="41"/>
  <c r="K464" i="41"/>
  <c r="N464" i="41"/>
  <c r="K465" i="41"/>
  <c r="N465" i="41"/>
  <c r="K466" i="41"/>
  <c r="N466" i="41"/>
  <c r="K467" i="41"/>
  <c r="N467" i="41"/>
  <c r="K468" i="41"/>
  <c r="N468" i="41"/>
  <c r="K469" i="41"/>
  <c r="N469" i="41"/>
  <c r="K470" i="41"/>
  <c r="N470" i="41"/>
  <c r="K471" i="41"/>
  <c r="N471" i="41"/>
  <c r="K472" i="41"/>
  <c r="N472" i="41"/>
  <c r="K473" i="41"/>
  <c r="N473" i="41"/>
  <c r="K474" i="41"/>
  <c r="N474" i="41"/>
  <c r="K475" i="41"/>
  <c r="N475" i="41"/>
  <c r="K476" i="41"/>
  <c r="N476" i="41"/>
  <c r="K477" i="41"/>
  <c r="N477" i="41"/>
  <c r="K478" i="41"/>
  <c r="N478" i="41"/>
  <c r="K479" i="41"/>
  <c r="N479" i="41"/>
  <c r="K480" i="41"/>
  <c r="N480" i="41"/>
  <c r="K481" i="41"/>
  <c r="N481" i="41"/>
  <c r="K482" i="41"/>
  <c r="N482" i="41"/>
  <c r="K483" i="41"/>
  <c r="N483" i="41"/>
  <c r="K484" i="41"/>
  <c r="N484" i="41"/>
  <c r="K485" i="41"/>
  <c r="N485" i="41"/>
  <c r="K486" i="41"/>
  <c r="N486" i="41"/>
  <c r="K487" i="41"/>
  <c r="N487" i="41"/>
  <c r="K488" i="41"/>
  <c r="N488" i="41"/>
  <c r="K489" i="41"/>
  <c r="N489" i="41"/>
  <c r="K490" i="41"/>
  <c r="N490" i="41"/>
  <c r="K491" i="41"/>
  <c r="N491" i="41"/>
  <c r="K492" i="41"/>
  <c r="N492" i="41"/>
  <c r="K493" i="41"/>
  <c r="N493" i="41"/>
  <c r="K494" i="41"/>
  <c r="N494" i="41"/>
  <c r="K495" i="41"/>
  <c r="N495" i="41"/>
  <c r="K496" i="41"/>
  <c r="N496" i="41"/>
  <c r="K497" i="41"/>
  <c r="N497" i="41"/>
  <c r="K498" i="41"/>
  <c r="N498" i="41"/>
  <c r="K499" i="41"/>
  <c r="N499" i="41"/>
  <c r="K500" i="41"/>
  <c r="N500" i="41"/>
  <c r="K501" i="41"/>
  <c r="N501" i="41"/>
  <c r="K502" i="41"/>
  <c r="N502" i="41"/>
  <c r="K503" i="41"/>
  <c r="N503" i="41"/>
  <c r="K504" i="41"/>
  <c r="N504" i="41"/>
  <c r="K505" i="41"/>
  <c r="N505" i="41"/>
  <c r="K506" i="41"/>
  <c r="N506" i="41"/>
  <c r="K507" i="41"/>
  <c r="N507" i="41"/>
  <c r="K508" i="41"/>
  <c r="N508" i="41"/>
  <c r="K509" i="41"/>
  <c r="N509" i="41"/>
  <c r="K510" i="41"/>
  <c r="N510" i="41"/>
  <c r="K511" i="41"/>
  <c r="N511" i="41"/>
  <c r="K512" i="41"/>
  <c r="N512" i="41"/>
  <c r="K513" i="41"/>
  <c r="N513" i="41"/>
  <c r="K514" i="41"/>
  <c r="N514" i="41"/>
  <c r="K515" i="41"/>
  <c r="N515" i="41"/>
  <c r="K516" i="41"/>
  <c r="N516" i="41"/>
  <c r="K517" i="41"/>
  <c r="N517" i="41"/>
  <c r="K518" i="41"/>
  <c r="N518" i="41"/>
  <c r="K519" i="41"/>
  <c r="N519" i="41"/>
  <c r="K520" i="41"/>
  <c r="N520" i="41"/>
  <c r="K521" i="41"/>
  <c r="N521" i="41"/>
  <c r="K522" i="41"/>
  <c r="N522" i="41"/>
  <c r="K523" i="41"/>
  <c r="N523" i="41"/>
  <c r="K524" i="41"/>
  <c r="N524" i="41"/>
  <c r="K525" i="41"/>
  <c r="N525" i="41"/>
  <c r="K526" i="41"/>
  <c r="N526" i="41"/>
  <c r="K527" i="41"/>
  <c r="N527" i="41"/>
  <c r="K528" i="41"/>
  <c r="N528" i="41"/>
  <c r="K529" i="41"/>
  <c r="N529" i="41"/>
  <c r="K530" i="41"/>
  <c r="N530" i="41"/>
  <c r="K531" i="41"/>
  <c r="N531" i="41"/>
  <c r="K532" i="41"/>
  <c r="N532" i="41"/>
  <c r="K533" i="41"/>
  <c r="N533" i="41"/>
  <c r="K534" i="41"/>
  <c r="N534" i="41"/>
  <c r="K535" i="41"/>
  <c r="N535" i="41"/>
  <c r="K536" i="41"/>
  <c r="N536" i="41"/>
  <c r="K537" i="41"/>
  <c r="N537" i="41"/>
  <c r="K538" i="41"/>
  <c r="N538" i="41"/>
  <c r="K539" i="41"/>
  <c r="N539" i="41"/>
  <c r="K540" i="41"/>
  <c r="N540" i="41"/>
  <c r="K541" i="41"/>
  <c r="N541" i="41"/>
  <c r="K542" i="41"/>
  <c r="N542" i="41"/>
  <c r="K543" i="41"/>
  <c r="N543" i="41"/>
  <c r="K544" i="41"/>
  <c r="N544" i="41"/>
  <c r="K545" i="41"/>
  <c r="N545" i="41"/>
  <c r="K546" i="41"/>
  <c r="N546" i="41"/>
  <c r="K547" i="41"/>
  <c r="N547" i="41"/>
  <c r="K548" i="41"/>
  <c r="N548" i="41"/>
  <c r="K549" i="41"/>
  <c r="N549" i="41"/>
  <c r="K550" i="41"/>
  <c r="N550" i="41"/>
  <c r="K551" i="41"/>
  <c r="N551" i="41"/>
  <c r="K552" i="41"/>
  <c r="N552" i="41"/>
  <c r="K553" i="41"/>
  <c r="N553" i="41"/>
  <c r="K554" i="41"/>
  <c r="N554" i="41"/>
  <c r="K555" i="41"/>
  <c r="N555" i="41"/>
  <c r="K556" i="41"/>
  <c r="N556" i="41"/>
  <c r="K557" i="41"/>
  <c r="N557" i="41"/>
  <c r="K558" i="41"/>
  <c r="N558" i="41"/>
  <c r="K559" i="41"/>
  <c r="N559" i="41"/>
  <c r="K560" i="41"/>
  <c r="N560" i="41"/>
  <c r="K561" i="41"/>
  <c r="N561" i="41"/>
  <c r="K562" i="41"/>
  <c r="N562" i="41"/>
  <c r="K563" i="41"/>
  <c r="N563" i="41"/>
  <c r="K564" i="41"/>
  <c r="N564" i="41"/>
  <c r="K565" i="41"/>
  <c r="N565" i="41"/>
  <c r="K566" i="41"/>
  <c r="N566" i="41"/>
  <c r="K567" i="41"/>
  <c r="N567" i="41"/>
  <c r="K568" i="41"/>
  <c r="N568" i="41"/>
  <c r="K569" i="41"/>
  <c r="N569" i="41"/>
  <c r="K570" i="41"/>
  <c r="N570" i="41"/>
  <c r="K571" i="41"/>
  <c r="N571" i="41"/>
  <c r="K572" i="41"/>
  <c r="N572" i="41"/>
  <c r="K573" i="41"/>
  <c r="N573" i="41"/>
  <c r="K574" i="41"/>
  <c r="N574" i="41"/>
  <c r="K575" i="41"/>
  <c r="N575" i="41"/>
  <c r="K576" i="41"/>
  <c r="N576" i="41"/>
  <c r="K577" i="41"/>
  <c r="N577" i="41"/>
  <c r="K578" i="41"/>
  <c r="N578" i="41"/>
  <c r="K579" i="41"/>
  <c r="N579" i="41"/>
  <c r="K580" i="41"/>
  <c r="N580" i="41"/>
  <c r="K581" i="41"/>
  <c r="N581" i="41"/>
  <c r="K582" i="41"/>
  <c r="N582" i="41"/>
  <c r="K583" i="41"/>
  <c r="N583" i="41"/>
  <c r="K584" i="41"/>
  <c r="N584" i="41"/>
  <c r="K585" i="41"/>
  <c r="N585" i="41"/>
  <c r="K586" i="41"/>
  <c r="N586" i="41"/>
  <c r="K587" i="41"/>
  <c r="N587" i="41"/>
  <c r="K588" i="41"/>
  <c r="N588" i="41"/>
  <c r="K589" i="41"/>
  <c r="N589" i="41"/>
  <c r="K590" i="41"/>
  <c r="N590" i="41"/>
  <c r="K591" i="41"/>
  <c r="N591" i="41"/>
  <c r="K592" i="41"/>
  <c r="N592" i="41"/>
  <c r="K593" i="41"/>
  <c r="N593" i="41"/>
  <c r="K594" i="41"/>
  <c r="N594" i="41"/>
  <c r="K595" i="41"/>
  <c r="N595" i="41"/>
  <c r="K596" i="41"/>
  <c r="N596" i="41"/>
  <c r="K597" i="41"/>
  <c r="N597" i="41"/>
  <c r="K598" i="41"/>
  <c r="N598" i="41"/>
  <c r="K599" i="41"/>
  <c r="N599" i="41"/>
  <c r="K600" i="41"/>
  <c r="N600" i="41"/>
  <c r="K601" i="41"/>
  <c r="N601" i="41"/>
  <c r="K602" i="41"/>
  <c r="N602" i="41"/>
  <c r="K603" i="41"/>
  <c r="N603" i="41"/>
  <c r="K604" i="41"/>
  <c r="N604" i="41"/>
  <c r="K605" i="41"/>
  <c r="N605" i="41"/>
  <c r="K606" i="41"/>
  <c r="N606" i="41"/>
  <c r="K607" i="41"/>
  <c r="N607" i="41"/>
  <c r="K608" i="41"/>
  <c r="N608" i="41"/>
  <c r="K609" i="41"/>
  <c r="N609" i="41"/>
  <c r="K610" i="41"/>
  <c r="N610" i="41"/>
  <c r="K611" i="41"/>
  <c r="N611" i="41"/>
  <c r="K612" i="41"/>
  <c r="N612" i="41"/>
  <c r="K613" i="41"/>
  <c r="N613" i="41"/>
  <c r="K614" i="41"/>
  <c r="N614" i="41"/>
  <c r="K615" i="41"/>
  <c r="N615" i="41"/>
  <c r="K616" i="41"/>
  <c r="N616" i="41"/>
  <c r="K617" i="41"/>
  <c r="N617" i="41"/>
  <c r="K618" i="41"/>
  <c r="N618" i="41"/>
  <c r="K619" i="41"/>
  <c r="N619" i="41"/>
  <c r="K620" i="41"/>
  <c r="N620" i="41"/>
  <c r="K621" i="41"/>
  <c r="N621" i="41"/>
  <c r="K622" i="41"/>
  <c r="N622" i="41"/>
  <c r="K623" i="41"/>
  <c r="N623" i="41"/>
  <c r="K624" i="41"/>
  <c r="N624" i="41"/>
  <c r="K625" i="41"/>
  <c r="N625" i="41"/>
  <c r="K626" i="41"/>
  <c r="N626" i="41"/>
  <c r="K627" i="41"/>
  <c r="N627" i="41"/>
  <c r="K628" i="41"/>
  <c r="N628" i="41"/>
  <c r="K629" i="41"/>
  <c r="N629" i="41"/>
  <c r="K630" i="41"/>
  <c r="N630" i="41"/>
  <c r="K631" i="41"/>
  <c r="N631" i="41"/>
  <c r="K632" i="41"/>
  <c r="N632" i="41"/>
  <c r="K633" i="41"/>
  <c r="N633" i="41"/>
  <c r="K634" i="41"/>
  <c r="N634" i="41"/>
  <c r="K635" i="41"/>
  <c r="N635" i="41"/>
  <c r="K636" i="41"/>
  <c r="N636" i="41"/>
  <c r="K637" i="41"/>
  <c r="N637" i="41"/>
  <c r="K638" i="41"/>
  <c r="N638" i="41"/>
  <c r="K639" i="41"/>
  <c r="N639" i="41"/>
  <c r="K640" i="41"/>
  <c r="N640" i="41"/>
  <c r="K641" i="41"/>
  <c r="N641" i="41"/>
  <c r="K642" i="41"/>
  <c r="N642" i="41"/>
  <c r="K643" i="41"/>
  <c r="N643" i="41"/>
  <c r="K644" i="41"/>
  <c r="N644" i="41"/>
  <c r="K645" i="41"/>
  <c r="N645" i="41"/>
  <c r="K646" i="41"/>
  <c r="N646" i="41"/>
  <c r="K647" i="41"/>
  <c r="N647" i="41"/>
  <c r="K648" i="41"/>
  <c r="N648" i="41"/>
  <c r="K649" i="41"/>
  <c r="N649" i="41"/>
  <c r="K650" i="41"/>
  <c r="N650" i="41"/>
  <c r="K651" i="41"/>
  <c r="N651" i="41"/>
  <c r="K652" i="41"/>
  <c r="N652" i="41"/>
  <c r="K653" i="41"/>
  <c r="N653" i="41"/>
  <c r="K654" i="41"/>
  <c r="N654" i="41"/>
  <c r="K655" i="41"/>
  <c r="N655" i="41"/>
  <c r="K656" i="41"/>
  <c r="N656" i="41"/>
  <c r="K657" i="41"/>
  <c r="N657" i="41"/>
  <c r="K658" i="41"/>
  <c r="N658" i="41"/>
  <c r="K659" i="41"/>
  <c r="N659" i="41"/>
  <c r="K660" i="41"/>
  <c r="N660" i="41"/>
  <c r="K661" i="41"/>
  <c r="N661" i="41"/>
  <c r="K662" i="41"/>
  <c r="N662" i="41"/>
  <c r="K663" i="41"/>
  <c r="N663" i="41"/>
  <c r="K664" i="41"/>
  <c r="N664" i="41"/>
  <c r="K665" i="41"/>
  <c r="N665" i="41"/>
  <c r="K666" i="41"/>
  <c r="N666" i="41"/>
  <c r="K667" i="41"/>
  <c r="N667" i="41"/>
  <c r="K668" i="41"/>
  <c r="N668" i="41"/>
  <c r="K669" i="41"/>
  <c r="N669" i="41"/>
  <c r="K670" i="41"/>
  <c r="N670" i="41"/>
  <c r="K671" i="41"/>
  <c r="N671" i="41"/>
  <c r="K672" i="41"/>
  <c r="N672" i="41"/>
  <c r="K673" i="41"/>
  <c r="N673" i="41"/>
  <c r="K674" i="41"/>
  <c r="N674" i="41"/>
  <c r="K675" i="41"/>
  <c r="N675" i="41"/>
  <c r="K676" i="41"/>
  <c r="N676" i="41"/>
  <c r="K677" i="41"/>
  <c r="N677" i="41"/>
  <c r="K678" i="41"/>
  <c r="N678" i="41"/>
  <c r="K679" i="41"/>
  <c r="N679" i="41"/>
  <c r="K680" i="41"/>
  <c r="N680" i="41"/>
  <c r="K681" i="41"/>
  <c r="N681" i="41"/>
  <c r="K682" i="41"/>
  <c r="N682" i="41"/>
  <c r="K683" i="41"/>
  <c r="N683" i="41"/>
  <c r="K684" i="41"/>
  <c r="N684" i="41"/>
  <c r="K685" i="41"/>
  <c r="N685" i="41"/>
  <c r="K686" i="41"/>
  <c r="N686" i="41"/>
  <c r="K687" i="41"/>
  <c r="N687" i="41"/>
  <c r="K688" i="41"/>
  <c r="N688" i="41"/>
  <c r="K689" i="41"/>
  <c r="N689" i="41"/>
  <c r="K690" i="41"/>
  <c r="N690" i="41"/>
  <c r="K691" i="41"/>
  <c r="N691" i="41"/>
  <c r="K692" i="41"/>
  <c r="N692" i="41"/>
  <c r="K693" i="41"/>
  <c r="N693" i="41"/>
  <c r="K694" i="41"/>
  <c r="N694" i="41"/>
  <c r="K695" i="41"/>
  <c r="N695" i="41"/>
  <c r="K696" i="41"/>
  <c r="N696" i="41"/>
  <c r="K697" i="41"/>
  <c r="N697" i="41"/>
  <c r="K698" i="41"/>
  <c r="N698" i="41"/>
  <c r="K699" i="41"/>
  <c r="N699" i="41"/>
  <c r="K700" i="41"/>
  <c r="N700" i="41"/>
  <c r="K701" i="41"/>
  <c r="N701" i="41"/>
  <c r="K702" i="41"/>
  <c r="N702" i="41"/>
  <c r="K703" i="41"/>
  <c r="N703" i="41"/>
  <c r="K704" i="41"/>
  <c r="N704" i="41"/>
  <c r="K705" i="41"/>
  <c r="N705" i="41"/>
  <c r="K706" i="41"/>
  <c r="N706" i="41"/>
  <c r="K707" i="41"/>
  <c r="N707" i="41"/>
  <c r="K708" i="41"/>
  <c r="N708" i="41"/>
  <c r="K709" i="41"/>
  <c r="N709" i="41"/>
  <c r="K710" i="41"/>
  <c r="N710" i="41"/>
  <c r="K711" i="41"/>
  <c r="N711" i="41"/>
  <c r="K712" i="41"/>
  <c r="N712" i="41"/>
  <c r="K713" i="41"/>
  <c r="N713" i="41"/>
  <c r="K714" i="41"/>
  <c r="N714" i="41"/>
  <c r="K715" i="41"/>
  <c r="N715" i="41"/>
  <c r="K716" i="41"/>
  <c r="N716" i="41"/>
  <c r="K717" i="41"/>
  <c r="N717" i="41"/>
  <c r="K718" i="41"/>
  <c r="N718" i="41"/>
  <c r="K719" i="41"/>
  <c r="N719" i="41"/>
  <c r="K720" i="41"/>
  <c r="N720" i="41"/>
  <c r="K721" i="41"/>
  <c r="N721" i="41"/>
  <c r="K722" i="41"/>
  <c r="N722" i="41"/>
  <c r="K723" i="41"/>
  <c r="N723" i="41"/>
  <c r="K724" i="41"/>
  <c r="N724" i="41"/>
  <c r="K725" i="41"/>
  <c r="N725" i="41"/>
  <c r="K726" i="41"/>
  <c r="N726" i="41"/>
  <c r="K727" i="41"/>
  <c r="N727" i="41"/>
  <c r="K728" i="41"/>
  <c r="N728" i="41"/>
  <c r="K729" i="41"/>
  <c r="N729" i="41"/>
  <c r="K730" i="41"/>
  <c r="N730" i="41"/>
  <c r="K731" i="41"/>
  <c r="N731" i="41"/>
  <c r="K732" i="41"/>
  <c r="N732" i="41"/>
  <c r="K733" i="41"/>
  <c r="N733" i="41"/>
  <c r="K734" i="41"/>
  <c r="N734" i="41"/>
  <c r="K735" i="41"/>
  <c r="N735" i="41"/>
  <c r="K736" i="41"/>
  <c r="N736" i="41"/>
  <c r="K737" i="41"/>
  <c r="N737" i="41"/>
  <c r="K738" i="41"/>
  <c r="N738" i="41"/>
  <c r="K739" i="41"/>
  <c r="N739" i="41"/>
  <c r="K740" i="41"/>
  <c r="N740" i="41"/>
  <c r="K741" i="41"/>
  <c r="N741" i="41"/>
  <c r="K742" i="41"/>
  <c r="N742" i="41"/>
  <c r="K743" i="41"/>
  <c r="N743" i="41"/>
  <c r="K744" i="41"/>
  <c r="N744" i="41"/>
  <c r="K745" i="41"/>
  <c r="N745" i="41"/>
  <c r="K746" i="41"/>
  <c r="N746" i="41"/>
  <c r="K747" i="41"/>
  <c r="N747" i="41"/>
  <c r="K748" i="41"/>
  <c r="N748" i="41"/>
  <c r="K749" i="41"/>
  <c r="N749" i="41"/>
  <c r="K750" i="41"/>
  <c r="N750" i="41"/>
  <c r="K751" i="41"/>
  <c r="N751" i="41"/>
  <c r="K752" i="41"/>
  <c r="N752" i="41"/>
  <c r="K753" i="41"/>
  <c r="N753" i="41"/>
  <c r="K754" i="41"/>
  <c r="N754" i="41"/>
  <c r="D47" i="5"/>
  <c r="E47" i="5"/>
  <c r="F47" i="5"/>
  <c r="D48" i="5"/>
  <c r="E48" i="5"/>
  <c r="F48" i="5"/>
  <c r="D52" i="5"/>
  <c r="E52" i="5"/>
  <c r="Y2" i="37"/>
  <c r="Z2" i="37"/>
  <c r="AE2" i="37"/>
  <c r="AF2" i="37"/>
  <c r="AK2" i="37"/>
  <c r="AL2" i="37"/>
  <c r="AU2" i="37"/>
  <c r="AV2" i="37"/>
  <c r="Y3" i="37"/>
  <c r="Z3" i="37"/>
  <c r="AE3" i="37"/>
  <c r="AF3" i="37"/>
  <c r="AK3" i="37"/>
  <c r="AL3" i="37"/>
  <c r="AU3" i="37"/>
  <c r="AV3" i="37"/>
  <c r="Y4" i="37"/>
  <c r="Z4" i="37"/>
  <c r="AE4" i="37"/>
  <c r="AF4" i="37"/>
  <c r="AK4" i="37"/>
  <c r="AL4" i="37"/>
  <c r="AU4" i="37"/>
  <c r="AV4" i="37"/>
  <c r="Y5" i="37"/>
  <c r="Z5" i="37"/>
  <c r="AE5" i="37"/>
  <c r="AF5" i="37"/>
  <c r="AK5" i="37"/>
  <c r="AL5" i="37"/>
  <c r="AU5" i="37"/>
  <c r="AV5" i="37"/>
  <c r="Y6" i="37"/>
  <c r="Z6" i="37"/>
  <c r="AE6" i="37"/>
  <c r="AF6" i="37"/>
  <c r="AK6" i="37"/>
  <c r="AL6" i="37"/>
  <c r="AU6" i="37"/>
  <c r="AV6" i="37"/>
  <c r="Y7" i="37"/>
  <c r="Z7" i="37"/>
  <c r="AE7" i="37"/>
  <c r="AF7" i="37"/>
  <c r="AK7" i="37"/>
  <c r="AL7" i="37"/>
  <c r="AU7" i="37"/>
  <c r="AV7" i="37"/>
  <c r="Y8" i="37"/>
  <c r="Z8" i="37"/>
  <c r="AE8" i="37"/>
  <c r="AF8" i="37"/>
  <c r="AK8" i="37"/>
  <c r="AL8" i="37"/>
  <c r="AU8" i="37"/>
  <c r="AV8" i="37"/>
  <c r="Y9" i="37"/>
  <c r="Z9" i="37"/>
  <c r="AE9" i="37"/>
  <c r="AF9" i="37"/>
  <c r="AK9" i="37"/>
  <c r="AL9" i="37"/>
  <c r="AU9" i="37"/>
  <c r="AV9" i="37"/>
  <c r="Y10" i="37"/>
  <c r="Z10" i="37"/>
  <c r="AE10" i="37"/>
  <c r="AF10" i="37"/>
  <c r="Y11" i="37"/>
  <c r="Z11" i="37"/>
  <c r="AE11" i="37"/>
  <c r="AF11" i="37"/>
  <c r="AU11" i="37"/>
  <c r="Y12" i="37"/>
  <c r="Z12" i="37"/>
  <c r="AE12" i="37"/>
  <c r="AF12" i="37"/>
  <c r="AU12" i="37"/>
  <c r="Y13" i="37"/>
  <c r="Z13" i="37"/>
  <c r="AE13" i="37"/>
  <c r="AF13" i="37"/>
  <c r="AU13" i="37"/>
  <c r="Y14" i="37"/>
  <c r="Z14" i="37"/>
  <c r="AE14" i="37"/>
  <c r="AF14" i="37"/>
  <c r="Y15" i="37"/>
  <c r="Z15" i="37"/>
  <c r="AE15" i="37"/>
  <c r="AF15" i="37"/>
  <c r="Y16" i="37"/>
  <c r="Z16" i="37"/>
  <c r="AE16" i="37"/>
  <c r="AF16" i="37"/>
  <c r="Y17" i="37"/>
  <c r="Z17" i="37"/>
  <c r="AE17" i="37"/>
  <c r="AF17" i="37"/>
  <c r="Y18" i="37"/>
  <c r="Z18" i="37"/>
  <c r="AE18" i="37"/>
  <c r="AF18" i="37"/>
  <c r="Y19" i="37"/>
  <c r="Z19" i="37"/>
  <c r="AE19" i="37"/>
  <c r="AF19" i="37"/>
  <c r="Y20" i="37"/>
  <c r="Z20" i="37"/>
  <c r="AE20" i="37"/>
  <c r="AF20" i="37"/>
  <c r="Y21" i="37"/>
  <c r="Z21" i="37"/>
  <c r="AE21" i="37"/>
  <c r="AF21" i="37"/>
  <c r="Y22" i="37"/>
  <c r="Z22" i="37"/>
  <c r="AE22" i="37"/>
  <c r="AF22" i="37"/>
  <c r="Y23" i="37"/>
  <c r="Z23" i="37"/>
  <c r="AE23" i="37"/>
  <c r="AF23" i="37"/>
  <c r="Y24" i="37"/>
  <c r="Z24" i="37"/>
  <c r="AE24" i="37"/>
  <c r="AF24" i="37"/>
  <c r="Y25" i="37"/>
  <c r="Z25" i="37"/>
  <c r="AE25" i="37"/>
  <c r="AF25" i="37"/>
  <c r="Y26" i="37"/>
  <c r="Z26" i="37"/>
  <c r="AE26" i="37"/>
  <c r="AF26" i="37"/>
  <c r="Y27" i="37"/>
  <c r="Z27" i="37"/>
  <c r="AE27" i="37"/>
  <c r="AF27" i="37"/>
  <c r="Y28" i="37"/>
  <c r="Z28" i="37"/>
  <c r="AE28" i="37"/>
  <c r="AF28" i="37"/>
  <c r="Y29" i="37"/>
  <c r="Z29" i="37"/>
  <c r="AE29" i="37"/>
  <c r="AF29" i="37"/>
  <c r="Y30" i="37"/>
  <c r="Z30" i="37"/>
  <c r="AE30" i="37"/>
  <c r="AF30" i="37"/>
  <c r="Y31" i="37"/>
  <c r="Z31" i="37"/>
  <c r="AE31" i="37"/>
  <c r="AF31" i="37"/>
  <c r="Z32" i="37"/>
  <c r="AF32" i="37"/>
  <c r="Z33" i="37"/>
  <c r="AF33" i="37"/>
  <c r="Z34" i="37"/>
  <c r="AF34" i="37"/>
  <c r="Z35" i="37"/>
  <c r="AF35" i="37"/>
  <c r="Z36" i="37"/>
  <c r="AF36" i="37"/>
  <c r="Z37" i="37"/>
  <c r="AF37" i="37"/>
  <c r="Z38" i="37"/>
  <c r="AF38" i="37"/>
  <c r="Z39" i="37"/>
  <c r="AF39" i="37"/>
  <c r="Z40" i="37"/>
  <c r="AF40" i="37"/>
  <c r="Z41" i="37"/>
  <c r="AF41" i="37"/>
  <c r="Z42" i="37"/>
  <c r="AF42" i="37"/>
  <c r="Z43" i="37"/>
  <c r="AF43" i="37"/>
  <c r="Z44" i="37"/>
  <c r="AF44" i="37"/>
  <c r="Z45" i="37"/>
  <c r="AF45" i="37"/>
  <c r="Y46" i="37"/>
  <c r="AE46" i="37"/>
  <c r="Y47" i="37"/>
  <c r="AE47" i="37"/>
  <c r="Y48" i="37"/>
  <c r="AE48" i="37"/>
  <c r="Y49" i="37"/>
  <c r="AE49" i="37"/>
  <c r="Y50" i="37"/>
  <c r="AE50" i="37"/>
  <c r="Y51" i="37"/>
  <c r="AE51" i="37"/>
  <c r="Y52" i="37"/>
  <c r="AE52" i="37"/>
  <c r="Y53" i="37"/>
  <c r="AE53" i="37"/>
  <c r="Y54" i="37"/>
  <c r="AE54" i="37"/>
  <c r="Y55" i="37"/>
  <c r="AE55" i="37"/>
  <c r="Y56" i="37"/>
  <c r="AE56" i="37"/>
  <c r="Y57" i="37"/>
  <c r="AE57" i="37"/>
  <c r="Y58" i="37"/>
  <c r="AE58" i="37"/>
  <c r="Y59" i="37"/>
  <c r="AE59" i="37"/>
  <c r="Y60" i="37"/>
  <c r="AE60" i="37"/>
  <c r="Y61" i="37"/>
  <c r="AE61" i="37"/>
  <c r="Y62" i="37"/>
  <c r="AE62" i="37"/>
  <c r="Y63" i="37"/>
  <c r="AE63" i="37"/>
  <c r="Z64" i="37"/>
  <c r="AF64" i="37"/>
  <c r="Z65" i="37"/>
  <c r="AF65" i="37"/>
  <c r="Z66" i="37"/>
  <c r="AF66" i="37"/>
  <c r="Z67" i="37"/>
  <c r="AF67" i="37"/>
  <c r="Z68" i="37"/>
  <c r="AF68" i="37"/>
  <c r="Z69" i="37"/>
  <c r="AF69" i="37"/>
  <c r="Z70" i="37"/>
  <c r="AF70" i="37"/>
  <c r="Z71" i="37"/>
  <c r="AF71" i="37"/>
  <c r="Z72" i="37"/>
  <c r="AF72" i="37"/>
  <c r="Z73" i="37"/>
  <c r="AF73" i="37"/>
  <c r="Z74" i="37"/>
  <c r="AF74" i="37"/>
  <c r="Z75" i="37"/>
  <c r="AF75" i="37"/>
  <c r="Z76" i="37"/>
  <c r="AF76" i="37"/>
  <c r="Z77" i="37"/>
  <c r="AF77" i="37"/>
  <c r="Z78" i="37"/>
  <c r="AF78" i="37"/>
  <c r="Z79" i="37"/>
  <c r="AF79" i="37"/>
  <c r="Z80" i="37"/>
  <c r="AF80" i="37"/>
  <c r="Z81" i="37"/>
  <c r="AF81" i="37"/>
  <c r="Z82" i="37"/>
  <c r="AF82" i="37"/>
  <c r="Z83" i="37"/>
  <c r="AF83" i="37"/>
  <c r="Z84" i="37"/>
  <c r="AF84" i="37"/>
  <c r="Z85" i="37"/>
  <c r="AF85" i="37"/>
  <c r="Z86" i="37"/>
  <c r="AF86" i="37"/>
  <c r="Z87" i="37"/>
  <c r="AF87" i="37"/>
  <c r="Z88" i="37"/>
  <c r="AF88" i="37"/>
  <c r="Z89" i="37"/>
  <c r="AF89" i="37"/>
  <c r="Z90" i="37"/>
  <c r="AF90" i="37"/>
  <c r="Y91" i="37"/>
  <c r="AE91" i="37"/>
  <c r="Y92" i="37"/>
  <c r="AE92" i="37"/>
  <c r="Y93" i="37"/>
  <c r="AE93" i="37"/>
  <c r="Y94" i="37"/>
  <c r="AE94" i="37"/>
  <c r="Y95" i="37"/>
  <c r="AE95" i="37"/>
  <c r="Y96" i="37"/>
  <c r="AE96" i="37"/>
  <c r="Y97" i="37"/>
  <c r="AE97" i="37"/>
  <c r="Y98" i="37"/>
  <c r="AE98" i="37"/>
  <c r="Y99" i="37"/>
  <c r="AE99" i="37"/>
  <c r="Y100" i="37"/>
  <c r="AE100" i="37"/>
  <c r="Y101" i="37"/>
  <c r="AE101" i="37"/>
  <c r="Y102" i="37"/>
  <c r="AE102" i="37"/>
  <c r="Z103" i="37"/>
  <c r="AF103" i="37"/>
  <c r="Z104" i="37"/>
  <c r="AF104" i="37"/>
  <c r="Z105" i="37"/>
  <c r="AF105" i="37"/>
  <c r="Z106" i="37"/>
  <c r="AF106" i="37"/>
  <c r="Z107" i="37"/>
  <c r="AF107" i="37"/>
  <c r="Z108" i="37"/>
  <c r="AF108" i="37"/>
  <c r="Z109" i="37"/>
  <c r="AF109" i="37"/>
  <c r="Z110" i="37"/>
  <c r="AF110" i="37"/>
  <c r="Z111" i="37"/>
  <c r="AF111" i="37"/>
  <c r="Z112" i="37"/>
  <c r="AF112" i="37"/>
  <c r="Z113" i="37"/>
  <c r="AF113" i="37"/>
  <c r="Z114" i="37"/>
  <c r="AF114" i="37"/>
  <c r="Z115" i="37"/>
  <c r="AF115" i="37"/>
  <c r="Z116" i="37"/>
  <c r="AF116" i="37"/>
  <c r="Z117" i="37"/>
  <c r="AF117" i="37"/>
  <c r="Z118" i="37"/>
  <c r="AF118" i="37"/>
  <c r="Z119" i="37"/>
  <c r="AF119" i="37"/>
  <c r="Z120" i="37"/>
  <c r="AF120" i="37"/>
  <c r="Z121" i="37"/>
  <c r="AF121" i="37"/>
  <c r="Z122" i="37"/>
  <c r="AF122" i="37"/>
  <c r="Z123" i="37"/>
  <c r="AF123" i="37"/>
  <c r="Z124" i="37"/>
  <c r="AF124" i="37"/>
  <c r="Z125" i="37"/>
  <c r="AF125" i="37"/>
  <c r="Z126" i="37"/>
  <c r="AF126" i="37"/>
  <c r="Z127" i="37"/>
  <c r="AF127" i="37"/>
  <c r="Z128" i="37"/>
  <c r="AF128" i="37"/>
  <c r="Z129" i="37"/>
  <c r="AF129" i="37"/>
  <c r="Z130" i="37"/>
  <c r="AF130" i="37"/>
  <c r="Z131" i="37"/>
  <c r="AF131" i="37"/>
  <c r="Z132" i="37"/>
  <c r="AF132" i="37"/>
  <c r="Z133" i="37"/>
  <c r="AF133" i="37"/>
  <c r="Z134" i="37"/>
  <c r="AF134" i="37"/>
  <c r="Z135" i="37"/>
  <c r="AF135" i="37"/>
  <c r="Z136" i="37"/>
  <c r="AF136" i="37"/>
  <c r="Z137" i="37"/>
  <c r="AF137" i="37"/>
  <c r="Y138" i="37"/>
  <c r="AE138" i="37"/>
  <c r="Y139" i="37"/>
  <c r="AE139" i="37"/>
  <c r="Y140" i="37"/>
  <c r="AE140" i="37"/>
  <c r="Y141" i="37"/>
  <c r="AE141" i="37"/>
  <c r="Y142" i="37"/>
  <c r="AE142" i="37"/>
  <c r="Y143" i="37"/>
  <c r="AE143" i="37"/>
  <c r="Y144" i="37"/>
  <c r="AE144" i="37"/>
  <c r="Y145" i="37"/>
  <c r="AE145" i="37"/>
  <c r="Y146" i="37"/>
  <c r="AE146" i="37"/>
  <c r="Y147" i="37"/>
  <c r="AE147" i="37"/>
  <c r="Y148" i="37"/>
  <c r="AE148" i="37"/>
  <c r="Y149" i="37"/>
  <c r="AE149" i="37"/>
  <c r="Y150" i="37"/>
  <c r="AE150" i="37"/>
  <c r="Y151" i="37"/>
  <c r="AE151" i="37"/>
  <c r="Y152" i="37"/>
  <c r="AE152" i="37"/>
  <c r="Y153" i="37"/>
  <c r="AE153" i="37"/>
  <c r="Y154" i="37"/>
  <c r="AE154" i="37"/>
  <c r="Y155" i="37"/>
  <c r="AE155" i="37"/>
  <c r="Y156" i="37"/>
  <c r="AE156" i="37"/>
  <c r="Y157" i="37"/>
  <c r="AE157" i="37"/>
  <c r="Y158" i="37"/>
  <c r="AE158" i="37"/>
  <c r="Y159" i="37"/>
  <c r="AE159" i="37"/>
  <c r="Y160" i="37"/>
  <c r="AE160" i="37"/>
  <c r="Z161" i="37"/>
  <c r="AF161" i="37"/>
  <c r="Z162" i="37"/>
  <c r="AF162" i="37"/>
  <c r="Z163" i="37"/>
  <c r="AF163" i="37"/>
  <c r="Z164" i="37"/>
  <c r="AF164" i="37"/>
  <c r="Z165" i="37"/>
  <c r="AF165" i="37"/>
  <c r="Z166" i="37"/>
  <c r="AF166" i="37"/>
  <c r="Z167" i="37"/>
  <c r="AF167" i="37"/>
  <c r="Z168" i="37"/>
  <c r="AF168" i="37"/>
  <c r="Z169" i="37"/>
  <c r="AF169" i="37"/>
  <c r="Z170" i="37"/>
  <c r="AF170" i="37"/>
  <c r="Z171" i="37"/>
  <c r="AF171" i="37"/>
  <c r="Z172" i="37"/>
  <c r="AF172" i="37"/>
  <c r="Z173" i="37"/>
  <c r="AF173" i="37"/>
  <c r="Z174" i="37"/>
  <c r="AF174" i="37"/>
  <c r="Z175" i="37"/>
  <c r="AF175" i="37"/>
  <c r="Z176" i="37"/>
  <c r="AF176" i="37"/>
  <c r="Z177" i="37"/>
  <c r="AF177" i="37"/>
  <c r="Z178" i="37"/>
  <c r="AF178" i="37"/>
  <c r="Z179" i="37"/>
  <c r="AF179" i="37"/>
  <c r="Z180" i="37"/>
  <c r="AF180" i="37"/>
  <c r="Z181" i="37"/>
  <c r="AF181" i="37"/>
  <c r="Z182" i="37"/>
  <c r="AF182" i="37"/>
  <c r="Z183" i="37"/>
  <c r="AF183" i="37"/>
  <c r="Z184" i="37"/>
  <c r="AF184" i="37"/>
  <c r="Z185" i="37"/>
  <c r="AF185" i="37"/>
  <c r="Z186" i="37"/>
  <c r="AF186" i="37"/>
  <c r="Z187" i="37"/>
  <c r="AF187" i="37"/>
  <c r="Z188" i="37"/>
  <c r="AF188" i="37"/>
  <c r="Z189" i="37"/>
  <c r="AF189" i="37"/>
  <c r="Z190" i="37"/>
  <c r="AF190" i="37"/>
  <c r="Z191" i="37"/>
  <c r="AF191" i="37"/>
  <c r="Z192" i="37"/>
  <c r="AF192" i="37"/>
  <c r="Z193" i="37"/>
  <c r="AF193" i="37"/>
  <c r="Z194" i="37"/>
  <c r="AF194" i="37"/>
  <c r="Z195" i="37"/>
  <c r="AF195" i="37"/>
  <c r="Y196" i="37"/>
  <c r="AE196" i="37"/>
  <c r="Y197" i="37"/>
  <c r="AE197" i="37"/>
  <c r="Y198" i="37"/>
  <c r="AE198" i="37"/>
  <c r="Y199" i="37"/>
  <c r="AE199" i="37"/>
  <c r="Y200" i="37"/>
  <c r="AE200" i="37"/>
  <c r="Y201" i="37"/>
  <c r="AE201" i="37"/>
  <c r="Y202" i="37"/>
  <c r="AE202" i="37"/>
  <c r="Y203" i="37"/>
  <c r="AE203" i="37"/>
  <c r="Y204" i="37"/>
  <c r="AE204" i="37"/>
  <c r="Y205" i="37"/>
  <c r="AE205" i="37"/>
  <c r="Y206" i="37"/>
  <c r="AE206" i="37"/>
  <c r="Y207" i="37"/>
  <c r="AE207" i="37"/>
  <c r="Z208" i="37"/>
  <c r="AF208" i="37"/>
  <c r="Z209" i="37"/>
  <c r="AF209" i="37"/>
  <c r="Z210" i="37"/>
  <c r="AF210" i="37"/>
  <c r="Z211" i="37"/>
  <c r="AF211" i="37"/>
  <c r="Z212" i="37"/>
  <c r="AF212" i="37"/>
  <c r="Z213" i="37"/>
  <c r="AF213" i="37"/>
  <c r="Z214" i="37"/>
  <c r="AF214" i="37"/>
  <c r="Z215" i="37"/>
  <c r="AF215" i="37"/>
  <c r="Z216" i="37"/>
  <c r="AF216" i="37"/>
  <c r="Z217" i="37"/>
  <c r="AF217" i="37"/>
  <c r="Z218" i="37"/>
  <c r="AF218" i="37"/>
  <c r="Z219" i="37"/>
  <c r="AF219" i="37"/>
  <c r="Z220" i="37"/>
  <c r="AF220" i="37"/>
  <c r="Z221" i="37"/>
  <c r="AF221" i="37"/>
  <c r="Z222" i="37"/>
  <c r="AF222" i="37"/>
  <c r="Z223" i="37"/>
  <c r="AF223" i="37"/>
  <c r="Z224" i="37"/>
  <c r="AF224" i="37"/>
  <c r="Z225" i="37"/>
  <c r="AF225" i="37"/>
  <c r="Z226" i="37"/>
  <c r="AF226" i="37"/>
  <c r="Z227" i="37"/>
  <c r="AF227" i="37"/>
  <c r="Z228" i="37"/>
  <c r="AF228" i="37"/>
  <c r="Z229" i="37"/>
  <c r="AF229" i="37"/>
  <c r="Z230" i="37"/>
  <c r="AF230" i="37"/>
  <c r="Z231" i="37"/>
  <c r="AF231" i="37"/>
  <c r="Z232" i="37"/>
  <c r="AF232" i="37"/>
  <c r="Z233" i="37"/>
  <c r="AF233" i="37"/>
  <c r="Z234" i="37"/>
  <c r="AF234" i="37"/>
  <c r="Z235" i="37"/>
  <c r="AF235" i="37"/>
  <c r="Z236" i="37"/>
  <c r="AF236" i="37"/>
  <c r="Z237" i="37"/>
  <c r="AF237" i="37"/>
  <c r="Z238" i="37"/>
  <c r="AF238" i="37"/>
  <c r="Z239" i="37"/>
  <c r="AF239" i="37"/>
  <c r="Z240" i="37"/>
  <c r="AF240" i="37"/>
  <c r="Z241" i="37"/>
  <c r="AF241" i="37"/>
  <c r="Z242" i="37"/>
  <c r="AF242" i="37"/>
  <c r="Z243" i="37"/>
  <c r="AF243" i="37"/>
  <c r="Y244" i="37"/>
  <c r="AE244" i="37"/>
  <c r="Y245" i="37"/>
  <c r="AE245" i="37"/>
  <c r="Y246" i="37"/>
  <c r="AE246" i="37"/>
  <c r="Y247" i="37"/>
  <c r="AE247" i="37"/>
  <c r="Y248" i="37"/>
  <c r="AE248" i="37"/>
  <c r="Y249" i="37"/>
  <c r="AE249" i="37"/>
  <c r="Y250" i="37"/>
  <c r="AE250" i="37"/>
  <c r="Y251" i="37"/>
  <c r="AE251" i="37"/>
  <c r="Y252" i="37"/>
  <c r="AE252" i="37"/>
  <c r="Y253" i="37"/>
  <c r="AE253" i="37"/>
  <c r="Y254" i="37"/>
  <c r="AE254" i="37"/>
  <c r="Y255" i="37"/>
  <c r="AE255" i="37"/>
  <c r="Z256" i="37"/>
  <c r="AF256" i="37"/>
  <c r="Z257" i="37"/>
  <c r="AF257" i="37"/>
  <c r="Z258" i="37"/>
  <c r="AF258" i="37"/>
  <c r="Z259" i="37"/>
  <c r="AF259" i="37"/>
  <c r="Z260" i="37"/>
  <c r="AF260" i="37"/>
  <c r="Z261" i="37"/>
  <c r="AF261" i="37"/>
  <c r="Z262" i="37"/>
  <c r="AF262" i="37"/>
  <c r="Z263" i="37"/>
  <c r="AF263" i="37"/>
  <c r="Z264" i="37"/>
  <c r="AF264" i="37"/>
  <c r="Z265" i="37"/>
  <c r="AF265" i="37"/>
  <c r="Z266" i="37"/>
  <c r="AF266" i="37"/>
  <c r="Z267" i="37"/>
  <c r="AF267" i="37"/>
  <c r="Z268" i="37"/>
  <c r="AF268" i="37"/>
  <c r="Z269" i="37"/>
  <c r="AF269" i="37"/>
  <c r="Z270" i="37"/>
  <c r="AF270" i="37"/>
  <c r="Z271" i="37"/>
  <c r="AF271" i="37"/>
  <c r="Z272" i="37"/>
  <c r="AF272" i="37"/>
  <c r="Z273" i="37"/>
  <c r="AF273" i="37"/>
  <c r="Z274" i="37"/>
  <c r="AF274" i="37"/>
  <c r="Z275" i="37"/>
  <c r="AF275" i="37"/>
  <c r="Z276" i="37"/>
  <c r="AF276" i="37"/>
  <c r="Z277" i="37"/>
  <c r="AF277" i="37"/>
  <c r="Z278" i="37"/>
  <c r="AF278" i="37"/>
  <c r="Z279" i="37"/>
  <c r="AF279" i="37"/>
  <c r="Z280" i="37"/>
  <c r="AF280" i="37"/>
  <c r="Z281" i="37"/>
  <c r="AF281" i="37"/>
  <c r="Z282" i="37"/>
  <c r="AF282" i="37"/>
  <c r="Z283" i="37"/>
  <c r="AF283" i="37"/>
  <c r="Z284" i="37"/>
  <c r="AF284" i="37"/>
  <c r="Z285" i="37"/>
  <c r="AF285" i="37"/>
  <c r="Y286" i="37"/>
  <c r="AE286" i="37"/>
  <c r="Y287" i="37"/>
  <c r="AE287" i="37"/>
  <c r="Y288" i="37"/>
  <c r="AE288" i="37"/>
  <c r="Y289" i="37"/>
  <c r="AE289" i="37"/>
  <c r="Y290" i="37"/>
  <c r="AE290" i="37"/>
  <c r="Y291" i="37"/>
  <c r="AE291" i="37"/>
  <c r="Y292" i="37"/>
  <c r="AE292" i="37"/>
  <c r="Y293" i="37"/>
  <c r="AE293" i="37"/>
  <c r="Y294" i="37"/>
  <c r="AE294" i="37"/>
  <c r="Y295" i="37"/>
  <c r="AE295" i="37"/>
  <c r="Y296" i="37"/>
  <c r="AE296" i="37"/>
  <c r="Y297" i="37"/>
  <c r="AE297" i="37"/>
  <c r="Y298" i="37"/>
  <c r="AE298" i="37"/>
  <c r="Y299" i="37"/>
  <c r="AE299" i="37"/>
  <c r="Y300" i="37"/>
  <c r="AE300" i="37"/>
  <c r="Y301" i="37"/>
  <c r="AE301" i="37"/>
  <c r="Y302" i="37"/>
  <c r="AE302" i="37"/>
  <c r="Y303" i="37"/>
  <c r="AE303" i="37"/>
  <c r="Y304" i="37"/>
  <c r="AE304" i="37"/>
  <c r="Y305" i="37"/>
  <c r="AE305" i="37"/>
  <c r="Y306" i="37"/>
  <c r="AE306" i="37"/>
  <c r="Y307" i="37"/>
  <c r="AE307" i="37"/>
  <c r="Y308" i="37"/>
  <c r="AE308" i="37"/>
  <c r="Z309" i="37"/>
  <c r="AF309" i="37"/>
  <c r="Z310" i="37"/>
  <c r="AF310" i="37"/>
  <c r="Z311" i="37"/>
  <c r="AF311" i="37"/>
  <c r="Z312" i="37"/>
  <c r="AF312" i="37"/>
  <c r="Z313" i="37"/>
  <c r="AF313" i="37"/>
  <c r="Z314" i="37"/>
  <c r="AF314" i="37"/>
  <c r="Z315" i="37"/>
  <c r="AF315" i="37"/>
  <c r="Z316" i="37"/>
  <c r="AF316" i="37"/>
  <c r="Z317" i="37"/>
  <c r="AF317" i="37"/>
  <c r="Z318" i="37"/>
  <c r="AF318" i="37"/>
  <c r="Z319" i="37"/>
  <c r="AF319" i="37"/>
  <c r="Z320" i="37"/>
  <c r="AF320" i="37"/>
  <c r="Z321" i="37"/>
  <c r="AF321" i="37"/>
  <c r="Z322" i="37"/>
  <c r="AF322" i="37"/>
  <c r="Z323" i="37"/>
  <c r="AF323" i="37"/>
  <c r="Z324" i="37"/>
  <c r="AF324" i="37"/>
  <c r="Z325" i="37"/>
  <c r="AF325" i="37"/>
  <c r="Z326" i="37"/>
  <c r="AF326" i="37"/>
  <c r="Z327" i="37"/>
  <c r="AF327" i="37"/>
  <c r="Z328" i="37"/>
  <c r="AF328" i="37"/>
  <c r="Z329" i="37"/>
  <c r="AF329" i="37"/>
  <c r="Z330" i="37"/>
  <c r="AF330" i="37"/>
  <c r="Z331" i="37"/>
  <c r="AF331" i="37"/>
  <c r="Z332" i="37"/>
  <c r="AF332" i="37"/>
  <c r="Z333" i="37"/>
  <c r="AF333" i="37"/>
  <c r="Z334" i="37"/>
  <c r="AF334" i="37"/>
  <c r="Z335" i="37"/>
  <c r="AF335" i="37"/>
  <c r="Z336" i="37"/>
  <c r="AF336" i="37"/>
  <c r="Z337" i="37"/>
  <c r="AF337" i="37"/>
  <c r="Z338" i="37"/>
  <c r="AF338" i="37"/>
  <c r="Z339" i="37"/>
  <c r="AF339" i="37"/>
  <c r="Y340" i="37"/>
  <c r="AE340" i="37"/>
  <c r="Y341" i="37"/>
  <c r="AE341" i="37"/>
  <c r="Y342" i="37"/>
  <c r="AE342" i="37"/>
  <c r="Y343" i="37"/>
  <c r="AE343" i="37"/>
  <c r="Y344" i="37"/>
  <c r="AE344" i="37"/>
  <c r="Y345" i="37"/>
  <c r="AE345" i="37"/>
  <c r="Y346" i="37"/>
  <c r="AE346" i="37"/>
  <c r="Y347" i="37"/>
  <c r="AE347" i="37"/>
  <c r="Y348" i="37"/>
  <c r="AE348" i="37"/>
  <c r="Y349" i="37"/>
  <c r="AE349" i="37"/>
  <c r="Y350" i="37"/>
  <c r="AE350" i="37"/>
  <c r="Y351" i="37"/>
  <c r="AE351" i="37"/>
  <c r="Z352" i="37"/>
  <c r="AF352" i="37"/>
  <c r="Z353" i="37"/>
  <c r="AF353" i="37"/>
  <c r="Z354" i="37"/>
  <c r="AF354" i="37"/>
  <c r="Z355" i="37"/>
  <c r="AF355" i="37"/>
  <c r="Z356" i="37"/>
  <c r="AF356" i="37"/>
  <c r="Z357" i="37"/>
  <c r="AF357" i="37"/>
  <c r="Z358" i="37"/>
  <c r="AF358" i="37"/>
  <c r="Z359" i="37"/>
  <c r="AF359" i="37"/>
  <c r="Z360" i="37"/>
  <c r="AF360" i="37"/>
  <c r="Z361" i="37"/>
  <c r="AF361" i="37"/>
  <c r="Z362" i="37"/>
  <c r="AF362" i="37"/>
  <c r="Z363" i="37"/>
  <c r="AF363" i="37"/>
  <c r="Z364" i="37"/>
  <c r="AF364" i="37"/>
  <c r="Z365" i="37"/>
  <c r="AF365" i="37"/>
  <c r="Z366" i="37"/>
  <c r="AF366" i="37"/>
  <c r="Z367" i="37"/>
  <c r="AF367" i="37"/>
  <c r="Z368" i="37"/>
  <c r="AF368" i="37"/>
  <c r="Z369" i="37"/>
  <c r="AF369" i="37"/>
  <c r="Z370" i="37"/>
  <c r="AF370" i="37"/>
  <c r="Z371" i="37"/>
  <c r="AF371" i="37"/>
  <c r="Z372" i="37"/>
  <c r="AF372" i="37"/>
  <c r="Z373" i="37"/>
  <c r="AF373" i="37"/>
  <c r="Z374" i="37"/>
  <c r="AF374" i="37"/>
  <c r="Z375" i="37"/>
  <c r="AF375" i="37"/>
  <c r="Z376" i="37"/>
  <c r="AF376" i="37"/>
  <c r="Z377" i="37"/>
  <c r="AF377" i="37"/>
  <c r="Z378" i="37"/>
  <c r="AF378" i="37"/>
  <c r="Z379" i="37"/>
  <c r="AF379" i="37"/>
  <c r="Z380" i="37"/>
  <c r="AF380" i="37"/>
  <c r="Z381" i="37"/>
  <c r="AF381" i="37"/>
  <c r="Z382" i="37"/>
  <c r="AF382" i="37"/>
  <c r="Z383" i="37"/>
  <c r="AF383" i="37"/>
  <c r="Z384" i="37"/>
  <c r="AF384" i="37"/>
  <c r="Z385" i="37"/>
  <c r="AF385" i="37"/>
  <c r="Z386" i="37"/>
  <c r="AF386" i="37"/>
  <c r="Z387" i="37"/>
  <c r="AF387" i="37"/>
  <c r="Z388" i="37"/>
  <c r="AF388" i="37"/>
  <c r="Z389" i="37"/>
  <c r="AF389" i="37"/>
  <c r="Z390" i="37"/>
  <c r="AF390" i="37"/>
  <c r="Z391" i="37"/>
  <c r="AF391" i="37"/>
  <c r="Z392" i="37"/>
  <c r="AF392" i="37"/>
  <c r="Z393" i="37"/>
  <c r="AF393" i="37"/>
  <c r="Z394" i="37"/>
  <c r="AF394" i="37"/>
  <c r="Z395" i="37"/>
  <c r="AF395" i="37"/>
  <c r="Z396" i="37"/>
  <c r="AF396" i="37"/>
  <c r="Z397" i="37"/>
  <c r="AF397" i="37"/>
  <c r="Z398" i="37"/>
  <c r="AF398" i="37"/>
  <c r="Z399" i="37"/>
  <c r="AF399" i="37"/>
  <c r="Z400" i="37"/>
  <c r="AF400" i="37"/>
  <c r="Z401" i="37"/>
  <c r="AF401" i="37"/>
  <c r="Z402" i="37"/>
  <c r="AF402" i="37"/>
  <c r="Z403" i="37"/>
  <c r="AF403" i="37"/>
  <c r="Z404" i="37"/>
  <c r="AF404" i="37"/>
  <c r="Z405" i="37"/>
  <c r="AF405" i="37"/>
  <c r="Z406" i="37"/>
  <c r="AF406" i="37"/>
  <c r="Z407" i="37"/>
  <c r="AF407" i="37"/>
  <c r="Z408" i="37"/>
  <c r="AF408" i="37"/>
  <c r="Z409" i="37"/>
  <c r="AF409" i="37"/>
  <c r="Z410" i="37"/>
  <c r="AF410" i="37"/>
  <c r="Z411" i="37"/>
  <c r="AF411" i="37"/>
  <c r="Z412" i="37"/>
  <c r="AF412" i="37"/>
  <c r="Z413" i="37"/>
  <c r="AF413" i="37"/>
  <c r="Z414" i="37"/>
  <c r="AF414" i="37"/>
  <c r="Z415" i="37"/>
  <c r="AF415" i="37"/>
  <c r="Z416" i="37"/>
  <c r="AF416" i="37"/>
  <c r="Z417" i="37"/>
  <c r="AF417" i="37"/>
  <c r="Z418" i="37"/>
  <c r="AF418" i="37"/>
  <c r="Z419" i="37"/>
  <c r="AF419" i="37"/>
  <c r="Z420" i="37"/>
  <c r="AF420" i="37"/>
  <c r="Z421" i="37"/>
  <c r="AF421" i="37"/>
  <c r="Z422" i="37"/>
  <c r="AF422" i="37"/>
  <c r="Z423" i="37"/>
  <c r="AF423" i="37"/>
  <c r="Z424" i="37"/>
  <c r="AF424" i="37"/>
  <c r="Z425" i="37"/>
  <c r="AF425" i="37"/>
  <c r="Z426" i="37"/>
  <c r="AF426" i="37"/>
  <c r="Z427" i="37"/>
  <c r="AF427" i="37"/>
  <c r="Z428" i="37"/>
  <c r="AF428" i="37"/>
  <c r="Z429" i="37"/>
  <c r="AF429" i="37"/>
  <c r="Z430" i="37"/>
  <c r="AF430" i="37"/>
  <c r="Z431" i="37"/>
  <c r="AF431" i="37"/>
  <c r="Z432" i="37"/>
  <c r="AF432" i="37"/>
  <c r="Z433" i="37"/>
  <c r="AF433" i="37"/>
  <c r="Z434" i="37"/>
  <c r="AF434" i="37"/>
  <c r="Z435" i="37"/>
  <c r="AF435" i="37"/>
  <c r="Z436" i="37"/>
  <c r="AF436" i="37"/>
  <c r="Z437" i="37"/>
  <c r="AF437" i="37"/>
  <c r="Z438" i="37"/>
  <c r="AF438" i="37"/>
  <c r="Z439" i="37"/>
  <c r="AF439" i="37"/>
  <c r="Z440" i="37"/>
  <c r="AF440" i="37"/>
  <c r="Z441" i="37"/>
  <c r="AF441" i="37"/>
  <c r="Z442" i="37"/>
  <c r="AF442" i="37"/>
  <c r="Z443" i="37"/>
  <c r="AF443" i="37"/>
  <c r="Z444" i="37"/>
  <c r="AF444" i="37"/>
  <c r="Z445" i="37"/>
  <c r="AF445" i="37"/>
  <c r="Z446" i="37"/>
  <c r="AF446" i="37"/>
  <c r="Z447" i="37"/>
  <c r="AF447" i="37"/>
  <c r="Z448" i="37"/>
  <c r="AF448" i="37"/>
  <c r="Z449" i="37"/>
  <c r="AF449" i="37"/>
  <c r="Z450" i="37"/>
  <c r="AF450" i="37"/>
  <c r="Z451" i="37"/>
  <c r="AF451" i="37"/>
  <c r="Z452" i="37"/>
  <c r="AF452" i="37"/>
  <c r="Z453" i="37"/>
  <c r="AF453" i="37"/>
  <c r="Z454" i="37"/>
  <c r="AF454" i="37"/>
  <c r="Z455" i="37"/>
  <c r="AF455" i="37"/>
  <c r="Z456" i="37"/>
  <c r="AF456" i="37"/>
  <c r="Z457" i="37"/>
  <c r="AF457" i="37"/>
  <c r="Z458" i="37"/>
  <c r="AF458" i="37"/>
  <c r="Z459" i="37"/>
  <c r="AF459" i="37"/>
  <c r="Z460" i="37"/>
  <c r="AF460" i="37"/>
  <c r="Z461" i="37"/>
  <c r="AF461" i="37"/>
  <c r="Z462" i="37"/>
  <c r="AF462" i="37"/>
  <c r="Z463" i="37"/>
  <c r="AF463" i="37"/>
  <c r="Z464" i="37"/>
  <c r="AF464" i="37"/>
  <c r="Z465" i="37"/>
  <c r="AF465" i="37"/>
  <c r="Z466" i="37"/>
  <c r="AF466" i="37"/>
  <c r="Z467" i="37"/>
  <c r="AF467" i="37"/>
  <c r="Z468" i="37"/>
  <c r="AF468" i="37"/>
  <c r="Z469" i="37"/>
  <c r="AF469" i="37"/>
  <c r="Z470" i="37"/>
  <c r="AF470" i="37"/>
  <c r="Z471" i="37"/>
  <c r="AF471" i="37"/>
  <c r="Z472" i="37"/>
  <c r="AF472" i="37"/>
  <c r="Z473" i="37"/>
  <c r="AF473" i="37"/>
  <c r="Z474" i="37"/>
  <c r="AF474" i="37"/>
  <c r="Z475" i="37"/>
  <c r="AF475" i="37"/>
  <c r="Z476" i="37"/>
  <c r="AF476" i="37"/>
  <c r="Z477" i="37"/>
  <c r="AF477" i="37"/>
  <c r="Z478" i="37"/>
  <c r="AF478" i="37"/>
  <c r="Z479" i="37"/>
  <c r="AF479" i="37"/>
  <c r="Z480" i="37"/>
  <c r="AF480" i="37"/>
  <c r="Z481" i="37"/>
  <c r="AF481" i="37"/>
  <c r="Z482" i="37"/>
  <c r="AF482" i="37"/>
  <c r="Z483" i="37"/>
  <c r="AF483" i="37"/>
  <c r="Z484" i="37"/>
  <c r="AF484" i="37"/>
  <c r="Z485" i="37"/>
  <c r="AF485" i="37"/>
  <c r="Z486" i="37"/>
  <c r="AF486" i="37"/>
  <c r="Z487" i="37"/>
  <c r="AF487" i="37"/>
  <c r="Z488" i="37"/>
  <c r="AF488" i="37"/>
  <c r="Z489" i="37"/>
  <c r="AF489" i="37"/>
  <c r="Z490" i="37"/>
  <c r="AF490" i="37"/>
  <c r="Z491" i="37"/>
  <c r="AF491" i="37"/>
  <c r="Z492" i="37"/>
  <c r="AF492" i="37"/>
  <c r="Z493" i="37"/>
  <c r="AF493" i="37"/>
  <c r="Z494" i="37"/>
  <c r="AF494" i="37"/>
  <c r="Z495" i="37"/>
  <c r="AF495" i="37"/>
  <c r="Z496" i="37"/>
  <c r="AF496" i="37"/>
  <c r="Z497" i="37"/>
  <c r="AF497" i="37"/>
  <c r="Z498" i="37"/>
  <c r="AF498" i="37"/>
  <c r="Z499" i="37"/>
  <c r="AF499" i="37"/>
  <c r="Z500" i="37"/>
  <c r="AF500" i="37"/>
  <c r="Z501" i="37"/>
  <c r="AF501" i="37"/>
  <c r="Z502" i="37"/>
  <c r="AF502" i="37"/>
  <c r="Z503" i="37"/>
  <c r="AF503" i="37"/>
  <c r="Z504" i="37"/>
  <c r="AF504" i="37"/>
  <c r="Z505" i="37"/>
  <c r="AF505" i="37"/>
  <c r="Z506" i="37"/>
  <c r="AF506" i="37"/>
  <c r="Z507" i="37"/>
  <c r="AF507" i="37"/>
  <c r="Z508" i="37"/>
  <c r="AF508" i="37"/>
  <c r="Z509" i="37"/>
  <c r="AF509" i="37"/>
  <c r="Z510" i="37"/>
  <c r="AF510" i="37"/>
  <c r="Z511" i="37"/>
  <c r="AF511" i="37"/>
  <c r="Z512" i="37"/>
  <c r="AF512" i="37"/>
  <c r="Z513" i="37"/>
  <c r="AF513" i="37"/>
  <c r="Z514" i="37"/>
  <c r="AF514" i="37"/>
  <c r="Z515" i="37"/>
  <c r="AF515" i="37"/>
  <c r="Z516" i="37"/>
  <c r="AF516" i="37"/>
  <c r="Z517" i="37"/>
  <c r="AF517" i="37"/>
  <c r="Z518" i="37"/>
  <c r="AF518" i="37"/>
  <c r="Z519" i="37"/>
  <c r="AF519" i="37"/>
  <c r="Z520" i="37"/>
  <c r="AF520" i="37"/>
  <c r="Z521" i="37"/>
  <c r="AF521" i="37"/>
  <c r="Z522" i="37"/>
  <c r="AF522" i="37"/>
  <c r="Z523" i="37"/>
  <c r="AF523" i="37"/>
  <c r="Z524" i="37"/>
  <c r="AF524" i="37"/>
  <c r="Z525" i="37"/>
  <c r="AF525" i="37"/>
  <c r="Z526" i="37"/>
  <c r="AF526" i="37"/>
  <c r="Z527" i="37"/>
  <c r="AF527" i="37"/>
  <c r="Z528" i="37"/>
  <c r="AF528" i="37"/>
  <c r="Z529" i="37"/>
  <c r="AF529" i="37"/>
  <c r="Z530" i="37"/>
  <c r="AF530" i="37"/>
  <c r="Z531" i="37"/>
  <c r="AF531" i="37"/>
  <c r="Z532" i="37"/>
  <c r="AF532" i="37"/>
  <c r="Z533" i="37"/>
  <c r="AF533" i="37"/>
  <c r="Z534" i="37"/>
  <c r="AF534" i="37"/>
  <c r="Z535" i="37"/>
  <c r="AF535" i="37"/>
  <c r="Z536" i="37"/>
  <c r="AF536" i="37"/>
  <c r="Z537" i="37"/>
  <c r="AF537" i="37"/>
  <c r="Z538" i="37"/>
  <c r="AF538" i="37"/>
  <c r="Z539" i="37"/>
  <c r="AF539" i="37"/>
  <c r="Z540" i="37"/>
  <c r="AF540" i="37"/>
  <c r="Z541" i="37"/>
  <c r="AF541" i="37"/>
  <c r="Z542" i="37"/>
  <c r="AF542" i="37"/>
  <c r="Z543" i="37"/>
  <c r="AF543" i="37"/>
  <c r="Z544" i="37"/>
  <c r="AF544" i="37"/>
  <c r="Z545" i="37"/>
  <c r="AF545" i="37"/>
  <c r="Z546" i="37"/>
  <c r="AF546" i="37"/>
  <c r="Z547" i="37"/>
  <c r="AF547" i="37"/>
  <c r="Z548" i="37"/>
  <c r="AF548" i="37"/>
  <c r="Z549" i="37"/>
  <c r="AF549" i="37"/>
  <c r="Z550" i="37"/>
  <c r="AF550" i="37"/>
  <c r="Z551" i="37"/>
  <c r="AF551" i="37"/>
  <c r="Z552" i="37"/>
  <c r="AF552" i="37"/>
  <c r="Z553" i="37"/>
  <c r="AF553" i="37"/>
  <c r="Z554" i="37"/>
  <c r="AF554" i="37"/>
  <c r="Z555" i="37"/>
  <c r="AF555" i="37"/>
  <c r="Z556" i="37"/>
  <c r="AF556" i="37"/>
  <c r="Z557" i="37"/>
  <c r="AF557" i="37"/>
  <c r="Z558" i="37"/>
  <c r="AF558" i="37"/>
  <c r="Z559" i="37"/>
  <c r="AF559" i="37"/>
  <c r="Z560" i="37"/>
  <c r="AF560" i="37"/>
  <c r="Z561" i="37"/>
  <c r="AF561" i="37"/>
  <c r="Z562" i="37"/>
  <c r="AF562" i="37"/>
  <c r="Z563" i="37"/>
  <c r="AF563" i="37"/>
  <c r="Z564" i="37"/>
  <c r="AF564" i="37"/>
  <c r="Z565" i="37"/>
  <c r="AF565" i="37"/>
  <c r="Z566" i="37"/>
  <c r="AF566" i="37"/>
  <c r="Z567" i="37"/>
  <c r="AF567" i="37"/>
  <c r="Z568" i="37"/>
  <c r="AF568" i="37"/>
  <c r="Z569" i="37"/>
  <c r="AF569" i="37"/>
  <c r="Z570" i="37"/>
  <c r="AF570" i="37"/>
  <c r="Z571" i="37"/>
  <c r="AF571" i="37"/>
  <c r="Z572" i="37"/>
  <c r="AF572" i="37"/>
  <c r="Z573" i="37"/>
  <c r="AF573" i="37"/>
  <c r="Z574" i="37"/>
  <c r="AF574" i="37"/>
  <c r="Z575" i="37"/>
  <c r="AF575" i="37"/>
  <c r="Z576" i="37"/>
  <c r="AF576" i="37"/>
  <c r="Z577" i="37"/>
  <c r="AF577" i="37"/>
  <c r="Z578" i="37"/>
  <c r="AF578" i="37"/>
  <c r="Z579" i="37"/>
  <c r="AF579" i="37"/>
  <c r="Z580" i="37"/>
  <c r="AF580" i="37"/>
  <c r="Z581" i="37"/>
  <c r="AF581" i="37"/>
  <c r="Z582" i="37"/>
  <c r="AF582" i="37"/>
  <c r="Z583" i="37"/>
  <c r="AF583" i="37"/>
  <c r="Z584" i="37"/>
  <c r="AF584" i="37"/>
  <c r="Z585" i="37"/>
  <c r="AF585" i="37"/>
  <c r="Z586" i="37"/>
  <c r="AF586" i="37"/>
  <c r="Z587" i="37"/>
  <c r="AF587" i="37"/>
  <c r="Z588" i="37"/>
  <c r="AF588" i="37"/>
  <c r="Z589" i="37"/>
  <c r="AF589" i="37"/>
  <c r="Z590" i="37"/>
  <c r="AF590" i="37"/>
  <c r="Z591" i="37"/>
  <c r="AF591" i="37"/>
  <c r="Z592" i="37"/>
  <c r="AF592" i="37"/>
  <c r="Z593" i="37"/>
  <c r="AF593" i="37"/>
  <c r="Z594" i="37"/>
  <c r="AF594" i="37"/>
  <c r="Z595" i="37"/>
  <c r="AF595" i="37"/>
  <c r="Z596" i="37"/>
  <c r="AF596" i="37"/>
  <c r="Z597" i="37"/>
  <c r="AF597" i="37"/>
  <c r="Z598" i="37"/>
  <c r="AF598" i="37"/>
  <c r="Z599" i="37"/>
  <c r="AF599" i="37"/>
  <c r="Z600" i="37"/>
  <c r="AF600" i="37"/>
  <c r="Z601" i="37"/>
  <c r="AF601" i="37"/>
  <c r="Z602" i="37"/>
  <c r="AF602" i="37"/>
  <c r="Z603" i="37"/>
  <c r="AF603" i="37"/>
  <c r="Z604" i="37"/>
  <c r="AF604" i="37"/>
  <c r="Z605" i="37"/>
  <c r="AF605" i="37"/>
  <c r="Z606" i="37"/>
  <c r="AF606" i="37"/>
  <c r="Z607" i="37"/>
  <c r="AF607" i="37"/>
  <c r="Z608" i="37"/>
  <c r="AF608" i="37"/>
  <c r="Z609" i="37"/>
  <c r="AF609" i="37"/>
  <c r="Z610" i="37"/>
  <c r="AF610" i="37"/>
  <c r="Z611" i="37"/>
  <c r="AF611" i="37"/>
  <c r="Z612" i="37"/>
  <c r="AF612" i="37"/>
  <c r="Z613" i="37"/>
  <c r="AF613" i="37"/>
  <c r="Z614" i="37"/>
  <c r="AF614" i="37"/>
  <c r="Z615" i="37"/>
  <c r="AF615" i="37"/>
  <c r="Z616" i="37"/>
  <c r="AF616" i="37"/>
  <c r="Z617" i="37"/>
  <c r="AF617" i="37"/>
  <c r="Z618" i="37"/>
  <c r="AF618" i="37"/>
  <c r="Z619" i="37"/>
  <c r="AF619" i="37"/>
  <c r="Z620" i="37"/>
  <c r="AF620" i="37"/>
  <c r="Z621" i="37"/>
  <c r="AF621" i="37"/>
  <c r="Z622" i="37"/>
  <c r="AF622" i="37"/>
  <c r="Z623" i="37"/>
  <c r="AF623" i="37"/>
  <c r="Z624" i="37"/>
  <c r="AF624" i="37"/>
  <c r="Z625" i="37"/>
  <c r="AF625" i="37"/>
  <c r="Z626" i="37"/>
  <c r="AF626" i="37"/>
  <c r="Z627" i="37"/>
  <c r="AF627" i="37"/>
  <c r="Z628" i="37"/>
  <c r="AF628" i="37"/>
  <c r="Z629" i="37"/>
  <c r="AF629" i="37"/>
  <c r="Z630" i="37"/>
  <c r="AF630" i="37"/>
  <c r="Z631" i="37"/>
  <c r="AF631" i="37"/>
  <c r="Z632" i="37"/>
  <c r="AF632" i="37"/>
  <c r="Z633" i="37"/>
  <c r="AF633" i="37"/>
  <c r="Z634" i="37"/>
  <c r="AF634" i="37"/>
  <c r="Z635" i="37"/>
  <c r="AF635" i="37"/>
  <c r="Z636" i="37"/>
  <c r="AF636" i="37"/>
  <c r="Z637" i="37"/>
  <c r="AF637" i="37"/>
  <c r="Z638" i="37"/>
  <c r="AF638" i="37"/>
  <c r="Z639" i="37"/>
  <c r="AF639" i="37"/>
  <c r="Z640" i="37"/>
  <c r="AF640" i="37"/>
  <c r="Z641" i="37"/>
  <c r="AF641" i="37"/>
  <c r="Z642" i="37"/>
  <c r="AF642" i="37"/>
  <c r="Z643" i="37"/>
  <c r="AF643" i="37"/>
  <c r="Z644" i="37"/>
  <c r="AF644" i="37"/>
  <c r="Z645" i="37"/>
  <c r="AF645" i="37"/>
  <c r="Z646" i="37"/>
  <c r="AF646" i="37"/>
  <c r="Z647" i="37"/>
  <c r="AF647" i="37"/>
  <c r="Z648" i="37"/>
  <c r="AF648" i="37"/>
  <c r="Z649" i="37"/>
  <c r="AF649" i="37"/>
  <c r="Z650" i="37"/>
  <c r="AF650" i="37"/>
  <c r="Z651" i="37"/>
  <c r="AF651" i="37"/>
  <c r="Z652" i="37"/>
  <c r="AF652" i="37"/>
  <c r="Z653" i="37"/>
  <c r="AF653" i="37"/>
  <c r="Z654" i="37"/>
  <c r="AF654" i="37"/>
  <c r="Z655" i="37"/>
  <c r="AF655" i="37"/>
  <c r="Z656" i="37"/>
  <c r="AF656" i="37"/>
  <c r="Z657" i="37"/>
  <c r="AF657" i="37"/>
  <c r="Z658" i="37"/>
  <c r="AF658" i="37"/>
  <c r="Z659" i="37"/>
  <c r="AF659" i="37"/>
  <c r="Z660" i="37"/>
  <c r="AF660" i="37"/>
  <c r="Z661" i="37"/>
  <c r="AF661" i="37"/>
  <c r="Z662" i="37"/>
  <c r="AF662" i="37"/>
  <c r="Z663" i="37"/>
  <c r="AF663" i="37"/>
  <c r="Z664" i="37"/>
  <c r="AF664" i="37"/>
  <c r="Z665" i="37"/>
  <c r="AF665" i="37"/>
  <c r="Z666" i="37"/>
  <c r="AF666" i="37"/>
  <c r="Z667" i="37"/>
  <c r="AF667" i="37"/>
  <c r="Z668" i="37"/>
  <c r="AF668" i="37"/>
  <c r="Z669" i="37"/>
  <c r="AF669" i="37"/>
  <c r="Z670" i="37"/>
  <c r="AF670" i="37"/>
  <c r="Z671" i="37"/>
  <c r="AF671" i="37"/>
  <c r="Z672" i="37"/>
  <c r="AF672" i="37"/>
  <c r="Z673" i="37"/>
  <c r="AF673" i="37"/>
  <c r="Z674" i="37"/>
  <c r="AF674" i="37"/>
  <c r="Z675" i="37"/>
  <c r="AF675" i="37"/>
  <c r="Z676" i="37"/>
  <c r="AF676" i="37"/>
  <c r="Z677" i="37"/>
  <c r="AF677" i="37"/>
  <c r="Z678" i="37"/>
  <c r="AF678" i="37"/>
  <c r="Z679" i="37"/>
  <c r="AF679" i="37"/>
  <c r="Z680" i="37"/>
  <c r="AF680" i="37"/>
  <c r="Z681" i="37"/>
  <c r="AF681" i="37"/>
  <c r="Z682" i="37"/>
  <c r="AF682" i="37"/>
  <c r="Z683" i="37"/>
  <c r="AF683" i="37"/>
  <c r="Z684" i="37"/>
  <c r="AF684" i="37"/>
  <c r="Z685" i="37"/>
  <c r="AF685" i="37"/>
  <c r="Z686" i="37"/>
  <c r="AF686" i="37"/>
  <c r="Z687" i="37"/>
  <c r="AF687" i="37"/>
  <c r="Z688" i="37"/>
  <c r="AF688" i="37"/>
  <c r="Z689" i="37"/>
  <c r="AF689" i="37"/>
  <c r="Z690" i="37"/>
  <c r="AF690" i="37"/>
  <c r="Z691" i="37"/>
  <c r="AF691" i="37"/>
  <c r="Z692" i="37"/>
  <c r="AF692" i="37"/>
  <c r="Z693" i="37"/>
  <c r="AF693" i="37"/>
  <c r="Z694" i="37"/>
  <c r="AF694" i="37"/>
  <c r="Z695" i="37"/>
  <c r="AF695" i="37"/>
  <c r="Z696" i="37"/>
  <c r="AF696" i="37"/>
  <c r="Z697" i="37"/>
  <c r="AF697" i="37"/>
  <c r="Z698" i="37"/>
  <c r="AF698" i="37"/>
  <c r="Z699" i="37"/>
  <c r="AF699" i="37"/>
  <c r="Z700" i="37"/>
  <c r="AF700" i="37"/>
  <c r="Z701" i="37"/>
  <c r="AF701" i="37"/>
  <c r="Z702" i="37"/>
  <c r="AF702" i="37"/>
  <c r="Z703" i="37"/>
  <c r="AF703" i="37"/>
  <c r="Z704" i="37"/>
  <c r="AF704" i="37"/>
  <c r="Z705" i="37"/>
  <c r="AF705" i="37"/>
  <c r="Z706" i="37"/>
  <c r="AF706" i="37"/>
  <c r="Z707" i="37"/>
  <c r="AF707" i="37"/>
  <c r="Z708" i="37"/>
  <c r="AF708" i="37"/>
  <c r="Z709" i="37"/>
  <c r="AF709" i="37"/>
  <c r="Z710" i="37"/>
  <c r="AF710" i="37"/>
  <c r="Z711" i="37"/>
  <c r="AF711" i="37"/>
  <c r="Z712" i="37"/>
  <c r="AF712" i="37"/>
  <c r="Z713" i="37"/>
  <c r="AF713" i="37"/>
  <c r="Z714" i="37"/>
  <c r="AF714" i="37"/>
  <c r="Z715" i="37"/>
  <c r="AF715" i="37"/>
  <c r="Z716" i="37"/>
  <c r="AF716" i="37"/>
  <c r="Z717" i="37"/>
  <c r="AF717" i="37"/>
  <c r="Z718" i="37"/>
  <c r="AF718" i="37"/>
  <c r="Z719" i="37"/>
  <c r="AF719" i="37"/>
  <c r="Z720" i="37"/>
  <c r="AF720" i="37"/>
  <c r="Z721" i="37"/>
  <c r="AF721" i="37"/>
  <c r="Z722" i="37"/>
  <c r="AF722" i="37"/>
  <c r="Z723" i="37"/>
  <c r="AF723" i="37"/>
  <c r="Z724" i="37"/>
  <c r="AF724" i="37"/>
  <c r="Z725" i="37"/>
  <c r="AF725" i="37"/>
  <c r="Z726" i="37"/>
  <c r="AF726" i="37"/>
  <c r="Z727" i="37"/>
  <c r="AF727" i="37"/>
  <c r="Z728" i="37"/>
  <c r="AF728" i="37"/>
  <c r="Z729" i="37"/>
  <c r="AF729" i="37"/>
  <c r="Z730" i="37"/>
  <c r="AF730" i="37"/>
  <c r="Z731" i="37"/>
  <c r="AF731" i="37"/>
  <c r="Z732" i="37"/>
  <c r="AF732" i="37"/>
  <c r="Z733" i="37"/>
  <c r="AF733" i="37"/>
  <c r="Z734" i="37"/>
  <c r="AF734" i="37"/>
  <c r="Z735" i="37"/>
  <c r="AF735" i="37"/>
  <c r="Z736" i="37"/>
  <c r="AF736" i="37"/>
  <c r="Z737" i="37"/>
  <c r="AF737" i="37"/>
  <c r="Z738" i="37"/>
  <c r="AF738" i="37"/>
  <c r="Z739" i="37"/>
  <c r="AF739" i="37"/>
  <c r="Z740" i="37"/>
  <c r="AF740" i="37"/>
  <c r="Z741" i="37"/>
  <c r="AF741" i="37"/>
  <c r="Z742" i="37"/>
  <c r="AF742" i="37"/>
  <c r="Z743" i="37"/>
  <c r="AF743" i="37"/>
  <c r="Z744" i="37"/>
  <c r="AF744" i="37"/>
  <c r="Z745" i="37"/>
  <c r="AF745" i="37"/>
  <c r="Z746" i="37"/>
  <c r="AF746" i="37"/>
  <c r="Z747" i="37"/>
  <c r="AF747" i="37"/>
  <c r="Z748" i="37"/>
  <c r="AF748" i="37"/>
  <c r="Z749" i="37"/>
  <c r="AF749" i="37"/>
  <c r="Z750" i="37"/>
  <c r="AF750" i="37"/>
  <c r="Z751" i="37"/>
  <c r="AF751" i="37"/>
  <c r="Z752" i="37"/>
  <c r="AF752" i="37"/>
  <c r="Z753" i="37"/>
  <c r="AF753" i="37"/>
  <c r="Z754" i="37"/>
  <c r="AF754" i="37"/>
  <c r="D7" i="45"/>
  <c r="R7" i="45"/>
  <c r="S7" i="45"/>
  <c r="V7" i="45"/>
  <c r="W7" i="45"/>
  <c r="X7" i="45"/>
  <c r="D9" i="45"/>
  <c r="R9" i="45"/>
  <c r="S9" i="45"/>
  <c r="V9" i="45"/>
  <c r="W9" i="45"/>
  <c r="X9" i="45"/>
  <c r="D11" i="45"/>
  <c r="R11" i="45"/>
  <c r="S11" i="45"/>
  <c r="V11" i="45"/>
  <c r="W11" i="45"/>
  <c r="X11" i="45"/>
  <c r="D13" i="45"/>
  <c r="R13" i="45"/>
  <c r="S13" i="45"/>
  <c r="V13" i="45"/>
  <c r="W13" i="45"/>
  <c r="X13" i="45"/>
  <c r="D14" i="45"/>
  <c r="R14" i="45"/>
  <c r="S14" i="45"/>
  <c r="V14" i="45"/>
  <c r="W14" i="45"/>
  <c r="X14" i="45"/>
  <c r="D15" i="45"/>
  <c r="R15" i="45"/>
  <c r="S15" i="45"/>
  <c r="V15" i="45"/>
  <c r="W15" i="45"/>
  <c r="X15" i="45"/>
  <c r="Z2" i="38"/>
  <c r="AE2" i="38"/>
  <c r="AJ2" i="38"/>
  <c r="Z3" i="38"/>
  <c r="AE3" i="38"/>
  <c r="Z4" i="38"/>
  <c r="AE4" i="38"/>
  <c r="Z5" i="38"/>
  <c r="AE5" i="38"/>
  <c r="AJ5" i="38"/>
  <c r="Z6" i="38"/>
  <c r="AE6" i="38"/>
  <c r="AJ6" i="38"/>
  <c r="Z7" i="38"/>
  <c r="AE7" i="38"/>
  <c r="AJ7" i="38"/>
  <c r="Z8" i="38"/>
  <c r="AE8" i="38"/>
  <c r="AJ8" i="38"/>
  <c r="Z9" i="38"/>
  <c r="AE9" i="38"/>
  <c r="Z10" i="38"/>
  <c r="AE10" i="38"/>
  <c r="Z11" i="38"/>
  <c r="AE11" i="38"/>
  <c r="Z12" i="38"/>
  <c r="AE12" i="38"/>
  <c r="Z13" i="38"/>
  <c r="AE13" i="38"/>
  <c r="Y14" i="38"/>
  <c r="AD14" i="38"/>
  <c r="Y15" i="38"/>
  <c r="AD15" i="38"/>
  <c r="Y16" i="38"/>
  <c r="AD16" i="38"/>
  <c r="Y17" i="38"/>
  <c r="AD17" i="38"/>
  <c r="Y18" i="38"/>
  <c r="AD18" i="38"/>
  <c r="Y19" i="38"/>
  <c r="AD19" i="38"/>
  <c r="Y20" i="38"/>
  <c r="AD20" i="38"/>
  <c r="Y21" i="38"/>
  <c r="AD21" i="38"/>
  <c r="Y22" i="38"/>
  <c r="AD22" i="38"/>
  <c r="Y23" i="38"/>
  <c r="AD23" i="38"/>
  <c r="Y24" i="38"/>
  <c r="AD24" i="38"/>
  <c r="Y25" i="38"/>
  <c r="AD25" i="38"/>
  <c r="Z26" i="38"/>
  <c r="AE26" i="38"/>
  <c r="Z27" i="38"/>
  <c r="AE27" i="38"/>
  <c r="Z28" i="38"/>
  <c r="AE28" i="38"/>
  <c r="Z29" i="38"/>
  <c r="AE29" i="38"/>
  <c r="Z30" i="38"/>
  <c r="AE30" i="38"/>
  <c r="Z31" i="38"/>
  <c r="AE31" i="38"/>
  <c r="Z32" i="38"/>
  <c r="AE32" i="38"/>
  <c r="Z33" i="38"/>
  <c r="AE33" i="38"/>
  <c r="Z34" i="38"/>
  <c r="AE34" i="38"/>
  <c r="Z35" i="38"/>
  <c r="AE35" i="38"/>
  <c r="Z36" i="38"/>
  <c r="AE36" i="38"/>
  <c r="Z37" i="38"/>
  <c r="AE37" i="38"/>
  <c r="Z38" i="38"/>
  <c r="AE38" i="38"/>
  <c r="Z39" i="38"/>
  <c r="AE39" i="38"/>
  <c r="Z40" i="38"/>
  <c r="AE40" i="38"/>
  <c r="Z41" i="38"/>
  <c r="AE41" i="38"/>
  <c r="Z42" i="38"/>
  <c r="AE42" i="38"/>
  <c r="Z43" i="38"/>
  <c r="AE43" i="38"/>
  <c r="Z44" i="38"/>
  <c r="AE44" i="38"/>
  <c r="Z45" i="38"/>
  <c r="AE45" i="38"/>
  <c r="Z46" i="38"/>
  <c r="AE46" i="38"/>
  <c r="Z47" i="38"/>
  <c r="AE47" i="38"/>
  <c r="Z48" i="38"/>
  <c r="AE48" i="38"/>
  <c r="Z49" i="38"/>
  <c r="AE49" i="38"/>
  <c r="Z50" i="38"/>
  <c r="AE50" i="38"/>
  <c r="Z51" i="38"/>
  <c r="AE51" i="38"/>
  <c r="Z52" i="38"/>
  <c r="AE52" i="38"/>
  <c r="Z53" i="38"/>
  <c r="AE53" i="38"/>
  <c r="Z54" i="38"/>
  <c r="AE54" i="38"/>
  <c r="Z55" i="38"/>
  <c r="AE55" i="38"/>
  <c r="Z56" i="38"/>
  <c r="AE56" i="38"/>
  <c r="Z57" i="38"/>
  <c r="AE57" i="38"/>
  <c r="Z58" i="38"/>
  <c r="AE58" i="38"/>
  <c r="Z59" i="38"/>
  <c r="AE59" i="38"/>
  <c r="Z60" i="38"/>
  <c r="AE60" i="38"/>
  <c r="Z61" i="38"/>
  <c r="AE61" i="38"/>
  <c r="Y62" i="38"/>
  <c r="AD62" i="38"/>
  <c r="Y63" i="38"/>
  <c r="AD63" i="38"/>
  <c r="Y64" i="38"/>
  <c r="AD64" i="38"/>
  <c r="Y65" i="38"/>
  <c r="AD65" i="38"/>
  <c r="Y66" i="38"/>
  <c r="AD66" i="38"/>
  <c r="Y67" i="38"/>
  <c r="AD67" i="38"/>
  <c r="Y68" i="38"/>
  <c r="AD68" i="38"/>
  <c r="Y69" i="38"/>
  <c r="AD69" i="38"/>
  <c r="Y70" i="38"/>
  <c r="AD70" i="38"/>
  <c r="Y71" i="38"/>
  <c r="AD71" i="38"/>
  <c r="Y72" i="38"/>
  <c r="AD72" i="38"/>
  <c r="Y73" i="38"/>
  <c r="AD73" i="38"/>
  <c r="Z74" i="38"/>
  <c r="AE74" i="38"/>
  <c r="Z75" i="38"/>
  <c r="AE75" i="38"/>
  <c r="Z76" i="38"/>
  <c r="AE76" i="38"/>
  <c r="Z77" i="38"/>
  <c r="AE77" i="38"/>
  <c r="Z78" i="38"/>
  <c r="AE78" i="38"/>
  <c r="Z79" i="38"/>
  <c r="AE79" i="38"/>
  <c r="Z80" i="38"/>
  <c r="AE80" i="38"/>
  <c r="Z81" i="38"/>
  <c r="AE81" i="38"/>
  <c r="Z82" i="38"/>
  <c r="AE82" i="38"/>
  <c r="Z83" i="38"/>
  <c r="AE83" i="38"/>
  <c r="Z84" i="38"/>
  <c r="AE84" i="38"/>
  <c r="Z85" i="38"/>
  <c r="AE85" i="38"/>
  <c r="Z86" i="38"/>
  <c r="AE86" i="38"/>
  <c r="Z87" i="38"/>
  <c r="AE87" i="38"/>
  <c r="Z88" i="38"/>
  <c r="AE88" i="38"/>
  <c r="Z89" i="38"/>
  <c r="AE89" i="38"/>
  <c r="Z90" i="38"/>
  <c r="AE90" i="38"/>
  <c r="Z91" i="38"/>
  <c r="AE91" i="38"/>
  <c r="Z92" i="38"/>
  <c r="AE92" i="38"/>
  <c r="Z93" i="38"/>
  <c r="AE93" i="38"/>
  <c r="Z94" i="38"/>
  <c r="AE94" i="38"/>
  <c r="Z95" i="38"/>
  <c r="AE95" i="38"/>
  <c r="Z96" i="38"/>
  <c r="AE96" i="38"/>
  <c r="Z97" i="38"/>
  <c r="AE97" i="38"/>
  <c r="Z98" i="38"/>
  <c r="AE98" i="38"/>
  <c r="Z99" i="38"/>
  <c r="AE99" i="38"/>
  <c r="Z100" i="38"/>
  <c r="AE100" i="38"/>
  <c r="Z101" i="38"/>
  <c r="AE101" i="38"/>
  <c r="Z102" i="38"/>
  <c r="AE102" i="38"/>
  <c r="Z103" i="38"/>
  <c r="AE103" i="38"/>
  <c r="Y104" i="38"/>
  <c r="AD104" i="38"/>
  <c r="Y105" i="38"/>
  <c r="AD105" i="38"/>
  <c r="Y106" i="38"/>
  <c r="AD106" i="38"/>
  <c r="Y107" i="38"/>
  <c r="AD107" i="38"/>
  <c r="Y108" i="38"/>
  <c r="AD108" i="38"/>
  <c r="Y109" i="38"/>
  <c r="AD109" i="38"/>
  <c r="Y110" i="38"/>
  <c r="AD110" i="38"/>
  <c r="Y111" i="38"/>
  <c r="AD111" i="38"/>
  <c r="Y112" i="38"/>
  <c r="AD112" i="38"/>
  <c r="Y113" i="38"/>
  <c r="AD113" i="38"/>
  <c r="Y114" i="38"/>
  <c r="AD114" i="38"/>
  <c r="Y115" i="38"/>
  <c r="AD115" i="38"/>
  <c r="Y116" i="38"/>
  <c r="AD116" i="38"/>
  <c r="Y117" i="38"/>
  <c r="AD117" i="38"/>
  <c r="Y118" i="38"/>
  <c r="AD118" i="38"/>
  <c r="Y119" i="38"/>
  <c r="AD119" i="38"/>
  <c r="Y120" i="38"/>
  <c r="AD120" i="38"/>
  <c r="Y121" i="38"/>
  <c r="AD121" i="38"/>
  <c r="Y122" i="38"/>
  <c r="AD122" i="38"/>
  <c r="Y123" i="38"/>
  <c r="AD123" i="38"/>
  <c r="Y124" i="38"/>
  <c r="AD124" i="38"/>
  <c r="Y125" i="38"/>
  <c r="AD125" i="38"/>
  <c r="Y126" i="38"/>
  <c r="AD126" i="38"/>
  <c r="Z127" i="38"/>
  <c r="AE127" i="38"/>
  <c r="Z128" i="38"/>
  <c r="AE128" i="38"/>
  <c r="Z129" i="38"/>
  <c r="AE129" i="38"/>
  <c r="Z130" i="38"/>
  <c r="AE130" i="38"/>
  <c r="Z131" i="38"/>
  <c r="AE131" i="38"/>
  <c r="Z132" i="38"/>
  <c r="AE132" i="38"/>
  <c r="Z133" i="38"/>
  <c r="AE133" i="38"/>
  <c r="Z134" i="38"/>
  <c r="AE134" i="38"/>
  <c r="Z135" i="38"/>
  <c r="AE135" i="38"/>
  <c r="Z136" i="38"/>
  <c r="AE136" i="38"/>
  <c r="Z137" i="38"/>
  <c r="AE137" i="38"/>
  <c r="Z138" i="38"/>
  <c r="AE138" i="38"/>
  <c r="Z139" i="38"/>
  <c r="AE139" i="38"/>
  <c r="Z140" i="38"/>
  <c r="AE140" i="38"/>
  <c r="Z141" i="38"/>
  <c r="AE141" i="38"/>
  <c r="Z142" i="38"/>
  <c r="AE142" i="38"/>
  <c r="Z143" i="38"/>
  <c r="AE143" i="38"/>
  <c r="Z144" i="38"/>
  <c r="AE144" i="38"/>
  <c r="Z145" i="38"/>
  <c r="AE145" i="38"/>
  <c r="Z146" i="38"/>
  <c r="AE146" i="38"/>
  <c r="Z147" i="38"/>
  <c r="AE147" i="38"/>
  <c r="Z148" i="38"/>
  <c r="AE148" i="38"/>
  <c r="Z149" i="38"/>
  <c r="AE149" i="38"/>
  <c r="Z150" i="38"/>
  <c r="AE150" i="38"/>
  <c r="Z151" i="38"/>
  <c r="AE151" i="38"/>
  <c r="Z152" i="38"/>
  <c r="AE152" i="38"/>
  <c r="Z153" i="38"/>
  <c r="AE153" i="38"/>
  <c r="Z154" i="38"/>
  <c r="AE154" i="38"/>
  <c r="Z155" i="38"/>
  <c r="AE155" i="38"/>
  <c r="Z156" i="38"/>
  <c r="AE156" i="38"/>
  <c r="Z157" i="38"/>
  <c r="AE157" i="38"/>
  <c r="Y158" i="38"/>
  <c r="AD158" i="38"/>
  <c r="Y159" i="38"/>
  <c r="AD159" i="38"/>
  <c r="Y160" i="38"/>
  <c r="AD160" i="38"/>
  <c r="Y161" i="38"/>
  <c r="AD161" i="38"/>
  <c r="Y162" i="38"/>
  <c r="AD162" i="38"/>
  <c r="Y163" i="38"/>
  <c r="AD163" i="38"/>
  <c r="Y164" i="38"/>
  <c r="AD164" i="38"/>
  <c r="Y165" i="38"/>
  <c r="AD165" i="38"/>
  <c r="Y166" i="38"/>
  <c r="AD166" i="38"/>
  <c r="Y167" i="38"/>
  <c r="AD167" i="38"/>
  <c r="Y168" i="38"/>
  <c r="AD168" i="38"/>
  <c r="Y169" i="38"/>
  <c r="AD169" i="38"/>
  <c r="Z170" i="38"/>
  <c r="AE170" i="38"/>
  <c r="Z171" i="38"/>
  <c r="AE171" i="38"/>
  <c r="Z172" i="38"/>
  <c r="AE172" i="38"/>
  <c r="Z173" i="38"/>
  <c r="AE173" i="38"/>
  <c r="Z174" i="38"/>
  <c r="AE174" i="38"/>
  <c r="Z175" i="38"/>
  <c r="AE175" i="38"/>
  <c r="Z176" i="38"/>
  <c r="AE176" i="38"/>
  <c r="Z177" i="38"/>
  <c r="AE177" i="38"/>
  <c r="Z178" i="38"/>
  <c r="AE178" i="38"/>
  <c r="Z179" i="38"/>
  <c r="AE179" i="38"/>
  <c r="Z180" i="38"/>
  <c r="AE180" i="38"/>
  <c r="Z181" i="38"/>
  <c r="AE181" i="38"/>
  <c r="Z182" i="38"/>
  <c r="AE182" i="38"/>
  <c r="Z183" i="38"/>
  <c r="AE183" i="38"/>
  <c r="Z184" i="38"/>
  <c r="AE184" i="38"/>
  <c r="Z185" i="38"/>
  <c r="AE185" i="38"/>
  <c r="Z186" i="38"/>
  <c r="AE186" i="38"/>
  <c r="Z187" i="38"/>
  <c r="AE187" i="38"/>
  <c r="Z188" i="38"/>
  <c r="AE188" i="38"/>
  <c r="Z189" i="38"/>
  <c r="AE189" i="38"/>
  <c r="Z190" i="38"/>
  <c r="AE190" i="38"/>
  <c r="Z191" i="38"/>
  <c r="AE191" i="38"/>
  <c r="Z192" i="38"/>
  <c r="AE192" i="38"/>
  <c r="Z193" i="38"/>
  <c r="AE193" i="38"/>
  <c r="Z194" i="38"/>
  <c r="AE194" i="38"/>
  <c r="Z195" i="38"/>
  <c r="AE195" i="38"/>
  <c r="Z196" i="38"/>
  <c r="AE196" i="38"/>
  <c r="Z197" i="38"/>
  <c r="AE197" i="38"/>
  <c r="Z198" i="38"/>
  <c r="AE198" i="38"/>
  <c r="Z199" i="38"/>
  <c r="AE199" i="38"/>
  <c r="Z200" i="38"/>
  <c r="AE200" i="38"/>
  <c r="Z201" i="38"/>
  <c r="AE201" i="38"/>
  <c r="Z202" i="38"/>
  <c r="AE202" i="38"/>
  <c r="Z203" i="38"/>
  <c r="AE203" i="38"/>
  <c r="Z204" i="38"/>
  <c r="AE204" i="38"/>
  <c r="Z205" i="38"/>
  <c r="AE205" i="38"/>
  <c r="Z206" i="38"/>
  <c r="AE206" i="38"/>
  <c r="Z207" i="38"/>
  <c r="AE207" i="38"/>
  <c r="Z208" i="38"/>
  <c r="AE208" i="38"/>
  <c r="Z209" i="38"/>
  <c r="AE209" i="38"/>
  <c r="Z210" i="38"/>
  <c r="AE210" i="38"/>
  <c r="Z211" i="38"/>
  <c r="AE211" i="38"/>
  <c r="Z212" i="38"/>
  <c r="AE212" i="38"/>
  <c r="Z213" i="38"/>
  <c r="AE213" i="38"/>
  <c r="Z214" i="38"/>
  <c r="AE214" i="38"/>
  <c r="Z215" i="38"/>
  <c r="AE215" i="38"/>
  <c r="Z216" i="38"/>
  <c r="AE216" i="38"/>
  <c r="Z217" i="38"/>
  <c r="AE217" i="38"/>
  <c r="Z218" i="38"/>
  <c r="AE218" i="38"/>
  <c r="Z219" i="38"/>
  <c r="AE219" i="38"/>
  <c r="Z220" i="38"/>
  <c r="AE220" i="38"/>
  <c r="Z221" i="38"/>
  <c r="AE221" i="38"/>
  <c r="Z222" i="38"/>
  <c r="AE222" i="38"/>
  <c r="Z223" i="38"/>
  <c r="AE223" i="38"/>
  <c r="Z224" i="38"/>
  <c r="AE224" i="38"/>
  <c r="Z225" i="38"/>
  <c r="AE225" i="38"/>
  <c r="Z226" i="38"/>
  <c r="AE226" i="38"/>
  <c r="Z227" i="38"/>
  <c r="AE227" i="38"/>
  <c r="Z228" i="38"/>
  <c r="AE228" i="38"/>
  <c r="Z229" i="38"/>
  <c r="AE229" i="38"/>
  <c r="Z230" i="38"/>
  <c r="AE230" i="38"/>
  <c r="Z231" i="38"/>
  <c r="AE231" i="38"/>
  <c r="Z232" i="38"/>
  <c r="AE232" i="38"/>
  <c r="Z233" i="38"/>
  <c r="AE233" i="38"/>
  <c r="Z234" i="38"/>
  <c r="AE234" i="38"/>
  <c r="Z235" i="38"/>
  <c r="AE235" i="38"/>
  <c r="Z236" i="38"/>
  <c r="AE236" i="38"/>
  <c r="Z237" i="38"/>
  <c r="AE237" i="38"/>
  <c r="Z238" i="38"/>
  <c r="AE238" i="38"/>
  <c r="Z239" i="38"/>
  <c r="AE239" i="38"/>
  <c r="Z240" i="38"/>
  <c r="AE240" i="38"/>
  <c r="Z241" i="38"/>
  <c r="AE241" i="38"/>
  <c r="Z242" i="38"/>
  <c r="AE242" i="38"/>
  <c r="Z243" i="38"/>
  <c r="AE243" i="38"/>
  <c r="Z244" i="38"/>
  <c r="AE244" i="38"/>
  <c r="Z245" i="38"/>
  <c r="AE245" i="38"/>
  <c r="Z246" i="38"/>
  <c r="AE246" i="38"/>
  <c r="Z247" i="38"/>
  <c r="AE247" i="38"/>
  <c r="Z248" i="38"/>
  <c r="AE248" i="38"/>
  <c r="Z249" i="38"/>
  <c r="AE249" i="38"/>
  <c r="Z250" i="38"/>
  <c r="AE250" i="38"/>
  <c r="Z251" i="38"/>
  <c r="AE251" i="38"/>
  <c r="Z252" i="38"/>
  <c r="AE252" i="38"/>
  <c r="Z253" i="38"/>
  <c r="AE253" i="38"/>
  <c r="Z254" i="38"/>
  <c r="AE254" i="38"/>
  <c r="Z255" i="38"/>
  <c r="AE255" i="38"/>
  <c r="Z256" i="38"/>
  <c r="AE256" i="38"/>
  <c r="Z257" i="38"/>
  <c r="AE257" i="38"/>
  <c r="Z258" i="38"/>
  <c r="AE258" i="38"/>
  <c r="Z259" i="38"/>
  <c r="AE259" i="38"/>
  <c r="Z260" i="38"/>
  <c r="AE260" i="38"/>
  <c r="Z261" i="38"/>
  <c r="AE261" i="38"/>
  <c r="Z262" i="38"/>
  <c r="AE262" i="38"/>
  <c r="Z263" i="38"/>
  <c r="AE263" i="38"/>
  <c r="Z264" i="38"/>
  <c r="AE264" i="38"/>
  <c r="Z265" i="38"/>
  <c r="AE265" i="38"/>
  <c r="Z266" i="38"/>
  <c r="AE266" i="38"/>
  <c r="Z267" i="38"/>
  <c r="AE267" i="38"/>
  <c r="Z268" i="38"/>
  <c r="AE268" i="38"/>
  <c r="Z269" i="38"/>
  <c r="AE269" i="38"/>
  <c r="Z270" i="38"/>
  <c r="AE270" i="38"/>
  <c r="Z271" i="38"/>
  <c r="AE271" i="38"/>
  <c r="Z272" i="38"/>
  <c r="AE272" i="38"/>
  <c r="Z273" i="38"/>
  <c r="AE273" i="38"/>
  <c r="Z274" i="38"/>
  <c r="AE274" i="38"/>
  <c r="Z275" i="38"/>
  <c r="AE275" i="38"/>
  <c r="Z276" i="38"/>
  <c r="AE276" i="38"/>
  <c r="Z277" i="38"/>
  <c r="AE277" i="38"/>
  <c r="Z278" i="38"/>
  <c r="AE278" i="38"/>
  <c r="Z279" i="38"/>
  <c r="AE279" i="38"/>
  <c r="Z280" i="38"/>
  <c r="AE280" i="38"/>
  <c r="Z281" i="38"/>
  <c r="AE281" i="38"/>
  <c r="Z282" i="38"/>
  <c r="AE282" i="38"/>
  <c r="Z283" i="38"/>
  <c r="AE283" i="38"/>
  <c r="Z284" i="38"/>
  <c r="AE284" i="38"/>
  <c r="Z285" i="38"/>
  <c r="AE285" i="38"/>
  <c r="Z286" i="38"/>
  <c r="AE286" i="38"/>
  <c r="Z287" i="38"/>
  <c r="AE287" i="38"/>
  <c r="Z288" i="38"/>
  <c r="AE288" i="38"/>
  <c r="Z289" i="38"/>
  <c r="AE289" i="38"/>
  <c r="Z290" i="38"/>
  <c r="AE290" i="38"/>
  <c r="Z291" i="38"/>
  <c r="AE291" i="38"/>
  <c r="Z292" i="38"/>
  <c r="AE292" i="38"/>
  <c r="Z293" i="38"/>
  <c r="AE293" i="38"/>
  <c r="Z294" i="38"/>
  <c r="AE294" i="38"/>
  <c r="Z295" i="38"/>
  <c r="AE295" i="38"/>
  <c r="Z296" i="38"/>
  <c r="AE296" i="38"/>
  <c r="Z297" i="38"/>
  <c r="AE297" i="38"/>
  <c r="Z298" i="38"/>
  <c r="AE298" i="38"/>
  <c r="Z299" i="38"/>
  <c r="AE299" i="38"/>
  <c r="Z300" i="38"/>
  <c r="AE300" i="38"/>
  <c r="Z301" i="38"/>
  <c r="AE301" i="38"/>
  <c r="Z302" i="38"/>
  <c r="AE302" i="38"/>
  <c r="Z303" i="38"/>
  <c r="AE303" i="38"/>
  <c r="Z304" i="38"/>
  <c r="AE304" i="38"/>
  <c r="Z305" i="38"/>
  <c r="AE305" i="38"/>
  <c r="Z306" i="38"/>
  <c r="AE306" i="38"/>
  <c r="Z307" i="38"/>
  <c r="AE307" i="38"/>
  <c r="Z308" i="38"/>
  <c r="AE308" i="38"/>
  <c r="Z309" i="38"/>
  <c r="AE309" i="38"/>
  <c r="Z310" i="38"/>
  <c r="AE310" i="38"/>
  <c r="Z311" i="38"/>
  <c r="AE311" i="38"/>
  <c r="Z312" i="38"/>
  <c r="AE312" i="38"/>
  <c r="Z313" i="38"/>
  <c r="AE313" i="38"/>
  <c r="Z314" i="38"/>
  <c r="AE314" i="38"/>
  <c r="Z315" i="38"/>
  <c r="AE315" i="38"/>
  <c r="Z316" i="38"/>
  <c r="AE316" i="38"/>
  <c r="Z317" i="38"/>
  <c r="AE317" i="38"/>
  <c r="Z318" i="38"/>
  <c r="AE318" i="38"/>
  <c r="Z319" i="38"/>
  <c r="AE319" i="38"/>
  <c r="Z320" i="38"/>
  <c r="AE320" i="38"/>
  <c r="Z321" i="38"/>
  <c r="AE321" i="38"/>
  <c r="Z322" i="38"/>
  <c r="AE322" i="38"/>
  <c r="Z323" i="38"/>
  <c r="AE323" i="38"/>
  <c r="Z324" i="38"/>
  <c r="AE324" i="38"/>
  <c r="Z325" i="38"/>
  <c r="AE325" i="38"/>
  <c r="Z326" i="38"/>
  <c r="AE326" i="38"/>
  <c r="Z327" i="38"/>
  <c r="AE327" i="38"/>
  <c r="Z328" i="38"/>
  <c r="AE328" i="38"/>
  <c r="Z329" i="38"/>
  <c r="AE329" i="38"/>
  <c r="Z330" i="38"/>
  <c r="AE330" i="38"/>
  <c r="Z331" i="38"/>
  <c r="AE331" i="38"/>
  <c r="Z332" i="38"/>
  <c r="AE332" i="38"/>
  <c r="Z333" i="38"/>
  <c r="AE333" i="38"/>
  <c r="Z334" i="38"/>
  <c r="AE334" i="38"/>
  <c r="Z335" i="38"/>
  <c r="AE335" i="38"/>
  <c r="Z336" i="38"/>
  <c r="AE336" i="38"/>
  <c r="Z337" i="38"/>
  <c r="AE337" i="38"/>
  <c r="Z338" i="38"/>
  <c r="AE338" i="38"/>
  <c r="Z339" i="38"/>
  <c r="AE339" i="38"/>
  <c r="Z340" i="38"/>
  <c r="AE340" i="38"/>
  <c r="Z341" i="38"/>
  <c r="AE341" i="38"/>
  <c r="Z342" i="38"/>
  <c r="AE342" i="38"/>
  <c r="Z343" i="38"/>
  <c r="AE343" i="38"/>
  <c r="Z344" i="38"/>
  <c r="AE344" i="38"/>
  <c r="Z345" i="38"/>
  <c r="AE345" i="38"/>
  <c r="Z346" i="38"/>
  <c r="AE346" i="38"/>
  <c r="Z347" i="38"/>
  <c r="AE347" i="38"/>
  <c r="Z348" i="38"/>
  <c r="AE348" i="38"/>
  <c r="Z349" i="38"/>
  <c r="AE349" i="38"/>
  <c r="Z350" i="38"/>
  <c r="AE350" i="38"/>
  <c r="Z351" i="38"/>
  <c r="AE351" i="38"/>
  <c r="Z352" i="38"/>
  <c r="AE352" i="38"/>
  <c r="Z353" i="38"/>
  <c r="AE353" i="38"/>
  <c r="Z354" i="38"/>
  <c r="AE354" i="38"/>
  <c r="Z355" i="38"/>
  <c r="AE355" i="38"/>
  <c r="Z356" i="38"/>
  <c r="AE356" i="38"/>
  <c r="Z357" i="38"/>
  <c r="AE357" i="38"/>
  <c r="Z358" i="38"/>
  <c r="AE358" i="38"/>
  <c r="Z359" i="38"/>
  <c r="AE359" i="38"/>
  <c r="Z360" i="38"/>
  <c r="AE360" i="38"/>
  <c r="Z361" i="38"/>
  <c r="AE361" i="38"/>
  <c r="Z362" i="38"/>
  <c r="AE362" i="38"/>
  <c r="Z363" i="38"/>
  <c r="AE363" i="38"/>
  <c r="Z364" i="38"/>
  <c r="AE364" i="38"/>
  <c r="Z365" i="38"/>
  <c r="AE365" i="38"/>
  <c r="Z366" i="38"/>
  <c r="AE366" i="38"/>
  <c r="Z367" i="38"/>
  <c r="AE367" i="38"/>
  <c r="Z368" i="38"/>
  <c r="AE368" i="38"/>
  <c r="E5" i="48"/>
  <c r="F5" i="48"/>
  <c r="H5" i="48"/>
  <c r="I5" i="48"/>
  <c r="R5" i="48"/>
  <c r="U5" i="48"/>
  <c r="E6" i="48"/>
  <c r="F6" i="48"/>
  <c r="H6" i="48"/>
  <c r="I6" i="48"/>
  <c r="R6" i="48"/>
  <c r="U6" i="48"/>
  <c r="E7" i="48"/>
  <c r="F7" i="48"/>
  <c r="H7" i="48"/>
  <c r="I7" i="48"/>
  <c r="R7" i="48"/>
  <c r="U7" i="48"/>
  <c r="E8" i="48"/>
  <c r="F8" i="48"/>
  <c r="H8" i="48"/>
  <c r="I8" i="48"/>
  <c r="R8" i="48"/>
  <c r="U8" i="48"/>
  <c r="E9" i="48"/>
  <c r="H9" i="48"/>
  <c r="R9" i="48"/>
  <c r="U9" i="48"/>
  <c r="F10" i="48"/>
  <c r="I10" i="48"/>
  <c r="R10" i="48"/>
  <c r="U10" i="48"/>
  <c r="F11" i="48"/>
  <c r="I11" i="48"/>
  <c r="R11" i="48"/>
  <c r="U11" i="48"/>
  <c r="E12" i="48"/>
  <c r="H12" i="48"/>
  <c r="R12" i="48"/>
  <c r="U12" i="48"/>
  <c r="F13" i="48"/>
  <c r="I13" i="48"/>
  <c r="R13" i="48"/>
  <c r="U13" i="48"/>
  <c r="F14" i="48"/>
  <c r="I14" i="48"/>
  <c r="R14" i="48"/>
  <c r="U14" i="48"/>
  <c r="E15" i="48"/>
  <c r="H15" i="48"/>
  <c r="R15" i="48"/>
  <c r="U15" i="48"/>
  <c r="R16" i="48"/>
  <c r="U16" i="48"/>
  <c r="R17" i="48"/>
  <c r="U17" i="48"/>
  <c r="R18" i="48"/>
  <c r="U18" i="48"/>
  <c r="R19" i="48"/>
  <c r="U19" i="48"/>
  <c r="R20" i="48"/>
  <c r="U20" i="48"/>
  <c r="R21" i="48"/>
  <c r="U21" i="48"/>
  <c r="R22" i="48"/>
  <c r="U22" i="48"/>
  <c r="R23" i="48"/>
  <c r="U23" i="48"/>
  <c r="R24" i="48"/>
  <c r="U24" i="48"/>
  <c r="R25" i="48"/>
  <c r="U25" i="48"/>
  <c r="R26" i="48"/>
  <c r="U26" i="48"/>
  <c r="R27" i="48"/>
  <c r="U27" i="48"/>
  <c r="R28" i="48"/>
  <c r="U28" i="48"/>
  <c r="R29" i="48"/>
  <c r="U29" i="48"/>
  <c r="R30" i="48"/>
  <c r="U30" i="48"/>
  <c r="R31" i="48"/>
  <c r="U31" i="48"/>
  <c r="R32" i="48"/>
  <c r="U32" i="48"/>
  <c r="R33" i="48"/>
  <c r="U33" i="48"/>
  <c r="Q34" i="48"/>
  <c r="T34" i="48"/>
  <c r="Q35" i="48"/>
  <c r="T35" i="48"/>
  <c r="N7" i="27"/>
  <c r="AJ7" i="27"/>
  <c r="AK7" i="27"/>
  <c r="N8" i="27"/>
  <c r="AJ8" i="27"/>
  <c r="AK8" i="27"/>
  <c r="N11" i="27"/>
  <c r="AJ11" i="27"/>
  <c r="AK11" i="27"/>
  <c r="N12" i="27"/>
  <c r="AJ12" i="27"/>
  <c r="AK12" i="27"/>
  <c r="N13" i="27"/>
  <c r="AJ13" i="27"/>
  <c r="AK13" i="27"/>
  <c r="N14" i="27"/>
  <c r="AJ14" i="27"/>
  <c r="AK14" i="27"/>
  <c r="N17" i="27"/>
  <c r="AJ17" i="27"/>
  <c r="AK17" i="27"/>
  <c r="N18" i="27"/>
  <c r="AJ18" i="27"/>
  <c r="AK18" i="27"/>
  <c r="N19" i="27"/>
  <c r="AJ19" i="27"/>
  <c r="AK19" i="27"/>
  <c r="N20" i="27"/>
  <c r="AJ20" i="27"/>
  <c r="AK20" i="27"/>
  <c r="N21" i="27"/>
  <c r="AJ21" i="27"/>
  <c r="AK21" i="27"/>
  <c r="N22" i="27"/>
  <c r="AJ22" i="27"/>
  <c r="AK22" i="27"/>
  <c r="N23" i="27"/>
  <c r="AJ23" i="27"/>
  <c r="AK23" i="27"/>
  <c r="N24" i="27"/>
  <c r="AJ24" i="27"/>
  <c r="AK24" i="27"/>
  <c r="N25" i="27"/>
  <c r="AJ25" i="27"/>
  <c r="AK25" i="27"/>
  <c r="N26" i="27"/>
  <c r="AJ26" i="27"/>
  <c r="AK26" i="27"/>
  <c r="N27" i="27"/>
  <c r="AJ27" i="27"/>
  <c r="AK27" i="27"/>
  <c r="N28" i="27"/>
  <c r="AJ28" i="27"/>
  <c r="AK28" i="27"/>
  <c r="N29" i="27"/>
  <c r="AJ29" i="27"/>
  <c r="AK29" i="27"/>
  <c r="N30" i="27"/>
  <c r="AJ30" i="27"/>
  <c r="AK30" i="27"/>
  <c r="N31" i="27"/>
  <c r="AJ31" i="27"/>
  <c r="AK31" i="27"/>
  <c r="N32" i="27"/>
  <c r="AJ32" i="27"/>
  <c r="AK32" i="27"/>
  <c r="N33" i="27"/>
  <c r="AJ33" i="27"/>
  <c r="AK33" i="27"/>
  <c r="N34" i="27"/>
  <c r="AJ34" i="27"/>
  <c r="AK34" i="27"/>
  <c r="N35" i="27"/>
  <c r="AJ35" i="27"/>
  <c r="AK35" i="27"/>
  <c r="N36" i="27"/>
  <c r="AJ36" i="27"/>
  <c r="AK36" i="27"/>
  <c r="N37" i="27"/>
  <c r="AJ37" i="27"/>
  <c r="AK37" i="27"/>
  <c r="N38" i="27"/>
  <c r="AJ38" i="27"/>
  <c r="AK38" i="27"/>
  <c r="N39" i="27"/>
  <c r="AJ39" i="27"/>
  <c r="AK39" i="27"/>
  <c r="N40" i="27"/>
  <c r="AJ40" i="27"/>
  <c r="AK40" i="27"/>
  <c r="N41" i="27"/>
  <c r="AJ41" i="27"/>
  <c r="AK41" i="27"/>
  <c r="N42" i="27"/>
  <c r="AJ42" i="27"/>
  <c r="AK42" i="27"/>
  <c r="N43" i="27"/>
  <c r="AJ43" i="27"/>
  <c r="AK43" i="27"/>
  <c r="N44" i="27"/>
  <c r="AJ44" i="27"/>
  <c r="AK44" i="27"/>
  <c r="N45" i="27"/>
  <c r="AJ45" i="27"/>
  <c r="AK45" i="27"/>
  <c r="N46" i="27"/>
  <c r="AJ46" i="27"/>
  <c r="AK46" i="27"/>
  <c r="N47" i="27"/>
  <c r="AJ47" i="27"/>
  <c r="AK47" i="27"/>
  <c r="N48" i="27"/>
  <c r="AJ48" i="27"/>
  <c r="AK48" i="27"/>
  <c r="N49" i="27"/>
  <c r="AJ49" i="27"/>
  <c r="AK49" i="27"/>
  <c r="N50" i="27"/>
  <c r="AJ50" i="27"/>
  <c r="AK50" i="27"/>
  <c r="N51" i="27"/>
  <c r="AJ51" i="27"/>
  <c r="AK51" i="27"/>
  <c r="N55" i="27"/>
  <c r="AJ55" i="27"/>
  <c r="AK55" i="27"/>
  <c r="N60" i="27"/>
  <c r="AJ60" i="27"/>
  <c r="AK60" i="27"/>
  <c r="L63" i="27"/>
  <c r="N63" i="27"/>
  <c r="L64" i="27"/>
  <c r="N64" i="27"/>
  <c r="N65" i="27"/>
  <c r="L66" i="27"/>
  <c r="L67" i="27"/>
  <c r="L68" i="27"/>
  <c r="L69" i="27"/>
  <c r="L70" i="27"/>
  <c r="N5" i="43"/>
  <c r="AB5" i="43"/>
  <c r="AC5" i="43"/>
  <c r="AF5" i="43"/>
  <c r="AG5" i="43"/>
  <c r="N6" i="43"/>
  <c r="AB6" i="43"/>
  <c r="AC6" i="43"/>
  <c r="AF6" i="43"/>
  <c r="AG6" i="43"/>
  <c r="N7" i="43"/>
  <c r="AB7" i="43"/>
  <c r="AC7" i="43"/>
  <c r="AF7" i="43"/>
  <c r="AG7" i="43"/>
  <c r="N8" i="43"/>
  <c r="AB8" i="43"/>
  <c r="AC8" i="43"/>
  <c r="AF8" i="43"/>
  <c r="AG8" i="43"/>
  <c r="N9" i="43"/>
  <c r="AB9" i="43"/>
  <c r="AC9" i="43"/>
  <c r="AF9" i="43"/>
  <c r="AG9" i="43"/>
  <c r="N10" i="43"/>
  <c r="AB10" i="43"/>
  <c r="AC10" i="43"/>
  <c r="AF10" i="43"/>
  <c r="AG10" i="43"/>
  <c r="N11" i="43"/>
  <c r="AB11" i="43"/>
  <c r="AC11" i="43"/>
  <c r="AF11" i="43"/>
  <c r="AG11" i="43"/>
  <c r="N12" i="43"/>
  <c r="AB12" i="43"/>
  <c r="AC12" i="43"/>
  <c r="AF12" i="43"/>
  <c r="AG12" i="43"/>
  <c r="N13" i="43"/>
  <c r="AB13" i="43"/>
  <c r="AC13" i="43"/>
  <c r="AF13" i="43"/>
  <c r="AG13" i="43"/>
  <c r="N14" i="43"/>
  <c r="AB14" i="43"/>
  <c r="AC14" i="43"/>
  <c r="AF14" i="43"/>
  <c r="AG14" i="43"/>
  <c r="N15" i="43"/>
  <c r="AB15" i="43"/>
  <c r="AC15" i="43"/>
  <c r="AF15" i="43"/>
  <c r="AG15" i="43"/>
  <c r="N16" i="43"/>
  <c r="AB16" i="43"/>
  <c r="AC16" i="43"/>
  <c r="AF16" i="43"/>
  <c r="AG16" i="43"/>
  <c r="N17" i="43"/>
  <c r="AB17" i="43"/>
  <c r="AC17" i="43"/>
  <c r="AF17" i="43"/>
  <c r="AG17" i="43"/>
  <c r="N18" i="43"/>
  <c r="AB18" i="43"/>
  <c r="AC18" i="43"/>
  <c r="AF18" i="43"/>
  <c r="AG18" i="43"/>
  <c r="N19" i="43"/>
  <c r="AB19" i="43"/>
  <c r="AC19" i="43"/>
  <c r="AF19" i="43"/>
  <c r="AG19" i="43"/>
  <c r="N20" i="43"/>
  <c r="AB20" i="43"/>
  <c r="AC20" i="43"/>
  <c r="AF20" i="43"/>
  <c r="AG20" i="43"/>
  <c r="N21" i="43"/>
  <c r="AB21" i="43"/>
  <c r="AC21" i="43"/>
  <c r="AF21" i="43"/>
  <c r="AG21" i="43"/>
  <c r="N22" i="43"/>
  <c r="AB22" i="43"/>
  <c r="AC22" i="43"/>
  <c r="AF22" i="43"/>
  <c r="AG22" i="43"/>
  <c r="N23" i="43"/>
  <c r="AB23" i="43"/>
  <c r="AC23" i="43"/>
  <c r="AF23" i="43"/>
  <c r="AG23" i="43"/>
  <c r="N24" i="43"/>
  <c r="AB24" i="43"/>
  <c r="AC24" i="43"/>
  <c r="AF24" i="43"/>
  <c r="AG24" i="43"/>
  <c r="N25" i="43"/>
  <c r="AB25" i="43"/>
  <c r="AC25" i="43"/>
  <c r="AF25" i="43"/>
  <c r="AG25" i="43"/>
  <c r="N26" i="43"/>
  <c r="AB26" i="43"/>
  <c r="AC26" i="43"/>
  <c r="AF26" i="43"/>
  <c r="AG26" i="43"/>
  <c r="N27" i="43"/>
  <c r="AB27" i="43"/>
  <c r="AC27" i="43"/>
  <c r="AF27" i="43"/>
  <c r="AG27" i="43"/>
  <c r="N28" i="43"/>
  <c r="AB28" i="43"/>
  <c r="AC28" i="43"/>
  <c r="AF28" i="43"/>
  <c r="AG28" i="43"/>
  <c r="N29" i="43"/>
  <c r="AB29" i="43"/>
  <c r="AC29" i="43"/>
  <c r="AF29" i="43"/>
  <c r="AG29" i="43"/>
  <c r="N30" i="43"/>
  <c r="AB30" i="43"/>
  <c r="AC30" i="43"/>
  <c r="AF30" i="43"/>
  <c r="AG30" i="43"/>
  <c r="N31" i="43"/>
  <c r="AB31" i="43"/>
  <c r="AC31" i="43"/>
  <c r="AF31" i="43"/>
  <c r="AG31" i="43"/>
  <c r="N32" i="43"/>
  <c r="AB32" i="43"/>
  <c r="AC32" i="43"/>
  <c r="AF32" i="43"/>
  <c r="AG32" i="43"/>
  <c r="N33" i="43"/>
  <c r="AB33" i="43"/>
  <c r="AC33" i="43"/>
  <c r="AF33" i="43"/>
  <c r="AG33" i="43"/>
  <c r="N34" i="43"/>
  <c r="AB34" i="43"/>
  <c r="AC34" i="43"/>
  <c r="AF34" i="43"/>
  <c r="AG34" i="43"/>
  <c r="N35" i="43"/>
  <c r="AB35" i="43"/>
  <c r="AC35" i="43"/>
  <c r="AF35" i="43"/>
  <c r="AG35" i="43"/>
  <c r="N36" i="43"/>
  <c r="AB36" i="43"/>
  <c r="AC36" i="43"/>
  <c r="AF36" i="43"/>
  <c r="AG36" i="43"/>
  <c r="N37" i="43"/>
  <c r="AB37" i="43"/>
  <c r="AC37" i="43"/>
  <c r="AF37" i="43"/>
  <c r="AG37" i="43"/>
  <c r="N38" i="43"/>
  <c r="AB38" i="43"/>
  <c r="AC38" i="43"/>
  <c r="AF38" i="43"/>
  <c r="AG38" i="43"/>
  <c r="N39" i="43"/>
  <c r="AB39" i="43"/>
  <c r="AC39" i="43"/>
  <c r="AF39" i="43"/>
  <c r="AG39" i="43"/>
  <c r="N40" i="43"/>
  <c r="AB40" i="43"/>
  <c r="AC40" i="43"/>
  <c r="AF40" i="43"/>
  <c r="AG40" i="43"/>
  <c r="N41" i="43"/>
  <c r="AB41" i="43"/>
  <c r="AC41" i="43"/>
  <c r="AF41" i="43"/>
  <c r="AG41" i="43"/>
  <c r="N42" i="43"/>
  <c r="AB42" i="43"/>
  <c r="AC42" i="43"/>
  <c r="AF42" i="43"/>
  <c r="AG42" i="43"/>
  <c r="N43" i="43"/>
  <c r="AB43" i="43"/>
  <c r="AC43" i="43"/>
  <c r="AF43" i="43"/>
  <c r="AG43" i="43"/>
  <c r="N44" i="43"/>
  <c r="AB44" i="43"/>
  <c r="AC44" i="43"/>
  <c r="AF44" i="43"/>
  <c r="AG44" i="43"/>
  <c r="N45" i="43"/>
  <c r="AB45" i="43"/>
  <c r="AC45" i="43"/>
  <c r="AF45" i="43"/>
  <c r="AG45" i="43"/>
  <c r="N46" i="43"/>
  <c r="AB46" i="43"/>
  <c r="AC46" i="43"/>
  <c r="AF46" i="43"/>
  <c r="AG46" i="43"/>
  <c r="N47" i="43"/>
  <c r="AB47" i="43"/>
  <c r="AC47" i="43"/>
  <c r="AF47" i="43"/>
  <c r="AG47" i="43"/>
  <c r="N48" i="43"/>
  <c r="AB48" i="43"/>
  <c r="AC48" i="43"/>
  <c r="AF48" i="43"/>
  <c r="AG48" i="43"/>
  <c r="N49" i="43"/>
  <c r="AB49" i="43"/>
  <c r="AC49" i="43"/>
  <c r="AF49" i="43"/>
  <c r="AG49" i="43"/>
  <c r="N50" i="43"/>
  <c r="AB50" i="43"/>
  <c r="AC50" i="43"/>
  <c r="AF50" i="43"/>
  <c r="AG50" i="43"/>
  <c r="N51" i="43"/>
  <c r="AB51" i="43"/>
  <c r="AC51" i="43"/>
  <c r="AF51" i="43"/>
  <c r="AG51" i="43"/>
  <c r="N57" i="43"/>
  <c r="AB57" i="43"/>
  <c r="AC57" i="43"/>
  <c r="AF57" i="43"/>
  <c r="AG57" i="43"/>
  <c r="N58" i="43"/>
  <c r="AB58" i="43"/>
  <c r="AC58" i="43"/>
  <c r="AF58" i="43"/>
  <c r="AG58" i="43"/>
  <c r="N59" i="43"/>
  <c r="AB59" i="43"/>
  <c r="AC59" i="43"/>
  <c r="AF59" i="43"/>
  <c r="AG59" i="43"/>
  <c r="N60" i="43"/>
  <c r="AB60" i="43"/>
  <c r="AC60" i="43"/>
  <c r="AF60" i="43"/>
  <c r="AG60" i="43"/>
  <c r="N61" i="43"/>
  <c r="AB61" i="43"/>
  <c r="AC61" i="43"/>
  <c r="AF61" i="43"/>
  <c r="AG61" i="43"/>
  <c r="N62" i="43"/>
  <c r="AB62" i="43"/>
  <c r="AC62" i="43"/>
  <c r="AF62" i="43"/>
  <c r="AG62" i="43"/>
  <c r="N63" i="43"/>
  <c r="AB63" i="43"/>
  <c r="AC63" i="43"/>
  <c r="AF63" i="43"/>
  <c r="AG63" i="43"/>
  <c r="N64" i="43"/>
  <c r="AB64" i="43"/>
  <c r="AC64" i="43"/>
  <c r="AF64" i="43"/>
  <c r="AG64" i="43"/>
  <c r="N65" i="43"/>
  <c r="AB65" i="43"/>
  <c r="AC65" i="43"/>
  <c r="AF65" i="43"/>
  <c r="AG65" i="43"/>
  <c r="N66" i="43"/>
  <c r="AB66" i="43"/>
  <c r="AC66" i="43"/>
  <c r="AF66" i="43"/>
  <c r="AG66" i="43"/>
  <c r="N67" i="43"/>
  <c r="AB67" i="43"/>
  <c r="AC67" i="43"/>
  <c r="AF67" i="43"/>
  <c r="AG67" i="43"/>
  <c r="N68" i="43"/>
  <c r="AB68" i="43"/>
  <c r="AC68" i="43"/>
  <c r="AF68" i="43"/>
  <c r="AG68" i="43"/>
  <c r="N69" i="43"/>
  <c r="AB69" i="43"/>
  <c r="AC69" i="43"/>
  <c r="AF69" i="43"/>
  <c r="AG69" i="43"/>
  <c r="N70" i="43"/>
  <c r="AB70" i="43"/>
  <c r="AC70" i="43"/>
  <c r="AF70" i="43"/>
  <c r="AG70" i="43"/>
  <c r="N71" i="43"/>
  <c r="AB71" i="43"/>
  <c r="AC71" i="43"/>
  <c r="AF71" i="43"/>
  <c r="AG71" i="43"/>
  <c r="N72" i="43"/>
  <c r="AB72" i="43"/>
  <c r="AC72" i="43"/>
  <c r="AF72" i="43"/>
  <c r="AG72" i="43"/>
  <c r="N73" i="43"/>
  <c r="AB73" i="43"/>
  <c r="AC73" i="43"/>
  <c r="AF73" i="43"/>
  <c r="AG73" i="43"/>
  <c r="N74" i="43"/>
  <c r="AB74" i="43"/>
  <c r="AC74" i="43"/>
  <c r="AF74" i="43"/>
  <c r="AG74" i="43"/>
  <c r="N75" i="43"/>
  <c r="AB75" i="43"/>
  <c r="AC75" i="43"/>
  <c r="AF75" i="43"/>
  <c r="AG75" i="43"/>
  <c r="N76" i="43"/>
  <c r="AB76" i="43"/>
  <c r="AC76" i="43"/>
  <c r="AF76" i="43"/>
  <c r="AG76" i="43"/>
  <c r="N77" i="43"/>
  <c r="AB77" i="43"/>
  <c r="AC77" i="43"/>
  <c r="AF77" i="43"/>
  <c r="AG77" i="43"/>
  <c r="N78" i="43"/>
  <c r="AB78" i="43"/>
  <c r="AC78" i="43"/>
  <c r="AF78" i="43"/>
  <c r="AG78" i="43"/>
  <c r="N79" i="43"/>
  <c r="AB79" i="43"/>
  <c r="AC79" i="43"/>
  <c r="AF79" i="43"/>
  <c r="AG79" i="43"/>
  <c r="N80" i="43"/>
  <c r="AB80" i="43"/>
  <c r="AC80" i="43"/>
  <c r="AF80" i="43"/>
  <c r="AG80" i="43"/>
  <c r="N81" i="43"/>
  <c r="AB81" i="43"/>
  <c r="AC81" i="43"/>
  <c r="AF81" i="43"/>
  <c r="AG81" i="43"/>
  <c r="N82" i="43"/>
  <c r="AB82" i="43"/>
  <c r="AC82" i="43"/>
  <c r="AF82" i="43"/>
  <c r="AG82" i="43"/>
  <c r="N83" i="43"/>
  <c r="AB83" i="43"/>
  <c r="AC83" i="43"/>
  <c r="AF83" i="43"/>
  <c r="AG83" i="43"/>
  <c r="N84" i="43"/>
  <c r="AB84" i="43"/>
  <c r="AC84" i="43"/>
  <c r="AF84" i="43"/>
  <c r="AG84" i="43"/>
  <c r="N85" i="43"/>
  <c r="AB85" i="43"/>
  <c r="AC85" i="43"/>
  <c r="AF85" i="43"/>
  <c r="AG85" i="43"/>
  <c r="N86" i="43"/>
  <c r="AB86" i="43"/>
  <c r="AC86" i="43"/>
  <c r="AF86" i="43"/>
  <c r="AG86" i="43"/>
  <c r="N87" i="43"/>
  <c r="AB87" i="43"/>
  <c r="AC87" i="43"/>
  <c r="AF87" i="43"/>
  <c r="AG87" i="43"/>
  <c r="N88" i="43"/>
  <c r="AB88" i="43"/>
  <c r="AC88" i="43"/>
  <c r="AF88" i="43"/>
  <c r="AG88" i="43"/>
  <c r="N89" i="43"/>
  <c r="AB89" i="43"/>
  <c r="AC89" i="43"/>
  <c r="AF89" i="43"/>
  <c r="AG89" i="43"/>
  <c r="N90" i="43"/>
  <c r="AB90" i="43"/>
  <c r="AC90" i="43"/>
  <c r="AF90" i="43"/>
  <c r="AG90" i="43"/>
  <c r="N91" i="43"/>
  <c r="AB91" i="43"/>
  <c r="AC91" i="43"/>
  <c r="AF91" i="43"/>
  <c r="AG91" i="43"/>
  <c r="N92" i="43"/>
  <c r="AB92" i="43"/>
  <c r="AC92" i="43"/>
  <c r="AF92" i="43"/>
  <c r="AG92" i="43"/>
  <c r="N93" i="43"/>
  <c r="AB93" i="43"/>
  <c r="AC93" i="43"/>
  <c r="AF93" i="43"/>
  <c r="AG93" i="43"/>
  <c r="N94" i="43"/>
  <c r="AB94" i="43"/>
  <c r="AC94" i="43"/>
  <c r="AF94" i="43"/>
  <c r="AG94" i="43"/>
  <c r="N95" i="43"/>
  <c r="AB95" i="43"/>
  <c r="AC95" i="43"/>
  <c r="AF95" i="43"/>
  <c r="AG95" i="43"/>
  <c r="N96" i="43"/>
  <c r="AB96" i="43"/>
  <c r="AC96" i="43"/>
  <c r="AF96" i="43"/>
  <c r="AG96" i="43"/>
  <c r="N97" i="43"/>
  <c r="AB97" i="43"/>
  <c r="AC97" i="43"/>
  <c r="AF97" i="43"/>
  <c r="AG97" i="43"/>
  <c r="N98" i="43"/>
  <c r="AB98" i="43"/>
  <c r="AC98" i="43"/>
  <c r="AF98" i="43"/>
  <c r="AG98" i="43"/>
  <c r="N99" i="43"/>
  <c r="AB99" i="43"/>
  <c r="AC99" i="43"/>
  <c r="AF99" i="43"/>
  <c r="AG99" i="43"/>
  <c r="N100" i="43"/>
  <c r="AB100" i="43"/>
  <c r="AC100" i="43"/>
  <c r="AF100" i="43"/>
  <c r="AG100" i="43"/>
  <c r="N101" i="43"/>
  <c r="AB101" i="43"/>
  <c r="AC101" i="43"/>
  <c r="AF101" i="43"/>
  <c r="AG101" i="43"/>
  <c r="N102" i="43"/>
  <c r="AB102" i="43"/>
  <c r="AC102" i="43"/>
  <c r="AF102" i="43"/>
  <c r="AG102" i="43"/>
  <c r="N103" i="43"/>
  <c r="AB103" i="43"/>
  <c r="AC103" i="43"/>
  <c r="AF103" i="43"/>
  <c r="AG103" i="43"/>
  <c r="N5" i="28"/>
  <c r="T5" i="28"/>
  <c r="AJ5" i="28"/>
  <c r="AK5" i="28"/>
  <c r="AL5" i="28"/>
  <c r="AM5" i="28"/>
  <c r="N6" i="28"/>
  <c r="T6" i="28"/>
  <c r="AJ6" i="28"/>
  <c r="AK6" i="28"/>
  <c r="AL6" i="28"/>
  <c r="AM6" i="28"/>
  <c r="N7" i="28"/>
  <c r="T7" i="28"/>
  <c r="AJ7" i="28"/>
  <c r="AK7" i="28"/>
  <c r="AL7" i="28"/>
  <c r="AM7" i="28"/>
  <c r="N8" i="28"/>
  <c r="T8" i="28"/>
  <c r="AJ8" i="28"/>
  <c r="AK8" i="28"/>
  <c r="AL8" i="28"/>
  <c r="AM8" i="28"/>
  <c r="N9" i="28"/>
  <c r="T9" i="28"/>
  <c r="AJ9" i="28"/>
  <c r="AK9" i="28"/>
  <c r="AL9" i="28"/>
  <c r="AM9" i="28"/>
  <c r="N10" i="28"/>
  <c r="T10" i="28"/>
  <c r="AJ10" i="28"/>
  <c r="AK10" i="28"/>
  <c r="AL10" i="28"/>
  <c r="AM10" i="28"/>
  <c r="N11" i="28"/>
  <c r="T11" i="28"/>
  <c r="AJ11" i="28"/>
  <c r="AK11" i="28"/>
  <c r="AL11" i="28"/>
  <c r="AM11" i="28"/>
  <c r="N12" i="28"/>
  <c r="T12" i="28"/>
  <c r="AJ12" i="28"/>
  <c r="AK12" i="28"/>
  <c r="AL12" i="28"/>
  <c r="AM12" i="28"/>
  <c r="N13" i="28"/>
  <c r="T13" i="28"/>
  <c r="AJ13" i="28"/>
  <c r="AK13" i="28"/>
  <c r="AL13" i="28"/>
  <c r="AM13" i="28"/>
  <c r="N14" i="28"/>
  <c r="T14" i="28"/>
  <c r="AJ14" i="28"/>
  <c r="AK14" i="28"/>
  <c r="AL14" i="28"/>
  <c r="AM14" i="28"/>
  <c r="N15" i="28"/>
  <c r="T15" i="28"/>
  <c r="AJ15" i="28"/>
  <c r="AK15" i="28"/>
  <c r="AL15" i="28"/>
  <c r="AM15" i="28"/>
  <c r="N16" i="28"/>
  <c r="T16" i="28"/>
  <c r="AJ16" i="28"/>
  <c r="AK16" i="28"/>
  <c r="AL16" i="28"/>
  <c r="AM16" i="28"/>
  <c r="N17" i="28"/>
  <c r="T17" i="28"/>
  <c r="AJ17" i="28"/>
  <c r="AK17" i="28"/>
  <c r="AL17" i="28"/>
  <c r="AM17" i="28"/>
  <c r="N18" i="28"/>
  <c r="T18" i="28"/>
  <c r="AJ18" i="28"/>
  <c r="AK18" i="28"/>
  <c r="AL18" i="28"/>
  <c r="AM18" i="28"/>
  <c r="N19" i="28"/>
  <c r="T19" i="28"/>
  <c r="AJ19" i="28"/>
  <c r="AK19" i="28"/>
  <c r="AL19" i="28"/>
  <c r="AM19" i="28"/>
  <c r="N20" i="28"/>
  <c r="T20" i="28"/>
  <c r="AJ20" i="28"/>
  <c r="AK20" i="28"/>
  <c r="AL20" i="28"/>
  <c r="AM20" i="28"/>
  <c r="N21" i="28"/>
  <c r="T21" i="28"/>
  <c r="AJ21" i="28"/>
  <c r="AK21" i="28"/>
  <c r="AL21" i="28"/>
  <c r="AM21" i="28"/>
  <c r="N22" i="28"/>
  <c r="T22" i="28"/>
  <c r="AJ22" i="28"/>
  <c r="AK22" i="28"/>
  <c r="AL22" i="28"/>
  <c r="AM22" i="28"/>
  <c r="N23" i="28"/>
  <c r="T23" i="28"/>
  <c r="AJ23" i="28"/>
  <c r="AK23" i="28"/>
  <c r="AL23" i="28"/>
  <c r="AM23" i="28"/>
  <c r="N24" i="28"/>
  <c r="T24" i="28"/>
  <c r="AJ24" i="28"/>
  <c r="AK24" i="28"/>
  <c r="AL24" i="28"/>
  <c r="AM24" i="28"/>
  <c r="N25" i="28"/>
  <c r="T25" i="28"/>
  <c r="AJ25" i="28"/>
  <c r="AK25" i="28"/>
  <c r="AL25" i="28"/>
  <c r="AM25" i="28"/>
  <c r="N26" i="28"/>
  <c r="T26" i="28"/>
  <c r="AJ26" i="28"/>
  <c r="AK26" i="28"/>
  <c r="AL26" i="28"/>
  <c r="AM26" i="28"/>
  <c r="N27" i="28"/>
  <c r="T27" i="28"/>
  <c r="AJ27" i="28"/>
  <c r="AK27" i="28"/>
  <c r="AL27" i="28"/>
  <c r="AM27" i="28"/>
  <c r="N28" i="28"/>
  <c r="T28" i="28"/>
  <c r="AJ28" i="28"/>
  <c r="AK28" i="28"/>
  <c r="AL28" i="28"/>
  <c r="AM28" i="28"/>
  <c r="N29" i="28"/>
  <c r="T29" i="28"/>
  <c r="AJ29" i="28"/>
  <c r="AK29" i="28"/>
  <c r="AL29" i="28"/>
  <c r="AM29" i="28"/>
  <c r="N30" i="28"/>
  <c r="T30" i="28"/>
  <c r="AJ30" i="28"/>
  <c r="AK30" i="28"/>
  <c r="AL30" i="28"/>
  <c r="AM30" i="28"/>
  <c r="N31" i="28"/>
  <c r="T31" i="28"/>
  <c r="AJ31" i="28"/>
  <c r="AK31" i="28"/>
  <c r="AL31" i="28"/>
  <c r="AM31" i="28"/>
  <c r="N32" i="28"/>
  <c r="T32" i="28"/>
  <c r="AJ32" i="28"/>
  <c r="AK32" i="28"/>
  <c r="AL32" i="28"/>
  <c r="AM32" i="28"/>
  <c r="N33" i="28"/>
  <c r="T33" i="28"/>
  <c r="AJ33" i="28"/>
  <c r="AK33" i="28"/>
  <c r="AL33" i="28"/>
  <c r="AM33" i="28"/>
  <c r="N34" i="28"/>
  <c r="T34" i="28"/>
  <c r="AJ34" i="28"/>
  <c r="AK34" i="28"/>
  <c r="AL34" i="28"/>
  <c r="AM34" i="28"/>
  <c r="N35" i="28"/>
  <c r="T35" i="28"/>
  <c r="AJ35" i="28"/>
  <c r="AK35" i="28"/>
  <c r="AL35" i="28"/>
  <c r="AM35" i="28"/>
  <c r="N36" i="28"/>
  <c r="T36" i="28"/>
  <c r="AJ36" i="28"/>
  <c r="AK36" i="28"/>
  <c r="AL36" i="28"/>
  <c r="AM36" i="28"/>
  <c r="N37" i="28"/>
  <c r="T37" i="28"/>
  <c r="AJ37" i="28"/>
  <c r="AK37" i="28"/>
  <c r="AL37" i="28"/>
  <c r="AM37" i="28"/>
  <c r="N38" i="28"/>
  <c r="T38" i="28"/>
  <c r="AJ38" i="28"/>
  <c r="AK38" i="28"/>
  <c r="AL38" i="28"/>
  <c r="AM38" i="28"/>
  <c r="N39" i="28"/>
  <c r="T39" i="28"/>
  <c r="AJ39" i="28"/>
  <c r="AK39" i="28"/>
  <c r="AL39" i="28"/>
  <c r="AM39" i="28"/>
  <c r="N40" i="28"/>
  <c r="T40" i="28"/>
  <c r="AJ40" i="28"/>
  <c r="AK40" i="28"/>
  <c r="AL40" i="28"/>
  <c r="AM40" i="28"/>
  <c r="N41" i="28"/>
  <c r="T41" i="28"/>
  <c r="AJ41" i="28"/>
  <c r="AK41" i="28"/>
  <c r="AL41" i="28"/>
  <c r="AM41" i="28"/>
  <c r="N42" i="28"/>
  <c r="T42" i="28"/>
  <c r="AJ42" i="28"/>
  <c r="AK42" i="28"/>
  <c r="AL42" i="28"/>
  <c r="AM42" i="28"/>
  <c r="N43" i="28"/>
  <c r="T43" i="28"/>
  <c r="AJ43" i="28"/>
  <c r="AK43" i="28"/>
  <c r="AL43" i="28"/>
  <c r="AM43" i="28"/>
  <c r="N44" i="28"/>
  <c r="T44" i="28"/>
  <c r="AJ44" i="28"/>
  <c r="AK44" i="28"/>
  <c r="AL44" i="28"/>
  <c r="AM44" i="28"/>
  <c r="N45" i="28"/>
  <c r="T45" i="28"/>
  <c r="AJ45" i="28"/>
  <c r="AK45" i="28"/>
  <c r="AL45" i="28"/>
  <c r="AM45" i="28"/>
  <c r="N46" i="28"/>
  <c r="T46" i="28"/>
  <c r="AJ46" i="28"/>
  <c r="AK46" i="28"/>
  <c r="AL46" i="28"/>
  <c r="AM46" i="28"/>
  <c r="N47" i="28"/>
  <c r="T47" i="28"/>
  <c r="AJ47" i="28"/>
  <c r="AK47" i="28"/>
  <c r="AL47" i="28"/>
  <c r="AM47" i="28"/>
  <c r="N48" i="28"/>
  <c r="T48" i="28"/>
  <c r="AJ48" i="28"/>
  <c r="AK48" i="28"/>
  <c r="AL48" i="28"/>
  <c r="AM48" i="28"/>
  <c r="N49" i="28"/>
  <c r="T49" i="28"/>
  <c r="AJ49" i="28"/>
  <c r="AK49" i="28"/>
  <c r="AL49" i="28"/>
  <c r="AM49" i="28"/>
  <c r="N50" i="28"/>
  <c r="T50" i="28"/>
  <c r="AJ50" i="28"/>
  <c r="AK50" i="28"/>
  <c r="AL50" i="28"/>
  <c r="AM50" i="28"/>
  <c r="N51" i="28"/>
  <c r="T51" i="28"/>
  <c r="AJ51" i="28"/>
  <c r="AK51" i="28"/>
  <c r="AL51" i="28"/>
  <c r="AM51" i="28"/>
  <c r="N53" i="28"/>
  <c r="T53" i="28"/>
  <c r="AJ53" i="28"/>
  <c r="AK53" i="28"/>
  <c r="AL53" i="28"/>
  <c r="AM53" i="28"/>
  <c r="N58" i="28"/>
  <c r="AE58" i="28"/>
  <c r="AF58" i="28"/>
  <c r="AJ58" i="28"/>
  <c r="AK58" i="28"/>
  <c r="N5" i="29"/>
  <c r="T5" i="29"/>
  <c r="AE5" i="29"/>
  <c r="AF5" i="29"/>
  <c r="AG5" i="29"/>
  <c r="AJ5" i="29"/>
  <c r="AK5" i="29"/>
  <c r="AL5" i="29"/>
  <c r="AM5" i="29"/>
  <c r="AO5" i="29"/>
  <c r="AP5" i="29"/>
  <c r="N6" i="29"/>
  <c r="T6" i="29"/>
  <c r="AE6" i="29"/>
  <c r="AF6" i="29"/>
  <c r="AG6" i="29"/>
  <c r="AJ6" i="29"/>
  <c r="AK6" i="29"/>
  <c r="AL6" i="29"/>
  <c r="AM6" i="29"/>
  <c r="AO6" i="29"/>
  <c r="AP6" i="29"/>
  <c r="N7" i="29"/>
  <c r="T7" i="29"/>
  <c r="AE7" i="29"/>
  <c r="AF7" i="29"/>
  <c r="AG7" i="29"/>
  <c r="AJ7" i="29"/>
  <c r="AK7" i="29"/>
  <c r="AL7" i="29"/>
  <c r="AM7" i="29"/>
  <c r="AO7" i="29"/>
  <c r="AP7" i="29"/>
  <c r="N8" i="29"/>
  <c r="T8" i="29"/>
  <c r="AE8" i="29"/>
  <c r="AF8" i="29"/>
  <c r="AG8" i="29"/>
  <c r="AJ8" i="29"/>
  <c r="AK8" i="29"/>
  <c r="AL8" i="29"/>
  <c r="AM8" i="29"/>
  <c r="AO8" i="29"/>
  <c r="AP8" i="29"/>
  <c r="N9" i="29"/>
  <c r="T9" i="29"/>
  <c r="AE9" i="29"/>
  <c r="AF9" i="29"/>
  <c r="AG9" i="29"/>
  <c r="AJ9" i="29"/>
  <c r="AK9" i="29"/>
  <c r="AL9" i="29"/>
  <c r="AM9" i="29"/>
  <c r="AO9" i="29"/>
  <c r="AP9" i="29"/>
  <c r="N10" i="29"/>
  <c r="T10" i="29"/>
  <c r="AE10" i="29"/>
  <c r="AF10" i="29"/>
  <c r="AG10" i="29"/>
  <c r="AJ10" i="29"/>
  <c r="AK10" i="29"/>
  <c r="AL10" i="29"/>
  <c r="AM10" i="29"/>
  <c r="AO10" i="29"/>
  <c r="AP10" i="29"/>
  <c r="N11" i="29"/>
  <c r="T11" i="29"/>
  <c r="AE11" i="29"/>
  <c r="AF11" i="29"/>
  <c r="AG11" i="29"/>
  <c r="AJ11" i="29"/>
  <c r="AK11" i="29"/>
  <c r="AL11" i="29"/>
  <c r="AM11" i="29"/>
  <c r="AO11" i="29"/>
  <c r="AP11" i="29"/>
  <c r="N12" i="29"/>
  <c r="T12" i="29"/>
  <c r="AE12" i="29"/>
  <c r="AF12" i="29"/>
  <c r="AG12" i="29"/>
  <c r="AJ12" i="29"/>
  <c r="AK12" i="29"/>
  <c r="AL12" i="29"/>
  <c r="AM12" i="29"/>
  <c r="AO12" i="29"/>
  <c r="AP12" i="29"/>
  <c r="N13" i="29"/>
  <c r="T13" i="29"/>
  <c r="AE13" i="29"/>
  <c r="AF13" i="29"/>
  <c r="AG13" i="29"/>
  <c r="AJ13" i="29"/>
  <c r="AK13" i="29"/>
  <c r="AL13" i="29"/>
  <c r="AM13" i="29"/>
  <c r="AO13" i="29"/>
  <c r="AP13" i="29"/>
  <c r="N14" i="29"/>
  <c r="T14" i="29"/>
  <c r="AE14" i="29"/>
  <c r="AF14" i="29"/>
  <c r="AG14" i="29"/>
  <c r="AJ14" i="29"/>
  <c r="AK14" i="29"/>
  <c r="AL14" i="29"/>
  <c r="AM14" i="29"/>
  <c r="AO14" i="29"/>
  <c r="AP14" i="29"/>
  <c r="N15" i="29"/>
  <c r="T15" i="29"/>
  <c r="AE15" i="29"/>
  <c r="AF15" i="29"/>
  <c r="AG15" i="29"/>
  <c r="AJ15" i="29"/>
  <c r="AK15" i="29"/>
  <c r="AL15" i="29"/>
  <c r="AM15" i="29"/>
  <c r="AO15" i="29"/>
  <c r="AP15" i="29"/>
  <c r="N16" i="29"/>
  <c r="T16" i="29"/>
  <c r="AE16" i="29"/>
  <c r="AF16" i="29"/>
  <c r="AG16" i="29"/>
  <c r="AJ16" i="29"/>
  <c r="AK16" i="29"/>
  <c r="AL16" i="29"/>
  <c r="AM16" i="29"/>
  <c r="AO16" i="29"/>
  <c r="AP16" i="29"/>
  <c r="N17" i="29"/>
  <c r="T17" i="29"/>
  <c r="AE17" i="29"/>
  <c r="AF17" i="29"/>
  <c r="AG17" i="29"/>
  <c r="AJ17" i="29"/>
  <c r="AK17" i="29"/>
  <c r="AL17" i="29"/>
  <c r="AM17" i="29"/>
  <c r="AO17" i="29"/>
  <c r="AP17" i="29"/>
  <c r="N18" i="29"/>
  <c r="T18" i="29"/>
  <c r="AE18" i="29"/>
  <c r="AF18" i="29"/>
  <c r="AG18" i="29"/>
  <c r="AJ18" i="29"/>
  <c r="AK18" i="29"/>
  <c r="AL18" i="29"/>
  <c r="AM18" i="29"/>
  <c r="AO18" i="29"/>
  <c r="AP18" i="29"/>
  <c r="N19" i="29"/>
  <c r="T19" i="29"/>
  <c r="AE19" i="29"/>
  <c r="AF19" i="29"/>
  <c r="AG19" i="29"/>
  <c r="AJ19" i="29"/>
  <c r="AK19" i="29"/>
  <c r="AL19" i="29"/>
  <c r="AM19" i="29"/>
  <c r="AO19" i="29"/>
  <c r="AP19" i="29"/>
  <c r="N20" i="29"/>
  <c r="T20" i="29"/>
  <c r="AE20" i="29"/>
  <c r="AF20" i="29"/>
  <c r="AG20" i="29"/>
  <c r="AJ20" i="29"/>
  <c r="AK20" i="29"/>
  <c r="AL20" i="29"/>
  <c r="AM20" i="29"/>
  <c r="AO20" i="29"/>
  <c r="AP20" i="29"/>
  <c r="N21" i="29"/>
  <c r="T21" i="29"/>
  <c r="AE21" i="29"/>
  <c r="AF21" i="29"/>
  <c r="AG21" i="29"/>
  <c r="AJ21" i="29"/>
  <c r="AK21" i="29"/>
  <c r="AL21" i="29"/>
  <c r="AM21" i="29"/>
  <c r="AO21" i="29"/>
  <c r="AP21" i="29"/>
  <c r="N22" i="29"/>
  <c r="T22" i="29"/>
  <c r="AE22" i="29"/>
  <c r="AF22" i="29"/>
  <c r="AG22" i="29"/>
  <c r="AJ22" i="29"/>
  <c r="AK22" i="29"/>
  <c r="AL22" i="29"/>
  <c r="AM22" i="29"/>
  <c r="AO22" i="29"/>
  <c r="AP22" i="29"/>
  <c r="N23" i="29"/>
  <c r="T23" i="29"/>
  <c r="AE23" i="29"/>
  <c r="AF23" i="29"/>
  <c r="AG23" i="29"/>
  <c r="AJ23" i="29"/>
  <c r="AK23" i="29"/>
  <c r="AL23" i="29"/>
  <c r="AM23" i="29"/>
  <c r="AO23" i="29"/>
  <c r="AP23" i="29"/>
  <c r="N24" i="29"/>
  <c r="T24" i="29"/>
  <c r="AE24" i="29"/>
  <c r="AF24" i="29"/>
  <c r="AG24" i="29"/>
  <c r="AJ24" i="29"/>
  <c r="AK24" i="29"/>
  <c r="AL24" i="29"/>
  <c r="AM24" i="29"/>
  <c r="AO24" i="29"/>
  <c r="AP24" i="29"/>
  <c r="N25" i="29"/>
  <c r="T25" i="29"/>
  <c r="AE25" i="29"/>
  <c r="AF25" i="29"/>
  <c r="AG25" i="29"/>
  <c r="AJ25" i="29"/>
  <c r="AK25" i="29"/>
  <c r="AL25" i="29"/>
  <c r="AM25" i="29"/>
  <c r="AO25" i="29"/>
  <c r="AP25" i="29"/>
  <c r="N26" i="29"/>
  <c r="T26" i="29"/>
  <c r="AE26" i="29"/>
  <c r="AF26" i="29"/>
  <c r="AG26" i="29"/>
  <c r="AJ26" i="29"/>
  <c r="AK26" i="29"/>
  <c r="AL26" i="29"/>
  <c r="AM26" i="29"/>
  <c r="AO26" i="29"/>
  <c r="AP26" i="29"/>
  <c r="N27" i="29"/>
  <c r="T27" i="29"/>
  <c r="AE27" i="29"/>
  <c r="AF27" i="29"/>
  <c r="AG27" i="29"/>
  <c r="AJ27" i="29"/>
  <c r="AK27" i="29"/>
  <c r="AL27" i="29"/>
  <c r="AM27" i="29"/>
  <c r="AO27" i="29"/>
  <c r="AP27" i="29"/>
  <c r="N28" i="29"/>
  <c r="T28" i="29"/>
  <c r="AE28" i="29"/>
  <c r="AF28" i="29"/>
  <c r="AG28" i="29"/>
  <c r="AJ28" i="29"/>
  <c r="AK28" i="29"/>
  <c r="AL28" i="29"/>
  <c r="AM28" i="29"/>
  <c r="AO28" i="29"/>
  <c r="AP28" i="29"/>
  <c r="N29" i="29"/>
  <c r="T29" i="29"/>
  <c r="AE29" i="29"/>
  <c r="AF29" i="29"/>
  <c r="AG29" i="29"/>
  <c r="AJ29" i="29"/>
  <c r="AK29" i="29"/>
  <c r="AL29" i="29"/>
  <c r="AM29" i="29"/>
  <c r="AO29" i="29"/>
  <c r="AP29" i="29"/>
  <c r="N30" i="29"/>
  <c r="T30" i="29"/>
  <c r="AE30" i="29"/>
  <c r="AF30" i="29"/>
  <c r="AG30" i="29"/>
  <c r="AJ30" i="29"/>
  <c r="AK30" i="29"/>
  <c r="AL30" i="29"/>
  <c r="AM30" i="29"/>
  <c r="AO30" i="29"/>
  <c r="AP30" i="29"/>
  <c r="N31" i="29"/>
  <c r="T31" i="29"/>
  <c r="AE31" i="29"/>
  <c r="AF31" i="29"/>
  <c r="AG31" i="29"/>
  <c r="AJ31" i="29"/>
  <c r="AK31" i="29"/>
  <c r="AL31" i="29"/>
  <c r="AM31" i="29"/>
  <c r="AO31" i="29"/>
  <c r="AP31" i="29"/>
  <c r="N32" i="29"/>
  <c r="T32" i="29"/>
  <c r="AE32" i="29"/>
  <c r="AF32" i="29"/>
  <c r="AG32" i="29"/>
  <c r="AJ32" i="29"/>
  <c r="AK32" i="29"/>
  <c r="AL32" i="29"/>
  <c r="AM32" i="29"/>
  <c r="AO32" i="29"/>
  <c r="AP32" i="29"/>
  <c r="N33" i="29"/>
  <c r="T33" i="29"/>
  <c r="AE33" i="29"/>
  <c r="AF33" i="29"/>
  <c r="AG33" i="29"/>
  <c r="AJ33" i="29"/>
  <c r="AK33" i="29"/>
  <c r="AL33" i="29"/>
  <c r="AM33" i="29"/>
  <c r="AO33" i="29"/>
  <c r="AP33" i="29"/>
  <c r="N34" i="29"/>
  <c r="T34" i="29"/>
  <c r="AE34" i="29"/>
  <c r="AF34" i="29"/>
  <c r="AG34" i="29"/>
  <c r="AJ34" i="29"/>
  <c r="AK34" i="29"/>
  <c r="AL34" i="29"/>
  <c r="AM34" i="29"/>
  <c r="AO34" i="29"/>
  <c r="AP34" i="29"/>
  <c r="N35" i="29"/>
  <c r="T35" i="29"/>
  <c r="AE35" i="29"/>
  <c r="AF35" i="29"/>
  <c r="AG35" i="29"/>
  <c r="AJ35" i="29"/>
  <c r="AK35" i="29"/>
  <c r="AL35" i="29"/>
  <c r="AM35" i="29"/>
  <c r="AO35" i="29"/>
  <c r="AP35" i="29"/>
  <c r="N36" i="29"/>
  <c r="T36" i="29"/>
  <c r="AE36" i="29"/>
  <c r="AF36" i="29"/>
  <c r="AG36" i="29"/>
  <c r="AJ36" i="29"/>
  <c r="AK36" i="29"/>
  <c r="AL36" i="29"/>
  <c r="AM36" i="29"/>
  <c r="AO36" i="29"/>
  <c r="AP36" i="29"/>
  <c r="N37" i="29"/>
  <c r="T37" i="29"/>
  <c r="AE37" i="29"/>
  <c r="AF37" i="29"/>
  <c r="AG37" i="29"/>
  <c r="AJ37" i="29"/>
  <c r="AK37" i="29"/>
  <c r="AL37" i="29"/>
  <c r="AM37" i="29"/>
  <c r="AO37" i="29"/>
  <c r="AP37" i="29"/>
  <c r="N38" i="29"/>
  <c r="T38" i="29"/>
  <c r="AE38" i="29"/>
  <c r="AF38" i="29"/>
  <c r="AG38" i="29"/>
  <c r="AJ38" i="29"/>
  <c r="AK38" i="29"/>
  <c r="AL38" i="29"/>
  <c r="AM38" i="29"/>
  <c r="AO38" i="29"/>
  <c r="AP38" i="29"/>
  <c r="N39" i="29"/>
  <c r="T39" i="29"/>
  <c r="AE39" i="29"/>
  <c r="AF39" i="29"/>
  <c r="AG39" i="29"/>
  <c r="AJ39" i="29"/>
  <c r="AK39" i="29"/>
  <c r="AL39" i="29"/>
  <c r="AM39" i="29"/>
  <c r="AO39" i="29"/>
  <c r="AP39" i="29"/>
  <c r="N40" i="29"/>
  <c r="T40" i="29"/>
  <c r="AE40" i="29"/>
  <c r="AF40" i="29"/>
  <c r="AG40" i="29"/>
  <c r="AJ40" i="29"/>
  <c r="AK40" i="29"/>
  <c r="AL40" i="29"/>
  <c r="AM40" i="29"/>
  <c r="AO40" i="29"/>
  <c r="AP40" i="29"/>
  <c r="N41" i="29"/>
  <c r="T41" i="29"/>
  <c r="AE41" i="29"/>
  <c r="AF41" i="29"/>
  <c r="AG41" i="29"/>
  <c r="AJ41" i="29"/>
  <c r="AK41" i="29"/>
  <c r="AL41" i="29"/>
  <c r="AM41" i="29"/>
  <c r="AO41" i="29"/>
  <c r="AP41" i="29"/>
  <c r="N42" i="29"/>
  <c r="T42" i="29"/>
  <c r="AE42" i="29"/>
  <c r="AF42" i="29"/>
  <c r="AG42" i="29"/>
  <c r="AJ42" i="29"/>
  <c r="AK42" i="29"/>
  <c r="AL42" i="29"/>
  <c r="AM42" i="29"/>
  <c r="AO42" i="29"/>
  <c r="AP42" i="29"/>
  <c r="N43" i="29"/>
  <c r="T43" i="29"/>
  <c r="AE43" i="29"/>
  <c r="AF43" i="29"/>
  <c r="AG43" i="29"/>
  <c r="AJ43" i="29"/>
  <c r="AK43" i="29"/>
  <c r="AL43" i="29"/>
  <c r="AM43" i="29"/>
  <c r="AO43" i="29"/>
  <c r="AP43" i="29"/>
  <c r="N44" i="29"/>
  <c r="T44" i="29"/>
  <c r="AE44" i="29"/>
  <c r="AF44" i="29"/>
  <c r="AG44" i="29"/>
  <c r="AJ44" i="29"/>
  <c r="AK44" i="29"/>
  <c r="AL44" i="29"/>
  <c r="AM44" i="29"/>
  <c r="AO44" i="29"/>
  <c r="AP44" i="29"/>
  <c r="N45" i="29"/>
  <c r="T45" i="29"/>
  <c r="AE45" i="29"/>
  <c r="AF45" i="29"/>
  <c r="AG45" i="29"/>
  <c r="AJ45" i="29"/>
  <c r="AK45" i="29"/>
  <c r="AL45" i="29"/>
  <c r="AM45" i="29"/>
  <c r="AO45" i="29"/>
  <c r="AP45" i="29"/>
  <c r="N46" i="29"/>
  <c r="T46" i="29"/>
  <c r="AE46" i="29"/>
  <c r="AF46" i="29"/>
  <c r="AG46" i="29"/>
  <c r="AJ46" i="29"/>
  <c r="AK46" i="29"/>
  <c r="AL46" i="29"/>
  <c r="AM46" i="29"/>
  <c r="AO46" i="29"/>
  <c r="AP46" i="29"/>
  <c r="N47" i="29"/>
  <c r="T47" i="29"/>
  <c r="AE47" i="29"/>
  <c r="AF47" i="29"/>
  <c r="AG47" i="29"/>
  <c r="AJ47" i="29"/>
  <c r="AK47" i="29"/>
  <c r="AL47" i="29"/>
  <c r="AM47" i="29"/>
  <c r="AO47" i="29"/>
  <c r="AP47" i="29"/>
  <c r="N48" i="29"/>
  <c r="T48" i="29"/>
  <c r="AE48" i="29"/>
  <c r="AF48" i="29"/>
  <c r="AG48" i="29"/>
  <c r="AJ48" i="29"/>
  <c r="AK48" i="29"/>
  <c r="AL48" i="29"/>
  <c r="AM48" i="29"/>
  <c r="AO48" i="29"/>
  <c r="AP48" i="29"/>
  <c r="N49" i="29"/>
  <c r="T49" i="29"/>
  <c r="AE49" i="29"/>
  <c r="AF49" i="29"/>
  <c r="AG49" i="29"/>
  <c r="AJ49" i="29"/>
  <c r="AK49" i="29"/>
  <c r="AL49" i="29"/>
  <c r="AM49" i="29"/>
  <c r="AO49" i="29"/>
  <c r="AP49" i="29"/>
  <c r="N50" i="29"/>
  <c r="T50" i="29"/>
  <c r="AE50" i="29"/>
  <c r="AF50" i="29"/>
  <c r="AG50" i="29"/>
  <c r="AJ50" i="29"/>
  <c r="AK50" i="29"/>
  <c r="AL50" i="29"/>
  <c r="AM50" i="29"/>
  <c r="AO50" i="29"/>
  <c r="AP50" i="29"/>
  <c r="N51" i="29"/>
  <c r="T51" i="29"/>
  <c r="AE51" i="29"/>
  <c r="AF51" i="29"/>
  <c r="AG51" i="29"/>
  <c r="AJ51" i="29"/>
  <c r="AK51" i="29"/>
  <c r="AL51" i="29"/>
  <c r="AM51" i="29"/>
  <c r="AO51" i="29"/>
  <c r="AP51" i="29"/>
  <c r="N53" i="29"/>
  <c r="T53" i="29"/>
  <c r="AE53" i="29"/>
  <c r="AF53" i="29"/>
  <c r="AG53" i="29"/>
  <c r="AJ53" i="29"/>
  <c r="AK53" i="29"/>
  <c r="AL53" i="29"/>
  <c r="AM53" i="29"/>
  <c r="AO53" i="29"/>
  <c r="AP53" i="29"/>
  <c r="AO55" i="29"/>
  <c r="AP55" i="29"/>
  <c r="AE58" i="29"/>
  <c r="AF58" i="29"/>
  <c r="N5" i="30"/>
  <c r="T5" i="30"/>
  <c r="AE5" i="30"/>
  <c r="AF5" i="30"/>
  <c r="AG5" i="30"/>
  <c r="AJ5" i="30"/>
  <c r="AK5" i="30"/>
  <c r="AL5" i="30"/>
  <c r="AM5" i="30"/>
  <c r="AO5" i="30"/>
  <c r="AP5" i="30"/>
  <c r="N6" i="30"/>
  <c r="T6" i="30"/>
  <c r="AE6" i="30"/>
  <c r="AF6" i="30"/>
  <c r="AG6" i="30"/>
  <c r="AJ6" i="30"/>
  <c r="AK6" i="30"/>
  <c r="AL6" i="30"/>
  <c r="AM6" i="30"/>
  <c r="AO6" i="30"/>
  <c r="AP6" i="30"/>
  <c r="N7" i="30"/>
  <c r="T7" i="30"/>
  <c r="AE7" i="30"/>
  <c r="AF7" i="30"/>
  <c r="AG7" i="30"/>
  <c r="AJ7" i="30"/>
  <c r="AK7" i="30"/>
  <c r="AL7" i="30"/>
  <c r="AM7" i="30"/>
  <c r="AO7" i="30"/>
  <c r="AP7" i="30"/>
  <c r="N8" i="30"/>
  <c r="T8" i="30"/>
  <c r="AE8" i="30"/>
  <c r="AF8" i="30"/>
  <c r="AG8" i="30"/>
  <c r="AJ8" i="30"/>
  <c r="AK8" i="30"/>
  <c r="AL8" i="30"/>
  <c r="AM8" i="30"/>
  <c r="AO8" i="30"/>
  <c r="AP8" i="30"/>
  <c r="N9" i="30"/>
  <c r="T9" i="30"/>
  <c r="AE9" i="30"/>
  <c r="AF9" i="30"/>
  <c r="AG9" i="30"/>
  <c r="AJ9" i="30"/>
  <c r="AK9" i="30"/>
  <c r="AL9" i="30"/>
  <c r="AM9" i="30"/>
  <c r="AO9" i="30"/>
  <c r="AP9" i="30"/>
  <c r="N10" i="30"/>
  <c r="T10" i="30"/>
  <c r="AE10" i="30"/>
  <c r="AF10" i="30"/>
  <c r="AG10" i="30"/>
  <c r="AJ10" i="30"/>
  <c r="AK10" i="30"/>
  <c r="AL10" i="30"/>
  <c r="AM10" i="30"/>
  <c r="AO10" i="30"/>
  <c r="AP10" i="30"/>
  <c r="N11" i="30"/>
  <c r="T11" i="30"/>
  <c r="AE11" i="30"/>
  <c r="AF11" i="30"/>
  <c r="AG11" i="30"/>
  <c r="AJ11" i="30"/>
  <c r="AK11" i="30"/>
  <c r="AL11" i="30"/>
  <c r="AM11" i="30"/>
  <c r="AO11" i="30"/>
  <c r="AP11" i="30"/>
  <c r="N12" i="30"/>
  <c r="T12" i="30"/>
  <c r="AE12" i="30"/>
  <c r="AF12" i="30"/>
  <c r="AG12" i="30"/>
  <c r="AJ12" i="30"/>
  <c r="AK12" i="30"/>
  <c r="AL12" i="30"/>
  <c r="AM12" i="30"/>
  <c r="AO12" i="30"/>
  <c r="AP12" i="30"/>
  <c r="N13" i="30"/>
  <c r="T13" i="30"/>
  <c r="AE13" i="30"/>
  <c r="AF13" i="30"/>
  <c r="AG13" i="30"/>
  <c r="AJ13" i="30"/>
  <c r="AK13" i="30"/>
  <c r="AL13" i="30"/>
  <c r="AM13" i="30"/>
  <c r="AO13" i="30"/>
  <c r="AP13" i="30"/>
  <c r="N14" i="30"/>
  <c r="T14" i="30"/>
  <c r="AE14" i="30"/>
  <c r="AF14" i="30"/>
  <c r="AG14" i="30"/>
  <c r="AJ14" i="30"/>
  <c r="AK14" i="30"/>
  <c r="AL14" i="30"/>
  <c r="AM14" i="30"/>
  <c r="AO14" i="30"/>
  <c r="AP14" i="30"/>
  <c r="N15" i="30"/>
  <c r="T15" i="30"/>
  <c r="AE15" i="30"/>
  <c r="AF15" i="30"/>
  <c r="AG15" i="30"/>
  <c r="AJ15" i="30"/>
  <c r="AK15" i="30"/>
  <c r="AL15" i="30"/>
  <c r="AM15" i="30"/>
  <c r="AO15" i="30"/>
  <c r="AP15" i="30"/>
  <c r="N16" i="30"/>
  <c r="T16" i="30"/>
  <c r="AE16" i="30"/>
  <c r="AF16" i="30"/>
  <c r="AG16" i="30"/>
  <c r="AJ16" i="30"/>
  <c r="AK16" i="30"/>
  <c r="AL16" i="30"/>
  <c r="AM16" i="30"/>
  <c r="AO16" i="30"/>
  <c r="AP16" i="30"/>
  <c r="N17" i="30"/>
  <c r="T17" i="30"/>
  <c r="AE17" i="30"/>
  <c r="AF17" i="30"/>
  <c r="AG17" i="30"/>
  <c r="AJ17" i="30"/>
  <c r="AK17" i="30"/>
  <c r="AL17" i="30"/>
  <c r="AM17" i="30"/>
  <c r="AO17" i="30"/>
  <c r="AP17" i="30"/>
  <c r="N18" i="30"/>
  <c r="T18" i="30"/>
  <c r="AE18" i="30"/>
  <c r="AF18" i="30"/>
  <c r="AG18" i="30"/>
  <c r="AJ18" i="30"/>
  <c r="AK18" i="30"/>
  <c r="AL18" i="30"/>
  <c r="AM18" i="30"/>
  <c r="AO18" i="30"/>
  <c r="AP18" i="30"/>
  <c r="N19" i="30"/>
  <c r="T19" i="30"/>
  <c r="AE19" i="30"/>
  <c r="AF19" i="30"/>
  <c r="AG19" i="30"/>
  <c r="AJ19" i="30"/>
  <c r="AK19" i="30"/>
  <c r="AL19" i="30"/>
  <c r="AM19" i="30"/>
  <c r="AO19" i="30"/>
  <c r="AP19" i="30"/>
  <c r="N20" i="30"/>
  <c r="T20" i="30"/>
  <c r="AE20" i="30"/>
  <c r="AF20" i="30"/>
  <c r="AG20" i="30"/>
  <c r="AJ20" i="30"/>
  <c r="AK20" i="30"/>
  <c r="AL20" i="30"/>
  <c r="AM20" i="30"/>
  <c r="AO20" i="30"/>
  <c r="AP20" i="30"/>
  <c r="N21" i="30"/>
  <c r="T21" i="30"/>
  <c r="AE21" i="30"/>
  <c r="AF21" i="30"/>
  <c r="AG21" i="30"/>
  <c r="AJ21" i="30"/>
  <c r="AK21" i="30"/>
  <c r="AL21" i="30"/>
  <c r="AM21" i="30"/>
  <c r="AO21" i="30"/>
  <c r="AP21" i="30"/>
  <c r="N22" i="30"/>
  <c r="T22" i="30"/>
  <c r="AE22" i="30"/>
  <c r="AF22" i="30"/>
  <c r="AG22" i="30"/>
  <c r="AJ22" i="30"/>
  <c r="AK22" i="30"/>
  <c r="AL22" i="30"/>
  <c r="AM22" i="30"/>
  <c r="AO22" i="30"/>
  <c r="AP22" i="30"/>
  <c r="N23" i="30"/>
  <c r="T23" i="30"/>
  <c r="AE23" i="30"/>
  <c r="AF23" i="30"/>
  <c r="AG23" i="30"/>
  <c r="AJ23" i="30"/>
  <c r="AK23" i="30"/>
  <c r="AL23" i="30"/>
  <c r="AM23" i="30"/>
  <c r="AO23" i="30"/>
  <c r="AP23" i="30"/>
  <c r="N24" i="30"/>
  <c r="T24" i="30"/>
  <c r="AE24" i="30"/>
  <c r="AF24" i="30"/>
  <c r="AG24" i="30"/>
  <c r="AJ24" i="30"/>
  <c r="AK24" i="30"/>
  <c r="AL24" i="30"/>
  <c r="AM24" i="30"/>
  <c r="AO24" i="30"/>
  <c r="AP24" i="30"/>
  <c r="N25" i="30"/>
  <c r="T25" i="30"/>
  <c r="AE25" i="30"/>
  <c r="AF25" i="30"/>
  <c r="AG25" i="30"/>
  <c r="AJ25" i="30"/>
  <c r="AK25" i="30"/>
  <c r="AL25" i="30"/>
  <c r="AM25" i="30"/>
  <c r="AO25" i="30"/>
  <c r="AP25" i="30"/>
  <c r="N26" i="30"/>
  <c r="T26" i="30"/>
  <c r="AE26" i="30"/>
  <c r="AF26" i="30"/>
  <c r="AG26" i="30"/>
  <c r="AJ26" i="30"/>
  <c r="AK26" i="30"/>
  <c r="AL26" i="30"/>
  <c r="AM26" i="30"/>
  <c r="AO26" i="30"/>
  <c r="AP26" i="30"/>
  <c r="N27" i="30"/>
  <c r="T27" i="30"/>
  <c r="AE27" i="30"/>
  <c r="AF27" i="30"/>
  <c r="AG27" i="30"/>
  <c r="AJ27" i="30"/>
  <c r="AK27" i="30"/>
  <c r="AL27" i="30"/>
  <c r="AM27" i="30"/>
  <c r="AO27" i="30"/>
  <c r="AP27" i="30"/>
  <c r="N28" i="30"/>
  <c r="T28" i="30"/>
  <c r="AE28" i="30"/>
  <c r="AF28" i="30"/>
  <c r="AG28" i="30"/>
  <c r="AJ28" i="30"/>
  <c r="AK28" i="30"/>
  <c r="AL28" i="30"/>
  <c r="AM28" i="30"/>
  <c r="AO28" i="30"/>
  <c r="AP28" i="30"/>
  <c r="N29" i="30"/>
  <c r="T29" i="30"/>
  <c r="AE29" i="30"/>
  <c r="AF29" i="30"/>
  <c r="AG29" i="30"/>
  <c r="AJ29" i="30"/>
  <c r="AK29" i="30"/>
  <c r="AL29" i="30"/>
  <c r="AM29" i="30"/>
  <c r="AO29" i="30"/>
  <c r="AP29" i="30"/>
  <c r="N30" i="30"/>
  <c r="T30" i="30"/>
  <c r="AE30" i="30"/>
  <c r="AF30" i="30"/>
  <c r="AG30" i="30"/>
  <c r="AJ30" i="30"/>
  <c r="AK30" i="30"/>
  <c r="AL30" i="30"/>
  <c r="AM30" i="30"/>
  <c r="AO30" i="30"/>
  <c r="AP30" i="30"/>
  <c r="N31" i="30"/>
  <c r="T31" i="30"/>
  <c r="AE31" i="30"/>
  <c r="AF31" i="30"/>
  <c r="AG31" i="30"/>
  <c r="AJ31" i="30"/>
  <c r="AK31" i="30"/>
  <c r="AL31" i="30"/>
  <c r="AM31" i="30"/>
  <c r="AO31" i="30"/>
  <c r="AP31" i="30"/>
  <c r="N32" i="30"/>
  <c r="T32" i="30"/>
  <c r="AE32" i="30"/>
  <c r="AF32" i="30"/>
  <c r="AG32" i="30"/>
  <c r="AJ32" i="30"/>
  <c r="AK32" i="30"/>
  <c r="AL32" i="30"/>
  <c r="AM32" i="30"/>
  <c r="AO32" i="30"/>
  <c r="AP32" i="30"/>
  <c r="N33" i="30"/>
  <c r="T33" i="30"/>
  <c r="AE33" i="30"/>
  <c r="AF33" i="30"/>
  <c r="AG33" i="30"/>
  <c r="AJ33" i="30"/>
  <c r="AK33" i="30"/>
  <c r="AL33" i="30"/>
  <c r="AM33" i="30"/>
  <c r="AO33" i="30"/>
  <c r="AP33" i="30"/>
  <c r="N34" i="30"/>
  <c r="T34" i="30"/>
  <c r="AE34" i="30"/>
  <c r="AF34" i="30"/>
  <c r="AG34" i="30"/>
  <c r="AJ34" i="30"/>
  <c r="AK34" i="30"/>
  <c r="AL34" i="30"/>
  <c r="AM34" i="30"/>
  <c r="AO34" i="30"/>
  <c r="AP34" i="30"/>
  <c r="N35" i="30"/>
  <c r="T35" i="30"/>
  <c r="AE35" i="30"/>
  <c r="AF35" i="30"/>
  <c r="AG35" i="30"/>
  <c r="AJ35" i="30"/>
  <c r="AK35" i="30"/>
  <c r="AL35" i="30"/>
  <c r="AM35" i="30"/>
  <c r="AO35" i="30"/>
  <c r="AP35" i="30"/>
  <c r="N36" i="30"/>
  <c r="T36" i="30"/>
  <c r="AE36" i="30"/>
  <c r="AF36" i="30"/>
  <c r="AG36" i="30"/>
  <c r="AJ36" i="30"/>
  <c r="AK36" i="30"/>
  <c r="AL36" i="30"/>
  <c r="AM36" i="30"/>
  <c r="AO36" i="30"/>
  <c r="AP36" i="30"/>
  <c r="N37" i="30"/>
  <c r="T37" i="30"/>
  <c r="AE37" i="30"/>
  <c r="AF37" i="30"/>
  <c r="AG37" i="30"/>
  <c r="AJ37" i="30"/>
  <c r="AK37" i="30"/>
  <c r="AL37" i="30"/>
  <c r="AM37" i="30"/>
  <c r="AO37" i="30"/>
  <c r="AP37" i="30"/>
  <c r="N38" i="30"/>
  <c r="T38" i="30"/>
  <c r="AE38" i="30"/>
  <c r="AF38" i="30"/>
  <c r="AG38" i="30"/>
  <c r="AJ38" i="30"/>
  <c r="AK38" i="30"/>
  <c r="AL38" i="30"/>
  <c r="AM38" i="30"/>
  <c r="AO38" i="30"/>
  <c r="AP38" i="30"/>
  <c r="N39" i="30"/>
  <c r="T39" i="30"/>
  <c r="AE39" i="30"/>
  <c r="AF39" i="30"/>
  <c r="AG39" i="30"/>
  <c r="AJ39" i="30"/>
  <c r="AK39" i="30"/>
  <c r="AL39" i="30"/>
  <c r="AM39" i="30"/>
  <c r="AO39" i="30"/>
  <c r="AP39" i="30"/>
  <c r="N40" i="30"/>
  <c r="T40" i="30"/>
  <c r="AE40" i="30"/>
  <c r="AF40" i="30"/>
  <c r="AG40" i="30"/>
  <c r="AJ40" i="30"/>
  <c r="AK40" i="30"/>
  <c r="AL40" i="30"/>
  <c r="AM40" i="30"/>
  <c r="AO40" i="30"/>
  <c r="AP40" i="30"/>
  <c r="N41" i="30"/>
  <c r="T41" i="30"/>
  <c r="AE41" i="30"/>
  <c r="AF41" i="30"/>
  <c r="AG41" i="30"/>
  <c r="AJ41" i="30"/>
  <c r="AK41" i="30"/>
  <c r="AL41" i="30"/>
  <c r="AM41" i="30"/>
  <c r="AO41" i="30"/>
  <c r="AP41" i="30"/>
  <c r="N42" i="30"/>
  <c r="T42" i="30"/>
  <c r="AE42" i="30"/>
  <c r="AF42" i="30"/>
  <c r="AG42" i="30"/>
  <c r="AJ42" i="30"/>
  <c r="AK42" i="30"/>
  <c r="AL42" i="30"/>
  <c r="AM42" i="30"/>
  <c r="AO42" i="30"/>
  <c r="AP42" i="30"/>
  <c r="N43" i="30"/>
  <c r="T43" i="30"/>
  <c r="AE43" i="30"/>
  <c r="AF43" i="30"/>
  <c r="AG43" i="30"/>
  <c r="AJ43" i="30"/>
  <c r="AK43" i="30"/>
  <c r="AL43" i="30"/>
  <c r="AM43" i="30"/>
  <c r="AO43" i="30"/>
  <c r="AP43" i="30"/>
  <c r="N44" i="30"/>
  <c r="T44" i="30"/>
  <c r="AE44" i="30"/>
  <c r="AF44" i="30"/>
  <c r="AG44" i="30"/>
  <c r="AJ44" i="30"/>
  <c r="AK44" i="30"/>
  <c r="AL44" i="30"/>
  <c r="AM44" i="30"/>
  <c r="AO44" i="30"/>
  <c r="AP44" i="30"/>
  <c r="N45" i="30"/>
  <c r="T45" i="30"/>
  <c r="AE45" i="30"/>
  <c r="AF45" i="30"/>
  <c r="AG45" i="30"/>
  <c r="AJ45" i="30"/>
  <c r="AK45" i="30"/>
  <c r="AL45" i="30"/>
  <c r="AM45" i="30"/>
  <c r="AO45" i="30"/>
  <c r="AP45" i="30"/>
  <c r="N46" i="30"/>
  <c r="T46" i="30"/>
  <c r="AE46" i="30"/>
  <c r="AF46" i="30"/>
  <c r="AG46" i="30"/>
  <c r="AJ46" i="30"/>
  <c r="AK46" i="30"/>
  <c r="AL46" i="30"/>
  <c r="AM46" i="30"/>
  <c r="AO46" i="30"/>
  <c r="AP46" i="30"/>
  <c r="N47" i="30"/>
  <c r="T47" i="30"/>
  <c r="AE47" i="30"/>
  <c r="AF47" i="30"/>
  <c r="AG47" i="30"/>
  <c r="AJ47" i="30"/>
  <c r="AK47" i="30"/>
  <c r="AL47" i="30"/>
  <c r="AM47" i="30"/>
  <c r="AO47" i="30"/>
  <c r="AP47" i="30"/>
  <c r="N48" i="30"/>
  <c r="T48" i="30"/>
  <c r="AE48" i="30"/>
  <c r="AF48" i="30"/>
  <c r="AG48" i="30"/>
  <c r="AJ48" i="30"/>
  <c r="AK48" i="30"/>
  <c r="AL48" i="30"/>
  <c r="AM48" i="30"/>
  <c r="AO48" i="30"/>
  <c r="AP48" i="30"/>
  <c r="N49" i="30"/>
  <c r="T49" i="30"/>
  <c r="AE49" i="30"/>
  <c r="AF49" i="30"/>
  <c r="AG49" i="30"/>
  <c r="AJ49" i="30"/>
  <c r="AK49" i="30"/>
  <c r="AL49" i="30"/>
  <c r="AM49" i="30"/>
  <c r="AO49" i="30"/>
  <c r="AP49" i="30"/>
  <c r="N50" i="30"/>
  <c r="T50" i="30"/>
  <c r="AE50" i="30"/>
  <c r="AF50" i="30"/>
  <c r="AG50" i="30"/>
  <c r="AJ50" i="30"/>
  <c r="AK50" i="30"/>
  <c r="AL50" i="30"/>
  <c r="AM50" i="30"/>
  <c r="AO50" i="30"/>
  <c r="AP50" i="30"/>
  <c r="N51" i="30"/>
  <c r="T51" i="30"/>
  <c r="AE51" i="30"/>
  <c r="AF51" i="30"/>
  <c r="AG51" i="30"/>
  <c r="AJ51" i="30"/>
  <c r="AK51" i="30"/>
  <c r="AL51" i="30"/>
  <c r="AM51" i="30"/>
  <c r="AO51" i="30"/>
  <c r="AP51" i="30"/>
  <c r="N53" i="30"/>
  <c r="T53" i="30"/>
  <c r="AE53" i="30"/>
  <c r="AF53" i="30"/>
  <c r="AG53" i="30"/>
  <c r="AJ53" i="30"/>
  <c r="AK53" i="30"/>
  <c r="AL53" i="30"/>
  <c r="AM53" i="30"/>
  <c r="AO53" i="30"/>
  <c r="AP53" i="30"/>
  <c r="AO55" i="30"/>
  <c r="AP55" i="3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0BAC154D-FB18-4DC2-9384-14D481B14248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05800D-5913-49D0-9D62-2BCF1C0ED9B8}" name="Conexão" type="7" refreshedVersion="7" background="1" saveData="1"/>
  <connection id="2" xr16:uid="{038895C2-0BF9-4F63-A3FF-94B005B4374F}" name="Conexão1" type="7" refreshedVersion="7" background="1" saveData="1"/>
  <connection id="3" xr16:uid="{948A7BA9-57C4-407E-B318-60FF8ADBE16E}" name="Conexão2" type="7" refreshedVersion="7" background="1" saveData="1"/>
</connections>
</file>

<file path=xl/sharedStrings.xml><?xml version="1.0" encoding="utf-8"?>
<sst xmlns="http://schemas.openxmlformats.org/spreadsheetml/2006/main" count="32239" uniqueCount="1288">
  <si>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</si>
  <si>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</si>
  <si>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</si>
  <si>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</si>
  <si>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</si>
  <si>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</si>
  <si>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</si>
  <si>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</si>
  <si>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</si>
  <si>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</si>
  <si>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</si>
  <si>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</si>
  <si>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</si>
  <si>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</si>
  <si>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</si>
  <si>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</si>
  <si>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</si>
  <si>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</si>
  <si>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</si>
  <si>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</si>
  <si>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</si>
  <si>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</si>
  <si>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</si>
  <si>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</si>
  <si>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</si>
  <si>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</si>
  <si>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</si>
  <si>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</si>
  <si>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</si>
  <si>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</si>
  <si>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</si>
  <si>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</si>
  <si>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</si>
  <si>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A4</t>
  </si>
  <si>
    <t>Verde</t>
  </si>
  <si>
    <t>Ponta</t>
  </si>
  <si>
    <t>Fora ponta</t>
  </si>
  <si>
    <t>Branca</t>
  </si>
  <si>
    <t>Intermediário</t>
  </si>
  <si>
    <t>B3</t>
  </si>
  <si>
    <t>Industrial</t>
  </si>
  <si>
    <t>Azul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</si>
  <si>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</si>
  <si>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</si>
  <si>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</si>
  <si>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</si>
  <si>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</si>
  <si>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</si>
  <si>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</si>
  <si>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Iluminação pública – B4b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</si>
  <si>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</si>
  <si>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</si>
  <si>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</si>
  <si>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</si>
  <si>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</si>
  <si>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</si>
  <si>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</si>
  <si>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Fonte incentivada</t>
  </si>
  <si>
    <t>LIVRE</t>
  </si>
  <si>
    <t>PROJETADO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</si>
  <si>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</si>
  <si>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</si>
  <si>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</si>
  <si>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</si>
  <si>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</si>
  <si>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</si>
  <si>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</si>
  <si>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</si>
  <si>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</si>
  <si>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</si>
  <si>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</si>
  <si>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</si>
  <si>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</si>
  <si>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</si>
  <si>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</si>
  <si>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</si>
  <si>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</si>
  <si>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</si>
  <si>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</si>
  <si>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</si>
  <si>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</si>
  <si>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</si>
  <si>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</si>
  <si>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APE</t>
  </si>
  <si>
    <t>Geração</t>
  </si>
  <si>
    <t>B</t>
  </si>
  <si>
    <t>TIPO 01</t>
  </si>
  <si>
    <t>TIPO 02</t>
  </si>
  <si>
    <t>EINT</t>
  </si>
  <si>
    <t>Energia convencional</t>
  </si>
  <si>
    <t>Energia convencional pré-pagamento</t>
  </si>
  <si>
    <t>Convencional pré-pagamento</t>
  </si>
  <si>
    <t>Cooperativa de eletrificação rural</t>
  </si>
  <si>
    <t>Serviço público de irrigação rural</t>
  </si>
  <si>
    <t>CHAVE TUSD</t>
  </si>
  <si>
    <t>44317A4AzulNão se aplicaNão se aplicaNão se aplicaNão se aplicaFora ponta</t>
  </si>
  <si>
    <t>44348A4AzulNão se aplicaNão se aplicaNão se aplicaNão se aplicaFora ponta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</si>
  <si>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</si>
  <si>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</si>
  <si>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</si>
  <si>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</si>
  <si>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</si>
  <si>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</si>
  <si>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</si>
  <si>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</si>
  <si>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</si>
  <si>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</si>
  <si>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44317A4AzulNão se aplicaNão se aplicaNão se aplicaNão se aplicaPonta</t>
  </si>
  <si>
    <t>44348A4AzulNão se aplicaNão se aplicaNão se aplicaNão se aplicaPonta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</si>
  <si>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</si>
  <si>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</si>
  <si>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</si>
  <si>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</si>
  <si>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</si>
  <si>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</si>
  <si>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</si>
  <si>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</si>
  <si>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</si>
  <si>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</si>
  <si>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44317A4VerdeNão se aplicaNão se aplicaNão se aplicaNão se aplicaFora ponta</t>
  </si>
  <si>
    <t>44348A4VerdeNão se aplicaNão se aplicaNão se aplicaNão se aplicaFora 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</si>
  <si>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</si>
  <si>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</si>
  <si>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</si>
  <si>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</si>
  <si>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</si>
  <si>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</si>
  <si>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</si>
  <si>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</si>
  <si>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</si>
  <si>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</si>
  <si>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44317A4VerdeNão se aplicaNão se aplicaNão se aplicaNão se aplicaNão se aplica</t>
  </si>
  <si>
    <t>44348A4VerdeNão se aplicaNão se aplicaNão se aplicaNão se aplicaNão se aplica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</si>
  <si>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</si>
  <si>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</si>
  <si>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</si>
  <si>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</si>
  <si>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</si>
  <si>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</si>
  <si>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</si>
  <si>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</si>
  <si>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</si>
  <si>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</si>
  <si>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44317A4VerdeNão se aplicaNão se aplicaNão se aplicaNão se aplicaPonta</t>
  </si>
  <si>
    <t>44348A4VerdeNão se aplicaNão se aplicaNão se aplicaNão se aplicaPonta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</si>
  <si>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</si>
  <si>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</si>
  <si>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</si>
  <si>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</si>
  <si>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</si>
  <si>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</si>
  <si>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</si>
  <si>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</si>
  <si>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</si>
  <si>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</si>
  <si>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44317B1BrancaResidencialResidencialNão se aplicaNão se aplicaFora ponta</t>
  </si>
  <si>
    <t>44348B1BrancaResidencialResidencialNão se aplicaNão se aplicaFora 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</si>
  <si>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</si>
  <si>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</si>
  <si>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</si>
  <si>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</si>
  <si>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</si>
  <si>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</si>
  <si>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</si>
  <si>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</si>
  <si>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</si>
  <si>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</si>
  <si>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44317B1BrancaResidencialResidencialNão se aplicaNão se aplicaIntermediário</t>
  </si>
  <si>
    <t>44348B1BrancaResidencialResidencialNão se aplicaNão se aplicaIntermediário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</si>
  <si>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</si>
  <si>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</si>
  <si>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</si>
  <si>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</si>
  <si>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</si>
  <si>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</si>
  <si>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</si>
  <si>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</si>
  <si>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</si>
  <si>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</si>
  <si>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44317B1BrancaResidencialResidencialNão se aplicaNão se aplicaPonta</t>
  </si>
  <si>
    <t>44348B1BrancaResidencialResidencialNão se aplicaNão se aplicaPonta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</si>
  <si>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</si>
  <si>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</si>
  <si>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</si>
  <si>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</si>
  <si>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</si>
  <si>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</si>
  <si>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</si>
  <si>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</si>
  <si>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</si>
  <si>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</si>
  <si>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44317B1ConvencionalResidencialResidencialNão se aplicaNão se aplicaNão se aplica</t>
  </si>
  <si>
    <t>44348B1ConvencionalResidencialResidencialNão se aplicaNão se aplicaNão se aplica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</si>
  <si>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</si>
  <si>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</si>
  <si>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</si>
  <si>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</si>
  <si>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</si>
  <si>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</si>
  <si>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</si>
  <si>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</si>
  <si>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</si>
  <si>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</si>
  <si>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44317B1ConvencionalResidencialResidencial baixa renda – faixa 01Não se aplicaNão se aplicaNão se aplica</t>
  </si>
  <si>
    <t>44348B1ConvencionalResidencialResidencial baixa renda – faixa 01Não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</si>
  <si>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</si>
  <si>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</si>
  <si>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</si>
  <si>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</si>
  <si>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</si>
  <si>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</si>
  <si>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</si>
  <si>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</si>
  <si>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</si>
  <si>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</si>
  <si>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44317B1ConvencionalResidencialResidencial baixa renda – faixa 02Não se aplicaNão se aplicaNão se aplica</t>
  </si>
  <si>
    <t>44348B1ConvencionalResidencialResidencial baixa renda – faixa 02Não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</si>
  <si>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</si>
  <si>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</si>
  <si>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</si>
  <si>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</si>
  <si>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</si>
  <si>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</si>
  <si>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</si>
  <si>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</si>
  <si>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</si>
  <si>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</si>
  <si>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44317B1ConvencionalResidencialResidencial baixa renda – faixa 03Não se aplicaNão se aplicaNão se aplica</t>
  </si>
  <si>
    <t>44348B1ConvencionalResidencialResidencial baixa renda – faixa 03Não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</si>
  <si>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</si>
  <si>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</si>
  <si>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</si>
  <si>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</si>
  <si>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</si>
  <si>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</si>
  <si>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</si>
  <si>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</si>
  <si>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</si>
  <si>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</si>
  <si>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44317B1ConvencionalResidencialResidencial baixa renda – faixa 04Não se aplicaNão se aplicaNão se aplica</t>
  </si>
  <si>
    <t>44348B1ConvencionalResidencialResidencial baixa renda – faixa 04Não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</si>
  <si>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</si>
  <si>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</si>
  <si>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</si>
  <si>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</si>
  <si>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</si>
  <si>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</si>
  <si>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</si>
  <si>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</si>
  <si>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</si>
  <si>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</si>
  <si>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44317B2BrancaRuralNão se aplicaNão se aplicaNão se aplicaFora ponta</t>
  </si>
  <si>
    <t>44348B2BrancaRuralNão se aplicaNão se aplicaNão se aplicaFora ponta</t>
  </si>
  <si>
    <t>44378B2BrancaRuralNão se aplicaNão se aplicaNão se aplicaFora ponta</t>
  </si>
  <si>
    <t>44409B2BrancaRuralNão se aplicaNão se aplicaNão se aplicaFora ponta</t>
  </si>
  <si>
    <t>44440B2BrancaRuralNão se aplicaNão se aplicaNão se aplicaFora ponta</t>
  </si>
  <si>
    <t>44470B2BrancaRuralNão se aplicaNão se aplicaNão se aplicaFora ponta</t>
  </si>
  <si>
    <t>44501B2BrancaRuralNão se aplicaNão se aplicaNão se aplicaFora ponta</t>
  </si>
  <si>
    <t>44531B2BrancaRuralNão se aplicaNão se aplicaNão se aplicaFora ponta</t>
  </si>
  <si>
    <t>44562B2BrancaRuralNão se aplicaNão se aplicaNão se aplicaFora ponta</t>
  </si>
  <si>
    <t>44593B2BrancaRuralNão se aplicaNão se aplicaNão se aplicaFora ponta</t>
  </si>
  <si>
    <t>44621B2BrancaRuralNão se aplicaNão se aplicaNão se aplicaFora ponta</t>
  </si>
  <si>
    <t>44652B2BrancaRuralNão se aplicaNão se aplicaNão se aplicaFora ponta</t>
  </si>
  <si>
    <t>44317B2BrancaRuralNão se aplicaNão se aplicaNão se aplicaIntermediário</t>
  </si>
  <si>
    <t>44348B2BrancaRuralNão se aplicaNão se aplicaNão se aplicaIntermediário</t>
  </si>
  <si>
    <t>44378B2BrancaRuralNão se aplicaNão se aplicaNão se aplicaIntermediário</t>
  </si>
  <si>
    <t>44409B2BrancaRuralNão se aplicaNão se aplicaNão se aplicaIntermediário</t>
  </si>
  <si>
    <t>44440B2BrancaRuralNão se aplicaNão se aplicaNão se aplicaIntermediário</t>
  </si>
  <si>
    <t>44470B2BrancaRuralNão se aplicaNão se aplicaNão se aplicaIntermediário</t>
  </si>
  <si>
    <t>44501B2BrancaRuralNão se aplicaNão se aplicaNão se aplicaIntermediário</t>
  </si>
  <si>
    <t>44531B2BrancaRuralNão se aplicaNão se aplicaNão se aplicaIntermediário</t>
  </si>
  <si>
    <t>44562B2BrancaRuralNão se aplicaNão se aplicaNão se aplicaIntermediário</t>
  </si>
  <si>
    <t>44593B2BrancaRuralNão se aplicaNão se aplicaNão se aplicaIntermediário</t>
  </si>
  <si>
    <t>44621B2BrancaRuralNão se aplicaNão se aplicaNão se aplicaIntermediário</t>
  </si>
  <si>
    <t>44652B2BrancaRuralNão se aplicaNão se aplicaNão se aplicaIntermediário</t>
  </si>
  <si>
    <t>44317B2BrancaRuralNão se aplicaNão se aplicaNão se aplicaPonta</t>
  </si>
  <si>
    <t>44348B2BrancaRuralNão se aplicaNão se aplicaNão se aplicaPonta</t>
  </si>
  <si>
    <t>44378B2BrancaRuralNão se aplicaNão se aplicaNão se aplicaPonta</t>
  </si>
  <si>
    <t>44409B2BrancaRuralNão se aplicaNão se aplicaNão se aplicaPonta</t>
  </si>
  <si>
    <t>44440B2BrancaRuralNão se aplicaNão se aplicaNão se aplicaPonta</t>
  </si>
  <si>
    <t>44470B2BrancaRuralNão se aplicaNão se aplicaNão se aplicaPonta</t>
  </si>
  <si>
    <t>44501B2BrancaRuralNão se aplicaNão se aplicaNão se aplicaPonta</t>
  </si>
  <si>
    <t>44531B2BrancaRuralNão se aplicaNão se aplicaNão se aplicaPonta</t>
  </si>
  <si>
    <t>44562B2BrancaRuralNão se aplicaNão se aplicaNão se aplicaPonta</t>
  </si>
  <si>
    <t>44593B2BrancaRuralNão se aplicaNão se aplicaNão se aplicaPonta</t>
  </si>
  <si>
    <t>44621B2BrancaRuralNão se aplicaNão se aplicaNão se aplicaPonta</t>
  </si>
  <si>
    <t>44652B2BrancaRuralNão se aplicaNão se aplicaNão se aplicaPonta</t>
  </si>
  <si>
    <t>44317B2ConvencionalRuralNão se aplicaNão se aplicaNão se aplicaNão se aplica</t>
  </si>
  <si>
    <t>44348B2ConvencionalRuralNão se aplicaNão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</si>
  <si>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</si>
  <si>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</si>
  <si>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</si>
  <si>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</si>
  <si>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</si>
  <si>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</si>
  <si>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</si>
  <si>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</si>
  <si>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</si>
  <si>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</si>
  <si>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44317B3BrancaNão se aplicaNão se aplicaNão se aplicaNão se aplicaFora ponta</t>
  </si>
  <si>
    <t>44348B3BrancaNão se aplicaNão se aplicaNão se aplicaNão se aplicaFora ponta</t>
  </si>
  <si>
    <t>44378B3BrancaNão se aplicaNão se aplicaNão se aplicaNão se aplicaFora ponta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</si>
  <si>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</si>
  <si>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</si>
  <si>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</si>
  <si>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</si>
  <si>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</si>
  <si>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</si>
  <si>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</si>
  <si>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</si>
  <si>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</si>
  <si>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44317B3BrancaNão se aplicaNão se aplicaNão se aplicaNão se aplicaIntermediário</t>
  </si>
  <si>
    <t>44348B3BrancaNão se aplicaNão se aplicaNão se aplicaNão se aplicaIntermediário</t>
  </si>
  <si>
    <t>44378B3BrancaNão se aplicaNão se aplicaNão se aplicaNão se aplicaIntermediário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</si>
  <si>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</si>
  <si>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</si>
  <si>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</si>
  <si>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</si>
  <si>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</si>
  <si>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</si>
  <si>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</si>
  <si>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</si>
  <si>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</si>
  <si>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44317B3BrancaNão se aplicaNão se aplicaNão se aplicaNão se aplicaPonta</t>
  </si>
  <si>
    <t>44348B3BrancaNão se aplicaNão se aplicaNão se aplicaNão se aplicaPonta</t>
  </si>
  <si>
    <t>44378B3BrancaNão se aplicaNão se aplicaNão se aplicaNão se aplicaPonta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</si>
  <si>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</si>
  <si>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</si>
  <si>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</si>
  <si>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</si>
  <si>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</si>
  <si>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</si>
  <si>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</si>
  <si>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</si>
  <si>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</si>
  <si>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44317B3ConvencionalNão se aplicaNão se aplicaNão se aplicaNão se aplicaNão se aplica</t>
  </si>
  <si>
    <t>44348B3ConvencionalNão se aplicaNão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</si>
  <si>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</si>
  <si>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</si>
  <si>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</si>
  <si>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</si>
  <si>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</si>
  <si>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</si>
  <si>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</si>
  <si>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</si>
  <si>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</si>
  <si>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</si>
  <si>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44317B4ConvencionalIluminação públicaIluminação pública – B4aNão se aplicaNão se aplicaNão se aplica</t>
  </si>
  <si>
    <t>44348B4ConvencionalIluminação públicaIluminação pública – B4aNão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</si>
  <si>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</si>
  <si>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</si>
  <si>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</si>
  <si>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</si>
  <si>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</si>
  <si>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</si>
  <si>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</si>
  <si>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</si>
  <si>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</si>
  <si>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</si>
  <si>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44317B4ConvencionalIluminação públicaIluminação pública – B4bNão se aplicaNão se aplicaNão se aplica</t>
  </si>
  <si>
    <t>44348B4ConvencionalIluminação públicaIluminação pública – B4bNão se aplicaNão se aplicaNão se aplica</t>
  </si>
  <si>
    <t>44378B4ConvencionalIluminação públicaIluminação pública – B4bNão se aplicaNão se aplicaNão se aplica</t>
  </si>
  <si>
    <t>44409B4ConvencionalIluminação públicaIluminação pública – B4bNão se aplicaNão se aplicaNão se aplica</t>
  </si>
  <si>
    <t>44440B4ConvencionalIluminação públicaIluminação pública – B4bNão se aplicaNão se aplicaNão se aplica</t>
  </si>
  <si>
    <t>44470B4ConvencionalIluminação públicaIluminação pública – B4bNão se aplicaNão se aplicaNão se aplica</t>
  </si>
  <si>
    <t>44501B4ConvencionalIluminação públicaIluminação pública – B4bNão se aplicaNão se aplicaNão se aplica</t>
  </si>
  <si>
    <t>44531B4ConvencionalIluminação públicaIluminação pública – B4bNão se aplicaNão se aplicaNão se aplica</t>
  </si>
  <si>
    <t>44562B4ConvencionalIluminação públicaIluminação pública – B4bNão se aplicaNão se aplicaNão se aplica</t>
  </si>
  <si>
    <t>44593B4ConvencionalIluminação públicaIluminação pública – B4bNão se aplicaNão se aplicaNão se aplica</t>
  </si>
  <si>
    <t>44621B4ConvencionalIluminação públicaIluminação pública – B4bNão se aplicaNão se aplicaNão se aplica</t>
  </si>
  <si>
    <t>44652B4ConvencionalIluminação públicaIluminação pública – B4bNão se aplicaNão se aplicaNão se aplica</t>
  </si>
  <si>
    <t>CHAVE TE</t>
  </si>
  <si>
    <t>44317A4Energia horáriaNão se aplicaNão se aplicaNão se aplicaNão se aplicaFora ponta</t>
  </si>
  <si>
    <t>44348A4Energia horáriaNão se aplicaNão se aplicaNão se aplicaNão se aplicaFora ponta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</si>
  <si>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</si>
  <si>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</si>
  <si>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</si>
  <si>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</si>
  <si>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</si>
  <si>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</si>
  <si>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</si>
  <si>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</si>
  <si>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</si>
  <si>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</si>
  <si>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44317A4Energia horáriaNão se aplicaNão se aplicaNão se aplicaNão se aplicaPonta</t>
  </si>
  <si>
    <t>44348A4Energia horáriaNão se aplicaNão se aplicaNão se aplicaNão se aplicaPonta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</si>
  <si>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</si>
  <si>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</si>
  <si>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</si>
  <si>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</si>
  <si>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</si>
  <si>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</si>
  <si>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</si>
  <si>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</si>
  <si>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</si>
  <si>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</si>
  <si>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</si>
  <si>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</si>
  <si>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</si>
  <si>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</si>
  <si>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44317B1Energia horáriaResidencialResidencialNão se aplicaNão se aplicaFora ponta</t>
  </si>
  <si>
    <t>44348B1Energia horáriaResidencialResidencialNão se aplicaNão se aplicaFora ponta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</si>
  <si>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</si>
  <si>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</si>
  <si>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</si>
  <si>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</si>
  <si>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</si>
  <si>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</si>
  <si>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</si>
  <si>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</si>
  <si>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</si>
  <si>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</si>
  <si>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44317B1Energia horáriaResidencialResidencialNão se aplicaNão se aplicaIntermediário</t>
  </si>
  <si>
    <t>44348B1Energia horáriaResidencialResidencialNão se aplicaNão se aplicaIntermediário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</si>
  <si>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</si>
  <si>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</si>
  <si>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</si>
  <si>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</si>
  <si>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</si>
  <si>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</si>
  <si>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</si>
  <si>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</si>
  <si>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</si>
  <si>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</si>
  <si>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44317B1Energia horáriaResidencialResidencialNão se aplicaNão se aplicaPonta</t>
  </si>
  <si>
    <t>44348B1Energia horáriaResidencialResidencialNão se aplicaNão se aplicaPonta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</si>
  <si>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</si>
  <si>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</si>
  <si>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</si>
  <si>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</si>
  <si>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</si>
  <si>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</si>
  <si>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</si>
  <si>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</si>
  <si>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</si>
  <si>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</si>
  <si>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44317B1Energia convencionalResidencialResidencialNão se aplicaNão se aplicaNão se aplica</t>
  </si>
  <si>
    <t>44348B1Energia convencionalResidencialResidencialNão se aplicaNão se aplicaNão se aplica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</si>
  <si>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</si>
  <si>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</si>
  <si>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</si>
  <si>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</si>
  <si>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</si>
  <si>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</si>
  <si>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</si>
  <si>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</si>
  <si>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</si>
  <si>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</si>
  <si>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44317B1Energia convencionalResidencialResidencial baixa renda – faixa 01Não se aplicaNão se aplicaNão se aplica</t>
  </si>
  <si>
    <t>44348B1Energia convencionalResidencialResidencial baixa renda – faixa 01Não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</si>
  <si>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</si>
  <si>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</si>
  <si>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</si>
  <si>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</si>
  <si>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</si>
  <si>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</si>
  <si>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</si>
  <si>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</si>
  <si>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</si>
  <si>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</si>
  <si>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44317B1Energia convencionalResidencialResidencial baixa renda – faixa 02Não se aplicaNão se aplicaNão se aplica</t>
  </si>
  <si>
    <t>44348B1Energia convencionalResidencialResidencial baixa renda – faixa 02Não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</si>
  <si>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</si>
  <si>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</si>
  <si>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</si>
  <si>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</si>
  <si>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</si>
  <si>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</si>
  <si>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</si>
  <si>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</si>
  <si>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</si>
  <si>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</si>
  <si>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44317B1Energia convencionalResidencialResidencial baixa renda – faixa 03Não se aplicaNão se aplicaNão se aplica</t>
  </si>
  <si>
    <t>44348B1Energia convencionalResidencialResidencial baixa renda – faixa 03Não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</si>
  <si>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</si>
  <si>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</si>
  <si>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</si>
  <si>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</si>
  <si>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</si>
  <si>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</si>
  <si>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</si>
  <si>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</si>
  <si>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</si>
  <si>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</si>
  <si>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44317B1Energia convencionalResidencialResidencial baixa renda – faixa 04Não se aplicaNão se aplicaNão se aplica</t>
  </si>
  <si>
    <t>44348B1Energia convencionalResidencialResidencial baixa renda – faixa 04Não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</si>
  <si>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</si>
  <si>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</si>
  <si>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</si>
  <si>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</si>
  <si>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</si>
  <si>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</si>
  <si>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</si>
  <si>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</si>
  <si>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</si>
  <si>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</si>
  <si>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44317B2Energia horáriaRuralNão se aplicaNão se aplicaNão se aplicaFora ponta</t>
  </si>
  <si>
    <t>44348B2Energia horáriaRuralNão se aplicaNão se aplicaNão se aplicaFora ponta</t>
  </si>
  <si>
    <t>44378B2Energia horáriaRuralNão se aplicaNão se aplicaNão se aplicaFora ponta</t>
  </si>
  <si>
    <t>44409B2Energia horáriaRuralNão se aplicaNão se aplicaNão se aplicaFora ponta</t>
  </si>
  <si>
    <t>44440B2Energia horáriaRuralNão se aplicaNão se aplicaNão se aplicaFora ponta</t>
  </si>
  <si>
    <t>44470B2Energia horáriaRuralNão se aplicaNão se aplicaNão se aplicaFora ponta</t>
  </si>
  <si>
    <t>44501B2Energia horáriaRuralNão se aplicaNão se aplicaNão se aplicaFora ponta</t>
  </si>
  <si>
    <t>44531B2Energia horáriaRuralNão se aplicaNão se aplicaNão se aplicaFora ponta</t>
  </si>
  <si>
    <t>44562B2Energia horáriaRuralNão se aplicaNão se aplicaNão se aplicaFora ponta</t>
  </si>
  <si>
    <t>44593B2Energia horáriaRuralNão se aplicaNão se aplicaNão se aplicaFora ponta</t>
  </si>
  <si>
    <t>44621B2Energia horáriaRuralNão se aplicaNão se aplicaNão se aplicaFora ponta</t>
  </si>
  <si>
    <t>44652B2Energia horáriaRuralNão se aplicaNão se aplicaNão se aplicaFora ponta</t>
  </si>
  <si>
    <t>44317B2Energia horáriaRuralNão se aplicaNão se aplicaNão se aplicaIntermediário</t>
  </si>
  <si>
    <t>44348B2Energia horáriaRuralNão se aplicaNão se aplicaNão se aplicaIntermediário</t>
  </si>
  <si>
    <t>44378B2Energia horáriaRuralNão se aplicaNão se aplicaNão se aplicaIntermediário</t>
  </si>
  <si>
    <t>44409B2Energia horáriaRuralNão se aplicaNão se aplicaNão se aplicaIntermediário</t>
  </si>
  <si>
    <t>44440B2Energia horáriaRuralNão se aplicaNão se aplicaNão se aplicaIntermediário</t>
  </si>
  <si>
    <t>44470B2Energia horáriaRuralNão se aplicaNão se aplicaNão se aplicaIntermediário</t>
  </si>
  <si>
    <t>44501B2Energia horáriaRuralNão se aplicaNão se aplicaNão se aplicaIntermediário</t>
  </si>
  <si>
    <t>44531B2Energia horáriaRuralNão se aplicaNão se aplicaNão se aplicaIntermediário</t>
  </si>
  <si>
    <t>44562B2Energia horáriaRuralNão se aplicaNão se aplicaNão se aplicaIntermediário</t>
  </si>
  <si>
    <t>44593B2Energia horáriaRuralNão se aplicaNão se aplicaNão se aplicaIntermediário</t>
  </si>
  <si>
    <t>44621B2Energia horáriaRuralNão se aplicaNão se aplicaNão se aplicaIntermediário</t>
  </si>
  <si>
    <t>44652B2Energia horáriaRuralNão se aplicaNão se aplicaNão se aplicaIntermediário</t>
  </si>
  <si>
    <t>44317B2Energia horáriaRuralNão se aplicaNão se aplicaNão se aplicaPonta</t>
  </si>
  <si>
    <t>44348B2Energia horáriaRuralNão se aplicaNão se aplicaNão se aplicaPonta</t>
  </si>
  <si>
    <t>44378B2Energia horáriaRuralNão se aplicaNão se aplicaNão se aplicaPonta</t>
  </si>
  <si>
    <t>44409B2Energia horáriaRuralNão se aplicaNão se aplicaNão se aplicaPonta</t>
  </si>
  <si>
    <t>44440B2Energia horáriaRuralNão se aplicaNão se aplicaNão se aplicaPonta</t>
  </si>
  <si>
    <t>44470B2Energia horáriaRuralNão se aplicaNão se aplicaNão se aplicaPonta</t>
  </si>
  <si>
    <t>44501B2Energia horáriaRuralNão se aplicaNão se aplicaNão se aplicaPonta</t>
  </si>
  <si>
    <t>44531B2Energia horáriaRuralNão se aplicaNão se aplicaNão se aplicaPonta</t>
  </si>
  <si>
    <t>44562B2Energia horáriaRuralNão se aplicaNão se aplicaNão se aplicaPonta</t>
  </si>
  <si>
    <t>44593B2Energia horáriaRuralNão se aplicaNão se aplicaNão se aplicaPonta</t>
  </si>
  <si>
    <t>44621B2Energia horáriaRuralNão se aplicaNão se aplicaNão se aplicaPonta</t>
  </si>
  <si>
    <t>44652B2Energia horáriaRuralNão se aplicaNão se aplicaNão se aplicaPonta</t>
  </si>
  <si>
    <t>44317B2Energia convencionalRuralNão se aplicaNão se aplicaNão se aplicaNão se aplica</t>
  </si>
  <si>
    <t>44348B2Energia convencionalRuralNão se aplicaNão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</si>
  <si>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</si>
  <si>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</si>
  <si>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</si>
  <si>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</si>
  <si>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</si>
  <si>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</si>
  <si>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</si>
  <si>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</si>
  <si>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</si>
  <si>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</si>
  <si>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44317B3Energia horáriaNão se aplicaNão se aplicaNão se aplicaNão se aplicaFora ponta</t>
  </si>
  <si>
    <t>44348B3Energia horáriaNão se aplicaNão se aplicaNão se aplicaNão se aplicaFora ponta</t>
  </si>
  <si>
    <t>44378B3Energia horáriaNão se aplicaNão se aplicaNão se aplicaNão se aplicaFora ponta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</si>
  <si>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</si>
  <si>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</si>
  <si>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</si>
  <si>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</si>
  <si>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</si>
  <si>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</si>
  <si>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</si>
  <si>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</si>
  <si>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</si>
  <si>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44317B3Energia horáriaNão se aplicaNão se aplicaNão se aplicaNão se aplicaIntermediário</t>
  </si>
  <si>
    <t>44348B3Energia horáriaNão se aplicaNão se aplicaNão se aplicaNão se aplicaIntermediário</t>
  </si>
  <si>
    <t>44378B3Energia horáriaNão se aplicaNão se aplicaNão se aplicaNão se aplicaIntermediário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</si>
  <si>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</si>
  <si>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</si>
  <si>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</si>
  <si>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</si>
  <si>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</si>
  <si>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</si>
  <si>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</si>
  <si>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</si>
  <si>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</si>
  <si>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44317B3Energia horáriaNão se aplicaNão se aplicaNão se aplicaNão se aplicaPonta</t>
  </si>
  <si>
    <t>44348B3Energia horáriaNão se aplicaNão se aplicaNão se aplicaNão se aplicaPonta</t>
  </si>
  <si>
    <t>44378B3Energia horáriaNão se aplicaNão se aplicaNão se aplicaNão se aplicaPonta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</si>
  <si>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</si>
  <si>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</si>
  <si>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</si>
  <si>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</si>
  <si>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</si>
  <si>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</si>
  <si>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</si>
  <si>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</si>
  <si>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</si>
  <si>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44317B3Energia convencionalNão se aplicaNão se aplicaNão se aplicaNão se aplicaNão se aplica</t>
  </si>
  <si>
    <t>44348B3Energia convencionalNão se aplicaNão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</si>
  <si>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</si>
  <si>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</si>
  <si>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</si>
  <si>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</si>
  <si>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</si>
  <si>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</si>
  <si>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</si>
  <si>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</si>
  <si>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</si>
  <si>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</si>
  <si>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44317B4Energia convencionalIluminação públicaIluminação pública – B4aNão se aplicaNão se aplicaNão se aplica</t>
  </si>
  <si>
    <t>44348B4Energia convencionalIluminação públicaIluminação pública – B4aNão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</si>
  <si>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</si>
  <si>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</si>
  <si>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</si>
  <si>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</si>
  <si>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</si>
  <si>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</si>
  <si>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</si>
  <si>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</si>
  <si>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</si>
  <si>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</si>
  <si>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44317B4Energia convencionalIluminação públicaIluminação pública – B4bNão se aplicaNão se aplicaNão se aplica</t>
  </si>
  <si>
    <t>44348B4Energia convencionalIluminação públicaIluminação pública – B4bNão se aplicaNão se aplicaNão se aplica</t>
  </si>
  <si>
    <t>44378B4Energia convencionalIluminação públicaIluminação pública – B4bNão se aplicaNão se aplicaNão se aplica</t>
  </si>
  <si>
    <t>44409B4Energia convencionalIluminação públicaIluminação pública – B4bNão se aplicaNão se aplicaNão se aplica</t>
  </si>
  <si>
    <t>44440B4Energia convencionalIluminação públicaIluminação pública – B4bNão se aplicaNão se aplicaNão se aplica</t>
  </si>
  <si>
    <t>44470B4Energia convencionalIluminação públicaIluminação pública – B4bNão se aplicaNão se aplicaNão se aplica</t>
  </si>
  <si>
    <t>44501B4Energia convencionalIluminação públicaIluminação pública – B4bNão se aplicaNão se aplicaNão se aplica</t>
  </si>
  <si>
    <t>44531B4Energia convencionalIluminação públicaIluminação pública – B4bNão se aplicaNão se aplicaNão se aplica</t>
  </si>
  <si>
    <t>44562B4Energia convencionalIluminação públicaIluminação pública – B4bNão se aplicaNão se aplicaNão se aplica</t>
  </si>
  <si>
    <t>44593B4Energia convencionalIluminação públicaIluminação pública – B4bNão se aplicaNão se aplicaNão se aplica</t>
  </si>
  <si>
    <t>44621B4Energia convencionalIluminação públicaIluminação pública – B4bNão se aplicaNão se aplicaNão se aplica</t>
  </si>
  <si>
    <t>44652B4Energia convencionalIluminação públicaIluminação pública – B4bNão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</si>
  <si>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</si>
  <si>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</si>
  <si>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</si>
  <si>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</si>
  <si>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</si>
  <si>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</si>
  <si>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</si>
  <si>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</si>
  <si>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</si>
  <si>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</si>
  <si>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</si>
  <si>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</si>
  <si>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</si>
  <si>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</si>
  <si>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</si>
  <si>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</si>
  <si>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</si>
  <si>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</si>
  <si>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</si>
  <si>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</si>
  <si>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</si>
  <si>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</si>
  <si>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</si>
  <si>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</si>
  <si>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</si>
  <si>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</si>
  <si>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</si>
  <si>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</si>
  <si>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</si>
  <si>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</si>
  <si>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</si>
  <si>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</si>
  <si>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</si>
  <si>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</si>
  <si>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</si>
  <si>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</si>
  <si>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</si>
  <si>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</si>
  <si>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</si>
  <si>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</si>
  <si>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</si>
  <si>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</si>
  <si>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</si>
  <si>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</si>
  <si>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</si>
  <si>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</si>
  <si>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</si>
  <si>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</si>
  <si>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</si>
  <si>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</si>
  <si>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</si>
  <si>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</si>
  <si>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</si>
  <si>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</si>
  <si>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</si>
  <si>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</si>
  <si>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</si>
  <si>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</si>
  <si>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</si>
  <si>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</si>
  <si>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</si>
  <si>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</si>
  <si>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</si>
  <si>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</si>
  <si>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</si>
  <si>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</si>
  <si>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</si>
  <si>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</si>
  <si>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</si>
  <si>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</si>
  <si>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</si>
  <si>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</si>
  <si>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</si>
  <si>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</si>
  <si>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</si>
  <si>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</si>
  <si>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</si>
  <si>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</si>
  <si>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</si>
  <si>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</si>
  <si>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</si>
  <si>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</si>
  <si>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</si>
  <si>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</si>
  <si>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</si>
  <si>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</si>
  <si>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</si>
  <si>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</si>
  <si>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</si>
  <si>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</si>
  <si>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</si>
  <si>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</si>
  <si>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</si>
  <si>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</si>
  <si>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</si>
  <si>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</si>
  <si>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</si>
  <si>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</si>
  <si>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</si>
  <si>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</si>
  <si>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2.871, DE 25 DE MAIO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</si>
  <si>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</si>
  <si>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</si>
  <si>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</si>
  <si>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</si>
  <si>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</si>
  <si>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</si>
  <si>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</si>
  <si>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</si>
  <si>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</si>
  <si>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</si>
  <si>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</si>
  <si>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</si>
  <si>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</si>
  <si>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</si>
  <si>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</si>
  <si>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</si>
  <si>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</si>
  <si>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</si>
  <si>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</si>
  <si>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</si>
  <si>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</si>
  <si>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</si>
  <si>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</si>
  <si>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</si>
  <si>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</si>
  <si>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</si>
  <si>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</si>
  <si>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</si>
  <si>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</si>
  <si>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</si>
  <si>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</si>
  <si>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</si>
  <si>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</si>
  <si>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</si>
  <si>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</si>
  <si>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</si>
  <si>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</si>
  <si>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</si>
  <si>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</si>
  <si>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</si>
  <si>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</si>
  <si>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</si>
  <si>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</si>
  <si>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</si>
  <si>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</si>
  <si>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</si>
  <si>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</si>
  <si>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</si>
  <si>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</si>
  <si>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</si>
  <si>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</si>
  <si>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</si>
  <si>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</si>
  <si>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</si>
  <si>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</si>
  <si>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</si>
  <si>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</si>
  <si>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</si>
  <si>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</si>
  <si>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</si>
  <si>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</si>
  <si>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</si>
  <si>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</si>
  <si>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</si>
  <si>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</si>
  <si>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</si>
  <si>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</si>
  <si>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</si>
  <si>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</si>
  <si>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</si>
  <si>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</si>
  <si>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</si>
  <si>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</si>
  <si>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</si>
  <si>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</si>
  <si>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</si>
  <si>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</si>
  <si>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</si>
  <si>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</si>
  <si>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</si>
  <si>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</si>
  <si>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</si>
  <si>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</si>
  <si>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</si>
  <si>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</si>
  <si>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</si>
  <si>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</si>
  <si>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</si>
  <si>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</si>
  <si>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</si>
  <si>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</si>
  <si>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RURAL</t>
  </si>
  <si>
    <t>SUBSIDIO IRRIGANTE/AQUICULTOR</t>
  </si>
  <si>
    <t>SUBSIDIO ÁGUA, ESGOTO E SANEAMENTO</t>
  </si>
  <si>
    <t>SUBSIDIO BAIXA RENDA</t>
  </si>
  <si>
    <t>R$ (TV)</t>
  </si>
  <si>
    <t>R$ (TN)</t>
  </si>
  <si>
    <t>SUBSIDIO GERAÇÃO FONTE INCENTIVADA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</si>
  <si>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</si>
  <si>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</si>
  <si>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</si>
  <si>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</si>
  <si>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</si>
  <si>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</si>
  <si>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</si>
  <si>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</si>
  <si>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</si>
  <si>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Convencional1RuralNão se aplicaRuralB2</t>
  </si>
  <si>
    <t>2021</t>
  </si>
  <si>
    <t>Azul1Serviço públicoÁgua, esgoto e saneamentoPlanilha CUSTOA4</t>
  </si>
  <si>
    <t>Planilha CUSTO</t>
  </si>
  <si>
    <t>Verde1Serviço públicoÁgua, esgoto e saneamentoPlanilha CUSTOA4</t>
  </si>
  <si>
    <t>Convencional1Serviço públicoÁgua, esgoto e saneamentoPlanilha CUSTOA4</t>
  </si>
  <si>
    <t>Convencional1Serviço públicoÁgua, esgoto e saneamentoPlanilha CUSTOB3</t>
  </si>
  <si>
    <t>Branca1Serviço públicoÁgua, esgoto e saneamentoPlanilha CUSTOB3</t>
  </si>
  <si>
    <t>Convencional1RuralCooperativa de eletrificação ruralPlanilha CUSTOB2</t>
  </si>
  <si>
    <t>Branca1RuralCooperativa de eletrificação ruralPlanilha CUSTOB2</t>
  </si>
  <si>
    <t>Azul1RuralNão se aplicaPlanilha CustoA4</t>
  </si>
  <si>
    <t>Planilha Custo</t>
  </si>
  <si>
    <t>Verde1RuralNão se aplicaPlanilha CustoA4</t>
  </si>
  <si>
    <t>Convencional1RuralNão se aplicaPlanilha CustoA4</t>
  </si>
  <si>
    <t>Convencional1RuralServiço público de irrigação ruralPlanilha CUSTOB2</t>
  </si>
  <si>
    <t>Branca1RuralServiço público de irrigação ruralPlanilha CUSTOB2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</si>
  <si>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</si>
  <si>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</si>
  <si>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</si>
  <si>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</si>
  <si>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</si>
  <si>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</si>
  <si>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</si>
  <si>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</si>
  <si>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</si>
  <si>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</si>
  <si>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</si>
  <si>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</si>
  <si>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</si>
  <si>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</si>
  <si>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</si>
  <si>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</si>
  <si>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</si>
  <si>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</si>
  <si>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</si>
  <si>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</si>
  <si>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</si>
  <si>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</si>
  <si>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</si>
  <si>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</si>
  <si>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</si>
  <si>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</si>
  <si>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</si>
  <si>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</si>
  <si>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</si>
  <si>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</si>
  <si>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</si>
  <si>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</si>
  <si>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</si>
  <si>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</si>
  <si>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</si>
  <si>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</si>
  <si>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</si>
  <si>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</si>
  <si>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</si>
  <si>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</si>
  <si>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</si>
  <si>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</si>
  <si>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</si>
  <si>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</si>
  <si>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</si>
  <si>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</si>
  <si>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</si>
  <si>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</si>
  <si>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</si>
  <si>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</si>
  <si>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</si>
  <si>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</si>
  <si>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</si>
  <si>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</si>
  <si>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</si>
  <si>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</si>
  <si>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</si>
  <si>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</si>
  <si>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</si>
  <si>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</si>
  <si>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</si>
  <si>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</si>
  <si>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</si>
  <si>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</si>
  <si>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</si>
  <si>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</si>
  <si>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</si>
  <si>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</si>
  <si>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GERAÇÃO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</si>
  <si>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</si>
  <si>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</si>
  <si>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</si>
  <si>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</si>
  <si>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</si>
  <si>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</si>
  <si>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</si>
  <si>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</si>
  <si>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</si>
  <si>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</si>
  <si>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</si>
  <si>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</si>
  <si>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</si>
  <si>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</si>
  <si>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</si>
  <si>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</si>
  <si>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</si>
  <si>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</si>
  <si>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</si>
  <si>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</si>
  <si>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</si>
  <si>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</si>
  <si>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</si>
  <si>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</si>
  <si>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</si>
  <si>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</si>
  <si>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</si>
  <si>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</si>
  <si>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</si>
  <si>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</si>
  <si>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</si>
  <si>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</si>
  <si>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</si>
  <si>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</si>
  <si>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</si>
  <si>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</si>
  <si>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</si>
  <si>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</si>
  <si>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</si>
  <si>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</si>
  <si>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</si>
  <si>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</si>
  <si>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</si>
  <si>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</si>
  <si>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</si>
  <si>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</si>
  <si>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</si>
  <si>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</si>
  <si>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</si>
  <si>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</si>
  <si>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</si>
  <si>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</si>
  <si>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</si>
  <si>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</si>
  <si>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</si>
  <si>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</si>
  <si>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</si>
  <si>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</si>
  <si>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</si>
  <si>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</si>
  <si>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</si>
  <si>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</si>
  <si>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</si>
  <si>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</si>
  <si>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</si>
  <si>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</si>
  <si>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</si>
  <si>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</si>
  <si>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</si>
  <si>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</si>
  <si>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</si>
  <si>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</si>
  <si>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</si>
  <si>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</si>
  <si>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</si>
  <si>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</si>
  <si>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</si>
  <si>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</si>
  <si>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</si>
  <si>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</si>
  <si>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</si>
  <si>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</si>
  <si>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</si>
  <si>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</si>
  <si>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</si>
  <si>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</si>
  <si>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</si>
  <si>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</si>
  <si>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</si>
  <si>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</si>
  <si>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</si>
  <si>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</si>
  <si>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</si>
  <si>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</si>
  <si>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</si>
  <si>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</si>
  <si>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</si>
  <si>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</si>
  <si>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</si>
  <si>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</si>
  <si>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</si>
  <si>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</si>
  <si>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</si>
  <si>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</si>
  <si>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</si>
  <si>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</si>
  <si>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</si>
  <si>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</si>
  <si>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</si>
  <si>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</si>
  <si>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</si>
  <si>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</si>
  <si>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</si>
  <si>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</si>
  <si>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</si>
  <si>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</si>
  <si>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</si>
  <si>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</si>
  <si>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</si>
  <si>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</si>
  <si>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</si>
  <si>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</si>
  <si>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</si>
  <si>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</si>
  <si>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</si>
  <si>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</si>
  <si>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</si>
  <si>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</si>
  <si>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</si>
  <si>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</si>
  <si>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</si>
  <si>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</si>
  <si>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</si>
  <si>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</si>
  <si>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</si>
  <si>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</si>
  <si>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</si>
  <si>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</si>
  <si>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</si>
  <si>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</si>
  <si>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</si>
  <si>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</si>
  <si>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</si>
  <si>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</si>
  <si>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</si>
  <si>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</si>
  <si>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</si>
  <si>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</si>
  <si>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</si>
  <si>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</si>
  <si>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</si>
  <si>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</si>
  <si>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</si>
  <si>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</si>
  <si>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</si>
  <si>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</si>
  <si>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</si>
  <si>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</si>
  <si>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</si>
  <si>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</si>
  <si>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</si>
  <si>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</si>
  <si>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</si>
  <si>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</si>
  <si>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</si>
  <si>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</si>
  <si>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</si>
  <si>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</si>
  <si>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</si>
  <si>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</si>
  <si>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</si>
  <si>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</si>
  <si>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</si>
  <si>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</si>
  <si>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</si>
  <si>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</si>
  <si>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</si>
  <si>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</si>
  <si>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</si>
  <si>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</si>
  <si>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</si>
  <si>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</si>
  <si>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</si>
  <si>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</si>
  <si>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</si>
  <si>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</si>
  <si>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</si>
  <si>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</si>
  <si>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</si>
  <si>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</si>
  <si>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</si>
  <si>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</si>
  <si>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</si>
  <si>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</si>
  <si>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</si>
  <si>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</si>
  <si>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</si>
  <si>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</si>
  <si>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</si>
  <si>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</si>
  <si>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</si>
  <si>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</si>
  <si>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</si>
  <si>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</si>
  <si>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</si>
  <si>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</si>
  <si>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</si>
  <si>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</si>
  <si>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</si>
  <si>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</si>
  <si>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</si>
  <si>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</si>
  <si>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</si>
  <si>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</si>
  <si>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</si>
  <si>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</si>
  <si>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</si>
  <si>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</si>
  <si>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</si>
  <si>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</si>
  <si>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</si>
  <si>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</si>
  <si>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</si>
  <si>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</si>
  <si>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</si>
  <si>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</si>
  <si>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</si>
  <si>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</si>
  <si>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</si>
  <si>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</si>
  <si>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</si>
  <si>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</si>
  <si>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</si>
  <si>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</si>
  <si>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</si>
  <si>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</si>
  <si>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</si>
  <si>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</si>
  <si>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</si>
  <si>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</si>
  <si>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</si>
  <si>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</si>
  <si>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</si>
  <si>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</si>
  <si>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</si>
  <si>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</si>
  <si>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</si>
  <si>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</si>
  <si>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</si>
  <si>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</si>
  <si>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</si>
  <si>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</si>
  <si>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</si>
  <si>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</si>
  <si>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</si>
  <si>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</si>
  <si>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</si>
  <si>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</si>
  <si>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</si>
  <si>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</si>
  <si>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</si>
  <si>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</si>
  <si>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</si>
  <si>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</si>
  <si>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</si>
  <si>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</si>
  <si>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</si>
  <si>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</si>
  <si>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</si>
  <si>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</si>
  <si>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</si>
  <si>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</si>
  <si>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</si>
  <si>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</si>
  <si>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</si>
  <si>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</si>
  <si>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</si>
  <si>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</si>
  <si>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</si>
  <si>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</si>
  <si>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</si>
  <si>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</si>
  <si>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</si>
  <si>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</si>
  <si>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</si>
  <si>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</si>
  <si>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</si>
  <si>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</si>
  <si>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</si>
  <si>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</si>
  <si>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</si>
  <si>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</si>
  <si>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</si>
  <si>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</si>
  <si>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</si>
  <si>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</si>
  <si>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</si>
  <si>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</si>
  <si>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</si>
  <si>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</si>
  <si>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</si>
  <si>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</si>
  <si>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</si>
  <si>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</si>
  <si>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</si>
  <si>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</si>
  <si>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</si>
  <si>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</si>
  <si>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</si>
  <si>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</si>
  <si>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</si>
  <si>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</si>
  <si>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</si>
  <si>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</si>
  <si>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</si>
  <si>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</si>
  <si>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</si>
  <si>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</si>
  <si>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</si>
  <si>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</si>
  <si>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(SUB)GRUPO</t>
  </si>
  <si>
    <t>TUSD (R$)</t>
  </si>
  <si>
    <t>TUSD (MWh)</t>
  </si>
  <si>
    <t>PNT (R$/MWh)</t>
  </si>
  <si>
    <t>VAR. AX01</t>
  </si>
  <si>
    <t>VAR. AX02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</si>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</sst>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_);[Red]\(#,##0.00%\)"/>
    <numFmt numFmtId="165" formatCode="#0.00%;[Red]#0.00%"/>
    <numFmt numFmtId="166" formatCode="0.00%_);[Red]\(0.00%\)"/>
    <numFmt numFmtId="167" formatCode="#,##0.00_ ;[Red]\-#,##0.00\ "/>
    <numFmt numFmtId="168" formatCode="#,##0.00;[Red]#,##0.00"/>
  </numFmts>
  <fonts count="1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4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164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 indent="1"/>
    </xf>
    <xf numFmtId="40" fontId="3" fillId="0" borderId="1" xfId="0" quotePrefix="1" applyNumberFormat="1" applyFont="1" applyBorder="1" applyAlignment="1">
      <alignment horizontal="left" vertical="center" indent="1"/>
    </xf>
    <xf numFmtId="0" fontId="3" fillId="0" borderId="1" xfId="0" applyFont="1" applyBorder="1"/>
    <xf numFmtId="40" fontId="3" fillId="0" borderId="1" xfId="0" applyNumberFormat="1" applyFont="1" applyBorder="1"/>
    <xf numFmtId="40" fontId="3" fillId="0" borderId="1" xfId="0" applyNumberFormat="1" applyFont="1" applyBorder="1" applyAlignment="1">
      <alignment horizontal="center" vertical="center"/>
    </xf>
    <xf numFmtId="40" fontId="3" fillId="0" borderId="8" xfId="0" applyNumberFormat="1" applyFont="1" applyBorder="1" applyAlignment="1">
      <alignment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4" fontId="3" fillId="0" borderId="0" xfId="0" applyNumberFormat="1" applyFont="1"/>
    <xf numFmtId="0" fontId="3" fillId="0" borderId="8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horizontal="left"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0" xfId="0" applyNumberFormat="1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/>
    </xf>
    <xf numFmtId="40" fontId="3" fillId="0" borderId="9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40" fontId="4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1" xfId="0" applyBorder="1"/>
    <xf numFmtId="0" fontId="0" fillId="0" borderId="14" xfId="0" applyBorder="1"/>
    <xf numFmtId="0" fontId="2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40" fontId="1" fillId="0" borderId="14" xfId="0" applyNumberFormat="1" applyFont="1" applyBorder="1" applyAlignment="1">
      <alignment horizontal="center" vertical="center"/>
    </xf>
    <xf numFmtId="165" fontId="1" fillId="0" borderId="14" xfId="0" applyNumberFormat="1" applyFont="1" applyBorder="1" applyAlignment="1">
      <alignment horizontal="center" vertical="center"/>
    </xf>
    <xf numFmtId="0" fontId="3" fillId="0" borderId="14" xfId="0" applyFont="1" applyBorder="1"/>
    <xf numFmtId="0" fontId="4" fillId="0" borderId="14" xfId="0" applyFont="1" applyBorder="1"/>
    <xf numFmtId="40" fontId="1" fillId="2" borderId="0" xfId="0" applyNumberFormat="1" applyFont="1" applyFill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14" fontId="2" fillId="0" borderId="14" xfId="0" applyNumberFormat="1" applyFont="1" applyBorder="1" applyAlignment="1">
      <alignment horizontal="center" vertical="center"/>
    </xf>
    <xf numFmtId="14" fontId="1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/>
    <xf numFmtId="40" fontId="2" fillId="0" borderId="14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horizontal="left"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167" fontId="3" fillId="0" borderId="0" xfId="0" applyNumberFormat="1" applyFont="1"/>
    <xf numFmtId="167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10" fontId="3" fillId="0" borderId="0" xfId="0" applyNumberFormat="1" applyFont="1"/>
    <xf numFmtId="2" fontId="8" fillId="3" borderId="15" xfId="0" applyNumberFormat="1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left" vertical="center" indent="1"/>
    </xf>
    <xf numFmtId="4" fontId="8" fillId="4" borderId="0" xfId="0" applyNumberFormat="1" applyFont="1" applyFill="1" applyAlignment="1">
      <alignment vertical="center"/>
    </xf>
    <xf numFmtId="0" fontId="8" fillId="4" borderId="0" xfId="0" applyFont="1" applyFill="1" applyAlignment="1">
      <alignment horizontal="left" vertical="center" indent="1"/>
    </xf>
    <xf numFmtId="10" fontId="8" fillId="3" borderId="0" xfId="0" applyNumberFormat="1" applyFont="1" applyFill="1" applyAlignment="1">
      <alignment vertical="center"/>
    </xf>
    <xf numFmtId="0" fontId="8" fillId="3" borderId="0" xfId="0" applyFont="1" applyFill="1" applyAlignment="1">
      <alignment horizontal="left" vertical="center" indent="1"/>
    </xf>
    <xf numFmtId="10" fontId="8" fillId="4" borderId="0" xfId="0" applyNumberFormat="1" applyFont="1" applyFill="1" applyAlignment="1">
      <alignment vertical="center"/>
    </xf>
    <xf numFmtId="0" fontId="9" fillId="5" borderId="16" xfId="0" applyFont="1" applyFill="1" applyBorder="1" applyAlignment="1">
      <alignment horizontal="center" vertical="center"/>
    </xf>
    <xf numFmtId="40" fontId="8" fillId="3" borderId="15" xfId="0" applyNumberFormat="1" applyFont="1" applyFill="1" applyBorder="1" applyAlignment="1">
      <alignment horizontal="center" vertical="center"/>
    </xf>
    <xf numFmtId="168" fontId="8" fillId="4" borderId="0" xfId="0" applyNumberFormat="1" applyFont="1" applyFill="1" applyAlignment="1">
      <alignment horizontal="center" vertical="center"/>
    </xf>
    <xf numFmtId="4" fontId="11" fillId="6" borderId="18" xfId="0" applyNumberFormat="1" applyFont="1" applyFill="1" applyBorder="1"/>
    <xf numFmtId="4" fontId="11" fillId="6" borderId="13" xfId="0" applyNumberFormat="1" applyFont="1" applyFill="1" applyBorder="1"/>
    <xf numFmtId="4" fontId="11" fillId="6" borderId="19" xfId="0" applyNumberFormat="1" applyFont="1" applyFill="1" applyBorder="1"/>
    <xf numFmtId="4" fontId="11" fillId="6" borderId="6" xfId="0" applyNumberFormat="1" applyFont="1" applyFill="1" applyBorder="1"/>
    <xf numFmtId="4" fontId="11" fillId="6" borderId="14" xfId="0" applyNumberFormat="1" applyFont="1" applyFill="1" applyBorder="1"/>
    <xf numFmtId="4" fontId="11" fillId="6" borderId="5" xfId="0" applyNumberFormat="1" applyFont="1" applyFill="1" applyBorder="1"/>
    <xf numFmtId="4" fontId="11" fillId="6" borderId="20" xfId="0" applyNumberFormat="1" applyFont="1" applyFill="1" applyBorder="1"/>
    <xf numFmtId="4" fontId="11" fillId="6" borderId="11" xfId="0" applyNumberFormat="1" applyFont="1" applyFill="1" applyBorder="1"/>
    <xf numFmtId="4" fontId="11" fillId="6" borderId="17" xfId="0" applyNumberFormat="1" applyFont="1" applyFill="1" applyBorder="1"/>
    <xf numFmtId="4" fontId="11" fillId="6" borderId="19" xfId="0" applyNumberFormat="1" applyFont="1" applyFill="1" applyBorder="1" applyAlignment="1">
      <alignment horizontal="center"/>
    </xf>
    <xf numFmtId="4" fontId="11" fillId="6" borderId="13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7" xfId="0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3" xfId="0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4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40" fontId="6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left" vertical="center"/>
    </xf>
    <xf numFmtId="0" fontId="3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" fontId="11" fillId="6" borderId="14" xfId="0" applyNumberFormat="1" applyFont="1" applyFill="1" applyBorder="1" applyAlignment="1">
      <alignment horizontal="center"/>
    </xf>
    <xf numFmtId="4" fontId="11" fillId="6" borderId="5" xfId="0" applyNumberFormat="1" applyFont="1" applyFill="1" applyBorder="1" applyAlignment="1">
      <alignment horizontal="center"/>
    </xf>
    <xf numFmtId="4" fontId="11" fillId="6" borderId="13" xfId="0" applyNumberFormat="1" applyFont="1" applyFill="1" applyBorder="1" applyAlignment="1">
      <alignment horizontal="center"/>
    </xf>
    <xf numFmtId="4" fontId="11" fillId="6" borderId="19" xfId="0" applyNumberFormat="1" applyFont="1" applyFill="1" applyBorder="1" applyAlignment="1">
      <alignment horizontal="center"/>
    </xf>
  </cellXfs>
  <cellStyles count="1">
    <cellStyle name="Normal" xfId="0" builtinId="0"/>
  </cellStyles>
  <dxfs count="1084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5.5686514544117541E-4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0.13989652114227441</c:v>
                </c:pt>
                <c:pt idx="6">
                  <c:v>2.5260120026748684E-2</c:v>
                </c:pt>
                <c:pt idx="7">
                  <c:v>0</c:v>
                </c:pt>
                <c:pt idx="8">
                  <c:v>-2.6361359900615382E-2</c:v>
                </c:pt>
                <c:pt idx="9">
                  <c:v>-4.2891528460777317E-2</c:v>
                </c:pt>
                <c:pt idx="10">
                  <c:v>0</c:v>
                </c:pt>
                <c:pt idx="11">
                  <c:v>0</c:v>
                </c:pt>
                <c:pt idx="12">
                  <c:v>-4.8018731439903754E-4</c:v>
                </c:pt>
                <c:pt idx="13">
                  <c:v>0</c:v>
                </c:pt>
                <c:pt idx="14">
                  <c:v>0</c:v>
                </c:pt>
                <c:pt idx="15">
                  <c:v>6.6262211819602568E-2</c:v>
                </c:pt>
                <c:pt idx="16">
                  <c:v>-5.5896250338602774E-3</c:v>
                </c:pt>
                <c:pt idx="17">
                  <c:v>0</c:v>
                </c:pt>
                <c:pt idx="18">
                  <c:v>1.2402914875689414E-2</c:v>
                </c:pt>
                <c:pt idx="19">
                  <c:v>4.183631013864067E-4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B-42DB-9E53-23564B0D2DDC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4.1335761211493138E-4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0.14461221609494462</c:v>
                </c:pt>
                <c:pt idx="6">
                  <c:v>2.9520008758236214E-2</c:v>
                </c:pt>
                <c:pt idx="7">
                  <c:v>0</c:v>
                </c:pt>
                <c:pt idx="8">
                  <c:v>-3.4579129430989203E-2</c:v>
                </c:pt>
                <c:pt idx="9">
                  <c:v>-5.5449427150539181E-2</c:v>
                </c:pt>
                <c:pt idx="10">
                  <c:v>0</c:v>
                </c:pt>
                <c:pt idx="11">
                  <c:v>0</c:v>
                </c:pt>
                <c:pt idx="12">
                  <c:v>-2.1436320013717503E-3</c:v>
                </c:pt>
                <c:pt idx="13">
                  <c:v>0</c:v>
                </c:pt>
                <c:pt idx="14">
                  <c:v>0</c:v>
                </c:pt>
                <c:pt idx="15">
                  <c:v>4.2170712739079082E-2</c:v>
                </c:pt>
                <c:pt idx="16">
                  <c:v>-5.2693437111591291E-3</c:v>
                </c:pt>
                <c:pt idx="17">
                  <c:v>0</c:v>
                </c:pt>
                <c:pt idx="18">
                  <c:v>8.5675544320655741E-3</c:v>
                </c:pt>
                <c:pt idx="19">
                  <c:v>3.0882390853130304E-4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B-42DB-9E53-23564B0D2DDC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4.1335761211493138E-4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0.14461221609494462</c:v>
                </c:pt>
                <c:pt idx="6">
                  <c:v>2.9520008758236214E-2</c:v>
                </c:pt>
                <c:pt idx="7">
                  <c:v>0</c:v>
                </c:pt>
                <c:pt idx="8">
                  <c:v>-3.4579129430989203E-2</c:v>
                </c:pt>
                <c:pt idx="9">
                  <c:v>-5.5449427150539181E-2</c:v>
                </c:pt>
                <c:pt idx="10">
                  <c:v>0</c:v>
                </c:pt>
                <c:pt idx="11">
                  <c:v>0</c:v>
                </c:pt>
                <c:pt idx="12">
                  <c:v>-2.1436320013717503E-3</c:v>
                </c:pt>
                <c:pt idx="13">
                  <c:v>0</c:v>
                </c:pt>
                <c:pt idx="14">
                  <c:v>0</c:v>
                </c:pt>
                <c:pt idx="15">
                  <c:v>4.2170712739079082E-2</c:v>
                </c:pt>
                <c:pt idx="16">
                  <c:v>-5.2693437111591291E-3</c:v>
                </c:pt>
                <c:pt idx="17">
                  <c:v>0</c:v>
                </c:pt>
                <c:pt idx="18">
                  <c:v>8.5675544320655741E-3</c:v>
                </c:pt>
                <c:pt idx="19">
                  <c:v>3.0882390853130304E-4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7B-42DB-9E53-23564B0D2DDC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7D7B-42DB-9E53-23564B0D2DDC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7D7B-42DB-9E53-23564B0D2DDC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7D7B-42DB-9E53-23564B0D2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53064"/>
        <c:axId val="719246176"/>
      </c:radarChart>
      <c:catAx>
        <c:axId val="7192530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19246176"/>
        <c:crosses val="autoZero"/>
        <c:auto val="1"/>
        <c:lblAlgn val="ctr"/>
        <c:lblOffset val="100"/>
        <c:noMultiLvlLbl val="0"/>
      </c:catAx>
      <c:valAx>
        <c:axId val="719246176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719253064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TE'!$B$13:$K$13</c:f>
              <c:numCache>
                <c:formatCode>#,##0.00%_);[Red]\(#,##0.00%\)</c:formatCode>
                <c:ptCount val="10"/>
                <c:pt idx="0">
                  <c:v>0</c:v>
                </c:pt>
                <c:pt idx="1">
                  <c:v>3.8701116191879659E-2</c:v>
                </c:pt>
                <c:pt idx="2">
                  <c:v>0</c:v>
                </c:pt>
                <c:pt idx="3">
                  <c:v>0</c:v>
                </c:pt>
                <c:pt idx="4">
                  <c:v>-0.22290644273775931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-7.3219996331826314E-3</c:v>
                </c:pt>
                <c:pt idx="9">
                  <c:v>5.7858611096311286E-3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A1-455A-BEAC-C06A503D8A91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TE'!$B$14:$K$14</c:f>
              <c:numCache>
                <c:formatCode>#,##0.00%_);[Red]\(#,##0.00%\)</c:formatCode>
                <c:ptCount val="10"/>
                <c:pt idx="0">
                  <c:v>0</c:v>
                </c:pt>
                <c:pt idx="1">
                  <c:v>3.7774389496753644E-2</c:v>
                </c:pt>
                <c:pt idx="2">
                  <c:v>0</c:v>
                </c:pt>
                <c:pt idx="3">
                  <c:v>0</c:v>
                </c:pt>
                <c:pt idx="4">
                  <c:v>-0.23610495217590222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-7.3219996331826244E-3</c:v>
                </c:pt>
                <c:pt idx="9">
                  <c:v>5.6847733956561005E-3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A1-455A-BEAC-C06A503D8A91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TE'!$B$15:$K$15</c:f>
              <c:numCache>
                <c:formatCode>#,##0.00%_);[Red]\(#,##0.00%\)</c:formatCode>
                <c:ptCount val="10"/>
                <c:pt idx="0">
                  <c:v>0</c:v>
                </c:pt>
                <c:pt idx="1">
                  <c:v>3.7774389496753644E-2</c:v>
                </c:pt>
                <c:pt idx="2">
                  <c:v>0</c:v>
                </c:pt>
                <c:pt idx="3">
                  <c:v>0</c:v>
                </c:pt>
                <c:pt idx="4">
                  <c:v>-0.23610495217590222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-7.3219996331826244E-3</c:v>
                </c:pt>
                <c:pt idx="9">
                  <c:v>5.6847733956561005E-3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A1-455A-BEAC-C06A503D8A91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6AA1-455A-BEAC-C06A503D8A91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6AA1-455A-BEAC-C06A503D8A91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6AA1-455A-BEAC-C06A503D8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925280"/>
        <c:axId val="724928560"/>
      </c:radarChart>
      <c:catAx>
        <c:axId val="7249252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24928560"/>
        <c:crosses val="autoZero"/>
        <c:auto val="1"/>
        <c:lblAlgn val="ctr"/>
        <c:lblOffset val="100"/>
        <c:noMultiLvlLbl val="0"/>
      </c:catAx>
      <c:valAx>
        <c:axId val="724928560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724925280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228601</xdr:colOff>
      <xdr:row>16</xdr:row>
      <xdr:rowOff>0</xdr:rowOff>
    </xdr:from>
    <xdr:to>
      <xdr:col>16</xdr:col>
      <xdr:colOff>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12719D-666A-4FB9-810A-F61C6CEE8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352426</xdr:colOff>
      <xdr:row>16</xdr:row>
      <xdr:rowOff>0</xdr:rowOff>
    </xdr:from>
    <xdr:to>
      <xdr:col>16</xdr:col>
      <xdr:colOff>28576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4F1FAB4-6AB3-453A-B49C-E543B983D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93.666576851851" createdVersion="5" refreshedVersion="7" minRefreshableVersion="3" recordCount="753" xr:uid="{213EAEAE-2886-4DED-9455-9AF84C52E048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4">
        <s v="Azul"/>
        <s v="Verde"/>
        <s v="Branca"/>
        <s v="Convencional"/>
      </sharedItems>
    </cacheField>
    <cacheField name="Classe" numFmtId="0">
      <sharedItems count="8">
        <s v="Comercial"/>
        <s v="Industrial"/>
        <s v="Residencial"/>
        <s v="Rural"/>
        <s v="Serviço público"/>
        <s v="Consumo próprio"/>
        <s v="Poder público"/>
        <s v="Iluminação pública"/>
      </sharedItems>
    </cacheField>
    <cacheField name="Subclasse" numFmtId="0">
      <sharedItems count="11">
        <s v="Não se aplica"/>
        <s v="Residencial"/>
        <s v="Agropecuária rural"/>
        <s v="Água, esgoto e saneamento"/>
        <s v="Residencial baixa renda – faixa 01"/>
        <s v="Residencial baixa renda – faixa 02"/>
        <s v="Residencial baixa renda – faixa 03"/>
        <s v="Residencial baixa renda – faixa 04"/>
        <s v="Aquicultura"/>
        <s v="Iluminação pública – B4a"/>
        <s v="Iluminação pública – B4b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Ponta"/>
        <s v="Não se aplica"/>
        <s v="Intermediário"/>
      </sharedItems>
    </cacheField>
    <cacheField name="AnoMes" numFmtId="14">
      <sharedItems containsSemiMixedTypes="0" containsNonDate="0" containsDate="1" containsString="0" minDate="2021-05-01T00:00:00" maxDate="2022-04-02T00:00:00" count="12"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</sharedItems>
    </cacheField>
    <cacheField name="D" numFmtId="40">
      <sharedItems containsSemiMixedTypes="0" containsString="0" containsNumber="1" containsInteger="1" minValue="0" maxValue="10370"/>
    </cacheField>
    <cacheField name="Daj" numFmtId="40">
      <sharedItems containsSemiMixedTypes="0" containsString="0" containsNumber="1" minValue="0" maxValue="8641.92"/>
    </cacheField>
    <cacheField name="TUSD_E" numFmtId="40">
      <sharedItems containsSemiMixedTypes="0" containsString="0" containsNumber="1" minValue="-99.962999999999994" maxValue="3725.3910000000001"/>
    </cacheField>
    <cacheField name="TUSD_Eaj" numFmtId="40">
      <sharedItems containsSemiMixedTypes="0" containsString="0" containsNumber="1" minValue="-99.962999999999994" maxValue="3725.3910000000001"/>
    </cacheField>
    <cacheField name="TE_E" numFmtId="40">
      <sharedItems containsSemiMixedTypes="0" containsString="0" containsNumber="1" minValue="-99.962999999999994" maxValue="3273.73"/>
    </cacheField>
    <cacheField name="TE_Eaj" numFmtId="40">
      <sharedItems containsSemiMixedTypes="0" containsString="0" containsNumber="1" minValue="-99.962999999999994" maxValue="3273.73"/>
    </cacheField>
    <cacheField name="UC" numFmtId="40">
      <sharedItems containsSemiMixedTypes="0" containsString="0" containsNumber="1" containsInteger="1" minValue="0" maxValue="11041"/>
    </cacheField>
    <cacheField name="OPÇÃO" numFmtId="0">
      <sharedItems count="2">
        <s v="CATIVO"/>
        <s v="LIVRE"/>
      </sharedItems>
    </cacheField>
    <cacheField name="CóD. AUX." numFmtId="0">
      <sharedItems containsSemiMixedTypes="0" containsString="0" containsNumber="1" containsInteger="1" minValue="0" maxValue="0"/>
    </cacheField>
    <cacheField name="CóD. AUX. TUSD R$/kW" numFmtId="40">
      <sharedItems containsSemiMixedTypes="0" containsString="0" containsNumber="1" containsInteger="1" minValue="0" maxValue="6"/>
    </cacheField>
    <cacheField name="CóD. AUX. TUSD R$/MWh" numFmtId="40">
      <sharedItems containsSemiMixedTypes="0" containsString="0" containsNumber="1" containsInteger="1" minValue="0" maxValue="47"/>
    </cacheField>
    <cacheField name="CóD. AUX. TE R$/MWh" numFmtId="40">
      <sharedItems containsSemiMixedTypes="0" containsString="0" containsNumber="1" containsInteger="1" minValue="0" maxValue="84"/>
    </cacheField>
    <cacheField name="TUSD (R$/kW)" numFmtId="40">
      <sharedItems containsSemiMixedTypes="0" containsString="0" containsNumber="1" minValue="0" maxValue="36.700000000000003"/>
    </cacheField>
    <cacheField name="TUSD (R$/MWh)" numFmtId="40">
      <sharedItems containsSemiMixedTypes="0" containsString="0" containsNumber="1" minValue="0" maxValue="948.15"/>
    </cacheField>
    <cacheField name="TE (R$/MWh)" numFmtId="40">
      <sharedItems containsSemiMixedTypes="0" containsString="0" containsNumber="1" minValue="0" maxValue="263.29000000000002"/>
    </cacheField>
    <cacheField name="TUSD (R$/kW) NOVA" numFmtId="40">
      <sharedItems containsString="0" containsBlank="1" containsNumber="1" minValue="16.680041929169654" maxValue="36.42728699912557"/>
    </cacheField>
    <cacheField name="TUSD (R$/MWh) NOVA" numFmtId="40">
      <sharedItems containsString="0" containsBlank="1" containsNumber="1" minValue="74.641108889990974" maxValue="976.42305228824534"/>
    </cacheField>
    <cacheField name="TE (R$/MWh) NOVA" numFmtId="40">
      <sharedItems containsString="0" containsBlank="1" containsNumber="1" minValue="73.725391594098298" maxValue="210.64397598313801"/>
    </cacheField>
    <cacheField name="RA0 ou RV - TUSD (kW)" numFmtId="40">
      <sharedItems containsSemiMixedTypes="0" containsString="0" containsNumber="1" minValue="0" maxValue="166961.89439999999"/>
    </cacheField>
    <cacheField name="RA0 ou RV - TUSD (MWh)" numFmtId="40">
      <sharedItems containsSemiMixedTypes="0" containsString="0" containsNumber="1" minValue="-67721.933609999993" maxValue="788477.87049999996"/>
    </cacheField>
    <cacheField name="RA0 ou RV - TE (MWh)" numFmtId="40">
      <sharedItems containsSemiMixedTypes="0" containsString="0" containsNumber="1" minValue="-26319.258270000002" maxValue="758523.24099999992"/>
    </cacheField>
    <cacheField name="RA1 ou RRD - TUSD (kW)" numFmtId="40">
      <sharedItems containsSemiMixedTypes="0" containsString="0" containsNumber="1" minValue="0" maxValue="144147.58794852981"/>
    </cacheField>
    <cacheField name="RA1 ou RRD - TUSD (MWh)" numFmtId="40">
      <sharedItems containsSemiMixedTypes="0" containsString="0" containsNumber="1" minValue="-72829.353854284171" maxValue="985062.3440639152"/>
    </cacheField>
    <cacheField name="RA1 ou RRD - TE (MWh)" numFmtId="40">
      <sharedItems containsSemiMixedTypes="0" containsString="0" containsNumber="1" minValue="-21056.603771202423" maxValue="648216.01328556158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93.666683449075" createdVersion="5" refreshedVersion="7" minRefreshableVersion="3" recordCount="367" xr:uid="{5DA9768D-A846-48B3-825E-9C0ADDD86210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3">
        <s v="Verde"/>
        <s v="Convencional"/>
        <s v="Branca"/>
      </sharedItems>
    </cacheField>
    <cacheField name="Classe" numFmtId="0">
      <sharedItems count="4">
        <s v="Industrial"/>
        <s v="Rural"/>
        <s v="Serviço público"/>
        <s v="Residencial"/>
      </sharedItems>
    </cacheField>
    <cacheField name="Subclasse" numFmtId="0">
      <sharedItems count="9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</sharedItems>
    </cacheField>
    <cacheField name="Detalhe" numFmtId="0">
      <sharedItems count="4">
        <s v="Fonte incentivada"/>
        <s v="IRRIG./AQUIC. PR"/>
        <s v="Não se aplica"/>
        <s v="IRRIG./AQUIC.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5-01T00:00:00" maxDate="2022-04-02T00:00:00" count="12"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</sharedItems>
    </cacheField>
    <cacheField name="D" numFmtId="40">
      <sharedItems containsSemiMixedTypes="0" containsString="0" containsNumber="1" containsInteger="1" minValue="0" maxValue="10370"/>
    </cacheField>
    <cacheField name="Daj" numFmtId="40">
      <sharedItems containsSemiMixedTypes="0" containsString="0" containsNumber="1" minValue="0" maxValue="8641.92"/>
    </cacheField>
    <cacheField name="TUSD_E" numFmtId="40">
      <sharedItems containsSemiMixedTypes="0" containsString="0" containsNumber="1" minValue="-26.428999999999998" maxValue="3725.3910000000001"/>
    </cacheField>
    <cacheField name="TUSD_Eaj" numFmtId="40">
      <sharedItems containsSemiMixedTypes="0" containsString="0" containsNumber="1" minValue="-26.428999999999998" maxValue="3725.3910000000001"/>
    </cacheField>
    <cacheField name="TE_E" numFmtId="40">
      <sharedItems containsSemiMixedTypes="0" containsString="0" containsNumber="1" minValue="-26.428999999999998" maxValue="3273.73"/>
    </cacheField>
    <cacheField name="TE_Eaj" numFmtId="40">
      <sharedItems containsSemiMixedTypes="0" containsString="0" containsNumber="1" minValue="-26.428999999999998" maxValue="3273.73"/>
    </cacheField>
    <cacheField name="UC" numFmtId="40">
      <sharedItems containsSemiMixedTypes="0" containsString="0" containsNumber="1" containsInteger="1" minValue="0" maxValue="10624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0"/>
    </cacheField>
    <cacheField name="CóD. AUX. TUSD R$/kW" numFmtId="0">
      <sharedItems containsSemiMixedTypes="0" containsString="0" containsNumber="1" containsInteger="1" minValue="0" maxValue="6"/>
    </cacheField>
    <cacheField name="CóD. AUX. TUSD R$/MWh" numFmtId="0">
      <sharedItems containsSemiMixedTypes="0" containsString="0" containsNumber="1" containsInteger="1" minValue="0" maxValue="44"/>
    </cacheField>
    <cacheField name="CóD. AUX. TE R$/MWh" numFmtId="0">
      <sharedItems containsSemiMixedTypes="0" containsString="0" containsNumber="1" containsInteger="1" minValue="0" maxValue="81"/>
    </cacheField>
    <cacheField name="TUSD (R$/kW)" numFmtId="40">
      <sharedItems containsSemiMixedTypes="0" containsString="0" containsNumber="1" minValue="0" maxValue="19.32"/>
    </cacheField>
    <cacheField name="TUSD (R$/MWh)" numFmtId="40">
      <sharedItems containsSemiMixedTypes="0" containsString="0" containsNumber="1" minValue="0" maxValue="948.15"/>
    </cacheField>
    <cacheField name="TE (R$/MWh)" numFmtId="40">
      <sharedItems containsSemiMixedTypes="0" containsString="0" containsNumber="1" minValue="0" maxValue="263.29000000000002"/>
    </cacheField>
    <cacheField name="TUSD (R$/kW) NOVA" numFmtId="40">
      <sharedItems containsString="0" containsBlank="1" containsNumber="1" minValue="16.680041929169654" maxValue="16.680041929169654"/>
    </cacheField>
    <cacheField name="TUSD (R$/MWh) NOVA" numFmtId="40">
      <sharedItems containsString="0" containsBlank="1" containsNumber="1" minValue="74.641108889990974" maxValue="976.42305228824534"/>
    </cacheField>
    <cacheField name="TE (R$/MWh) NOVA" numFmtId="40">
      <sharedItems containsString="0" containsBlank="1" containsNumber="1" minValue="73.725391594098298" maxValue="210.64397598313801"/>
    </cacheField>
    <cacheField name="SUBSIDIO kW - TV" numFmtId="40">
      <sharedItems containsSemiMixedTypes="0" containsString="0" containsNumber="1" minValue="0" maxValue="100174.2"/>
    </cacheField>
    <cacheField name="SUBSIDIO MWh - TV" numFmtId="40">
      <sharedItems containsSemiMixedTypes="0" containsString="0" containsNumber="1" minValue="-1702.8204700000001" maxValue="210926.42390000002"/>
    </cacheField>
    <cacheField name="SUBSIDIO kW - TN" numFmtId="40">
      <sharedItems containsSemiMixedTypes="0" containsString="0" containsNumber="1" minValue="0" maxValue="86486.017402744663"/>
    </cacheField>
    <cacheField name="SUBSIDIO MWh - TN" numFmtId="40">
      <sharedItems containsSemiMixedTypes="0" containsString="0" containsNumber="1" minValue="-841.63052165019087" maxValue="161666.58117081664"/>
    </cacheField>
    <cacheField name="TIPO" numFmtId="0">
      <sharedItems containsBlank="1" count="6">
        <s v="SUBSIDIO CARGA FONTE INCENTIVADA"/>
        <s v="SUBSIDIO IRRIGANTE/AQUICULTOR"/>
        <s v="SUBSIDIO RURAL"/>
        <s v="SUBSIDIO ÁGUA, ESGOTO E SANEAMENTO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3">
  <r>
    <s v="Regular"/>
    <x v="0"/>
    <x v="0"/>
    <x v="0"/>
    <x v="0"/>
    <x v="0"/>
    <x v="0"/>
    <x v="0"/>
    <x v="0"/>
    <n v="151"/>
    <n v="151"/>
    <n v="47.389000000000003"/>
    <n v="47.389000000000003"/>
    <n v="47.389000000000003"/>
    <n v="47.389000000000003"/>
    <n v="0"/>
    <x v="0"/>
    <n v="0"/>
    <n v="2"/>
    <n v="3"/>
    <n v="49"/>
    <n v="19.32"/>
    <n v="65.61"/>
    <n v="263.29000000000002"/>
    <n v="16.680041929169654"/>
    <n v="100.34646310857573"/>
    <n v="210.64397598313801"/>
    <n v="2917.32"/>
    <n v="3109.19229"/>
    <n v="12477.049810000002"/>
    <n v="2518.6863313046179"/>
    <n v="4755.3185402522959"/>
    <n v="9982.2073778649283"/>
  </r>
  <r>
    <s v="Regular"/>
    <x v="0"/>
    <x v="0"/>
    <x v="0"/>
    <x v="0"/>
    <x v="0"/>
    <x v="0"/>
    <x v="0"/>
    <x v="1"/>
    <n v="150"/>
    <n v="150"/>
    <n v="40.311999999999998"/>
    <n v="40.311999999999998"/>
    <n v="40.311999999999998"/>
    <n v="40.311999999999998"/>
    <n v="0"/>
    <x v="0"/>
    <n v="0"/>
    <n v="2"/>
    <n v="3"/>
    <n v="49"/>
    <n v="19.32"/>
    <n v="65.61"/>
    <n v="263.29000000000002"/>
    <n v="16.680041929169654"/>
    <n v="100.34646310857573"/>
    <n v="210.64397598313801"/>
    <n v="2898"/>
    <n v="2644.87032"/>
    <n v="10613.74648"/>
    <n v="2502.006289375448"/>
    <n v="4045.1666208329048"/>
    <n v="8491.4799598322588"/>
  </r>
  <r>
    <s v="Regular"/>
    <x v="0"/>
    <x v="0"/>
    <x v="0"/>
    <x v="0"/>
    <x v="0"/>
    <x v="0"/>
    <x v="0"/>
    <x v="2"/>
    <n v="150"/>
    <n v="150"/>
    <n v="44.837000000000003"/>
    <n v="44.837000000000003"/>
    <n v="44.837000000000003"/>
    <n v="44.837000000000003"/>
    <n v="0"/>
    <x v="0"/>
    <n v="0"/>
    <n v="2"/>
    <n v="3"/>
    <n v="49"/>
    <n v="19.32"/>
    <n v="65.61"/>
    <n v="263.29000000000002"/>
    <n v="16.680041929169654"/>
    <n v="100.34646310857573"/>
    <n v="210.64397598313801"/>
    <n v="2898"/>
    <n v="2941.7555700000003"/>
    <n v="11805.133730000001"/>
    <n v="2502.006289375448"/>
    <n v="4499.2343663992106"/>
    <n v="9444.6439511559602"/>
  </r>
  <r>
    <s v="Regular"/>
    <x v="0"/>
    <x v="0"/>
    <x v="0"/>
    <x v="0"/>
    <x v="0"/>
    <x v="0"/>
    <x v="0"/>
    <x v="3"/>
    <n v="150"/>
    <n v="150"/>
    <n v="45.648000000000003"/>
    <n v="45.648000000000003"/>
    <n v="45.648000000000003"/>
    <n v="45.648000000000003"/>
    <n v="0"/>
    <x v="0"/>
    <n v="0"/>
    <n v="2"/>
    <n v="3"/>
    <n v="49"/>
    <n v="19.32"/>
    <n v="65.61"/>
    <n v="263.29000000000002"/>
    <n v="16.680041929169654"/>
    <n v="100.34646310857573"/>
    <n v="210.64397598313801"/>
    <n v="2898"/>
    <n v="2994.9652800000003"/>
    <n v="12018.661920000002"/>
    <n v="2502.006289375448"/>
    <n v="4580.6153479802651"/>
    <n v="9615.4762156782836"/>
  </r>
  <r>
    <s v="Regular"/>
    <x v="0"/>
    <x v="0"/>
    <x v="0"/>
    <x v="0"/>
    <x v="0"/>
    <x v="0"/>
    <x v="0"/>
    <x v="4"/>
    <n v="155"/>
    <n v="155"/>
    <n v="54.555"/>
    <n v="54.555"/>
    <n v="54.555"/>
    <n v="54.555"/>
    <n v="0"/>
    <x v="0"/>
    <n v="0"/>
    <n v="2"/>
    <n v="3"/>
    <n v="49"/>
    <n v="19.32"/>
    <n v="65.61"/>
    <n v="263.29000000000002"/>
    <n v="16.680041929169654"/>
    <n v="100.34646310857573"/>
    <n v="210.64397598313801"/>
    <n v="2994.6"/>
    <n v="3579.3535499999998"/>
    <n v="14363.785950000001"/>
    <n v="2585.4064990212964"/>
    <n v="5474.4012948883492"/>
    <n v="11491.682109760093"/>
  </r>
  <r>
    <s v="Regular"/>
    <x v="0"/>
    <x v="0"/>
    <x v="0"/>
    <x v="0"/>
    <x v="0"/>
    <x v="0"/>
    <x v="0"/>
    <x v="5"/>
    <n v="152"/>
    <n v="152"/>
    <n v="50.075000000000003"/>
    <n v="50.075000000000003"/>
    <n v="50.075000000000003"/>
    <n v="50.075000000000003"/>
    <n v="0"/>
    <x v="0"/>
    <n v="0"/>
    <n v="2"/>
    <n v="3"/>
    <n v="49"/>
    <n v="19.32"/>
    <n v="65.61"/>
    <n v="263.29000000000002"/>
    <n v="16.680041929169654"/>
    <n v="100.34646310857573"/>
    <n v="210.64397598313801"/>
    <n v="2936.64"/>
    <n v="3285.4207500000002"/>
    <n v="13184.246750000002"/>
    <n v="2535.3663732337873"/>
    <n v="5024.8491401619303"/>
    <n v="10547.997097355636"/>
  </r>
  <r>
    <s v="Regular"/>
    <x v="0"/>
    <x v="0"/>
    <x v="0"/>
    <x v="0"/>
    <x v="0"/>
    <x v="0"/>
    <x v="0"/>
    <x v="6"/>
    <n v="172"/>
    <n v="172"/>
    <n v="37.701999999999998"/>
    <n v="37.701999999999998"/>
    <n v="37.701999999999998"/>
    <n v="37.701999999999998"/>
    <n v="0"/>
    <x v="0"/>
    <n v="0"/>
    <n v="2"/>
    <n v="3"/>
    <n v="49"/>
    <n v="19.32"/>
    <n v="65.61"/>
    <n v="263.29000000000002"/>
    <n v="16.680041929169654"/>
    <n v="100.34646310857573"/>
    <n v="210.64397598313801"/>
    <n v="3323.04"/>
    <n v="2473.6282200000001"/>
    <n v="9926.559580000001"/>
    <n v="2868.9672118171807"/>
    <n v="3783.2623521195219"/>
    <n v="7941.6991825162686"/>
  </r>
  <r>
    <s v="Regular"/>
    <x v="0"/>
    <x v="0"/>
    <x v="0"/>
    <x v="0"/>
    <x v="0"/>
    <x v="0"/>
    <x v="0"/>
    <x v="7"/>
    <n v="183"/>
    <n v="183"/>
    <n v="49.563000000000002"/>
    <n v="49.563000000000002"/>
    <n v="49.563000000000002"/>
    <n v="49.563000000000002"/>
    <n v="0"/>
    <x v="0"/>
    <n v="0"/>
    <n v="2"/>
    <n v="3"/>
    <n v="49"/>
    <n v="19.32"/>
    <n v="65.61"/>
    <n v="263.29000000000002"/>
    <n v="16.680041929169654"/>
    <n v="100.34646310857573"/>
    <n v="210.64397598313801"/>
    <n v="3535.56"/>
    <n v="3251.82843"/>
    <n v="13049.442270000001"/>
    <n v="3052.4476730380466"/>
    <n v="4973.4717510503397"/>
    <n v="10440.14738165227"/>
  </r>
  <r>
    <s v="Regular"/>
    <x v="0"/>
    <x v="0"/>
    <x v="0"/>
    <x v="0"/>
    <x v="0"/>
    <x v="0"/>
    <x v="0"/>
    <x v="8"/>
    <n v="179"/>
    <n v="179"/>
    <n v="51.268000000000001"/>
    <n v="51.268000000000001"/>
    <n v="51.268000000000001"/>
    <n v="51.268000000000001"/>
    <n v="0"/>
    <x v="0"/>
    <n v="0"/>
    <n v="2"/>
    <n v="3"/>
    <n v="49"/>
    <n v="19.32"/>
    <n v="65.61"/>
    <n v="263.29000000000002"/>
    <n v="16.680041929169654"/>
    <n v="100.34646310857573"/>
    <n v="210.64397598313801"/>
    <n v="3458.28"/>
    <n v="3363.6934799999999"/>
    <n v="13498.351720000001"/>
    <n v="2985.727505321368"/>
    <n v="5144.5624706504605"/>
    <n v="10799.29536070352"/>
  </r>
  <r>
    <s v="Regular"/>
    <x v="0"/>
    <x v="0"/>
    <x v="0"/>
    <x v="0"/>
    <x v="0"/>
    <x v="0"/>
    <x v="0"/>
    <x v="9"/>
    <n v="190"/>
    <n v="190"/>
    <n v="47.212000000000003"/>
    <n v="47.212000000000003"/>
    <n v="47.212000000000003"/>
    <n v="47.212000000000003"/>
    <n v="0"/>
    <x v="0"/>
    <n v="0"/>
    <n v="2"/>
    <n v="3"/>
    <n v="49"/>
    <n v="19.32"/>
    <n v="65.61"/>
    <n v="263.29000000000002"/>
    <n v="16.680041929169654"/>
    <n v="100.34646310857573"/>
    <n v="210.64397598313801"/>
    <n v="3670.8"/>
    <n v="3097.5793200000003"/>
    <n v="12430.447480000003"/>
    <n v="3169.2079665422343"/>
    <n v="4737.5572162820781"/>
    <n v="9944.9233941159127"/>
  </r>
  <r>
    <s v="Regular"/>
    <x v="0"/>
    <x v="0"/>
    <x v="0"/>
    <x v="0"/>
    <x v="0"/>
    <x v="0"/>
    <x v="0"/>
    <x v="10"/>
    <n v="203"/>
    <n v="203"/>
    <n v="57.959000000000003"/>
    <n v="57.959000000000003"/>
    <n v="57.959000000000003"/>
    <n v="57.959000000000003"/>
    <n v="0"/>
    <x v="0"/>
    <n v="0"/>
    <n v="2"/>
    <n v="3"/>
    <n v="49"/>
    <n v="19.32"/>
    <n v="65.61"/>
    <n v="263.29000000000002"/>
    <n v="16.680041929169654"/>
    <n v="100.34646310857573"/>
    <n v="210.64397598313801"/>
    <n v="3921.96"/>
    <n v="3802.6899900000003"/>
    <n v="15260.025110000002"/>
    <n v="3386.04851162144"/>
    <n v="5815.9806553099415"/>
    <n v="12208.714204006696"/>
  </r>
  <r>
    <s v="Regular"/>
    <x v="0"/>
    <x v="0"/>
    <x v="0"/>
    <x v="0"/>
    <x v="0"/>
    <x v="0"/>
    <x v="0"/>
    <x v="11"/>
    <n v="194"/>
    <n v="194"/>
    <n v="51.365000000000002"/>
    <n v="51.365000000000002"/>
    <n v="51.365000000000002"/>
    <n v="51.365000000000002"/>
    <n v="0"/>
    <x v="0"/>
    <n v="0"/>
    <n v="2"/>
    <n v="3"/>
    <n v="49"/>
    <n v="19.32"/>
    <n v="65.61"/>
    <n v="263.29000000000002"/>
    <n v="16.680041929169654"/>
    <n v="100.34646310857573"/>
    <n v="210.64397598313801"/>
    <n v="3748.08"/>
    <n v="3370.0576500000002"/>
    <n v="13523.890850000002"/>
    <n v="3235.9281342589129"/>
    <n v="5154.296077571993"/>
    <n v="10819.727826373884"/>
  </r>
  <r>
    <s v="Regular"/>
    <x v="0"/>
    <x v="0"/>
    <x v="0"/>
    <x v="0"/>
    <x v="0"/>
    <x v="0"/>
    <x v="1"/>
    <x v="0"/>
    <n v="125"/>
    <n v="125"/>
    <n v="3.6440000000000001"/>
    <n v="3.6440000000000001"/>
    <n v="3.6440000000000001"/>
    <n v="3.6440000000000001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4587.5"/>
    <n v="239.08284"/>
    <n v="959.42876000000012"/>
    <n v="4553.4108748906965"/>
    <n v="365.66251156764997"/>
    <n v="767.58664848255489"/>
  </r>
  <r>
    <s v="Regular"/>
    <x v="0"/>
    <x v="0"/>
    <x v="0"/>
    <x v="0"/>
    <x v="0"/>
    <x v="0"/>
    <x v="1"/>
    <x v="1"/>
    <n v="125"/>
    <n v="125"/>
    <n v="2.9910000000000001"/>
    <n v="2.9910000000000001"/>
    <n v="2.9910000000000001"/>
    <n v="2.9910000000000001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4587.5"/>
    <n v="196.23951"/>
    <n v="787.50039000000004"/>
    <n v="4553.4108748906965"/>
    <n v="300.13627115775"/>
    <n v="630.03613216556585"/>
  </r>
  <r>
    <s v="Regular"/>
    <x v="0"/>
    <x v="0"/>
    <x v="0"/>
    <x v="0"/>
    <x v="0"/>
    <x v="0"/>
    <x v="1"/>
    <x v="2"/>
    <n v="125"/>
    <n v="125"/>
    <n v="3.6930000000000001"/>
    <n v="3.6930000000000001"/>
    <n v="3.6930000000000001"/>
    <n v="3.6930000000000001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4587.5"/>
    <n v="242.29773"/>
    <n v="972.32997000000012"/>
    <n v="4553.4108748906965"/>
    <n v="370.57948825997016"/>
    <n v="777.90820330572865"/>
  </r>
  <r>
    <s v="Regular"/>
    <x v="0"/>
    <x v="0"/>
    <x v="0"/>
    <x v="0"/>
    <x v="0"/>
    <x v="0"/>
    <x v="1"/>
    <x v="3"/>
    <n v="125"/>
    <n v="125"/>
    <n v="3.96"/>
    <n v="3.96"/>
    <n v="3.96"/>
    <n v="3.96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4587.5"/>
    <n v="259.81560000000002"/>
    <n v="1042.6284000000001"/>
    <n v="4553.4108748906965"/>
    <n v="397.37199390995988"/>
    <n v="834.15014489322652"/>
  </r>
  <r>
    <s v="Regular"/>
    <x v="0"/>
    <x v="0"/>
    <x v="0"/>
    <x v="0"/>
    <x v="0"/>
    <x v="0"/>
    <x v="1"/>
    <x v="4"/>
    <n v="133"/>
    <n v="133"/>
    <n v="5.1580000000000004"/>
    <n v="5.1580000000000004"/>
    <n v="5.1580000000000004"/>
    <n v="5.1580000000000004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4881.1000000000004"/>
    <n v="338.41638"/>
    <n v="1358.0498200000002"/>
    <n v="4844.8291708837005"/>
    <n v="517.58705671403368"/>
    <n v="1086.501628121026"/>
  </r>
  <r>
    <s v="Regular"/>
    <x v="0"/>
    <x v="0"/>
    <x v="0"/>
    <x v="0"/>
    <x v="0"/>
    <x v="0"/>
    <x v="1"/>
    <x v="5"/>
    <n v="125"/>
    <n v="125"/>
    <n v="4.0940000000000003"/>
    <n v="4.0940000000000003"/>
    <n v="4.0940000000000003"/>
    <n v="4.0940000000000003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4587.5"/>
    <n v="268.60734000000002"/>
    <n v="1077.9092600000001"/>
    <n v="4553.4108748906965"/>
    <n v="410.81841996650905"/>
    <n v="862.37643767496706"/>
  </r>
  <r>
    <s v="Regular"/>
    <x v="0"/>
    <x v="0"/>
    <x v="0"/>
    <x v="0"/>
    <x v="0"/>
    <x v="0"/>
    <x v="1"/>
    <x v="6"/>
    <n v="125"/>
    <n v="125"/>
    <n v="2.831"/>
    <n v="2.831"/>
    <n v="2.831"/>
    <n v="2.831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4587.5"/>
    <n v="185.74190999999999"/>
    <n v="745.37399000000005"/>
    <n v="4553.4108748906965"/>
    <n v="284.08083706037792"/>
    <n v="596.33309600826374"/>
  </r>
  <r>
    <s v="Regular"/>
    <x v="0"/>
    <x v="0"/>
    <x v="0"/>
    <x v="0"/>
    <x v="0"/>
    <x v="0"/>
    <x v="1"/>
    <x v="7"/>
    <n v="125"/>
    <n v="125"/>
    <n v="4.3440000000000003"/>
    <n v="4.3440000000000003"/>
    <n v="4.3440000000000003"/>
    <n v="4.3440000000000003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4587.5"/>
    <n v="285.00984"/>
    <n v="1143.7317600000001"/>
    <n v="4553.4108748906965"/>
    <n v="435.905035743653"/>
    <n v="915.03743167075152"/>
  </r>
  <r>
    <s v="Regular"/>
    <x v="0"/>
    <x v="0"/>
    <x v="0"/>
    <x v="0"/>
    <x v="0"/>
    <x v="0"/>
    <x v="1"/>
    <x v="8"/>
    <n v="125"/>
    <n v="125"/>
    <n v="4.3520000000000003"/>
    <n v="4.3520000000000003"/>
    <n v="4.3520000000000003"/>
    <n v="4.3520000000000003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4587.5"/>
    <n v="285.53471999999999"/>
    <n v="1145.8380800000002"/>
    <n v="4553.4108748906965"/>
    <n v="436.70780744852163"/>
    <n v="916.72258347861668"/>
  </r>
  <r>
    <s v="Regular"/>
    <x v="0"/>
    <x v="0"/>
    <x v="0"/>
    <x v="0"/>
    <x v="0"/>
    <x v="0"/>
    <x v="1"/>
    <x v="9"/>
    <n v="125"/>
    <n v="125"/>
    <n v="4.077"/>
    <n v="4.077"/>
    <n v="4.077"/>
    <n v="4.077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4587.5"/>
    <n v="267.49196999999998"/>
    <n v="1073.4333300000001"/>
    <n v="4553.4108748906965"/>
    <n v="409.11253009366328"/>
    <n v="858.79549008325364"/>
  </r>
  <r>
    <s v="Regular"/>
    <x v="0"/>
    <x v="0"/>
    <x v="0"/>
    <x v="0"/>
    <x v="0"/>
    <x v="0"/>
    <x v="1"/>
    <x v="10"/>
    <n v="125"/>
    <n v="125"/>
    <n v="4.8049999999999997"/>
    <n v="4.8049999999999997"/>
    <n v="4.8049999999999997"/>
    <n v="4.8049999999999997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4587.5"/>
    <n v="315.25604999999996"/>
    <n v="1265.1084499999999"/>
    <n v="4553.4108748906965"/>
    <n v="482.16475523670636"/>
    <n v="1012.144304598978"/>
  </r>
  <r>
    <s v="Regular"/>
    <x v="0"/>
    <x v="0"/>
    <x v="0"/>
    <x v="0"/>
    <x v="0"/>
    <x v="0"/>
    <x v="1"/>
    <x v="11"/>
    <n v="125"/>
    <n v="125"/>
    <n v="3.83"/>
    <n v="3.83"/>
    <n v="3.83"/>
    <n v="3.83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4587.5"/>
    <n v="251.28630000000001"/>
    <n v="1008.4007000000001"/>
    <n v="4553.4108748906965"/>
    <n v="384.32695370584509"/>
    <n v="806.76642801541857"/>
  </r>
  <r>
    <s v="Regular"/>
    <x v="0"/>
    <x v="0"/>
    <x v="1"/>
    <x v="0"/>
    <x v="0"/>
    <x v="0"/>
    <x v="0"/>
    <x v="0"/>
    <n v="213"/>
    <n v="213"/>
    <n v="17.472000000000001"/>
    <n v="17.472000000000001"/>
    <n v="17.472000000000001"/>
    <n v="17.472000000000001"/>
    <n v="0"/>
    <x v="0"/>
    <n v="0"/>
    <n v="2"/>
    <n v="3"/>
    <n v="49"/>
    <n v="19.32"/>
    <n v="65.61"/>
    <n v="263.29000000000002"/>
    <n v="16.680041929169654"/>
    <n v="100.34646310857573"/>
    <n v="210.64397598313801"/>
    <n v="4115.16"/>
    <n v="1146.3379200000002"/>
    <n v="4600.2028800000007"/>
    <n v="3552.8489309131364"/>
    <n v="1753.2534034330354"/>
    <n v="3680.3715483773876"/>
  </r>
  <r>
    <s v="Regular"/>
    <x v="0"/>
    <x v="0"/>
    <x v="1"/>
    <x v="0"/>
    <x v="0"/>
    <x v="0"/>
    <x v="0"/>
    <x v="1"/>
    <n v="213"/>
    <n v="213"/>
    <n v="11.420999999999999"/>
    <n v="11.420999999999999"/>
    <n v="11.420999999999999"/>
    <n v="11.420999999999999"/>
    <n v="0"/>
    <x v="0"/>
    <n v="0"/>
    <n v="2"/>
    <n v="3"/>
    <n v="49"/>
    <n v="19.32"/>
    <n v="65.61"/>
    <n v="263.29000000000002"/>
    <n v="16.680041929169654"/>
    <n v="100.34646310857573"/>
    <n v="210.64397598313801"/>
    <n v="4115.16"/>
    <n v="749.3318099999999"/>
    <n v="3007.0350899999999"/>
    <n v="3552.8489309131364"/>
    <n v="1146.0569551630433"/>
    <n v="2405.7648497034193"/>
  </r>
  <r>
    <s v="Regular"/>
    <x v="0"/>
    <x v="0"/>
    <x v="1"/>
    <x v="0"/>
    <x v="0"/>
    <x v="0"/>
    <x v="0"/>
    <x v="2"/>
    <n v="213"/>
    <n v="213"/>
    <n v="13.015000000000001"/>
    <n v="13.015000000000001"/>
    <n v="13.015000000000001"/>
    <n v="13.015000000000001"/>
    <n v="0"/>
    <x v="0"/>
    <n v="0"/>
    <n v="2"/>
    <n v="3"/>
    <n v="49"/>
    <n v="19.32"/>
    <n v="65.61"/>
    <n v="263.29000000000002"/>
    <n v="16.680041929169654"/>
    <n v="100.34646310857573"/>
    <n v="210.64397598313801"/>
    <n v="4115.16"/>
    <n v="853.91415000000006"/>
    <n v="3426.7193500000003"/>
    <n v="3552.8489309131364"/>
    <n v="1306.0092173581131"/>
    <n v="2741.5313474205414"/>
  </r>
  <r>
    <s v="Regular"/>
    <x v="0"/>
    <x v="0"/>
    <x v="1"/>
    <x v="0"/>
    <x v="0"/>
    <x v="0"/>
    <x v="1"/>
    <x v="0"/>
    <n v="213"/>
    <n v="213"/>
    <n v="1.349"/>
    <n v="1.349"/>
    <n v="1.349"/>
    <n v="1.349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7817.1"/>
    <n v="88.507890000000003"/>
    <n v="355.17821000000004"/>
    <n v="7759.0121308137468"/>
    <n v="135.36737873346866"/>
    <n v="284.15872360125314"/>
  </r>
  <r>
    <s v="Regular"/>
    <x v="0"/>
    <x v="0"/>
    <x v="1"/>
    <x v="0"/>
    <x v="0"/>
    <x v="0"/>
    <x v="1"/>
    <x v="1"/>
    <n v="213"/>
    <n v="213"/>
    <n v="0.16300000000000001"/>
    <n v="0.16300000000000001"/>
    <n v="0.16300000000000001"/>
    <n v="0.16300000000000001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7817.1"/>
    <n v="10.694430000000001"/>
    <n v="42.916270000000004"/>
    <n v="7759.0121308137468"/>
    <n v="16.356473486697844"/>
    <n v="34.334968085251496"/>
  </r>
  <r>
    <s v="Regular"/>
    <x v="0"/>
    <x v="0"/>
    <x v="1"/>
    <x v="0"/>
    <x v="0"/>
    <x v="0"/>
    <x v="1"/>
    <x v="2"/>
    <n v="213"/>
    <n v="213"/>
    <n v="0.55100000000000005"/>
    <n v="0.55100000000000005"/>
    <n v="0.55100000000000005"/>
    <n v="0.55100000000000005"/>
    <n v="0"/>
    <x v="0"/>
    <n v="0"/>
    <n v="1"/>
    <n v="3"/>
    <n v="48"/>
    <n v="36.700000000000003"/>
    <n v="65.61"/>
    <n v="263.29000000000002"/>
    <n v="36.42728699912557"/>
    <n v="100.34646310857573"/>
    <n v="210.64397598313801"/>
    <n v="7817.1"/>
    <n v="36.151110000000003"/>
    <n v="145.07279000000003"/>
    <n v="7759.0121308137468"/>
    <n v="55.290901172825237"/>
    <n v="116.06483076670905"/>
  </r>
  <r>
    <s v="Regular"/>
    <x v="0"/>
    <x v="1"/>
    <x v="0"/>
    <x v="0"/>
    <x v="0"/>
    <x v="0"/>
    <x v="0"/>
    <x v="0"/>
    <n v="0"/>
    <n v="0"/>
    <n v="748.98500000000001"/>
    <n v="748.98500000000001"/>
    <n v="748.98500000000001"/>
    <n v="748.98500000000001"/>
    <n v="0"/>
    <x v="0"/>
    <n v="0"/>
    <n v="0"/>
    <n v="8"/>
    <n v="49"/>
    <n v="0"/>
    <n v="65.61"/>
    <n v="263.29000000000002"/>
    <m/>
    <n v="100.34646310857573"/>
    <n v="210.64397598313801"/>
    <n v="0"/>
    <n v="49140.905850000003"/>
    <n v="197200.26065000001"/>
    <n v="0"/>
    <n v="75157.995671376601"/>
    <n v="157769.17835173063"/>
  </r>
  <r>
    <s v="Regular"/>
    <x v="0"/>
    <x v="1"/>
    <x v="0"/>
    <x v="0"/>
    <x v="0"/>
    <x v="0"/>
    <x v="0"/>
    <x v="1"/>
    <n v="0"/>
    <n v="0"/>
    <n v="745.10400000000004"/>
    <n v="745.10400000000004"/>
    <n v="745.10400000000004"/>
    <n v="745.10400000000004"/>
    <n v="0"/>
    <x v="0"/>
    <n v="0"/>
    <n v="0"/>
    <n v="8"/>
    <n v="49"/>
    <n v="0"/>
    <n v="65.61"/>
    <n v="263.29000000000002"/>
    <m/>
    <n v="100.34646310857573"/>
    <n v="210.64397598313801"/>
    <n v="0"/>
    <n v="48886.273440000004"/>
    <n v="196178.43216000003"/>
    <n v="0"/>
    <n v="74768.551048052221"/>
    <n v="156951.66908094008"/>
  </r>
  <r>
    <s v="Regular"/>
    <x v="0"/>
    <x v="1"/>
    <x v="0"/>
    <x v="0"/>
    <x v="0"/>
    <x v="0"/>
    <x v="0"/>
    <x v="2"/>
    <n v="0"/>
    <n v="0"/>
    <n v="773.82600000000002"/>
    <n v="773.82600000000002"/>
    <n v="773.82600000000002"/>
    <n v="773.82600000000002"/>
    <n v="0"/>
    <x v="0"/>
    <n v="0"/>
    <n v="0"/>
    <n v="8"/>
    <n v="49"/>
    <n v="0"/>
    <n v="65.61"/>
    <n v="263.29000000000002"/>
    <m/>
    <n v="100.34646310857573"/>
    <n v="210.64397598313801"/>
    <n v="0"/>
    <n v="50770.723859999998"/>
    <n v="203740.64754000003"/>
    <n v="0"/>
    <n v="77650.702161456735"/>
    <n v="163001.78535912777"/>
  </r>
  <r>
    <s v="Regular"/>
    <x v="0"/>
    <x v="1"/>
    <x v="0"/>
    <x v="0"/>
    <x v="0"/>
    <x v="0"/>
    <x v="0"/>
    <x v="3"/>
    <n v="0"/>
    <n v="0"/>
    <n v="772.96600000000001"/>
    <n v="772.96600000000001"/>
    <n v="772.96600000000001"/>
    <n v="772.96600000000001"/>
    <n v="0"/>
    <x v="0"/>
    <n v="0"/>
    <n v="0"/>
    <n v="8"/>
    <n v="49"/>
    <n v="0"/>
    <n v="65.61"/>
    <n v="263.29000000000002"/>
    <m/>
    <n v="100.34646310857573"/>
    <n v="210.64397598313801"/>
    <n v="0"/>
    <n v="50714.29926"/>
    <n v="203514.21814000001"/>
    <n v="0"/>
    <n v="77564.404203183352"/>
    <n v="162820.63153978225"/>
  </r>
  <r>
    <s v="Regular"/>
    <x v="0"/>
    <x v="1"/>
    <x v="0"/>
    <x v="0"/>
    <x v="0"/>
    <x v="0"/>
    <x v="0"/>
    <x v="4"/>
    <n v="0"/>
    <n v="0"/>
    <n v="776.51599999999996"/>
    <n v="776.51599999999996"/>
    <n v="776.51599999999996"/>
    <n v="776.51599999999996"/>
    <n v="0"/>
    <x v="0"/>
    <n v="0"/>
    <n v="0"/>
    <n v="8"/>
    <n v="49"/>
    <n v="0"/>
    <n v="65.61"/>
    <n v="263.29000000000002"/>
    <m/>
    <n v="100.34646310857573"/>
    <n v="210.64397598313801"/>
    <n v="0"/>
    <n v="50947.214759999995"/>
    <n v="204448.89764000001"/>
    <n v="0"/>
    <n v="77920.634147218792"/>
    <n v="163568.41765452237"/>
  </r>
  <r>
    <s v="Regular"/>
    <x v="0"/>
    <x v="1"/>
    <x v="0"/>
    <x v="0"/>
    <x v="0"/>
    <x v="0"/>
    <x v="0"/>
    <x v="5"/>
    <n v="0"/>
    <n v="0"/>
    <n v="776.18"/>
    <n v="776.18"/>
    <n v="776.18"/>
    <n v="776.18"/>
    <n v="0"/>
    <x v="0"/>
    <n v="0"/>
    <n v="0"/>
    <n v="8"/>
    <n v="49"/>
    <n v="0"/>
    <n v="65.61"/>
    <n v="263.29000000000002"/>
    <m/>
    <n v="100.34646310857573"/>
    <n v="210.64397598313801"/>
    <n v="0"/>
    <n v="50925.169799999996"/>
    <n v="204360.43220000001"/>
    <n v="0"/>
    <n v="77886.917735614305"/>
    <n v="163497.64127859205"/>
  </r>
  <r>
    <s v="Regular"/>
    <x v="0"/>
    <x v="1"/>
    <x v="0"/>
    <x v="0"/>
    <x v="0"/>
    <x v="0"/>
    <x v="0"/>
    <x v="6"/>
    <n v="0"/>
    <n v="0"/>
    <n v="772.68700000000001"/>
    <n v="772.68700000000001"/>
    <n v="772.68700000000001"/>
    <n v="772.68700000000001"/>
    <n v="0"/>
    <x v="0"/>
    <n v="0"/>
    <n v="0"/>
    <n v="8"/>
    <n v="49"/>
    <n v="0"/>
    <n v="65.61"/>
    <n v="263.29000000000002"/>
    <m/>
    <n v="100.34646310857573"/>
    <n v="210.64397598313801"/>
    <n v="0"/>
    <n v="50695.994070000001"/>
    <n v="203440.76023000001"/>
    <n v="0"/>
    <n v="77536.407539976062"/>
    <n v="162761.86187048297"/>
  </r>
  <r>
    <s v="Regular"/>
    <x v="0"/>
    <x v="1"/>
    <x v="0"/>
    <x v="0"/>
    <x v="0"/>
    <x v="0"/>
    <x v="0"/>
    <x v="7"/>
    <n v="0"/>
    <n v="0"/>
    <n v="776.61699999999996"/>
    <n v="776.61699999999996"/>
    <n v="776.61699999999996"/>
    <n v="776.61699999999996"/>
    <n v="0"/>
    <x v="0"/>
    <n v="0"/>
    <n v="0"/>
    <n v="8"/>
    <n v="49"/>
    <n v="0"/>
    <n v="65.61"/>
    <n v="263.29000000000002"/>
    <m/>
    <n v="100.34646310857573"/>
    <n v="210.64397598313801"/>
    <n v="0"/>
    <n v="50953.841369999995"/>
    <n v="204475.48993000001"/>
    <n v="0"/>
    <n v="77930.769139992757"/>
    <n v="163589.69269609667"/>
  </r>
  <r>
    <s v="Sistema de Compensação"/>
    <x v="0"/>
    <x v="1"/>
    <x v="0"/>
    <x v="0"/>
    <x v="0"/>
    <x v="0"/>
    <x v="0"/>
    <x v="7"/>
    <n v="0"/>
    <n v="0"/>
    <n v="19.129000000000001"/>
    <n v="19.129000000000001"/>
    <n v="19.129000000000001"/>
    <n v="19.129000000000001"/>
    <n v="0"/>
    <x v="0"/>
    <n v="0"/>
    <n v="0"/>
    <n v="8"/>
    <n v="49"/>
    <n v="0"/>
    <n v="65.61"/>
    <n v="263.29000000000002"/>
    <m/>
    <n v="100.34646310857573"/>
    <n v="210.64397598313801"/>
    <n v="0"/>
    <n v="1255.0536900000002"/>
    <n v="5036.4744100000007"/>
    <n v="0"/>
    <n v="1919.5274928039453"/>
    <n v="4029.4086165814474"/>
  </r>
  <r>
    <s v="Regular"/>
    <x v="0"/>
    <x v="1"/>
    <x v="0"/>
    <x v="0"/>
    <x v="0"/>
    <x v="0"/>
    <x v="0"/>
    <x v="8"/>
    <n v="0"/>
    <n v="0"/>
    <n v="857.06399999999996"/>
    <n v="857.06399999999996"/>
    <n v="857.06399999999996"/>
    <n v="857.06399999999996"/>
    <n v="0"/>
    <x v="0"/>
    <n v="0"/>
    <n v="0"/>
    <n v="8"/>
    <n v="49"/>
    <n v="0"/>
    <n v="65.61"/>
    <n v="263.29000000000002"/>
    <m/>
    <n v="100.34646310857573"/>
    <n v="210.64397598313801"/>
    <n v="0"/>
    <n v="56231.969039999996"/>
    <n v="225656.38056000002"/>
    <n v="0"/>
    <n v="86003.341057688347"/>
    <n v="180535.36863201219"/>
  </r>
  <r>
    <s v="Regular"/>
    <x v="0"/>
    <x v="1"/>
    <x v="0"/>
    <x v="0"/>
    <x v="0"/>
    <x v="0"/>
    <x v="0"/>
    <x v="9"/>
    <n v="0"/>
    <n v="0"/>
    <n v="816.00400000000002"/>
    <n v="816.00400000000002"/>
    <n v="816.00400000000002"/>
    <n v="816.00400000000002"/>
    <n v="0"/>
    <x v="0"/>
    <n v="0"/>
    <n v="0"/>
    <n v="8"/>
    <n v="49"/>
    <n v="0"/>
    <n v="65.61"/>
    <n v="263.29000000000002"/>
    <m/>
    <n v="100.34646310857573"/>
    <n v="210.64397598313801"/>
    <n v="0"/>
    <n v="53538.022440000001"/>
    <n v="214845.69316000002"/>
    <n v="0"/>
    <n v="81883.115282450235"/>
    <n v="171886.32697814456"/>
  </r>
  <r>
    <s v="Regular"/>
    <x v="0"/>
    <x v="1"/>
    <x v="0"/>
    <x v="0"/>
    <x v="0"/>
    <x v="0"/>
    <x v="0"/>
    <x v="10"/>
    <n v="0"/>
    <n v="0"/>
    <n v="951.88699999999994"/>
    <n v="951.88699999999994"/>
    <n v="951.88699999999994"/>
    <n v="951.88699999999994"/>
    <n v="0"/>
    <x v="0"/>
    <n v="0"/>
    <n v="0"/>
    <n v="8"/>
    <n v="49"/>
    <n v="0"/>
    <n v="65.61"/>
    <n v="263.29000000000002"/>
    <m/>
    <n v="100.34646310857573"/>
    <n v="210.64397598313801"/>
    <n v="0"/>
    <n v="62453.306069999999"/>
    <n v="250622.32823000001"/>
    <n v="0"/>
    <n v="95518.493729032823"/>
    <n v="200509.26236666128"/>
  </r>
  <r>
    <s v="Sistema de Compensação"/>
    <x v="0"/>
    <x v="1"/>
    <x v="0"/>
    <x v="0"/>
    <x v="0"/>
    <x v="0"/>
    <x v="0"/>
    <x v="10"/>
    <n v="0"/>
    <n v="0"/>
    <n v="27.196999999999999"/>
    <n v="27.196999999999999"/>
    <n v="27.196999999999999"/>
    <n v="27.196999999999999"/>
    <n v="0"/>
    <x v="0"/>
    <n v="0"/>
    <n v="0"/>
    <n v="8"/>
    <n v="49"/>
    <n v="0"/>
    <n v="65.61"/>
    <n v="263.29000000000002"/>
    <m/>
    <n v="100.34646310857573"/>
    <n v="210.64397598313801"/>
    <n v="0"/>
    <n v="1784.39517"/>
    <n v="7160.6981300000007"/>
    <n v="0"/>
    <n v="2729.1227571639342"/>
    <n v="5728.8842148134045"/>
  </r>
  <r>
    <s v="Regular"/>
    <x v="0"/>
    <x v="1"/>
    <x v="0"/>
    <x v="0"/>
    <x v="0"/>
    <x v="0"/>
    <x v="0"/>
    <x v="11"/>
    <n v="0"/>
    <n v="0"/>
    <n v="812.60900000000004"/>
    <n v="812.60900000000004"/>
    <n v="812.60900000000004"/>
    <n v="812.60900000000004"/>
    <n v="0"/>
    <x v="0"/>
    <n v="0"/>
    <n v="0"/>
    <n v="8"/>
    <n v="49"/>
    <n v="0"/>
    <n v="65.61"/>
    <n v="263.29000000000002"/>
    <m/>
    <n v="100.34646310857573"/>
    <n v="210.64397598313801"/>
    <n v="0"/>
    <n v="53315.276490000004"/>
    <n v="213951.82361000002"/>
    <n v="0"/>
    <n v="81542.439040196623"/>
    <n v="171171.19067968181"/>
  </r>
  <r>
    <s v="Regular"/>
    <x v="0"/>
    <x v="1"/>
    <x v="0"/>
    <x v="0"/>
    <x v="0"/>
    <x v="0"/>
    <x v="2"/>
    <x v="0"/>
    <n v="3613"/>
    <n v="3613"/>
    <n v="0"/>
    <n v="0"/>
    <n v="0"/>
    <n v="0"/>
    <n v="34"/>
    <x v="0"/>
    <n v="0"/>
    <n v="6"/>
    <n v="0"/>
    <n v="0"/>
    <n v="19.32"/>
    <n v="0"/>
    <n v="0"/>
    <n v="16.680041929169654"/>
    <m/>
    <m/>
    <n v="69803.16"/>
    <n v="0"/>
    <n v="0"/>
    <n v="60264.99149008996"/>
    <n v="0"/>
    <n v="0"/>
  </r>
  <r>
    <s v="Regular"/>
    <x v="0"/>
    <x v="1"/>
    <x v="0"/>
    <x v="0"/>
    <x v="0"/>
    <x v="0"/>
    <x v="2"/>
    <x v="1"/>
    <n v="3644"/>
    <n v="3644"/>
    <n v="0"/>
    <n v="0"/>
    <n v="0"/>
    <n v="0"/>
    <n v="34"/>
    <x v="0"/>
    <n v="0"/>
    <n v="6"/>
    <n v="0"/>
    <n v="0"/>
    <n v="19.32"/>
    <n v="0"/>
    <n v="0"/>
    <n v="16.680041929169654"/>
    <m/>
    <m/>
    <n v="70402.080000000002"/>
    <n v="0"/>
    <n v="0"/>
    <n v="60782.07278989422"/>
    <n v="0"/>
    <n v="0"/>
  </r>
  <r>
    <s v="Regular"/>
    <x v="0"/>
    <x v="1"/>
    <x v="0"/>
    <x v="0"/>
    <x v="0"/>
    <x v="0"/>
    <x v="2"/>
    <x v="2"/>
    <n v="3612"/>
    <n v="3612"/>
    <n v="0"/>
    <n v="0"/>
    <n v="0"/>
    <n v="0"/>
    <n v="34"/>
    <x v="0"/>
    <n v="0"/>
    <n v="6"/>
    <n v="0"/>
    <n v="0"/>
    <n v="19.32"/>
    <n v="0"/>
    <n v="0"/>
    <n v="16.680041929169654"/>
    <m/>
    <m/>
    <n v="69783.839999999997"/>
    <n v="0"/>
    <n v="0"/>
    <n v="60248.311448160792"/>
    <n v="0"/>
    <n v="0"/>
  </r>
  <r>
    <s v="Regular"/>
    <x v="0"/>
    <x v="1"/>
    <x v="0"/>
    <x v="0"/>
    <x v="0"/>
    <x v="0"/>
    <x v="2"/>
    <x v="3"/>
    <n v="3621"/>
    <n v="3621"/>
    <n v="0"/>
    <n v="0"/>
    <n v="0"/>
    <n v="0"/>
    <n v="35"/>
    <x v="0"/>
    <n v="0"/>
    <n v="6"/>
    <n v="0"/>
    <n v="0"/>
    <n v="19.32"/>
    <n v="0"/>
    <n v="0"/>
    <n v="16.680041929169654"/>
    <m/>
    <m/>
    <n v="69957.72"/>
    <n v="0"/>
    <n v="0"/>
    <n v="60398.431825523316"/>
    <n v="0"/>
    <n v="0"/>
  </r>
  <r>
    <s v="Sistema de Compensação"/>
    <x v="0"/>
    <x v="1"/>
    <x v="0"/>
    <x v="0"/>
    <x v="0"/>
    <x v="0"/>
    <x v="2"/>
    <x v="3"/>
    <n v="60"/>
    <n v="60"/>
    <n v="0"/>
    <n v="0"/>
    <n v="0"/>
    <n v="0"/>
    <n v="1"/>
    <x v="0"/>
    <n v="0"/>
    <n v="6"/>
    <n v="0"/>
    <n v="0"/>
    <n v="19.32"/>
    <n v="0"/>
    <n v="0"/>
    <n v="16.680041929169654"/>
    <m/>
    <m/>
    <n v="1159.2"/>
    <n v="0"/>
    <n v="0"/>
    <n v="1000.8025157501793"/>
    <n v="0"/>
    <n v="0"/>
  </r>
  <r>
    <s v="Regular"/>
    <x v="0"/>
    <x v="1"/>
    <x v="0"/>
    <x v="0"/>
    <x v="0"/>
    <x v="0"/>
    <x v="2"/>
    <x v="4"/>
    <n v="3651"/>
    <n v="3651"/>
    <n v="0"/>
    <n v="0"/>
    <n v="0"/>
    <n v="0"/>
    <n v="35"/>
    <x v="0"/>
    <n v="0"/>
    <n v="6"/>
    <n v="0"/>
    <n v="0"/>
    <n v="19.32"/>
    <n v="0"/>
    <n v="0"/>
    <n v="16.680041929169654"/>
    <m/>
    <m/>
    <n v="70537.320000000007"/>
    <n v="0"/>
    <n v="0"/>
    <n v="60898.833083398407"/>
    <n v="0"/>
    <n v="0"/>
  </r>
  <r>
    <s v="Sistema de Compensação"/>
    <x v="0"/>
    <x v="1"/>
    <x v="0"/>
    <x v="0"/>
    <x v="0"/>
    <x v="0"/>
    <x v="2"/>
    <x v="4"/>
    <n v="64"/>
    <n v="64"/>
    <n v="0"/>
    <n v="0"/>
    <n v="0"/>
    <n v="0"/>
    <n v="1"/>
    <x v="0"/>
    <n v="0"/>
    <n v="6"/>
    <n v="0"/>
    <n v="0"/>
    <n v="19.32"/>
    <n v="0"/>
    <n v="0"/>
    <n v="16.680041929169654"/>
    <m/>
    <m/>
    <n v="1236.48"/>
    <n v="0"/>
    <n v="0"/>
    <n v="1067.5226834668579"/>
    <n v="0"/>
    <n v="0"/>
  </r>
  <r>
    <s v="Regular"/>
    <x v="0"/>
    <x v="1"/>
    <x v="0"/>
    <x v="0"/>
    <x v="0"/>
    <x v="0"/>
    <x v="2"/>
    <x v="5"/>
    <n v="3691"/>
    <n v="3691"/>
    <n v="0"/>
    <n v="0"/>
    <n v="0"/>
    <n v="0"/>
    <n v="35"/>
    <x v="0"/>
    <n v="0"/>
    <n v="6"/>
    <n v="0"/>
    <n v="0"/>
    <n v="19.32"/>
    <n v="0"/>
    <n v="0"/>
    <n v="16.680041929169654"/>
    <m/>
    <m/>
    <n v="71310.12"/>
    <n v="0"/>
    <n v="0"/>
    <n v="61566.034760565191"/>
    <n v="0"/>
    <n v="0"/>
  </r>
  <r>
    <s v="Sistema de Compensação"/>
    <x v="0"/>
    <x v="1"/>
    <x v="0"/>
    <x v="0"/>
    <x v="0"/>
    <x v="0"/>
    <x v="2"/>
    <x v="5"/>
    <n v="63"/>
    <n v="63"/>
    <n v="0"/>
    <n v="0"/>
    <n v="0"/>
    <n v="0"/>
    <n v="1"/>
    <x v="0"/>
    <n v="0"/>
    <n v="6"/>
    <n v="0"/>
    <n v="0"/>
    <n v="19.32"/>
    <n v="0"/>
    <n v="0"/>
    <n v="16.680041929169654"/>
    <m/>
    <m/>
    <n v="1217.1600000000001"/>
    <n v="0"/>
    <n v="0"/>
    <n v="1050.8426415376882"/>
    <n v="0"/>
    <n v="0"/>
  </r>
  <r>
    <s v="Regular"/>
    <x v="0"/>
    <x v="1"/>
    <x v="0"/>
    <x v="0"/>
    <x v="0"/>
    <x v="0"/>
    <x v="2"/>
    <x v="6"/>
    <n v="3825"/>
    <n v="3825"/>
    <n v="0"/>
    <n v="0"/>
    <n v="0"/>
    <n v="0"/>
    <n v="35"/>
    <x v="0"/>
    <n v="0"/>
    <n v="6"/>
    <n v="0"/>
    <n v="0"/>
    <n v="19.32"/>
    <n v="0"/>
    <n v="0"/>
    <n v="16.680041929169654"/>
    <m/>
    <m/>
    <n v="73899"/>
    <n v="0"/>
    <n v="0"/>
    <n v="63801.160379073925"/>
    <n v="0"/>
    <n v="0"/>
  </r>
  <r>
    <s v="Sistema de Compensação"/>
    <x v="0"/>
    <x v="1"/>
    <x v="0"/>
    <x v="0"/>
    <x v="0"/>
    <x v="0"/>
    <x v="2"/>
    <x v="6"/>
    <n v="66"/>
    <n v="66"/>
    <n v="0"/>
    <n v="0"/>
    <n v="0"/>
    <n v="0"/>
    <n v="1"/>
    <x v="0"/>
    <n v="0"/>
    <n v="6"/>
    <n v="0"/>
    <n v="0"/>
    <n v="19.32"/>
    <n v="0"/>
    <n v="0"/>
    <n v="16.680041929169654"/>
    <m/>
    <m/>
    <n v="1275.1200000000001"/>
    <n v="0"/>
    <n v="0"/>
    <n v="1100.8827673251972"/>
    <n v="0"/>
    <n v="0"/>
  </r>
  <r>
    <s v="Regular"/>
    <x v="0"/>
    <x v="1"/>
    <x v="0"/>
    <x v="0"/>
    <x v="0"/>
    <x v="0"/>
    <x v="2"/>
    <x v="7"/>
    <n v="3934"/>
    <n v="3934"/>
    <n v="0"/>
    <n v="0"/>
    <n v="0"/>
    <n v="0"/>
    <n v="36"/>
    <x v="0"/>
    <n v="0"/>
    <n v="6"/>
    <n v="0"/>
    <n v="0"/>
    <n v="19.32"/>
    <n v="0"/>
    <n v="0"/>
    <n v="16.680041929169654"/>
    <m/>
    <m/>
    <n v="76004.88"/>
    <n v="0"/>
    <n v="0"/>
    <n v="65619.284949353416"/>
    <n v="0"/>
    <n v="0"/>
  </r>
  <r>
    <s v="Sistema de Compensação"/>
    <x v="0"/>
    <x v="1"/>
    <x v="0"/>
    <x v="0"/>
    <x v="0"/>
    <x v="0"/>
    <x v="2"/>
    <x v="7"/>
    <n v="63"/>
    <n v="63"/>
    <n v="0"/>
    <n v="0"/>
    <n v="0"/>
    <n v="0"/>
    <n v="1"/>
    <x v="0"/>
    <n v="0"/>
    <n v="6"/>
    <n v="0"/>
    <n v="0"/>
    <n v="19.32"/>
    <n v="0"/>
    <n v="0"/>
    <n v="16.680041929169654"/>
    <m/>
    <m/>
    <n v="1217.1600000000001"/>
    <n v="0"/>
    <n v="0"/>
    <n v="1050.8426415376882"/>
    <n v="0"/>
    <n v="0"/>
  </r>
  <r>
    <s v="Regular"/>
    <x v="0"/>
    <x v="1"/>
    <x v="0"/>
    <x v="0"/>
    <x v="0"/>
    <x v="0"/>
    <x v="2"/>
    <x v="8"/>
    <n v="4124"/>
    <n v="4124"/>
    <n v="0"/>
    <n v="0"/>
    <n v="0"/>
    <n v="0"/>
    <n v="39"/>
    <x v="0"/>
    <n v="0"/>
    <n v="6"/>
    <n v="0"/>
    <n v="0"/>
    <n v="19.32"/>
    <n v="0"/>
    <n v="0"/>
    <n v="16.680041929169654"/>
    <m/>
    <m/>
    <n v="79675.680000000008"/>
    <n v="0"/>
    <n v="0"/>
    <n v="68788.492915895651"/>
    <n v="0"/>
    <n v="0"/>
  </r>
  <r>
    <s v="Regular"/>
    <x v="0"/>
    <x v="1"/>
    <x v="0"/>
    <x v="0"/>
    <x v="0"/>
    <x v="0"/>
    <x v="2"/>
    <x v="9"/>
    <n v="4179"/>
    <n v="4179"/>
    <n v="0"/>
    <n v="0"/>
    <n v="0"/>
    <n v="0"/>
    <n v="39"/>
    <x v="0"/>
    <n v="0"/>
    <n v="6"/>
    <n v="0"/>
    <n v="0"/>
    <n v="19.32"/>
    <n v="0"/>
    <n v="0"/>
    <n v="16.680041929169654"/>
    <m/>
    <m/>
    <n v="80738.28"/>
    <n v="0"/>
    <n v="0"/>
    <n v="69705.895221999992"/>
    <n v="0"/>
    <n v="0"/>
  </r>
  <r>
    <s v="Regular"/>
    <x v="0"/>
    <x v="1"/>
    <x v="0"/>
    <x v="0"/>
    <x v="0"/>
    <x v="0"/>
    <x v="2"/>
    <x v="10"/>
    <n v="4232"/>
    <n v="4232"/>
    <n v="0"/>
    <n v="0"/>
    <n v="0"/>
    <n v="0"/>
    <n v="38"/>
    <x v="0"/>
    <n v="0"/>
    <n v="6"/>
    <n v="0"/>
    <n v="0"/>
    <n v="19.32"/>
    <n v="0"/>
    <n v="0"/>
    <n v="16.680041929169654"/>
    <m/>
    <m/>
    <n v="81762.240000000005"/>
    <n v="0"/>
    <n v="0"/>
    <n v="70589.937444245981"/>
    <n v="0"/>
    <n v="0"/>
  </r>
  <r>
    <s v="Sistema de Compensação"/>
    <x v="0"/>
    <x v="1"/>
    <x v="0"/>
    <x v="0"/>
    <x v="0"/>
    <x v="0"/>
    <x v="2"/>
    <x v="10"/>
    <n v="81"/>
    <n v="81"/>
    <n v="0"/>
    <n v="0"/>
    <n v="0"/>
    <n v="0"/>
    <n v="1"/>
    <x v="0"/>
    <n v="0"/>
    <n v="6"/>
    <n v="0"/>
    <n v="0"/>
    <n v="19.32"/>
    <n v="0"/>
    <n v="0"/>
    <n v="16.680041929169654"/>
    <m/>
    <m/>
    <n v="1564.92"/>
    <n v="0"/>
    <n v="0"/>
    <n v="1351.0833962627421"/>
    <n v="0"/>
    <n v="0"/>
  </r>
  <r>
    <s v="Regular"/>
    <x v="0"/>
    <x v="1"/>
    <x v="0"/>
    <x v="0"/>
    <x v="0"/>
    <x v="0"/>
    <x v="2"/>
    <x v="11"/>
    <n v="4318"/>
    <n v="4318"/>
    <n v="0"/>
    <n v="0"/>
    <n v="0"/>
    <n v="0"/>
    <n v="38"/>
    <x v="0"/>
    <n v="0"/>
    <n v="6"/>
    <n v="0"/>
    <n v="0"/>
    <n v="19.32"/>
    <n v="0"/>
    <n v="0"/>
    <n v="16.680041929169654"/>
    <m/>
    <m/>
    <n v="83423.759999999995"/>
    <n v="0"/>
    <n v="0"/>
    <n v="72024.42105015456"/>
    <n v="0"/>
    <n v="0"/>
  </r>
  <r>
    <s v="Regular"/>
    <x v="0"/>
    <x v="1"/>
    <x v="0"/>
    <x v="0"/>
    <x v="0"/>
    <x v="0"/>
    <x v="1"/>
    <x v="0"/>
    <n v="0"/>
    <n v="0"/>
    <n v="46.808"/>
    <n v="46.808"/>
    <n v="46.808"/>
    <n v="46.808"/>
    <n v="0"/>
    <x v="0"/>
    <n v="0"/>
    <n v="0"/>
    <n v="7"/>
    <n v="48"/>
    <n v="0"/>
    <n v="948.15"/>
    <n v="263.29000000000002"/>
    <m/>
    <n v="976.42305228824534"/>
    <n v="210.64397598313801"/>
    <n v="0"/>
    <n v="44381.0052"/>
    <n v="12324.078320000001"/>
    <n v="0"/>
    <n v="45704.410231508191"/>
    <n v="9859.8232278187243"/>
  </r>
  <r>
    <s v="Regular"/>
    <x v="0"/>
    <x v="1"/>
    <x v="0"/>
    <x v="0"/>
    <x v="0"/>
    <x v="0"/>
    <x v="1"/>
    <x v="1"/>
    <n v="0"/>
    <n v="0"/>
    <n v="47.941000000000003"/>
    <n v="47.941000000000003"/>
    <n v="47.941000000000003"/>
    <n v="47.941000000000003"/>
    <n v="0"/>
    <x v="0"/>
    <n v="0"/>
    <n v="0"/>
    <n v="7"/>
    <n v="48"/>
    <n v="0"/>
    <n v="948.15"/>
    <n v="263.29000000000002"/>
    <m/>
    <n v="976.42305228824534"/>
    <n v="210.64397598313801"/>
    <n v="0"/>
    <n v="45455.259149999998"/>
    <n v="12622.385890000001"/>
    <n v="0"/>
    <n v="46810.697549750774"/>
    <n v="10098.48285260762"/>
  </r>
  <r>
    <s v="Regular"/>
    <x v="0"/>
    <x v="1"/>
    <x v="0"/>
    <x v="0"/>
    <x v="0"/>
    <x v="0"/>
    <x v="1"/>
    <x v="2"/>
    <n v="0"/>
    <n v="0"/>
    <n v="55.206000000000003"/>
    <n v="55.206000000000003"/>
    <n v="55.206000000000003"/>
    <n v="55.206000000000003"/>
    <n v="0"/>
    <x v="0"/>
    <n v="0"/>
    <n v="0"/>
    <n v="7"/>
    <n v="48"/>
    <n v="0"/>
    <n v="948.15"/>
    <n v="263.29000000000002"/>
    <m/>
    <n v="976.42305228824534"/>
    <n v="210.64397598313801"/>
    <n v="0"/>
    <n v="52343.568899999998"/>
    <n v="14535.187740000001"/>
    <n v="0"/>
    <n v="53904.411024624875"/>
    <n v="11628.811338125117"/>
  </r>
  <r>
    <s v="Regular"/>
    <x v="0"/>
    <x v="1"/>
    <x v="0"/>
    <x v="0"/>
    <x v="0"/>
    <x v="0"/>
    <x v="1"/>
    <x v="3"/>
    <n v="0"/>
    <n v="0"/>
    <n v="50.712000000000003"/>
    <n v="50.712000000000003"/>
    <n v="50.712000000000003"/>
    <n v="50.712000000000003"/>
    <n v="0"/>
    <x v="0"/>
    <n v="0"/>
    <n v="0"/>
    <n v="7"/>
    <n v="48"/>
    <n v="0"/>
    <n v="948.15"/>
    <n v="263.29000000000002"/>
    <m/>
    <n v="976.42305228824534"/>
    <n v="210.64397598313801"/>
    <n v="0"/>
    <n v="48082.582800000004"/>
    <n v="13351.962480000002"/>
    <n v="0"/>
    <n v="49516.365827641501"/>
    <n v="10682.177310056895"/>
  </r>
  <r>
    <s v="Regular"/>
    <x v="0"/>
    <x v="1"/>
    <x v="0"/>
    <x v="0"/>
    <x v="0"/>
    <x v="0"/>
    <x v="1"/>
    <x v="4"/>
    <n v="0"/>
    <n v="0"/>
    <n v="50.768000000000001"/>
    <n v="50.768000000000001"/>
    <n v="50.768000000000001"/>
    <n v="50.768000000000001"/>
    <n v="0"/>
    <x v="0"/>
    <n v="0"/>
    <n v="0"/>
    <n v="7"/>
    <n v="48"/>
    <n v="0"/>
    <n v="948.15"/>
    <n v="263.29000000000002"/>
    <m/>
    <n v="976.42305228824534"/>
    <n v="210.64397598313801"/>
    <n v="0"/>
    <n v="48135.679199999999"/>
    <n v="13366.706720000002"/>
    <n v="0"/>
    <n v="49571.045518569641"/>
    <n v="10693.973372711951"/>
  </r>
  <r>
    <s v="Regular"/>
    <x v="0"/>
    <x v="1"/>
    <x v="0"/>
    <x v="0"/>
    <x v="0"/>
    <x v="0"/>
    <x v="1"/>
    <x v="5"/>
    <n v="0"/>
    <n v="0"/>
    <n v="43.844999999999999"/>
    <n v="43.844999999999999"/>
    <n v="43.844999999999999"/>
    <n v="43.844999999999999"/>
    <n v="0"/>
    <x v="0"/>
    <n v="0"/>
    <n v="0"/>
    <n v="7"/>
    <n v="48"/>
    <n v="0"/>
    <n v="948.15"/>
    <n v="263.29000000000002"/>
    <m/>
    <n v="976.42305228824534"/>
    <n v="210.64397598313801"/>
    <n v="0"/>
    <n v="41571.636749999998"/>
    <n v="11543.950050000001"/>
    <n v="0"/>
    <n v="42811.268727578114"/>
    <n v="9235.6851269806848"/>
  </r>
  <r>
    <s v="Sistema de Compensação"/>
    <x v="0"/>
    <x v="1"/>
    <x v="0"/>
    <x v="0"/>
    <x v="0"/>
    <x v="0"/>
    <x v="1"/>
    <x v="5"/>
    <n v="0"/>
    <n v="0"/>
    <n v="6.8000000000000005E-2"/>
    <n v="6.8000000000000005E-2"/>
    <n v="6.8000000000000005E-2"/>
    <n v="6.8000000000000005E-2"/>
    <n v="0"/>
    <x v="0"/>
    <n v="0"/>
    <n v="0"/>
    <n v="7"/>
    <n v="48"/>
    <n v="0"/>
    <n v="948.15"/>
    <n v="263.29000000000002"/>
    <m/>
    <n v="976.42305228824534"/>
    <n v="210.64397598313801"/>
    <n v="0"/>
    <n v="64.474199999999996"/>
    <n v="17.903720000000003"/>
    <n v="0"/>
    <n v="66.39676755560069"/>
    <n v="14.323790366853386"/>
  </r>
  <r>
    <s v="Regular"/>
    <x v="0"/>
    <x v="1"/>
    <x v="0"/>
    <x v="0"/>
    <x v="0"/>
    <x v="0"/>
    <x v="1"/>
    <x v="6"/>
    <n v="0"/>
    <n v="0"/>
    <n v="51.140999999999998"/>
    <n v="51.140999999999998"/>
    <n v="51.140999999999998"/>
    <n v="51.140999999999998"/>
    <n v="0"/>
    <x v="0"/>
    <n v="0"/>
    <n v="0"/>
    <n v="7"/>
    <n v="48"/>
    <n v="0"/>
    <n v="948.15"/>
    <n v="263.29000000000002"/>
    <m/>
    <n v="976.42305228824534"/>
    <n v="210.64397598313801"/>
    <n v="0"/>
    <n v="48489.33915"/>
    <n v="13464.91389"/>
    <n v="0"/>
    <n v="49935.251317073154"/>
    <n v="10772.54357575366"/>
  </r>
  <r>
    <s v="Regular"/>
    <x v="0"/>
    <x v="1"/>
    <x v="0"/>
    <x v="0"/>
    <x v="0"/>
    <x v="0"/>
    <x v="1"/>
    <x v="7"/>
    <n v="0"/>
    <n v="0"/>
    <n v="49.939"/>
    <n v="49.939"/>
    <n v="49.939"/>
    <n v="49.939"/>
    <n v="0"/>
    <x v="0"/>
    <n v="0"/>
    <n v="0"/>
    <n v="7"/>
    <n v="48"/>
    <n v="0"/>
    <n v="948.15"/>
    <n v="263.29000000000002"/>
    <m/>
    <n v="976.42305228824534"/>
    <n v="210.64397598313801"/>
    <n v="0"/>
    <n v="47349.662850000001"/>
    <n v="13148.439310000002"/>
    <n v="0"/>
    <n v="48761.590808222682"/>
    <n v="10519.349516621929"/>
  </r>
  <r>
    <s v="Sistema de Compensação"/>
    <x v="0"/>
    <x v="1"/>
    <x v="0"/>
    <x v="0"/>
    <x v="0"/>
    <x v="0"/>
    <x v="1"/>
    <x v="7"/>
    <n v="0"/>
    <n v="0"/>
    <n v="2.8340000000000001"/>
    <n v="2.8340000000000001"/>
    <n v="2.8340000000000001"/>
    <n v="2.8340000000000001"/>
    <n v="0"/>
    <x v="0"/>
    <n v="0"/>
    <n v="0"/>
    <n v="7"/>
    <n v="48"/>
    <n v="0"/>
    <n v="948.15"/>
    <n v="263.29000000000002"/>
    <m/>
    <n v="976.42305228824534"/>
    <n v="210.64397598313801"/>
    <n v="0"/>
    <n v="2687.0571"/>
    <n v="746.16386000000011"/>
    <n v="0"/>
    <n v="2767.1829301848875"/>
    <n v="596.96502793621312"/>
  </r>
  <r>
    <s v="Regular"/>
    <x v="0"/>
    <x v="1"/>
    <x v="0"/>
    <x v="0"/>
    <x v="0"/>
    <x v="0"/>
    <x v="1"/>
    <x v="8"/>
    <n v="0"/>
    <n v="0"/>
    <n v="50.679000000000002"/>
    <n v="50.679000000000002"/>
    <n v="50.679000000000002"/>
    <n v="50.679000000000002"/>
    <n v="0"/>
    <x v="0"/>
    <n v="0"/>
    <n v="0"/>
    <n v="7"/>
    <n v="48"/>
    <n v="0"/>
    <n v="948.15"/>
    <n v="263.29000000000002"/>
    <m/>
    <n v="976.42305228824534"/>
    <n v="210.64397598313801"/>
    <n v="0"/>
    <n v="48051.293850000002"/>
    <n v="13343.273910000002"/>
    <n v="0"/>
    <n v="49484.143866915991"/>
    <n v="10675.226058849452"/>
  </r>
  <r>
    <s v="Regular"/>
    <x v="0"/>
    <x v="1"/>
    <x v="0"/>
    <x v="0"/>
    <x v="0"/>
    <x v="0"/>
    <x v="1"/>
    <x v="9"/>
    <n v="0"/>
    <n v="0"/>
    <n v="50.673999999999999"/>
    <n v="50.673999999999999"/>
    <n v="50.673999999999999"/>
    <n v="50.673999999999999"/>
    <n v="0"/>
    <x v="0"/>
    <n v="0"/>
    <n v="0"/>
    <n v="7"/>
    <n v="48"/>
    <n v="0"/>
    <n v="948.15"/>
    <n v="263.29000000000002"/>
    <m/>
    <n v="976.42305228824534"/>
    <n v="210.64397598313801"/>
    <n v="0"/>
    <n v="48046.553099999997"/>
    <n v="13341.957460000001"/>
    <n v="0"/>
    <n v="49479.261751654543"/>
    <n v="10674.172838969534"/>
  </r>
  <r>
    <s v="Regular"/>
    <x v="0"/>
    <x v="1"/>
    <x v="0"/>
    <x v="0"/>
    <x v="0"/>
    <x v="0"/>
    <x v="1"/>
    <x v="10"/>
    <n v="0"/>
    <n v="0"/>
    <n v="64.727999999999994"/>
    <n v="64.727999999999994"/>
    <n v="64.727999999999994"/>
    <n v="64.727999999999994"/>
    <n v="0"/>
    <x v="0"/>
    <n v="0"/>
    <n v="0"/>
    <n v="7"/>
    <n v="48"/>
    <n v="0"/>
    <n v="948.15"/>
    <n v="263.29000000000002"/>
    <m/>
    <n v="976.42305228824534"/>
    <n v="210.64397598313801"/>
    <n v="0"/>
    <n v="61371.85319999999"/>
    <n v="17042.235120000001"/>
    <n v="0"/>
    <n v="63201.911328513539"/>
    <n v="13634.563277436555"/>
  </r>
  <r>
    <s v="Sistema de Compensação"/>
    <x v="0"/>
    <x v="1"/>
    <x v="0"/>
    <x v="0"/>
    <x v="0"/>
    <x v="0"/>
    <x v="1"/>
    <x v="10"/>
    <n v="0"/>
    <n v="0"/>
    <n v="4.7"/>
    <n v="4.7"/>
    <n v="4.7"/>
    <n v="4.7"/>
    <n v="0"/>
    <x v="0"/>
    <n v="0"/>
    <n v="0"/>
    <n v="7"/>
    <n v="48"/>
    <n v="0"/>
    <n v="948.15"/>
    <n v="263.29000000000002"/>
    <m/>
    <n v="976.42305228824534"/>
    <n v="210.64397598313801"/>
    <n v="0"/>
    <n v="4456.3050000000003"/>
    <n v="1237.4630000000002"/>
    <n v="0"/>
    <n v="4589.1883457547528"/>
    <n v="990.02668712074865"/>
  </r>
  <r>
    <s v="Regular"/>
    <x v="0"/>
    <x v="1"/>
    <x v="0"/>
    <x v="0"/>
    <x v="0"/>
    <x v="0"/>
    <x v="1"/>
    <x v="11"/>
    <n v="0"/>
    <n v="0"/>
    <n v="49.351999999999997"/>
    <n v="49.351999999999997"/>
    <n v="49.351999999999997"/>
    <n v="49.351999999999997"/>
    <n v="0"/>
    <x v="0"/>
    <n v="0"/>
    <n v="0"/>
    <n v="7"/>
    <n v="48"/>
    <n v="0"/>
    <n v="948.15"/>
    <n v="263.29000000000002"/>
    <m/>
    <n v="976.42305228824534"/>
    <n v="210.64397598313801"/>
    <n v="0"/>
    <n v="46793.098799999992"/>
    <n v="12993.888080000001"/>
    <n v="0"/>
    <n v="48188.43047652948"/>
    <n v="10395.701502719827"/>
  </r>
  <r>
    <s v="Regular"/>
    <x v="0"/>
    <x v="1"/>
    <x v="1"/>
    <x v="0"/>
    <x v="1"/>
    <x v="0"/>
    <x v="0"/>
    <x v="0"/>
    <n v="0"/>
    <n v="0"/>
    <n v="2414.2550000000001"/>
    <n v="2414.2550000000001"/>
    <n v="0"/>
    <n v="0"/>
    <n v="0"/>
    <x v="1"/>
    <n v="0"/>
    <n v="0"/>
    <n v="8"/>
    <n v="0"/>
    <n v="0"/>
    <n v="65.61"/>
    <n v="0"/>
    <m/>
    <n v="100.34646310857573"/>
    <m/>
    <n v="0"/>
    <n v="158399.27055000002"/>
    <n v="0"/>
    <n v="0"/>
    <n v="242261.95029219452"/>
    <n v="0"/>
  </r>
  <r>
    <s v="Regular"/>
    <x v="0"/>
    <x v="1"/>
    <x v="1"/>
    <x v="0"/>
    <x v="1"/>
    <x v="0"/>
    <x v="0"/>
    <x v="1"/>
    <n v="0"/>
    <n v="0"/>
    <n v="2776.94"/>
    <n v="2776.94"/>
    <n v="0"/>
    <n v="0"/>
    <n v="0"/>
    <x v="1"/>
    <n v="0"/>
    <n v="0"/>
    <n v="8"/>
    <n v="0"/>
    <n v="0"/>
    <n v="65.61"/>
    <n v="0"/>
    <m/>
    <n v="100.34646310857573"/>
    <m/>
    <n v="0"/>
    <n v="182195.03340000001"/>
    <n v="0"/>
    <n v="0"/>
    <n v="278656.10726472829"/>
    <n v="0"/>
  </r>
  <r>
    <s v="Regular"/>
    <x v="0"/>
    <x v="1"/>
    <x v="1"/>
    <x v="0"/>
    <x v="1"/>
    <x v="0"/>
    <x v="0"/>
    <x v="2"/>
    <n v="0"/>
    <n v="0"/>
    <n v="3072.7150000000001"/>
    <n v="3072.7150000000001"/>
    <n v="0"/>
    <n v="0"/>
    <n v="0"/>
    <x v="1"/>
    <n v="0"/>
    <n v="0"/>
    <n v="8"/>
    <n v="0"/>
    <n v="0"/>
    <n v="65.61"/>
    <n v="0"/>
    <m/>
    <n v="100.34646310857573"/>
    <m/>
    <n v="0"/>
    <n v="201600.83115000001"/>
    <n v="0"/>
    <n v="0"/>
    <n v="308336.08239066729"/>
    <n v="0"/>
  </r>
  <r>
    <s v="Regular"/>
    <x v="0"/>
    <x v="1"/>
    <x v="1"/>
    <x v="0"/>
    <x v="1"/>
    <x v="0"/>
    <x v="0"/>
    <x v="3"/>
    <n v="0"/>
    <n v="0"/>
    <n v="3175.6680000000001"/>
    <n v="3175.6680000000001"/>
    <n v="0"/>
    <n v="0"/>
    <n v="0"/>
    <x v="1"/>
    <n v="0"/>
    <n v="0"/>
    <n v="8"/>
    <n v="0"/>
    <n v="0"/>
    <n v="65.61"/>
    <n v="0"/>
    <m/>
    <n v="100.34646310857573"/>
    <m/>
    <n v="0"/>
    <n v="208355.57748000001"/>
    <n v="0"/>
    <n v="0"/>
    <n v="318667.05180708447"/>
    <n v="0"/>
  </r>
  <r>
    <s v="Regular"/>
    <x v="0"/>
    <x v="1"/>
    <x v="1"/>
    <x v="0"/>
    <x v="1"/>
    <x v="0"/>
    <x v="0"/>
    <x v="4"/>
    <n v="0"/>
    <n v="0"/>
    <n v="3182.2460000000001"/>
    <n v="3182.2460000000001"/>
    <n v="0"/>
    <n v="0"/>
    <n v="0"/>
    <x v="1"/>
    <n v="0"/>
    <n v="0"/>
    <n v="8"/>
    <n v="0"/>
    <n v="0"/>
    <n v="65.61"/>
    <n v="0"/>
    <m/>
    <n v="100.34646310857573"/>
    <m/>
    <n v="0"/>
    <n v="208787.16005999999"/>
    <n v="0"/>
    <n v="0"/>
    <n v="319327.1308414127"/>
    <n v="0"/>
  </r>
  <r>
    <s v="Regular"/>
    <x v="0"/>
    <x v="1"/>
    <x v="1"/>
    <x v="0"/>
    <x v="1"/>
    <x v="0"/>
    <x v="0"/>
    <x v="5"/>
    <n v="0"/>
    <n v="0"/>
    <n v="3193.2080000000001"/>
    <n v="3193.2080000000001"/>
    <n v="0"/>
    <n v="0"/>
    <n v="0"/>
    <x v="1"/>
    <n v="0"/>
    <n v="0"/>
    <n v="8"/>
    <n v="0"/>
    <n v="0"/>
    <n v="65.61"/>
    <n v="0"/>
    <m/>
    <n v="100.34646310857573"/>
    <m/>
    <n v="0"/>
    <n v="209506.37688"/>
    <n v="0"/>
    <n v="0"/>
    <n v="320427.12877000892"/>
    <n v="0"/>
  </r>
  <r>
    <s v="Regular"/>
    <x v="0"/>
    <x v="1"/>
    <x v="1"/>
    <x v="0"/>
    <x v="1"/>
    <x v="0"/>
    <x v="0"/>
    <x v="6"/>
    <n v="0"/>
    <n v="0"/>
    <n v="3324.471"/>
    <n v="3324.471"/>
    <n v="0"/>
    <n v="0"/>
    <n v="0"/>
    <x v="1"/>
    <n v="0"/>
    <n v="0"/>
    <n v="8"/>
    <n v="0"/>
    <n v="0"/>
    <n v="65.61"/>
    <n v="0"/>
    <m/>
    <n v="100.34646310857573"/>
    <m/>
    <n v="0"/>
    <n v="218118.54230999999"/>
    <n v="0"/>
    <n v="0"/>
    <n v="333598.90655702987"/>
    <n v="0"/>
  </r>
  <r>
    <s v="Regular"/>
    <x v="0"/>
    <x v="1"/>
    <x v="1"/>
    <x v="0"/>
    <x v="1"/>
    <x v="0"/>
    <x v="0"/>
    <x v="7"/>
    <n v="0"/>
    <n v="0"/>
    <n v="3218.1550000000002"/>
    <n v="3218.1550000000002"/>
    <n v="0"/>
    <n v="0"/>
    <n v="0"/>
    <x v="1"/>
    <n v="0"/>
    <n v="0"/>
    <n v="8"/>
    <n v="0"/>
    <n v="0"/>
    <n v="65.61"/>
    <n v="0"/>
    <m/>
    <n v="100.34646310857573"/>
    <m/>
    <n v="0"/>
    <n v="211143.14955"/>
    <n v="0"/>
    <n v="0"/>
    <n v="322930.47198517853"/>
    <n v="0"/>
  </r>
  <r>
    <s v="Regular"/>
    <x v="0"/>
    <x v="1"/>
    <x v="1"/>
    <x v="0"/>
    <x v="1"/>
    <x v="0"/>
    <x v="0"/>
    <x v="8"/>
    <n v="0"/>
    <n v="0"/>
    <n v="3222.1680000000001"/>
    <n v="1611.0840000000001"/>
    <n v="0"/>
    <n v="0"/>
    <n v="0"/>
    <x v="1"/>
    <n v="0"/>
    <n v="0"/>
    <n v="8"/>
    <n v="0"/>
    <n v="0"/>
    <n v="65.61"/>
    <n v="0"/>
    <m/>
    <n v="100.34646310857573"/>
    <m/>
    <n v="0"/>
    <n v="105703.22124"/>
    <n v="0"/>
    <n v="0"/>
    <n v="161666.58117081664"/>
    <n v="0"/>
  </r>
  <r>
    <s v="Regular"/>
    <x v="0"/>
    <x v="1"/>
    <x v="1"/>
    <x v="0"/>
    <x v="1"/>
    <x v="0"/>
    <x v="0"/>
    <x v="9"/>
    <n v="0"/>
    <n v="0"/>
    <n v="3045.0740000000001"/>
    <n v="3045.0740000000001"/>
    <n v="0"/>
    <n v="0"/>
    <n v="0"/>
    <x v="1"/>
    <n v="0"/>
    <n v="0"/>
    <n v="8"/>
    <n v="0"/>
    <n v="0"/>
    <n v="65.61"/>
    <n v="0"/>
    <m/>
    <n v="100.34646310857573"/>
    <m/>
    <n v="0"/>
    <n v="199787.30514000001"/>
    <n v="0"/>
    <n v="0"/>
    <n v="305562.40580388316"/>
    <n v="0"/>
  </r>
  <r>
    <s v="Regular"/>
    <x v="0"/>
    <x v="1"/>
    <x v="1"/>
    <x v="0"/>
    <x v="1"/>
    <x v="0"/>
    <x v="0"/>
    <x v="10"/>
    <n v="0"/>
    <n v="0"/>
    <n v="3725.3910000000001"/>
    <n v="3725.3910000000001"/>
    <n v="0"/>
    <n v="0"/>
    <n v="0"/>
    <x v="1"/>
    <n v="0"/>
    <n v="0"/>
    <n v="8"/>
    <n v="0"/>
    <n v="0"/>
    <n v="65.61"/>
    <n v="0"/>
    <m/>
    <n v="100.34646310857573"/>
    <m/>
    <n v="0"/>
    <n v="244422.90351"/>
    <n v="0"/>
    <n v="0"/>
    <n v="373829.81054652005"/>
    <n v="0"/>
  </r>
  <r>
    <s v="PROJETADO"/>
    <x v="0"/>
    <x v="1"/>
    <x v="1"/>
    <x v="0"/>
    <x v="1"/>
    <x v="0"/>
    <x v="0"/>
    <x v="11"/>
    <n v="0"/>
    <n v="0"/>
    <n v="3725.3910000000001"/>
    <n v="3725.3910000000001"/>
    <n v="0"/>
    <n v="0"/>
    <n v="0"/>
    <x v="1"/>
    <n v="0"/>
    <n v="0"/>
    <n v="8"/>
    <n v="0"/>
    <n v="0"/>
    <n v="65.61"/>
    <n v="0"/>
    <m/>
    <n v="100.34646310857573"/>
    <m/>
    <n v="0"/>
    <n v="244422.90351"/>
    <n v="0"/>
    <n v="0"/>
    <n v="373829.81054652005"/>
    <n v="0"/>
  </r>
  <r>
    <s v="Regular"/>
    <x v="0"/>
    <x v="1"/>
    <x v="1"/>
    <x v="0"/>
    <x v="1"/>
    <x v="0"/>
    <x v="2"/>
    <x v="0"/>
    <n v="7450"/>
    <n v="3725"/>
    <n v="0"/>
    <n v="0"/>
    <n v="0"/>
    <n v="0"/>
    <n v="3"/>
    <x v="1"/>
    <n v="0"/>
    <n v="6"/>
    <n v="0"/>
    <n v="0"/>
    <n v="19.32"/>
    <n v="0"/>
    <n v="0"/>
    <n v="16.680041929169654"/>
    <m/>
    <m/>
    <n v="71967"/>
    <n v="0"/>
    <n v="0"/>
    <n v="62133.156186156964"/>
    <n v="0"/>
    <n v="0"/>
  </r>
  <r>
    <s v="Regular"/>
    <x v="0"/>
    <x v="1"/>
    <x v="1"/>
    <x v="0"/>
    <x v="1"/>
    <x v="0"/>
    <x v="2"/>
    <x v="1"/>
    <n v="8580"/>
    <n v="4290"/>
    <n v="0"/>
    <n v="0"/>
    <n v="0"/>
    <n v="0"/>
    <n v="4"/>
    <x v="1"/>
    <n v="0"/>
    <n v="6"/>
    <n v="0"/>
    <n v="0"/>
    <n v="19.32"/>
    <n v="0"/>
    <n v="0"/>
    <n v="16.680041929169654"/>
    <m/>
    <m/>
    <n v="82882.8"/>
    <n v="0"/>
    <n v="0"/>
    <n v="71557.379876137813"/>
    <n v="0"/>
    <n v="0"/>
  </r>
  <r>
    <s v="Regular"/>
    <x v="0"/>
    <x v="1"/>
    <x v="1"/>
    <x v="0"/>
    <x v="1"/>
    <x v="0"/>
    <x v="2"/>
    <x v="2"/>
    <n v="9550"/>
    <n v="4775"/>
    <n v="0"/>
    <n v="0"/>
    <n v="0"/>
    <n v="0"/>
    <n v="5"/>
    <x v="1"/>
    <n v="0"/>
    <n v="6"/>
    <n v="0"/>
    <n v="0"/>
    <n v="19.32"/>
    <n v="0"/>
    <n v="0"/>
    <n v="16.680041929169654"/>
    <m/>
    <m/>
    <n v="92253"/>
    <n v="0"/>
    <n v="0"/>
    <n v="79647.200211785093"/>
    <n v="0"/>
    <n v="0"/>
  </r>
  <r>
    <s v="Regular"/>
    <x v="0"/>
    <x v="1"/>
    <x v="1"/>
    <x v="0"/>
    <x v="1"/>
    <x v="0"/>
    <x v="2"/>
    <x v="3"/>
    <n v="9550"/>
    <n v="4775"/>
    <n v="0"/>
    <n v="0"/>
    <n v="0"/>
    <n v="0"/>
    <n v="5"/>
    <x v="1"/>
    <n v="0"/>
    <n v="6"/>
    <n v="0"/>
    <n v="0"/>
    <n v="19.32"/>
    <n v="0"/>
    <n v="0"/>
    <n v="16.680041929169654"/>
    <m/>
    <m/>
    <n v="92253"/>
    <n v="0"/>
    <n v="0"/>
    <n v="79647.200211785093"/>
    <n v="0"/>
    <n v="0"/>
  </r>
  <r>
    <s v="Regular"/>
    <x v="0"/>
    <x v="1"/>
    <x v="1"/>
    <x v="0"/>
    <x v="1"/>
    <x v="0"/>
    <x v="2"/>
    <x v="4"/>
    <n v="9733"/>
    <n v="4866.5"/>
    <n v="0"/>
    <n v="0"/>
    <n v="0"/>
    <n v="0"/>
    <n v="5"/>
    <x v="1"/>
    <n v="0"/>
    <n v="6"/>
    <n v="0"/>
    <n v="0"/>
    <n v="19.32"/>
    <n v="0"/>
    <n v="0"/>
    <n v="16.680041929169654"/>
    <m/>
    <m/>
    <n v="94020.78"/>
    <n v="0"/>
    <n v="0"/>
    <n v="81173.424048304121"/>
    <n v="0"/>
    <n v="0"/>
  </r>
  <r>
    <s v="Regular"/>
    <x v="0"/>
    <x v="1"/>
    <x v="1"/>
    <x v="0"/>
    <x v="1"/>
    <x v="0"/>
    <x v="2"/>
    <x v="5"/>
    <n v="9787"/>
    <n v="4893.5"/>
    <n v="0"/>
    <n v="0"/>
    <n v="0"/>
    <n v="0"/>
    <n v="5"/>
    <x v="1"/>
    <n v="0"/>
    <n v="6"/>
    <n v="0"/>
    <n v="0"/>
    <n v="19.32"/>
    <n v="0"/>
    <n v="0"/>
    <n v="16.680041929169654"/>
    <m/>
    <m/>
    <n v="94542.42"/>
    <n v="0"/>
    <n v="0"/>
    <n v="81623.7851803917"/>
    <n v="0"/>
    <n v="0"/>
  </r>
  <r>
    <s v="Regular"/>
    <x v="0"/>
    <x v="1"/>
    <x v="1"/>
    <x v="0"/>
    <x v="1"/>
    <x v="0"/>
    <x v="2"/>
    <x v="6"/>
    <n v="10337"/>
    <n v="5168.5"/>
    <n v="0"/>
    <n v="0"/>
    <n v="0"/>
    <n v="0"/>
    <n v="6"/>
    <x v="1"/>
    <n v="0"/>
    <n v="6"/>
    <n v="0"/>
    <n v="0"/>
    <n v="19.32"/>
    <n v="0"/>
    <n v="0"/>
    <n v="16.680041929169654"/>
    <m/>
    <m/>
    <n v="99855.42"/>
    <n v="0"/>
    <n v="0"/>
    <n v="86210.796710913361"/>
    <n v="0"/>
    <n v="0"/>
  </r>
  <r>
    <s v="Regular"/>
    <x v="0"/>
    <x v="1"/>
    <x v="1"/>
    <x v="0"/>
    <x v="1"/>
    <x v="0"/>
    <x v="2"/>
    <x v="7"/>
    <n v="10370"/>
    <n v="5185"/>
    <n v="0"/>
    <n v="0"/>
    <n v="0"/>
    <n v="0"/>
    <n v="6"/>
    <x v="1"/>
    <n v="0"/>
    <n v="6"/>
    <n v="0"/>
    <n v="0"/>
    <n v="19.32"/>
    <n v="0"/>
    <n v="0"/>
    <n v="16.680041929169654"/>
    <m/>
    <m/>
    <n v="100174.2"/>
    <n v="0"/>
    <n v="0"/>
    <n v="86486.017402744663"/>
    <n v="0"/>
    <n v="0"/>
  </r>
  <r>
    <s v="Regular"/>
    <x v="0"/>
    <x v="1"/>
    <x v="1"/>
    <x v="0"/>
    <x v="1"/>
    <x v="0"/>
    <x v="2"/>
    <x v="8"/>
    <n v="10222"/>
    <n v="5111"/>
    <n v="0"/>
    <n v="0"/>
    <n v="0"/>
    <n v="0"/>
    <n v="6"/>
    <x v="1"/>
    <n v="0"/>
    <n v="6"/>
    <n v="0"/>
    <n v="0"/>
    <n v="19.32"/>
    <n v="0"/>
    <n v="0"/>
    <n v="16.680041929169654"/>
    <m/>
    <m/>
    <n v="98744.52"/>
    <n v="0"/>
    <n v="0"/>
    <n v="85251.694299986106"/>
    <n v="0"/>
    <n v="0"/>
  </r>
  <r>
    <s v="Regular"/>
    <x v="0"/>
    <x v="1"/>
    <x v="1"/>
    <x v="0"/>
    <x v="1"/>
    <x v="0"/>
    <x v="2"/>
    <x v="9"/>
    <n v="10132"/>
    <n v="5066"/>
    <n v="0"/>
    <n v="0"/>
    <n v="0"/>
    <n v="0"/>
    <n v="6"/>
    <x v="1"/>
    <n v="0"/>
    <n v="6"/>
    <n v="0"/>
    <n v="0"/>
    <n v="19.32"/>
    <n v="0"/>
    <n v="0"/>
    <n v="16.680041929169654"/>
    <m/>
    <m/>
    <n v="97875.12"/>
    <n v="0"/>
    <n v="0"/>
    <n v="84501.092413173465"/>
    <n v="0"/>
    <n v="0"/>
  </r>
  <r>
    <s v="Regular"/>
    <x v="0"/>
    <x v="1"/>
    <x v="1"/>
    <x v="0"/>
    <x v="1"/>
    <x v="0"/>
    <x v="2"/>
    <x v="10"/>
    <n v="10313"/>
    <n v="5156.5"/>
    <n v="0"/>
    <n v="0"/>
    <n v="0"/>
    <n v="0"/>
    <n v="6"/>
    <x v="1"/>
    <n v="0"/>
    <n v="6"/>
    <n v="0"/>
    <n v="0"/>
    <n v="19.32"/>
    <n v="0"/>
    <n v="0"/>
    <n v="16.680041929169654"/>
    <m/>
    <m/>
    <n v="99623.58"/>
    <n v="0"/>
    <n v="0"/>
    <n v="86010.636207763324"/>
    <n v="0"/>
    <n v="0"/>
  </r>
  <r>
    <s v="PROJETADO"/>
    <x v="0"/>
    <x v="1"/>
    <x v="1"/>
    <x v="0"/>
    <x v="1"/>
    <x v="0"/>
    <x v="2"/>
    <x v="11"/>
    <n v="10313"/>
    <n v="5156.5"/>
    <n v="0"/>
    <n v="0"/>
    <n v="0"/>
    <n v="0"/>
    <n v="6"/>
    <x v="1"/>
    <n v="0"/>
    <n v="6"/>
    <n v="0"/>
    <n v="0"/>
    <n v="19.32"/>
    <n v="0"/>
    <n v="0"/>
    <n v="16.680041929169654"/>
    <m/>
    <m/>
    <n v="99623.58"/>
    <n v="0"/>
    <n v="0"/>
    <n v="86010.636207763324"/>
    <n v="0"/>
    <n v="0"/>
  </r>
  <r>
    <s v="Regular"/>
    <x v="0"/>
    <x v="1"/>
    <x v="1"/>
    <x v="0"/>
    <x v="1"/>
    <x v="0"/>
    <x v="1"/>
    <x v="0"/>
    <n v="0"/>
    <n v="0"/>
    <n v="165.279"/>
    <n v="82.639499999999998"/>
    <n v="0"/>
    <n v="0"/>
    <n v="0"/>
    <x v="1"/>
    <n v="0"/>
    <n v="0"/>
    <n v="7"/>
    <n v="0"/>
    <n v="0"/>
    <n v="948.15"/>
    <n v="0"/>
    <m/>
    <n v="976.42305228824534"/>
    <m/>
    <n v="0"/>
    <n v="78354.641925000004"/>
    <n v="0"/>
    <n v="0"/>
    <n v="80691.112829574457"/>
    <n v="0"/>
  </r>
  <r>
    <s v="Regular"/>
    <x v="0"/>
    <x v="1"/>
    <x v="1"/>
    <x v="0"/>
    <x v="1"/>
    <x v="0"/>
    <x v="1"/>
    <x v="1"/>
    <n v="0"/>
    <n v="0"/>
    <n v="201.74299999999999"/>
    <n v="100.8715"/>
    <n v="0"/>
    <n v="0"/>
    <n v="0"/>
    <x v="1"/>
    <n v="0"/>
    <n v="0"/>
    <n v="7"/>
    <n v="0"/>
    <n v="0"/>
    <n v="948.15"/>
    <n v="0"/>
    <m/>
    <n v="976.42305228824534"/>
    <m/>
    <n v="0"/>
    <n v="95641.312724999996"/>
    <n v="0"/>
    <n v="0"/>
    <n v="98493.257918893738"/>
    <n v="0"/>
  </r>
  <r>
    <s v="Regular"/>
    <x v="0"/>
    <x v="1"/>
    <x v="1"/>
    <x v="0"/>
    <x v="1"/>
    <x v="0"/>
    <x v="1"/>
    <x v="2"/>
    <n v="0"/>
    <n v="0"/>
    <n v="244.71199999999999"/>
    <n v="122.35599999999999"/>
    <n v="0"/>
    <n v="0"/>
    <n v="0"/>
    <x v="1"/>
    <n v="0"/>
    <n v="0"/>
    <n v="7"/>
    <n v="0"/>
    <n v="0"/>
    <n v="948.15"/>
    <n v="0"/>
    <m/>
    <n v="976.42305228824534"/>
    <m/>
    <n v="0"/>
    <n v="116011.84139999999"/>
    <n v="0"/>
    <n v="0"/>
    <n v="119471.21898578054"/>
    <n v="0"/>
  </r>
  <r>
    <s v="Regular"/>
    <x v="0"/>
    <x v="1"/>
    <x v="1"/>
    <x v="0"/>
    <x v="1"/>
    <x v="0"/>
    <x v="1"/>
    <x v="3"/>
    <n v="0"/>
    <n v="0"/>
    <n v="259.11500000000001"/>
    <n v="129.5575"/>
    <n v="0"/>
    <n v="0"/>
    <n v="0"/>
    <x v="1"/>
    <n v="0"/>
    <n v="0"/>
    <n v="7"/>
    <n v="0"/>
    <n v="0"/>
    <n v="948.15"/>
    <n v="0"/>
    <m/>
    <n v="976.42305228824534"/>
    <m/>
    <n v="0"/>
    <n v="122839.943625"/>
    <n v="0"/>
    <n v="0"/>
    <n v="126502.92959683435"/>
    <n v="0"/>
  </r>
  <r>
    <s v="Regular"/>
    <x v="0"/>
    <x v="1"/>
    <x v="1"/>
    <x v="0"/>
    <x v="1"/>
    <x v="0"/>
    <x v="1"/>
    <x v="4"/>
    <n v="0"/>
    <n v="0"/>
    <n v="251.54400000000001"/>
    <n v="125.77200000000001"/>
    <n v="0"/>
    <n v="0"/>
    <n v="0"/>
    <x v="1"/>
    <n v="0"/>
    <n v="0"/>
    <n v="7"/>
    <n v="0"/>
    <n v="0"/>
    <n v="948.15"/>
    <n v="0"/>
    <m/>
    <n v="976.42305228824534"/>
    <m/>
    <n v="0"/>
    <n v="119250.7218"/>
    <n v="0"/>
    <n v="0"/>
    <n v="122806.6801323972"/>
    <n v="0"/>
  </r>
  <r>
    <s v="Regular"/>
    <x v="0"/>
    <x v="1"/>
    <x v="1"/>
    <x v="0"/>
    <x v="1"/>
    <x v="0"/>
    <x v="1"/>
    <x v="5"/>
    <n v="0"/>
    <n v="0"/>
    <n v="245.708"/>
    <n v="122.854"/>
    <n v="0"/>
    <n v="0"/>
    <n v="0"/>
    <x v="1"/>
    <n v="0"/>
    <n v="0"/>
    <n v="7"/>
    <n v="0"/>
    <n v="0"/>
    <n v="948.15"/>
    <n v="0"/>
    <m/>
    <n v="976.42305228824534"/>
    <m/>
    <n v="0"/>
    <n v="116484.02009999999"/>
    <n v="0"/>
    <n v="0"/>
    <n v="119957.47766582009"/>
    <n v="0"/>
  </r>
  <r>
    <s v="Regular"/>
    <x v="0"/>
    <x v="1"/>
    <x v="1"/>
    <x v="0"/>
    <x v="1"/>
    <x v="0"/>
    <x v="1"/>
    <x v="6"/>
    <n v="0"/>
    <n v="0"/>
    <n v="267.46600000000001"/>
    <n v="133.733"/>
    <n v="0"/>
    <n v="0"/>
    <n v="0"/>
    <x v="1"/>
    <n v="0"/>
    <n v="0"/>
    <n v="7"/>
    <n v="0"/>
    <n v="0"/>
    <n v="948.15"/>
    <n v="0"/>
    <m/>
    <n v="976.42305228824534"/>
    <m/>
    <n v="0"/>
    <n v="126798.94395"/>
    <n v="0"/>
    <n v="0"/>
    <n v="130579.98405166392"/>
    <n v="0"/>
  </r>
  <r>
    <s v="Regular"/>
    <x v="0"/>
    <x v="1"/>
    <x v="1"/>
    <x v="0"/>
    <x v="1"/>
    <x v="0"/>
    <x v="1"/>
    <x v="7"/>
    <n v="0"/>
    <n v="0"/>
    <n v="252.32900000000001"/>
    <n v="126.1645"/>
    <n v="0"/>
    <n v="0"/>
    <n v="0"/>
    <x v="1"/>
    <n v="0"/>
    <n v="0"/>
    <n v="7"/>
    <n v="0"/>
    <n v="0"/>
    <n v="948.15"/>
    <n v="0"/>
    <m/>
    <n v="976.42305228824534"/>
    <m/>
    <n v="0"/>
    <n v="119622.870675"/>
    <n v="0"/>
    <n v="0"/>
    <n v="123189.92618042033"/>
    <n v="0"/>
  </r>
  <r>
    <s v="Regular"/>
    <x v="0"/>
    <x v="1"/>
    <x v="1"/>
    <x v="0"/>
    <x v="1"/>
    <x v="0"/>
    <x v="1"/>
    <x v="8"/>
    <n v="0"/>
    <n v="0"/>
    <n v="256.38400000000001"/>
    <n v="128.19200000000001"/>
    <n v="0"/>
    <n v="0"/>
    <n v="0"/>
    <x v="1"/>
    <n v="0"/>
    <n v="0"/>
    <n v="7"/>
    <n v="0"/>
    <n v="0"/>
    <n v="948.15"/>
    <n v="0"/>
    <m/>
    <n v="976.42305228824534"/>
    <m/>
    <n v="0"/>
    <n v="121545.2448"/>
    <n v="0"/>
    <n v="0"/>
    <n v="125169.62391893475"/>
    <n v="0"/>
  </r>
  <r>
    <s v="Regular"/>
    <x v="0"/>
    <x v="1"/>
    <x v="1"/>
    <x v="0"/>
    <x v="1"/>
    <x v="0"/>
    <x v="1"/>
    <x v="9"/>
    <n v="0"/>
    <n v="0"/>
    <n v="242.602"/>
    <n v="121.301"/>
    <n v="0"/>
    <n v="0"/>
    <n v="0"/>
    <x v="1"/>
    <n v="0"/>
    <n v="0"/>
    <n v="7"/>
    <n v="0"/>
    <n v="0"/>
    <n v="948.15"/>
    <n v="0"/>
    <m/>
    <n v="976.42305228824534"/>
    <m/>
    <n v="0"/>
    <n v="115011.54315"/>
    <n v="0"/>
    <n v="0"/>
    <n v="118441.09266561645"/>
    <n v="0"/>
  </r>
  <r>
    <s v="Regular"/>
    <x v="0"/>
    <x v="1"/>
    <x v="1"/>
    <x v="0"/>
    <x v="1"/>
    <x v="0"/>
    <x v="1"/>
    <x v="10"/>
    <n v="0"/>
    <n v="0"/>
    <n v="257.65499999999997"/>
    <n v="128.82749999999999"/>
    <n v="0"/>
    <n v="0"/>
    <n v="0"/>
    <x v="1"/>
    <n v="0"/>
    <n v="0"/>
    <n v="7"/>
    <n v="0"/>
    <n v="0"/>
    <n v="948.15"/>
    <n v="0"/>
    <m/>
    <n v="976.42305228824534"/>
    <m/>
    <n v="0"/>
    <n v="122147.79412499999"/>
    <n v="0"/>
    <n v="0"/>
    <n v="125790.14076866391"/>
    <n v="0"/>
  </r>
  <r>
    <s v="PROJETADO"/>
    <x v="0"/>
    <x v="1"/>
    <x v="1"/>
    <x v="0"/>
    <x v="1"/>
    <x v="0"/>
    <x v="1"/>
    <x v="11"/>
    <n v="0"/>
    <n v="0"/>
    <n v="257.65499999999997"/>
    <n v="128.82749999999999"/>
    <n v="0"/>
    <n v="0"/>
    <n v="0"/>
    <x v="1"/>
    <n v="0"/>
    <n v="0"/>
    <n v="7"/>
    <n v="0"/>
    <n v="0"/>
    <n v="948.15"/>
    <n v="0"/>
    <m/>
    <n v="976.42305228824534"/>
    <m/>
    <n v="0"/>
    <n v="122147.79412499999"/>
    <n v="0"/>
    <n v="0"/>
    <n v="125790.14076866391"/>
    <n v="0"/>
  </r>
  <r>
    <s v="Regular"/>
    <x v="0"/>
    <x v="1"/>
    <x v="1"/>
    <x v="0"/>
    <x v="0"/>
    <x v="0"/>
    <x v="0"/>
    <x v="0"/>
    <n v="0"/>
    <n v="0"/>
    <n v="1216.633"/>
    <n v="1216.633"/>
    <n v="1216.633"/>
    <n v="1216.633"/>
    <n v="0"/>
    <x v="0"/>
    <n v="0"/>
    <n v="0"/>
    <n v="8"/>
    <n v="49"/>
    <n v="0"/>
    <n v="65.61"/>
    <n v="263.29000000000002"/>
    <m/>
    <n v="100.34646310857573"/>
    <n v="210.64397598313801"/>
    <n v="0"/>
    <n v="79823.291129999998"/>
    <n v="320327.30257000006"/>
    <n v="0"/>
    <n v="122084.81845117583"/>
    <n v="256276.41243229315"/>
  </r>
  <r>
    <s v="Sistema de Compensação"/>
    <x v="0"/>
    <x v="1"/>
    <x v="1"/>
    <x v="0"/>
    <x v="0"/>
    <x v="0"/>
    <x v="0"/>
    <x v="0"/>
    <n v="0"/>
    <n v="0"/>
    <n v="19.672000000000001"/>
    <n v="19.672000000000001"/>
    <n v="19.672000000000001"/>
    <n v="19.672000000000001"/>
    <n v="0"/>
    <x v="0"/>
    <n v="0"/>
    <n v="0"/>
    <n v="8"/>
    <n v="49"/>
    <n v="0"/>
    <n v="65.61"/>
    <n v="263.29000000000002"/>
    <m/>
    <n v="100.34646310857573"/>
    <n v="210.64397598313801"/>
    <n v="0"/>
    <n v="1290.67992"/>
    <n v="5179.4408800000001"/>
    <n v="0"/>
    <n v="1974.015622271902"/>
    <n v="4143.7882955402911"/>
  </r>
  <r>
    <s v="Regular"/>
    <x v="0"/>
    <x v="1"/>
    <x v="1"/>
    <x v="0"/>
    <x v="0"/>
    <x v="0"/>
    <x v="0"/>
    <x v="1"/>
    <n v="0"/>
    <n v="0"/>
    <n v="737.26400000000001"/>
    <n v="737.26400000000001"/>
    <n v="737.26400000000001"/>
    <n v="737.26400000000001"/>
    <n v="0"/>
    <x v="0"/>
    <n v="0"/>
    <n v="0"/>
    <n v="8"/>
    <n v="49"/>
    <n v="0"/>
    <n v="65.61"/>
    <n v="263.29000000000002"/>
    <m/>
    <n v="100.34646310857573"/>
    <n v="210.64397598313801"/>
    <n v="0"/>
    <n v="48371.891040000002"/>
    <n v="194114.23856000003"/>
    <n v="0"/>
    <n v="73981.834777280979"/>
    <n v="155300.22030923227"/>
  </r>
  <r>
    <s v="Sistema de Compensação"/>
    <x v="0"/>
    <x v="1"/>
    <x v="1"/>
    <x v="0"/>
    <x v="0"/>
    <x v="0"/>
    <x v="0"/>
    <x v="1"/>
    <n v="0"/>
    <n v="0"/>
    <n v="19.667000000000002"/>
    <n v="19.667000000000002"/>
    <n v="19.667000000000002"/>
    <n v="19.667000000000002"/>
    <n v="0"/>
    <x v="0"/>
    <n v="0"/>
    <n v="0"/>
    <n v="8"/>
    <n v="49"/>
    <n v="0"/>
    <n v="65.61"/>
    <n v="263.29000000000002"/>
    <m/>
    <n v="100.34646310857573"/>
    <n v="210.64397598313801"/>
    <n v="0"/>
    <n v="1290.3518700000002"/>
    <n v="5178.1244300000008"/>
    <n v="0"/>
    <n v="1973.5138899563592"/>
    <n v="4142.7350756603755"/>
  </r>
  <r>
    <s v="Regular"/>
    <x v="0"/>
    <x v="1"/>
    <x v="1"/>
    <x v="0"/>
    <x v="0"/>
    <x v="0"/>
    <x v="0"/>
    <x v="2"/>
    <n v="0"/>
    <n v="0"/>
    <n v="535.947"/>
    <n v="535.947"/>
    <n v="535.947"/>
    <n v="535.947"/>
    <n v="0"/>
    <x v="0"/>
    <n v="0"/>
    <n v="0"/>
    <n v="8"/>
    <n v="49"/>
    <n v="0"/>
    <n v="65.61"/>
    <n v="263.29000000000002"/>
    <m/>
    <n v="100.34646310857573"/>
    <n v="210.64397598313801"/>
    <n v="0"/>
    <n v="35163.482669999998"/>
    <n v="141109.48563000001"/>
    <n v="0"/>
    <n v="53780.385863651842"/>
    <n v="112894.00699623486"/>
  </r>
  <r>
    <s v="Sistema de Compensação"/>
    <x v="0"/>
    <x v="1"/>
    <x v="1"/>
    <x v="0"/>
    <x v="0"/>
    <x v="0"/>
    <x v="0"/>
    <x v="2"/>
    <n v="0"/>
    <n v="0"/>
    <n v="27.774000000000001"/>
    <n v="27.774000000000001"/>
    <n v="27.774000000000001"/>
    <n v="27.774000000000001"/>
    <n v="0"/>
    <x v="0"/>
    <n v="0"/>
    <n v="0"/>
    <n v="8"/>
    <n v="49"/>
    <n v="0"/>
    <n v="65.61"/>
    <n v="263.29000000000002"/>
    <m/>
    <n v="100.34646310857573"/>
    <n v="210.64397598313801"/>
    <n v="0"/>
    <n v="1822.2521400000001"/>
    <n v="7312.6164600000011"/>
    <n v="0"/>
    <n v="2787.0226663775825"/>
    <n v="5850.4257889556748"/>
  </r>
  <r>
    <s v="Regular"/>
    <x v="0"/>
    <x v="1"/>
    <x v="1"/>
    <x v="0"/>
    <x v="0"/>
    <x v="0"/>
    <x v="0"/>
    <x v="3"/>
    <n v="0"/>
    <n v="0"/>
    <n v="578.35299999999995"/>
    <n v="578.35299999999995"/>
    <n v="578.35299999999995"/>
    <n v="578.35299999999995"/>
    <n v="0"/>
    <x v="0"/>
    <n v="0"/>
    <n v="0"/>
    <n v="8"/>
    <n v="49"/>
    <n v="0"/>
    <n v="65.61"/>
    <n v="263.29000000000002"/>
    <m/>
    <n v="100.34646310857573"/>
    <n v="210.64397598313801"/>
    <n v="0"/>
    <n v="37945.740329999993"/>
    <n v="152274.56137000001"/>
    <n v="0"/>
    <n v="58035.677978234096"/>
    <n v="121826.5754417758"/>
  </r>
  <r>
    <s v="Sistema de Compensação"/>
    <x v="0"/>
    <x v="1"/>
    <x v="1"/>
    <x v="0"/>
    <x v="0"/>
    <x v="0"/>
    <x v="0"/>
    <x v="3"/>
    <n v="0"/>
    <n v="0"/>
    <n v="52.45"/>
    <n v="52.45"/>
    <n v="52.45"/>
    <n v="52.45"/>
    <n v="0"/>
    <x v="0"/>
    <n v="0"/>
    <n v="0"/>
    <n v="8"/>
    <n v="49"/>
    <n v="0"/>
    <n v="65.61"/>
    <n v="263.29000000000002"/>
    <m/>
    <n v="100.34646310857573"/>
    <n v="210.64397598313801"/>
    <n v="0"/>
    <n v="3441.2445000000002"/>
    <n v="13809.560500000001"/>
    <n v="0"/>
    <n v="5263.1719900447979"/>
    <n v="11048.276540315588"/>
  </r>
  <r>
    <s v="Regular"/>
    <x v="0"/>
    <x v="1"/>
    <x v="1"/>
    <x v="0"/>
    <x v="0"/>
    <x v="0"/>
    <x v="0"/>
    <x v="4"/>
    <n v="0"/>
    <n v="0"/>
    <n v="572.12699999999995"/>
    <n v="572.12699999999995"/>
    <n v="572.12699999999995"/>
    <n v="572.12699999999995"/>
    <n v="0"/>
    <x v="0"/>
    <n v="0"/>
    <n v="0"/>
    <n v="8"/>
    <n v="49"/>
    <n v="0"/>
    <n v="65.61"/>
    <n v="263.29000000000002"/>
    <m/>
    <n v="100.34646310857573"/>
    <n v="210.64397598313801"/>
    <n v="0"/>
    <n v="37537.252469999999"/>
    <n v="150635.31782999999"/>
    <n v="0"/>
    <n v="57410.920898920107"/>
    <n v="120515.10604730478"/>
  </r>
  <r>
    <s v="Sistema de Compensação"/>
    <x v="0"/>
    <x v="1"/>
    <x v="1"/>
    <x v="0"/>
    <x v="0"/>
    <x v="0"/>
    <x v="0"/>
    <x v="4"/>
    <n v="0"/>
    <n v="0"/>
    <n v="19.739000000000001"/>
    <n v="19.739000000000001"/>
    <n v="19.739000000000001"/>
    <n v="19.739000000000001"/>
    <n v="0"/>
    <x v="0"/>
    <n v="0"/>
    <n v="0"/>
    <n v="8"/>
    <n v="49"/>
    <n v="0"/>
    <n v="65.61"/>
    <n v="263.29000000000002"/>
    <m/>
    <n v="100.34646310857573"/>
    <n v="210.64397598313801"/>
    <n v="0"/>
    <n v="1295.0757900000001"/>
    <n v="5197.0813100000005"/>
    <n v="0"/>
    <n v="1980.7388353001766"/>
    <n v="4157.9014419311616"/>
  </r>
  <r>
    <s v="Regular"/>
    <x v="0"/>
    <x v="1"/>
    <x v="1"/>
    <x v="0"/>
    <x v="0"/>
    <x v="0"/>
    <x v="0"/>
    <x v="5"/>
    <n v="0"/>
    <n v="0"/>
    <n v="567.31200000000001"/>
    <n v="567.31200000000001"/>
    <n v="567.31200000000001"/>
    <n v="567.31200000000001"/>
    <n v="0"/>
    <x v="0"/>
    <n v="0"/>
    <n v="0"/>
    <n v="8"/>
    <n v="49"/>
    <n v="0"/>
    <n v="65.61"/>
    <n v="263.29000000000002"/>
    <m/>
    <n v="100.34646310857573"/>
    <n v="210.64397598313801"/>
    <n v="0"/>
    <n v="37221.340320000003"/>
    <n v="149367.57648000002"/>
    <n v="0"/>
    <n v="56927.752679052319"/>
    <n v="119500.85530294599"/>
  </r>
  <r>
    <s v="Sistema de Compensação"/>
    <x v="0"/>
    <x v="1"/>
    <x v="1"/>
    <x v="0"/>
    <x v="0"/>
    <x v="0"/>
    <x v="0"/>
    <x v="5"/>
    <n v="0"/>
    <n v="0"/>
    <n v="28.971"/>
    <n v="28.971"/>
    <n v="28.971"/>
    <n v="28.971"/>
    <n v="0"/>
    <x v="0"/>
    <n v="0"/>
    <n v="0"/>
    <n v="8"/>
    <n v="49"/>
    <n v="0"/>
    <n v="65.61"/>
    <n v="263.29000000000002"/>
    <m/>
    <n v="100.34646310857573"/>
    <n v="210.64397598313801"/>
    <n v="0"/>
    <n v="1900.7873099999999"/>
    <n v="7627.7745900000009"/>
    <n v="0"/>
    <n v="2907.1373827185475"/>
    <n v="6102.5666282074908"/>
  </r>
  <r>
    <s v="Regular"/>
    <x v="0"/>
    <x v="1"/>
    <x v="1"/>
    <x v="0"/>
    <x v="0"/>
    <x v="0"/>
    <x v="0"/>
    <x v="6"/>
    <n v="0"/>
    <n v="0"/>
    <n v="435.51400000000001"/>
    <n v="435.51400000000001"/>
    <n v="435.51400000000001"/>
    <n v="435.51400000000001"/>
    <n v="0"/>
    <x v="0"/>
    <n v="0"/>
    <n v="0"/>
    <n v="8"/>
    <n v="49"/>
    <n v="0"/>
    <n v="65.61"/>
    <n v="263.29000000000002"/>
    <m/>
    <n v="100.34646310857573"/>
    <n v="210.64397598313801"/>
    <n v="0"/>
    <n v="28574.073540000001"/>
    <n v="114666.48106000001"/>
    <n v="0"/>
    <n v="43702.289534268253"/>
    <n v="91738.400556320368"/>
  </r>
  <r>
    <s v="Sistema de Compensação"/>
    <x v="0"/>
    <x v="1"/>
    <x v="1"/>
    <x v="0"/>
    <x v="0"/>
    <x v="0"/>
    <x v="0"/>
    <x v="6"/>
    <n v="0"/>
    <n v="0"/>
    <n v="28.448"/>
    <n v="28.448"/>
    <n v="28.448"/>
    <n v="28.448"/>
    <n v="0"/>
    <x v="0"/>
    <n v="0"/>
    <n v="0"/>
    <n v="8"/>
    <n v="49"/>
    <n v="0"/>
    <n v="65.61"/>
    <n v="263.29000000000002"/>
    <m/>
    <n v="100.34646310857573"/>
    <n v="210.64397598313801"/>
    <n v="0"/>
    <n v="1866.4732799999999"/>
    <n v="7490.0739200000007"/>
    <n v="0"/>
    <n v="2854.6561825127624"/>
    <n v="5992.3998287683098"/>
  </r>
  <r>
    <s v="Regular"/>
    <x v="0"/>
    <x v="1"/>
    <x v="1"/>
    <x v="0"/>
    <x v="0"/>
    <x v="0"/>
    <x v="0"/>
    <x v="7"/>
    <n v="0"/>
    <n v="0"/>
    <n v="389.58300000000003"/>
    <n v="389.58300000000003"/>
    <n v="389.58300000000003"/>
    <n v="389.58300000000003"/>
    <n v="0"/>
    <x v="0"/>
    <n v="0"/>
    <n v="0"/>
    <n v="8"/>
    <n v="49"/>
    <n v="0"/>
    <n v="65.61"/>
    <n v="263.29000000000002"/>
    <m/>
    <n v="100.34646310857573"/>
    <n v="210.64397598313801"/>
    <n v="0"/>
    <n v="25560.540630000003"/>
    <n v="102573.30807000001"/>
    <n v="0"/>
    <n v="39093.276137228262"/>
    <n v="82063.312095438858"/>
  </r>
  <r>
    <s v="Sistema de Compensação"/>
    <x v="0"/>
    <x v="1"/>
    <x v="1"/>
    <x v="0"/>
    <x v="0"/>
    <x v="0"/>
    <x v="0"/>
    <x v="7"/>
    <n v="0"/>
    <n v="0"/>
    <n v="36.752000000000002"/>
    <n v="36.752000000000002"/>
    <n v="36.752000000000002"/>
    <n v="36.752000000000002"/>
    <n v="0"/>
    <x v="0"/>
    <n v="0"/>
    <n v="0"/>
    <n v="8"/>
    <n v="49"/>
    <n v="0"/>
    <n v="65.61"/>
    <n v="263.29000000000002"/>
    <m/>
    <n v="100.34646310857573"/>
    <n v="210.64397598313801"/>
    <n v="0"/>
    <n v="2411.2987200000002"/>
    <n v="9676.4340800000009"/>
    <n v="0"/>
    <n v="3687.9332121663756"/>
    <n v="7741.5874053322887"/>
  </r>
  <r>
    <s v="Regular"/>
    <x v="0"/>
    <x v="1"/>
    <x v="1"/>
    <x v="0"/>
    <x v="0"/>
    <x v="0"/>
    <x v="0"/>
    <x v="8"/>
    <n v="0"/>
    <n v="0"/>
    <n v="402.30700000000002"/>
    <n v="402.30700000000002"/>
    <n v="402.30700000000002"/>
    <n v="402.30700000000002"/>
    <n v="0"/>
    <x v="0"/>
    <n v="0"/>
    <n v="0"/>
    <n v="8"/>
    <n v="49"/>
    <n v="0"/>
    <n v="65.61"/>
    <n v="263.29000000000002"/>
    <m/>
    <n v="100.34646310857573"/>
    <n v="210.64397598313801"/>
    <n v="0"/>
    <n v="26395.362270000001"/>
    <n v="105923.41003000001"/>
    <n v="0"/>
    <n v="40370.084533821777"/>
    <n v="84743.546045848299"/>
  </r>
  <r>
    <s v="Sistema de Compensação"/>
    <x v="0"/>
    <x v="1"/>
    <x v="1"/>
    <x v="0"/>
    <x v="0"/>
    <x v="0"/>
    <x v="0"/>
    <x v="8"/>
    <n v="0"/>
    <n v="0"/>
    <n v="41.837000000000003"/>
    <n v="41.837000000000003"/>
    <n v="41.837000000000003"/>
    <n v="41.837000000000003"/>
    <n v="0"/>
    <x v="0"/>
    <n v="0"/>
    <n v="0"/>
    <n v="8"/>
    <n v="49"/>
    <n v="0"/>
    <n v="65.61"/>
    <n v="263.29000000000002"/>
    <m/>
    <n v="100.34646310857573"/>
    <n v="210.64397598313801"/>
    <n v="0"/>
    <n v="2744.9255700000003"/>
    <n v="11015.263730000002"/>
    <n v="0"/>
    <n v="4198.1949770734836"/>
    <n v="8812.7120232065463"/>
  </r>
  <r>
    <s v="Regular"/>
    <x v="0"/>
    <x v="1"/>
    <x v="1"/>
    <x v="0"/>
    <x v="0"/>
    <x v="0"/>
    <x v="0"/>
    <x v="9"/>
    <n v="0"/>
    <n v="0"/>
    <n v="396.483"/>
    <n v="396.483"/>
    <n v="396.483"/>
    <n v="396.483"/>
    <n v="0"/>
    <x v="0"/>
    <n v="0"/>
    <n v="0"/>
    <n v="8"/>
    <n v="49"/>
    <n v="0"/>
    <n v="65.61"/>
    <n v="263.29000000000002"/>
    <m/>
    <n v="100.34646310857573"/>
    <n v="210.64397598313801"/>
    <n v="0"/>
    <n v="26013.249629999998"/>
    <n v="104390.00907000001"/>
    <n v="0"/>
    <n v="39785.666732677433"/>
    <n v="83516.755529722504"/>
  </r>
  <r>
    <s v="Sistema de Compensação"/>
    <x v="0"/>
    <x v="1"/>
    <x v="1"/>
    <x v="0"/>
    <x v="0"/>
    <x v="0"/>
    <x v="0"/>
    <x v="9"/>
    <n v="0"/>
    <n v="0"/>
    <n v="39.941000000000003"/>
    <n v="39.941000000000003"/>
    <n v="39.941000000000003"/>
    <n v="39.941000000000003"/>
    <n v="0"/>
    <x v="0"/>
    <n v="0"/>
    <n v="0"/>
    <n v="8"/>
    <n v="49"/>
    <n v="0"/>
    <n v="65.61"/>
    <n v="263.29000000000002"/>
    <m/>
    <n v="100.34646310857573"/>
    <n v="210.64397598313801"/>
    <n v="0"/>
    <n v="2620.5290100000002"/>
    <n v="10516.065890000002"/>
    <n v="0"/>
    <n v="4007.9380830196237"/>
    <n v="8413.3310447425156"/>
  </r>
  <r>
    <s v="Regular"/>
    <x v="0"/>
    <x v="1"/>
    <x v="1"/>
    <x v="0"/>
    <x v="0"/>
    <x v="0"/>
    <x v="0"/>
    <x v="10"/>
    <n v="0"/>
    <n v="0"/>
    <n v="460.94200000000001"/>
    <n v="460.94200000000001"/>
    <n v="460.94200000000001"/>
    <n v="460.94200000000001"/>
    <n v="0"/>
    <x v="0"/>
    <n v="0"/>
    <n v="0"/>
    <n v="8"/>
    <n v="49"/>
    <n v="0"/>
    <n v="65.61"/>
    <n v="263.29000000000002"/>
    <m/>
    <n v="100.34646310857573"/>
    <n v="210.64397598313801"/>
    <n v="0"/>
    <n v="30242.404620000001"/>
    <n v="121361.41918000001"/>
    <n v="0"/>
    <n v="46253.89939819312"/>
    <n v="97094.655577619604"/>
  </r>
  <r>
    <s v="Sistema de Compensação"/>
    <x v="0"/>
    <x v="1"/>
    <x v="1"/>
    <x v="0"/>
    <x v="0"/>
    <x v="0"/>
    <x v="0"/>
    <x v="10"/>
    <n v="0"/>
    <n v="0"/>
    <n v="49.756"/>
    <n v="49.756"/>
    <n v="49.756"/>
    <n v="49.756"/>
    <n v="0"/>
    <x v="0"/>
    <n v="0"/>
    <n v="0"/>
    <n v="8"/>
    <n v="49"/>
    <n v="0"/>
    <n v="65.61"/>
    <n v="263.29000000000002"/>
    <m/>
    <n v="100.34646310857573"/>
    <n v="210.64397598313801"/>
    <n v="0"/>
    <n v="3264.49116"/>
    <n v="13100.257240000001"/>
    <n v="0"/>
    <n v="4992.8386184302944"/>
    <n v="10480.801669017015"/>
  </r>
  <r>
    <s v="Regular"/>
    <x v="0"/>
    <x v="1"/>
    <x v="1"/>
    <x v="0"/>
    <x v="0"/>
    <x v="0"/>
    <x v="0"/>
    <x v="11"/>
    <n v="0"/>
    <n v="0"/>
    <n v="400.85599999999999"/>
    <n v="400.85599999999999"/>
    <n v="400.85599999999999"/>
    <n v="400.85599999999999"/>
    <n v="0"/>
    <x v="0"/>
    <n v="0"/>
    <n v="0"/>
    <n v="8"/>
    <n v="49"/>
    <n v="0"/>
    <n v="65.61"/>
    <n v="263.29000000000002"/>
    <m/>
    <n v="100.34646310857573"/>
    <n v="210.64397598313801"/>
    <n v="0"/>
    <n v="26300.16216"/>
    <n v="105541.37624000001"/>
    <n v="0"/>
    <n v="40224.481815851235"/>
    <n v="84437.90163669677"/>
  </r>
  <r>
    <s v="Regular"/>
    <x v="0"/>
    <x v="1"/>
    <x v="1"/>
    <x v="0"/>
    <x v="0"/>
    <x v="0"/>
    <x v="2"/>
    <x v="0"/>
    <n v="5980"/>
    <n v="5980"/>
    <n v="0"/>
    <n v="0"/>
    <n v="0"/>
    <n v="0"/>
    <n v="28"/>
    <x v="0"/>
    <n v="0"/>
    <n v="6"/>
    <n v="0"/>
    <n v="0"/>
    <n v="19.32"/>
    <n v="0"/>
    <n v="0"/>
    <n v="16.680041929169654"/>
    <m/>
    <m/>
    <n v="115533.6"/>
    <n v="0"/>
    <n v="0"/>
    <n v="99746.650736434531"/>
    <n v="0"/>
    <n v="0"/>
  </r>
  <r>
    <s v="Sistema de Compensação"/>
    <x v="0"/>
    <x v="1"/>
    <x v="1"/>
    <x v="0"/>
    <x v="0"/>
    <x v="0"/>
    <x v="2"/>
    <x v="0"/>
    <n v="300"/>
    <n v="300"/>
    <n v="0"/>
    <n v="0"/>
    <n v="0"/>
    <n v="0"/>
    <n v="1"/>
    <x v="0"/>
    <n v="0"/>
    <n v="6"/>
    <n v="0"/>
    <n v="0"/>
    <n v="19.32"/>
    <n v="0"/>
    <n v="0"/>
    <n v="16.680041929169654"/>
    <m/>
    <m/>
    <n v="5796"/>
    <n v="0"/>
    <n v="0"/>
    <n v="5004.012578750896"/>
    <n v="0"/>
    <n v="0"/>
  </r>
  <r>
    <s v="Regular"/>
    <x v="0"/>
    <x v="1"/>
    <x v="1"/>
    <x v="0"/>
    <x v="0"/>
    <x v="0"/>
    <x v="2"/>
    <x v="1"/>
    <n v="4945"/>
    <n v="4945"/>
    <n v="0"/>
    <n v="0"/>
    <n v="0"/>
    <n v="0"/>
    <n v="27"/>
    <x v="0"/>
    <n v="0"/>
    <n v="6"/>
    <n v="0"/>
    <n v="0"/>
    <n v="19.32"/>
    <n v="0"/>
    <n v="0"/>
    <n v="16.680041929169654"/>
    <m/>
    <m/>
    <n v="95537.4"/>
    <n v="0"/>
    <n v="0"/>
    <n v="82482.807339743944"/>
    <n v="0"/>
    <n v="0"/>
  </r>
  <r>
    <s v="Sistema de Compensação"/>
    <x v="0"/>
    <x v="1"/>
    <x v="1"/>
    <x v="0"/>
    <x v="0"/>
    <x v="0"/>
    <x v="2"/>
    <x v="1"/>
    <n v="300"/>
    <n v="300"/>
    <n v="0"/>
    <n v="0"/>
    <n v="0"/>
    <n v="0"/>
    <n v="1"/>
    <x v="0"/>
    <n v="0"/>
    <n v="6"/>
    <n v="0"/>
    <n v="0"/>
    <n v="19.32"/>
    <n v="0"/>
    <n v="0"/>
    <n v="16.680041929169654"/>
    <m/>
    <m/>
    <n v="5796"/>
    <n v="0"/>
    <n v="0"/>
    <n v="5004.012578750896"/>
    <n v="0"/>
    <n v="0"/>
  </r>
  <r>
    <s v="Regular"/>
    <x v="0"/>
    <x v="1"/>
    <x v="1"/>
    <x v="0"/>
    <x v="0"/>
    <x v="0"/>
    <x v="2"/>
    <x v="2"/>
    <n v="3859"/>
    <n v="3859"/>
    <n v="0"/>
    <n v="0"/>
    <n v="0"/>
    <n v="0"/>
    <n v="26"/>
    <x v="0"/>
    <n v="0"/>
    <n v="6"/>
    <n v="0"/>
    <n v="0"/>
    <n v="19.32"/>
    <n v="0"/>
    <n v="0"/>
    <n v="16.680041929169654"/>
    <m/>
    <m/>
    <n v="74555.88"/>
    <n v="0"/>
    <n v="0"/>
    <n v="64368.281804665698"/>
    <n v="0"/>
    <n v="0"/>
  </r>
  <r>
    <s v="Sistema de Compensação"/>
    <x v="0"/>
    <x v="1"/>
    <x v="1"/>
    <x v="0"/>
    <x v="0"/>
    <x v="0"/>
    <x v="2"/>
    <x v="2"/>
    <n v="300"/>
    <n v="300"/>
    <n v="0"/>
    <n v="0"/>
    <n v="0"/>
    <n v="0"/>
    <n v="1"/>
    <x v="0"/>
    <n v="0"/>
    <n v="6"/>
    <n v="0"/>
    <n v="0"/>
    <n v="19.32"/>
    <n v="0"/>
    <n v="0"/>
    <n v="16.680041929169654"/>
    <m/>
    <m/>
    <n v="5796"/>
    <n v="0"/>
    <n v="0"/>
    <n v="5004.012578750896"/>
    <n v="0"/>
    <n v="0"/>
  </r>
  <r>
    <s v="Regular"/>
    <x v="0"/>
    <x v="1"/>
    <x v="1"/>
    <x v="0"/>
    <x v="0"/>
    <x v="0"/>
    <x v="2"/>
    <x v="3"/>
    <n v="4018"/>
    <n v="4018"/>
    <n v="0"/>
    <n v="0"/>
    <n v="0"/>
    <n v="0"/>
    <n v="28"/>
    <x v="0"/>
    <n v="0"/>
    <n v="6"/>
    <n v="0"/>
    <n v="0"/>
    <n v="19.32"/>
    <n v="0"/>
    <n v="0"/>
    <n v="16.680041929169654"/>
    <m/>
    <m/>
    <n v="77627.759999999995"/>
    <n v="0"/>
    <n v="0"/>
    <n v="67020.408471403673"/>
    <n v="0"/>
    <n v="0"/>
  </r>
  <r>
    <s v="Sistema de Compensação"/>
    <x v="0"/>
    <x v="1"/>
    <x v="1"/>
    <x v="0"/>
    <x v="0"/>
    <x v="0"/>
    <x v="2"/>
    <x v="3"/>
    <n v="300"/>
    <n v="300"/>
    <n v="0"/>
    <n v="0"/>
    <n v="0"/>
    <n v="0"/>
    <n v="1"/>
    <x v="0"/>
    <n v="0"/>
    <n v="6"/>
    <n v="0"/>
    <n v="0"/>
    <n v="19.32"/>
    <n v="0"/>
    <n v="0"/>
    <n v="16.680041929169654"/>
    <m/>
    <m/>
    <n v="5796"/>
    <n v="0"/>
    <n v="0"/>
    <n v="5004.012578750896"/>
    <n v="0"/>
    <n v="0"/>
  </r>
  <r>
    <s v="Regular"/>
    <x v="0"/>
    <x v="1"/>
    <x v="1"/>
    <x v="0"/>
    <x v="0"/>
    <x v="0"/>
    <x v="2"/>
    <x v="4"/>
    <n v="3998"/>
    <n v="3998"/>
    <n v="0"/>
    <n v="0"/>
    <n v="0"/>
    <n v="0"/>
    <n v="29"/>
    <x v="0"/>
    <n v="0"/>
    <n v="6"/>
    <n v="0"/>
    <n v="0"/>
    <n v="19.32"/>
    <n v="0"/>
    <n v="0"/>
    <n v="16.680041929169654"/>
    <m/>
    <m/>
    <n v="77241.36"/>
    <n v="0"/>
    <n v="0"/>
    <n v="66686.807632820273"/>
    <n v="0"/>
    <n v="0"/>
  </r>
  <r>
    <s v="Sistema de Compensação"/>
    <x v="0"/>
    <x v="1"/>
    <x v="1"/>
    <x v="0"/>
    <x v="0"/>
    <x v="0"/>
    <x v="2"/>
    <x v="4"/>
    <n v="300"/>
    <n v="300"/>
    <n v="0"/>
    <n v="0"/>
    <n v="0"/>
    <n v="0"/>
    <n v="1"/>
    <x v="0"/>
    <n v="0"/>
    <n v="6"/>
    <n v="0"/>
    <n v="0"/>
    <n v="19.32"/>
    <n v="0"/>
    <n v="0"/>
    <n v="16.680041929169654"/>
    <m/>
    <m/>
    <n v="5796"/>
    <n v="0"/>
    <n v="0"/>
    <n v="5004.012578750896"/>
    <n v="0"/>
    <n v="0"/>
  </r>
  <r>
    <s v="Regular"/>
    <x v="0"/>
    <x v="1"/>
    <x v="1"/>
    <x v="0"/>
    <x v="0"/>
    <x v="0"/>
    <x v="2"/>
    <x v="5"/>
    <n v="4203"/>
    <n v="4203"/>
    <n v="0"/>
    <n v="0"/>
    <n v="0"/>
    <n v="0"/>
    <n v="30"/>
    <x v="0"/>
    <n v="0"/>
    <n v="6"/>
    <n v="0"/>
    <n v="0"/>
    <n v="19.32"/>
    <n v="0"/>
    <n v="0"/>
    <n v="16.680041929169654"/>
    <m/>
    <m/>
    <n v="81201.960000000006"/>
    <n v="0"/>
    <n v="0"/>
    <n v="70106.216228300051"/>
    <n v="0"/>
    <n v="0"/>
  </r>
  <r>
    <s v="Sistema de Compensação"/>
    <x v="0"/>
    <x v="1"/>
    <x v="1"/>
    <x v="0"/>
    <x v="0"/>
    <x v="0"/>
    <x v="2"/>
    <x v="5"/>
    <n v="345"/>
    <n v="345"/>
    <n v="0"/>
    <n v="0"/>
    <n v="0"/>
    <n v="0"/>
    <n v="2"/>
    <x v="0"/>
    <n v="0"/>
    <n v="6"/>
    <n v="0"/>
    <n v="0"/>
    <n v="19.32"/>
    <n v="0"/>
    <n v="0"/>
    <n v="16.680041929169654"/>
    <m/>
    <m/>
    <n v="6665.4000000000005"/>
    <n v="0"/>
    <n v="0"/>
    <n v="5754.6144655635308"/>
    <n v="0"/>
    <n v="0"/>
  </r>
  <r>
    <s v="Regular"/>
    <x v="0"/>
    <x v="1"/>
    <x v="1"/>
    <x v="0"/>
    <x v="0"/>
    <x v="0"/>
    <x v="2"/>
    <x v="6"/>
    <n v="3737"/>
    <n v="3737"/>
    <n v="0"/>
    <n v="0"/>
    <n v="0"/>
    <n v="0"/>
    <n v="29"/>
    <x v="0"/>
    <n v="0"/>
    <n v="6"/>
    <n v="0"/>
    <n v="0"/>
    <n v="19.32"/>
    <n v="0"/>
    <n v="0"/>
    <n v="16.680041929169654"/>
    <m/>
    <m/>
    <n v="72198.84"/>
    <n v="0"/>
    <n v="0"/>
    <n v="62333.316689307001"/>
    <n v="0"/>
    <n v="0"/>
  </r>
  <r>
    <s v="Sistema de Compensação"/>
    <x v="0"/>
    <x v="1"/>
    <x v="1"/>
    <x v="0"/>
    <x v="0"/>
    <x v="0"/>
    <x v="2"/>
    <x v="6"/>
    <n v="349"/>
    <n v="349"/>
    <n v="0"/>
    <n v="0"/>
    <n v="0"/>
    <n v="0"/>
    <n v="2"/>
    <x v="0"/>
    <n v="0"/>
    <n v="6"/>
    <n v="0"/>
    <n v="0"/>
    <n v="19.32"/>
    <n v="0"/>
    <n v="0"/>
    <n v="16.680041929169654"/>
    <m/>
    <m/>
    <n v="6742.68"/>
    <n v="0"/>
    <n v="0"/>
    <n v="5821.3346332802093"/>
    <n v="0"/>
    <n v="0"/>
  </r>
  <r>
    <s v="Regular"/>
    <x v="0"/>
    <x v="1"/>
    <x v="1"/>
    <x v="0"/>
    <x v="0"/>
    <x v="0"/>
    <x v="2"/>
    <x v="7"/>
    <n v="3702"/>
    <n v="3702"/>
    <n v="0"/>
    <n v="0"/>
    <n v="0"/>
    <n v="0"/>
    <n v="28"/>
    <x v="0"/>
    <n v="0"/>
    <n v="6"/>
    <n v="0"/>
    <n v="0"/>
    <n v="19.32"/>
    <n v="0"/>
    <n v="0"/>
    <n v="16.680041929169654"/>
    <m/>
    <m/>
    <n v="71522.64"/>
    <n v="0"/>
    <n v="0"/>
    <n v="61749.51522178606"/>
    <n v="0"/>
    <n v="0"/>
  </r>
  <r>
    <s v="Sistema de Compensação"/>
    <x v="0"/>
    <x v="1"/>
    <x v="1"/>
    <x v="0"/>
    <x v="0"/>
    <x v="0"/>
    <x v="2"/>
    <x v="7"/>
    <n v="360"/>
    <n v="360"/>
    <n v="0"/>
    <n v="0"/>
    <n v="0"/>
    <n v="0"/>
    <n v="2"/>
    <x v="0"/>
    <n v="0"/>
    <n v="6"/>
    <n v="0"/>
    <n v="0"/>
    <n v="19.32"/>
    <n v="0"/>
    <n v="0"/>
    <n v="16.680041929169654"/>
    <m/>
    <m/>
    <n v="6955.2"/>
    <n v="0"/>
    <n v="0"/>
    <n v="6004.8150945010757"/>
    <n v="0"/>
    <n v="0"/>
  </r>
  <r>
    <s v="Regular"/>
    <x v="0"/>
    <x v="1"/>
    <x v="1"/>
    <x v="0"/>
    <x v="0"/>
    <x v="0"/>
    <x v="2"/>
    <x v="8"/>
    <n v="3686"/>
    <n v="3686"/>
    <n v="0"/>
    <n v="0"/>
    <n v="0"/>
    <n v="0"/>
    <n v="28"/>
    <x v="0"/>
    <n v="0"/>
    <n v="6"/>
    <n v="0"/>
    <n v="0"/>
    <n v="19.32"/>
    <n v="0"/>
    <n v="0"/>
    <n v="16.680041929169654"/>
    <m/>
    <m/>
    <n v="71213.52"/>
    <n v="0"/>
    <n v="0"/>
    <n v="61482.634550919349"/>
    <n v="0"/>
    <n v="0"/>
  </r>
  <r>
    <s v="Sistema de Compensação"/>
    <x v="0"/>
    <x v="1"/>
    <x v="1"/>
    <x v="0"/>
    <x v="0"/>
    <x v="0"/>
    <x v="2"/>
    <x v="8"/>
    <n v="362"/>
    <n v="362"/>
    <n v="0"/>
    <n v="0"/>
    <n v="0"/>
    <n v="0"/>
    <n v="2"/>
    <x v="0"/>
    <n v="0"/>
    <n v="6"/>
    <n v="0"/>
    <n v="0"/>
    <n v="19.32"/>
    <n v="0"/>
    <n v="0"/>
    <n v="16.680041929169654"/>
    <m/>
    <m/>
    <n v="6993.84"/>
    <n v="0"/>
    <n v="0"/>
    <n v="6038.1751783594145"/>
    <n v="0"/>
    <n v="0"/>
  </r>
  <r>
    <s v="Regular"/>
    <x v="0"/>
    <x v="1"/>
    <x v="1"/>
    <x v="0"/>
    <x v="0"/>
    <x v="0"/>
    <x v="2"/>
    <x v="9"/>
    <n v="3604"/>
    <n v="3604"/>
    <n v="0"/>
    <n v="0"/>
    <n v="0"/>
    <n v="0"/>
    <n v="27"/>
    <x v="0"/>
    <n v="0"/>
    <n v="6"/>
    <n v="0"/>
    <n v="0"/>
    <n v="19.32"/>
    <n v="0"/>
    <n v="0"/>
    <n v="16.680041929169654"/>
    <m/>
    <m/>
    <n v="69629.279999999999"/>
    <n v="0"/>
    <n v="0"/>
    <n v="60114.871112727436"/>
    <n v="0"/>
    <n v="0"/>
  </r>
  <r>
    <s v="Sistema de Compensação"/>
    <x v="0"/>
    <x v="1"/>
    <x v="1"/>
    <x v="0"/>
    <x v="0"/>
    <x v="0"/>
    <x v="2"/>
    <x v="9"/>
    <n v="364"/>
    <n v="364"/>
    <n v="0"/>
    <n v="0"/>
    <n v="0"/>
    <n v="0"/>
    <n v="2"/>
    <x v="0"/>
    <n v="0"/>
    <n v="6"/>
    <n v="0"/>
    <n v="0"/>
    <n v="19.32"/>
    <n v="0"/>
    <n v="0"/>
    <n v="16.680041929169654"/>
    <m/>
    <m/>
    <n v="7032.4800000000005"/>
    <n v="0"/>
    <n v="0"/>
    <n v="6071.5352622177543"/>
    <n v="0"/>
    <n v="0"/>
  </r>
  <r>
    <s v="Regular"/>
    <x v="0"/>
    <x v="1"/>
    <x v="1"/>
    <x v="0"/>
    <x v="0"/>
    <x v="0"/>
    <x v="2"/>
    <x v="10"/>
    <n v="3662"/>
    <n v="3662"/>
    <n v="0"/>
    <n v="0"/>
    <n v="0"/>
    <n v="0"/>
    <n v="27"/>
    <x v="0"/>
    <n v="0"/>
    <n v="6"/>
    <n v="0"/>
    <n v="0"/>
    <n v="19.32"/>
    <n v="0"/>
    <n v="0"/>
    <n v="16.680041929169654"/>
    <m/>
    <m/>
    <n v="70749.84"/>
    <n v="0"/>
    <n v="0"/>
    <n v="61082.313544619275"/>
    <n v="0"/>
    <n v="0"/>
  </r>
  <r>
    <s v="Sistema de Compensação"/>
    <x v="0"/>
    <x v="1"/>
    <x v="1"/>
    <x v="0"/>
    <x v="0"/>
    <x v="0"/>
    <x v="2"/>
    <x v="10"/>
    <n v="371"/>
    <n v="371"/>
    <n v="0"/>
    <n v="0"/>
    <n v="0"/>
    <n v="0"/>
    <n v="2"/>
    <x v="0"/>
    <n v="0"/>
    <n v="6"/>
    <n v="0"/>
    <n v="0"/>
    <n v="19.32"/>
    <n v="0"/>
    <n v="0"/>
    <n v="16.680041929169654"/>
    <m/>
    <m/>
    <n v="7167.72"/>
    <n v="0"/>
    <n v="0"/>
    <n v="6188.295555721942"/>
    <n v="0"/>
    <n v="0"/>
  </r>
  <r>
    <s v="Regular"/>
    <x v="0"/>
    <x v="1"/>
    <x v="1"/>
    <x v="0"/>
    <x v="0"/>
    <x v="0"/>
    <x v="2"/>
    <x v="11"/>
    <n v="3582"/>
    <n v="3582"/>
    <n v="0"/>
    <n v="0"/>
    <n v="0"/>
    <n v="0"/>
    <n v="27"/>
    <x v="0"/>
    <n v="0"/>
    <n v="6"/>
    <n v="0"/>
    <n v="0"/>
    <n v="19.32"/>
    <n v="0"/>
    <n v="0"/>
    <n v="16.680041929169654"/>
    <m/>
    <m/>
    <n v="69204.240000000005"/>
    <n v="0"/>
    <n v="0"/>
    <n v="59747.9101902857"/>
    <n v="0"/>
    <n v="0"/>
  </r>
  <r>
    <s v="Regular"/>
    <x v="0"/>
    <x v="1"/>
    <x v="1"/>
    <x v="0"/>
    <x v="0"/>
    <x v="0"/>
    <x v="1"/>
    <x v="0"/>
    <n v="0"/>
    <n v="0"/>
    <n v="95.543000000000006"/>
    <n v="95.543000000000006"/>
    <n v="95.543000000000006"/>
    <n v="95.543000000000006"/>
    <n v="0"/>
    <x v="0"/>
    <n v="0"/>
    <n v="0"/>
    <n v="7"/>
    <n v="48"/>
    <n v="0"/>
    <n v="948.15"/>
    <n v="263.29000000000002"/>
    <m/>
    <n v="976.42305228824534"/>
    <n v="210.64397598313801"/>
    <n v="0"/>
    <n v="90589.095450000008"/>
    <n v="25155.516470000002"/>
    <n v="0"/>
    <n v="93290.387684775837"/>
    <n v="20125.557397356955"/>
  </r>
  <r>
    <s v="Sistema de Compensação"/>
    <x v="0"/>
    <x v="1"/>
    <x v="1"/>
    <x v="0"/>
    <x v="0"/>
    <x v="0"/>
    <x v="1"/>
    <x v="0"/>
    <n v="0"/>
    <n v="0"/>
    <n v="0.184"/>
    <n v="0.184"/>
    <n v="0.184"/>
    <n v="0.184"/>
    <n v="0"/>
    <x v="0"/>
    <n v="0"/>
    <n v="0"/>
    <n v="7"/>
    <n v="48"/>
    <n v="0"/>
    <n v="948.15"/>
    <n v="263.29000000000002"/>
    <m/>
    <n v="976.42305228824534"/>
    <n v="210.64397598313801"/>
    <n v="0"/>
    <n v="174.45959999999999"/>
    <n v="48.445360000000001"/>
    <n v="0"/>
    <n v="179.66184162103713"/>
    <n v="38.758491580897392"/>
  </r>
  <r>
    <s v="Regular"/>
    <x v="0"/>
    <x v="1"/>
    <x v="1"/>
    <x v="0"/>
    <x v="0"/>
    <x v="0"/>
    <x v="1"/>
    <x v="1"/>
    <n v="0"/>
    <n v="0"/>
    <n v="47.712000000000003"/>
    <n v="47.712000000000003"/>
    <n v="47.712000000000003"/>
    <n v="47.712000000000003"/>
    <n v="0"/>
    <x v="0"/>
    <n v="0"/>
    <n v="0"/>
    <n v="7"/>
    <n v="48"/>
    <n v="0"/>
    <n v="948.15"/>
    <n v="263.29000000000002"/>
    <m/>
    <n v="976.42305228824534"/>
    <n v="210.64397598313801"/>
    <n v="0"/>
    <n v="45238.132799999999"/>
    <n v="12562.092480000001"/>
    <n v="0"/>
    <n v="46587.096670776766"/>
    <n v="10050.245382107481"/>
  </r>
  <r>
    <s v="Sistema de Compensação"/>
    <x v="0"/>
    <x v="1"/>
    <x v="1"/>
    <x v="0"/>
    <x v="0"/>
    <x v="0"/>
    <x v="1"/>
    <x v="1"/>
    <n v="0"/>
    <n v="0"/>
    <n v="0.189"/>
    <n v="0.189"/>
    <n v="0.189"/>
    <n v="0.189"/>
    <n v="0"/>
    <x v="0"/>
    <n v="0"/>
    <n v="0"/>
    <n v="7"/>
    <n v="48"/>
    <n v="0"/>
    <n v="948.15"/>
    <n v="263.29000000000002"/>
    <m/>
    <n v="976.42305228824534"/>
    <n v="210.64397598313801"/>
    <n v="0"/>
    <n v="179.20034999999999"/>
    <n v="49.761810000000004"/>
    <n v="0"/>
    <n v="184.54395688247837"/>
    <n v="39.811711460813086"/>
  </r>
  <r>
    <s v="Regular"/>
    <x v="0"/>
    <x v="1"/>
    <x v="1"/>
    <x v="0"/>
    <x v="0"/>
    <x v="0"/>
    <x v="1"/>
    <x v="2"/>
    <n v="0"/>
    <n v="0"/>
    <n v="33.139000000000003"/>
    <n v="33.139000000000003"/>
    <n v="33.139000000000003"/>
    <n v="33.139000000000003"/>
    <n v="0"/>
    <x v="0"/>
    <n v="0"/>
    <n v="0"/>
    <n v="7"/>
    <n v="48"/>
    <n v="0"/>
    <n v="948.15"/>
    <n v="263.29000000000002"/>
    <m/>
    <n v="976.42305228824534"/>
    <n v="210.64397598313801"/>
    <n v="0"/>
    <n v="31420.742850000002"/>
    <n v="8725.1673100000007"/>
    <n v="0"/>
    <n v="32357.683529780166"/>
    <n v="6980.530720105211"/>
  </r>
  <r>
    <s v="Sistema de Compensação"/>
    <x v="0"/>
    <x v="1"/>
    <x v="1"/>
    <x v="0"/>
    <x v="0"/>
    <x v="0"/>
    <x v="1"/>
    <x v="2"/>
    <n v="0"/>
    <n v="0"/>
    <n v="0.122"/>
    <n v="0.122"/>
    <n v="0.122"/>
    <n v="0.122"/>
    <n v="0"/>
    <x v="0"/>
    <n v="0"/>
    <n v="0"/>
    <n v="7"/>
    <n v="48"/>
    <n v="0"/>
    <n v="948.15"/>
    <n v="263.29000000000002"/>
    <m/>
    <n v="976.42305228824534"/>
    <n v="210.64397598313801"/>
    <n v="0"/>
    <n v="115.67429999999999"/>
    <n v="32.121380000000002"/>
    <n v="0"/>
    <n v="119.12361237916593"/>
    <n v="25.698565069942838"/>
  </r>
  <r>
    <s v="Regular"/>
    <x v="0"/>
    <x v="1"/>
    <x v="1"/>
    <x v="0"/>
    <x v="0"/>
    <x v="0"/>
    <x v="1"/>
    <x v="3"/>
    <n v="0"/>
    <n v="0"/>
    <n v="37.155999999999999"/>
    <n v="37.155999999999999"/>
    <n v="37.155999999999999"/>
    <n v="37.155999999999999"/>
    <n v="0"/>
    <x v="0"/>
    <n v="0"/>
    <n v="0"/>
    <n v="7"/>
    <n v="48"/>
    <n v="0"/>
    <n v="948.15"/>
    <n v="263.29000000000002"/>
    <m/>
    <n v="976.42305228824534"/>
    <n v="210.64397598313801"/>
    <n v="0"/>
    <n v="35229.4614"/>
    <n v="9782.8032400000011"/>
    <n v="0"/>
    <n v="36279.974930822042"/>
    <n v="7826.6875716294753"/>
  </r>
  <r>
    <s v="Sistema de Compensação"/>
    <x v="0"/>
    <x v="1"/>
    <x v="1"/>
    <x v="0"/>
    <x v="0"/>
    <x v="0"/>
    <x v="1"/>
    <x v="3"/>
    <n v="0"/>
    <n v="0"/>
    <n v="9.7000000000000003E-2"/>
    <n v="9.7000000000000003E-2"/>
    <n v="9.7000000000000003E-2"/>
    <n v="9.7000000000000003E-2"/>
    <n v="0"/>
    <x v="0"/>
    <n v="0"/>
    <n v="0"/>
    <n v="7"/>
    <n v="48"/>
    <n v="0"/>
    <n v="948.15"/>
    <n v="263.29000000000002"/>
    <m/>
    <n v="976.42305228824534"/>
    <n v="210.64397598313801"/>
    <n v="0"/>
    <n v="91.970550000000003"/>
    <n v="25.539130000000004"/>
    <n v="0"/>
    <n v="94.713036071959806"/>
    <n v="20.432465670364387"/>
  </r>
  <r>
    <s v="Regular"/>
    <x v="0"/>
    <x v="1"/>
    <x v="1"/>
    <x v="0"/>
    <x v="0"/>
    <x v="0"/>
    <x v="1"/>
    <x v="4"/>
    <n v="0"/>
    <n v="0"/>
    <n v="37.816000000000003"/>
    <n v="37.816000000000003"/>
    <n v="37.816000000000003"/>
    <n v="37.816000000000003"/>
    <n v="0"/>
    <x v="0"/>
    <n v="0"/>
    <n v="0"/>
    <n v="7"/>
    <n v="48"/>
    <n v="0"/>
    <n v="948.15"/>
    <n v="263.29000000000002"/>
    <m/>
    <n v="976.42305228824534"/>
    <n v="210.64397598313801"/>
    <n v="0"/>
    <n v="35855.240400000002"/>
    <n v="9956.5746400000007"/>
    <n v="0"/>
    <n v="36924.414145332288"/>
    <n v="7965.7125957783473"/>
  </r>
  <r>
    <s v="Sistema de Compensação"/>
    <x v="0"/>
    <x v="1"/>
    <x v="1"/>
    <x v="0"/>
    <x v="0"/>
    <x v="0"/>
    <x v="1"/>
    <x v="4"/>
    <n v="0"/>
    <n v="0"/>
    <n v="0.187"/>
    <n v="0.187"/>
    <n v="0.187"/>
    <n v="0.187"/>
    <n v="0"/>
    <x v="0"/>
    <n v="0"/>
    <n v="0"/>
    <n v="7"/>
    <n v="48"/>
    <n v="0"/>
    <n v="948.15"/>
    <n v="263.29000000000002"/>
    <m/>
    <n v="976.42305228824534"/>
    <n v="210.64397598313801"/>
    <n v="0"/>
    <n v="177.30404999999999"/>
    <n v="49.235230000000001"/>
    <n v="0"/>
    <n v="182.59111077790189"/>
    <n v="39.390423508846808"/>
  </r>
  <r>
    <s v="Regular"/>
    <x v="0"/>
    <x v="1"/>
    <x v="1"/>
    <x v="0"/>
    <x v="0"/>
    <x v="0"/>
    <x v="1"/>
    <x v="5"/>
    <n v="0"/>
    <n v="0"/>
    <n v="36.625"/>
    <n v="36.625"/>
    <n v="36.625"/>
    <n v="36.625"/>
    <n v="0"/>
    <x v="0"/>
    <n v="0"/>
    <n v="0"/>
    <n v="7"/>
    <n v="48"/>
    <n v="0"/>
    <n v="948.15"/>
    <n v="263.29000000000002"/>
    <m/>
    <n v="976.42305228824534"/>
    <n v="210.64397598313801"/>
    <n v="0"/>
    <n v="34725.993750000001"/>
    <n v="9642.9962500000001"/>
    <n v="0"/>
    <n v="35761.494290056988"/>
    <n v="7714.8356203824296"/>
  </r>
  <r>
    <s v="Sistema de Compensação"/>
    <x v="0"/>
    <x v="1"/>
    <x v="1"/>
    <x v="0"/>
    <x v="0"/>
    <x v="0"/>
    <x v="1"/>
    <x v="5"/>
    <n v="0"/>
    <n v="0"/>
    <n v="1.3160000000000001"/>
    <n v="1.3160000000000001"/>
    <n v="1.3160000000000001"/>
    <n v="1.3160000000000001"/>
    <n v="0"/>
    <x v="0"/>
    <n v="0"/>
    <n v="0"/>
    <n v="7"/>
    <n v="48"/>
    <n v="0"/>
    <n v="948.15"/>
    <n v="263.29000000000002"/>
    <m/>
    <n v="976.42305228824534"/>
    <n v="210.64397598313801"/>
    <n v="0"/>
    <n v="1247.7654"/>
    <n v="346.48964000000007"/>
    <n v="0"/>
    <n v="1284.9727368113308"/>
    <n v="277.20747239380961"/>
  </r>
  <r>
    <s v="Regular"/>
    <x v="0"/>
    <x v="1"/>
    <x v="1"/>
    <x v="0"/>
    <x v="0"/>
    <x v="0"/>
    <x v="1"/>
    <x v="6"/>
    <n v="0"/>
    <n v="0"/>
    <n v="17.518000000000001"/>
    <n v="17.518000000000001"/>
    <n v="17.518000000000001"/>
    <n v="17.518000000000001"/>
    <n v="0"/>
    <x v="0"/>
    <n v="0"/>
    <n v="0"/>
    <n v="7"/>
    <n v="48"/>
    <n v="0"/>
    <n v="948.15"/>
    <n v="263.29000000000002"/>
    <m/>
    <n v="976.42305228824534"/>
    <n v="210.64397598313801"/>
    <n v="0"/>
    <n v="16609.691699999999"/>
    <n v="4612.3142200000002"/>
    <n v="0"/>
    <n v="17104.979029985483"/>
    <n v="3690.0611712726118"/>
  </r>
  <r>
    <s v="Sistema de Compensação"/>
    <x v="0"/>
    <x v="1"/>
    <x v="1"/>
    <x v="0"/>
    <x v="0"/>
    <x v="0"/>
    <x v="1"/>
    <x v="6"/>
    <n v="0"/>
    <n v="0"/>
    <n v="2.1080000000000001"/>
    <n v="2.1080000000000001"/>
    <n v="2.1080000000000001"/>
    <n v="2.1080000000000001"/>
    <n v="0"/>
    <x v="0"/>
    <n v="0"/>
    <n v="0"/>
    <n v="7"/>
    <n v="48"/>
    <n v="0"/>
    <n v="948.15"/>
    <n v="263.29000000000002"/>
    <m/>
    <n v="976.42305228824534"/>
    <n v="210.64397598313801"/>
    <n v="0"/>
    <n v="1998.7002"/>
    <n v="555.01532000000009"/>
    <n v="0"/>
    <n v="2058.2997942236211"/>
    <n v="444.03750137245493"/>
  </r>
  <r>
    <s v="Regular"/>
    <x v="0"/>
    <x v="1"/>
    <x v="1"/>
    <x v="0"/>
    <x v="0"/>
    <x v="0"/>
    <x v="1"/>
    <x v="7"/>
    <n v="0"/>
    <n v="0"/>
    <n v="21.923999999999999"/>
    <n v="21.923999999999999"/>
    <n v="21.923999999999999"/>
    <n v="21.923999999999999"/>
    <n v="0"/>
    <x v="0"/>
    <n v="0"/>
    <n v="0"/>
    <n v="7"/>
    <n v="48"/>
    <n v="0"/>
    <n v="948.15"/>
    <n v="263.29000000000002"/>
    <m/>
    <n v="976.42305228824534"/>
    <n v="210.64397598313801"/>
    <n v="0"/>
    <n v="20787.240599999997"/>
    <n v="5772.36996"/>
    <n v="0"/>
    <n v="21407.098998367492"/>
    <n v="4618.1585294543174"/>
  </r>
  <r>
    <s v="Sistema de Compensação"/>
    <x v="0"/>
    <x v="1"/>
    <x v="1"/>
    <x v="0"/>
    <x v="0"/>
    <x v="0"/>
    <x v="1"/>
    <x v="7"/>
    <n v="0"/>
    <n v="0"/>
    <n v="1.857"/>
    <n v="1.857"/>
    <n v="1.857"/>
    <n v="1.857"/>
    <n v="0"/>
    <x v="0"/>
    <n v="0"/>
    <n v="0"/>
    <n v="7"/>
    <n v="48"/>
    <n v="0"/>
    <n v="948.15"/>
    <n v="263.29000000000002"/>
    <m/>
    <n v="976.42305228824534"/>
    <n v="210.64397598313801"/>
    <n v="0"/>
    <n v="1760.7145499999999"/>
    <n v="488.92953000000006"/>
    <n v="0"/>
    <n v="1813.2176080992715"/>
    <n v="391.16586340068727"/>
  </r>
  <r>
    <s v="Regular"/>
    <x v="0"/>
    <x v="1"/>
    <x v="1"/>
    <x v="0"/>
    <x v="0"/>
    <x v="0"/>
    <x v="1"/>
    <x v="8"/>
    <n v="0"/>
    <n v="0"/>
    <n v="17.774000000000001"/>
    <n v="17.774000000000001"/>
    <n v="17.774000000000001"/>
    <n v="17.774000000000001"/>
    <n v="0"/>
    <x v="0"/>
    <n v="0"/>
    <n v="0"/>
    <n v="7"/>
    <n v="48"/>
    <n v="0"/>
    <n v="948.15"/>
    <n v="263.29000000000002"/>
    <m/>
    <n v="976.42305228824534"/>
    <n v="210.64397598313801"/>
    <n v="0"/>
    <n v="16852.418099999999"/>
    <n v="4679.7164600000006"/>
    <n v="0"/>
    <n v="17354.943331371273"/>
    <n v="3743.9860291242953"/>
  </r>
  <r>
    <s v="Sistema de Compensação"/>
    <x v="0"/>
    <x v="1"/>
    <x v="1"/>
    <x v="0"/>
    <x v="0"/>
    <x v="0"/>
    <x v="1"/>
    <x v="8"/>
    <n v="0"/>
    <n v="0"/>
    <n v="2.823"/>
    <n v="2.823"/>
    <n v="2.823"/>
    <n v="2.823"/>
    <n v="0"/>
    <x v="0"/>
    <n v="0"/>
    <n v="0"/>
    <n v="7"/>
    <n v="48"/>
    <n v="0"/>
    <n v="948.15"/>
    <n v="263.29000000000002"/>
    <m/>
    <n v="976.42305228824534"/>
    <n v="210.64397598313801"/>
    <n v="0"/>
    <n v="2676.62745"/>
    <n v="743.26767000000007"/>
    <n v="0"/>
    <n v="2756.4422766097164"/>
    <n v="594.64794420039857"/>
  </r>
  <r>
    <s v="Regular"/>
    <x v="0"/>
    <x v="1"/>
    <x v="1"/>
    <x v="0"/>
    <x v="0"/>
    <x v="0"/>
    <x v="1"/>
    <x v="9"/>
    <n v="0"/>
    <n v="0"/>
    <n v="19.298999999999999"/>
    <n v="19.298999999999999"/>
    <n v="19.298999999999999"/>
    <n v="19.298999999999999"/>
    <n v="0"/>
    <x v="0"/>
    <n v="0"/>
    <n v="0"/>
    <n v="7"/>
    <n v="48"/>
    <n v="0"/>
    <n v="948.15"/>
    <n v="263.29000000000002"/>
    <m/>
    <n v="976.42305228824534"/>
    <n v="210.64397598313801"/>
    <n v="0"/>
    <n v="18298.346849999998"/>
    <n v="5081.2337100000004"/>
    <n v="0"/>
    <n v="18843.988486110848"/>
    <n v="4065.2180924985801"/>
  </r>
  <r>
    <s v="Sistema de Compensação"/>
    <x v="0"/>
    <x v="1"/>
    <x v="1"/>
    <x v="0"/>
    <x v="0"/>
    <x v="0"/>
    <x v="1"/>
    <x v="9"/>
    <n v="0"/>
    <n v="0"/>
    <n v="3.24"/>
    <n v="3.24"/>
    <n v="3.24"/>
    <n v="3.24"/>
    <n v="0"/>
    <x v="0"/>
    <n v="0"/>
    <n v="0"/>
    <n v="7"/>
    <n v="48"/>
    <n v="0"/>
    <n v="948.15"/>
    <n v="263.29000000000002"/>
    <m/>
    <n v="976.42305228824534"/>
    <n v="210.64397598313801"/>
    <n v="0"/>
    <n v="3072.0060000000003"/>
    <n v="853.05960000000016"/>
    <n v="0"/>
    <n v="3163.6106894139152"/>
    <n v="682.48648218536721"/>
  </r>
  <r>
    <s v="Regular"/>
    <x v="0"/>
    <x v="1"/>
    <x v="1"/>
    <x v="0"/>
    <x v="0"/>
    <x v="0"/>
    <x v="1"/>
    <x v="10"/>
    <n v="0"/>
    <n v="0"/>
    <n v="20.027000000000001"/>
    <n v="20.027000000000001"/>
    <n v="20.027000000000001"/>
    <n v="20.027000000000001"/>
    <n v="0"/>
    <x v="0"/>
    <n v="0"/>
    <n v="0"/>
    <n v="7"/>
    <n v="48"/>
    <n v="0"/>
    <n v="948.15"/>
    <n v="263.29000000000002"/>
    <m/>
    <n v="976.42305228824534"/>
    <n v="210.64397598313801"/>
    <n v="0"/>
    <n v="18988.600050000001"/>
    <n v="5272.9088300000003"/>
    <n v="0"/>
    <n v="19554.824468176692"/>
    <n v="4218.5669070143049"/>
  </r>
  <r>
    <s v="Sistema de Compensação"/>
    <x v="0"/>
    <x v="1"/>
    <x v="1"/>
    <x v="0"/>
    <x v="0"/>
    <x v="0"/>
    <x v="1"/>
    <x v="10"/>
    <n v="0"/>
    <n v="0"/>
    <n v="6.1390000000000002"/>
    <n v="6.1390000000000002"/>
    <n v="6.1390000000000002"/>
    <n v="6.1390000000000002"/>
    <n v="0"/>
    <x v="0"/>
    <n v="0"/>
    <n v="0"/>
    <n v="7"/>
    <n v="48"/>
    <n v="0"/>
    <n v="948.15"/>
    <n v="263.29000000000002"/>
    <m/>
    <n v="976.42305228824534"/>
    <n v="210.64397598313801"/>
    <n v="0"/>
    <n v="5820.6928500000004"/>
    <n v="1616.3373100000001"/>
    <n v="0"/>
    <n v="5994.2611179975383"/>
    <n v="1293.1433685604843"/>
  </r>
  <r>
    <s v="Regular"/>
    <x v="0"/>
    <x v="1"/>
    <x v="1"/>
    <x v="0"/>
    <x v="0"/>
    <x v="0"/>
    <x v="1"/>
    <x v="11"/>
    <n v="0"/>
    <n v="0"/>
    <n v="17.465"/>
    <n v="17.465"/>
    <n v="17.465"/>
    <n v="17.465"/>
    <n v="0"/>
    <x v="0"/>
    <n v="0"/>
    <n v="0"/>
    <n v="7"/>
    <n v="48"/>
    <n v="0"/>
    <n v="948.15"/>
    <n v="263.29000000000002"/>
    <m/>
    <n v="976.42305228824534"/>
    <n v="210.64397598313801"/>
    <n v="0"/>
    <n v="16559.439749999998"/>
    <n v="4598.3598500000007"/>
    <n v="0"/>
    <n v="17053.228608214205"/>
    <n v="3678.8970405455052"/>
  </r>
  <r>
    <s v="Regular"/>
    <x v="0"/>
    <x v="1"/>
    <x v="2"/>
    <x v="1"/>
    <x v="0"/>
    <x v="0"/>
    <x v="0"/>
    <x v="0"/>
    <n v="0"/>
    <n v="0"/>
    <n v="2.9929999999999999"/>
    <n v="2.9929999999999999"/>
    <n v="2.9929999999999999"/>
    <n v="2.9929999999999999"/>
    <n v="0"/>
    <x v="0"/>
    <n v="0"/>
    <n v="0"/>
    <n v="8"/>
    <n v="49"/>
    <n v="0"/>
    <n v="65.61"/>
    <n v="263.29000000000002"/>
    <m/>
    <n v="100.34646310857573"/>
    <n v="210.64397598313801"/>
    <n v="0"/>
    <n v="196.37072999999998"/>
    <n v="788.02697000000001"/>
    <n v="0"/>
    <n v="300.33696408396713"/>
    <n v="630.45742011753202"/>
  </r>
  <r>
    <s v="Regular"/>
    <x v="0"/>
    <x v="1"/>
    <x v="2"/>
    <x v="1"/>
    <x v="0"/>
    <x v="0"/>
    <x v="0"/>
    <x v="1"/>
    <n v="0"/>
    <n v="0"/>
    <n v="2.645"/>
    <n v="2.645"/>
    <n v="2.645"/>
    <n v="2.645"/>
    <n v="0"/>
    <x v="0"/>
    <n v="0"/>
    <n v="0"/>
    <n v="8"/>
    <n v="49"/>
    <n v="0"/>
    <n v="65.61"/>
    <n v="263.29000000000002"/>
    <m/>
    <n v="100.34646310857573"/>
    <n v="210.64397598313801"/>
    <n v="0"/>
    <n v="173.53845000000001"/>
    <n v="696.40205000000003"/>
    <n v="0"/>
    <n v="265.4163949221828"/>
    <n v="557.15331647540006"/>
  </r>
  <r>
    <s v="Regular"/>
    <x v="0"/>
    <x v="1"/>
    <x v="2"/>
    <x v="1"/>
    <x v="0"/>
    <x v="0"/>
    <x v="0"/>
    <x v="2"/>
    <n v="0"/>
    <n v="0"/>
    <n v="4.4420000000000002"/>
    <n v="4.4420000000000002"/>
    <n v="4.4420000000000002"/>
    <n v="4.4420000000000002"/>
    <n v="0"/>
    <x v="0"/>
    <n v="0"/>
    <n v="0"/>
    <n v="8"/>
    <n v="49"/>
    <n v="0"/>
    <n v="65.61"/>
    <n v="263.29000000000002"/>
    <m/>
    <n v="100.34646310857573"/>
    <n v="210.64397598313801"/>
    <n v="0"/>
    <n v="291.43961999999999"/>
    <n v="1169.5341800000001"/>
    <n v="0"/>
    <n v="445.73898912829344"/>
    <n v="935.68054131709903"/>
  </r>
  <r>
    <s v="Regular"/>
    <x v="0"/>
    <x v="1"/>
    <x v="2"/>
    <x v="1"/>
    <x v="0"/>
    <x v="0"/>
    <x v="0"/>
    <x v="3"/>
    <n v="0"/>
    <n v="0"/>
    <n v="4.109"/>
    <n v="4.109"/>
    <n v="4.109"/>
    <n v="4.109"/>
    <n v="0"/>
    <x v="0"/>
    <n v="0"/>
    <n v="0"/>
    <n v="8"/>
    <n v="49"/>
    <n v="0"/>
    <n v="65.61"/>
    <n v="263.29000000000002"/>
    <m/>
    <n v="100.34646310857573"/>
    <n v="210.64397598313801"/>
    <n v="0"/>
    <n v="269.59149000000002"/>
    <n v="1081.85861"/>
    <n v="0"/>
    <n v="412.3236169131377"/>
    <n v="865.53609731471408"/>
  </r>
  <r>
    <s v="Regular"/>
    <x v="0"/>
    <x v="1"/>
    <x v="2"/>
    <x v="1"/>
    <x v="0"/>
    <x v="0"/>
    <x v="0"/>
    <x v="4"/>
    <n v="0"/>
    <n v="0"/>
    <n v="3.056"/>
    <n v="3.056"/>
    <n v="3.056"/>
    <n v="3.056"/>
    <n v="0"/>
    <x v="0"/>
    <n v="0"/>
    <n v="0"/>
    <n v="8"/>
    <n v="49"/>
    <n v="0"/>
    <n v="65.61"/>
    <n v="263.29000000000002"/>
    <m/>
    <n v="100.34646310857573"/>
    <n v="210.64397598313801"/>
    <n v="0"/>
    <n v="200.50416000000001"/>
    <n v="804.61424000000011"/>
    <n v="0"/>
    <n v="306.65879125980746"/>
    <n v="643.72799060446971"/>
  </r>
  <r>
    <s v="Regular"/>
    <x v="0"/>
    <x v="1"/>
    <x v="2"/>
    <x v="1"/>
    <x v="0"/>
    <x v="0"/>
    <x v="0"/>
    <x v="5"/>
    <n v="0"/>
    <n v="0"/>
    <n v="5.4539999999999997"/>
    <n v="5.4539999999999997"/>
    <n v="5.4539999999999997"/>
    <n v="5.4539999999999997"/>
    <n v="0"/>
    <x v="0"/>
    <n v="0"/>
    <n v="0"/>
    <n v="8"/>
    <n v="49"/>
    <n v="0"/>
    <n v="65.61"/>
    <n v="263.29000000000002"/>
    <m/>
    <n v="100.34646310857573"/>
    <n v="210.64397598313801"/>
    <n v="0"/>
    <n v="357.83693999999997"/>
    <n v="1435.9836600000001"/>
    <n v="0"/>
    <n v="547.28960979417207"/>
    <n v="1148.8522450120347"/>
  </r>
  <r>
    <s v="Regular"/>
    <x v="0"/>
    <x v="1"/>
    <x v="2"/>
    <x v="1"/>
    <x v="0"/>
    <x v="0"/>
    <x v="0"/>
    <x v="6"/>
    <n v="0"/>
    <n v="0"/>
    <n v="5.1210000000000004"/>
    <n v="5.1210000000000004"/>
    <n v="5.1210000000000004"/>
    <n v="5.1210000000000004"/>
    <n v="0"/>
    <x v="0"/>
    <n v="0"/>
    <n v="0"/>
    <n v="8"/>
    <n v="49"/>
    <n v="0"/>
    <n v="65.61"/>
    <n v="263.29000000000002"/>
    <m/>
    <n v="100.34646310857573"/>
    <n v="210.64397598313801"/>
    <n v="0"/>
    <n v="335.98881"/>
    <n v="1348.3080900000002"/>
    <n v="0"/>
    <n v="513.87423757901638"/>
    <n v="1078.7078010096498"/>
  </r>
  <r>
    <s v="Regular"/>
    <x v="0"/>
    <x v="1"/>
    <x v="2"/>
    <x v="1"/>
    <x v="0"/>
    <x v="0"/>
    <x v="0"/>
    <x v="7"/>
    <n v="0"/>
    <n v="0"/>
    <n v="3.5230000000000001"/>
    <n v="3.5230000000000001"/>
    <n v="3.5230000000000001"/>
    <n v="3.5230000000000001"/>
    <n v="0"/>
    <x v="0"/>
    <n v="0"/>
    <n v="0"/>
    <n v="8"/>
    <n v="49"/>
    <n v="0"/>
    <n v="65.61"/>
    <n v="263.29000000000002"/>
    <m/>
    <n v="100.34646310857573"/>
    <n v="210.64397598313801"/>
    <n v="0"/>
    <n v="231.14403000000001"/>
    <n v="927.57067000000006"/>
    <n v="0"/>
    <n v="353.52058953151231"/>
    <n v="742.09872738859519"/>
  </r>
  <r>
    <s v="Regular"/>
    <x v="0"/>
    <x v="1"/>
    <x v="2"/>
    <x v="1"/>
    <x v="0"/>
    <x v="0"/>
    <x v="0"/>
    <x v="8"/>
    <n v="0"/>
    <n v="0"/>
    <n v="3.3450000000000002"/>
    <n v="3.3450000000000002"/>
    <n v="3.3450000000000002"/>
    <n v="3.3450000000000002"/>
    <n v="0"/>
    <x v="0"/>
    <n v="0"/>
    <n v="0"/>
    <n v="8"/>
    <n v="49"/>
    <n v="0"/>
    <n v="65.61"/>
    <n v="263.29000000000002"/>
    <m/>
    <n v="100.34646310857573"/>
    <n v="210.64397598313801"/>
    <n v="0"/>
    <n v="219.46545"/>
    <n v="880.70505000000014"/>
    <n v="0"/>
    <n v="335.65891909818583"/>
    <n v="704.60409966359668"/>
  </r>
  <r>
    <s v="Regular"/>
    <x v="0"/>
    <x v="1"/>
    <x v="2"/>
    <x v="1"/>
    <x v="0"/>
    <x v="0"/>
    <x v="0"/>
    <x v="9"/>
    <n v="0"/>
    <n v="0"/>
    <n v="3.5070000000000001"/>
    <n v="3.5070000000000001"/>
    <n v="3.5070000000000001"/>
    <n v="3.5070000000000001"/>
    <n v="0"/>
    <x v="0"/>
    <n v="0"/>
    <n v="0"/>
    <n v="8"/>
    <n v="49"/>
    <n v="0"/>
    <n v="65.61"/>
    <n v="263.29000000000002"/>
    <m/>
    <n v="100.34646310857573"/>
    <n v="210.64397598313801"/>
    <n v="0"/>
    <n v="230.09426999999999"/>
    <n v="923.3580300000001"/>
    <n v="0"/>
    <n v="351.91504612177511"/>
    <n v="738.72842377286497"/>
  </r>
  <r>
    <s v="Regular"/>
    <x v="0"/>
    <x v="1"/>
    <x v="2"/>
    <x v="1"/>
    <x v="0"/>
    <x v="0"/>
    <x v="0"/>
    <x v="10"/>
    <n v="0"/>
    <n v="0"/>
    <n v="4.3849999999999998"/>
    <n v="4.3849999999999998"/>
    <n v="4.3849999999999998"/>
    <n v="4.3849999999999998"/>
    <n v="0"/>
    <x v="0"/>
    <n v="0"/>
    <n v="0"/>
    <n v="8"/>
    <n v="49"/>
    <n v="0"/>
    <n v="65.61"/>
    <n v="263.29000000000002"/>
    <m/>
    <n v="100.34646310857573"/>
    <n v="210.64397598313801"/>
    <n v="0"/>
    <n v="287.69984999999997"/>
    <n v="1154.52665"/>
    <n v="0"/>
    <n v="440.01924073110456"/>
    <n v="923.6738346860601"/>
  </r>
  <r>
    <s v="Regular"/>
    <x v="0"/>
    <x v="1"/>
    <x v="2"/>
    <x v="1"/>
    <x v="0"/>
    <x v="0"/>
    <x v="0"/>
    <x v="11"/>
    <n v="0"/>
    <n v="0"/>
    <n v="7.3390000000000004"/>
    <n v="7.3390000000000004"/>
    <n v="7.3390000000000004"/>
    <n v="7.3390000000000004"/>
    <n v="0"/>
    <x v="0"/>
    <n v="0"/>
    <n v="0"/>
    <n v="8"/>
    <n v="49"/>
    <n v="0"/>
    <n v="65.61"/>
    <n v="263.29000000000002"/>
    <m/>
    <n v="100.34646310857573"/>
    <n v="210.64397598313801"/>
    <n v="0"/>
    <n v="481.51179000000002"/>
    <n v="1932.2853100000002"/>
    <n v="0"/>
    <n v="736.44269275383738"/>
    <n v="1545.9161397402499"/>
  </r>
  <r>
    <s v="Regular"/>
    <x v="0"/>
    <x v="1"/>
    <x v="2"/>
    <x v="1"/>
    <x v="0"/>
    <x v="0"/>
    <x v="2"/>
    <x v="0"/>
    <n v="50"/>
    <n v="50"/>
    <n v="0"/>
    <n v="0"/>
    <n v="0"/>
    <n v="0"/>
    <n v="1"/>
    <x v="0"/>
    <n v="0"/>
    <n v="6"/>
    <n v="0"/>
    <n v="0"/>
    <n v="19.32"/>
    <n v="0"/>
    <n v="0"/>
    <n v="16.680041929169654"/>
    <m/>
    <m/>
    <n v="966"/>
    <n v="0"/>
    <n v="0"/>
    <n v="834.0020964584827"/>
    <n v="0"/>
    <n v="0"/>
  </r>
  <r>
    <s v="Regular"/>
    <x v="0"/>
    <x v="1"/>
    <x v="2"/>
    <x v="1"/>
    <x v="0"/>
    <x v="0"/>
    <x v="2"/>
    <x v="1"/>
    <n v="50"/>
    <n v="50"/>
    <n v="0"/>
    <n v="0"/>
    <n v="0"/>
    <n v="0"/>
    <n v="1"/>
    <x v="0"/>
    <n v="0"/>
    <n v="6"/>
    <n v="0"/>
    <n v="0"/>
    <n v="19.32"/>
    <n v="0"/>
    <n v="0"/>
    <n v="16.680041929169654"/>
    <m/>
    <m/>
    <n v="966"/>
    <n v="0"/>
    <n v="0"/>
    <n v="834.0020964584827"/>
    <n v="0"/>
    <n v="0"/>
  </r>
  <r>
    <s v="Regular"/>
    <x v="0"/>
    <x v="1"/>
    <x v="2"/>
    <x v="1"/>
    <x v="0"/>
    <x v="0"/>
    <x v="2"/>
    <x v="2"/>
    <n v="50"/>
    <n v="50"/>
    <n v="0"/>
    <n v="0"/>
    <n v="0"/>
    <n v="0"/>
    <n v="1"/>
    <x v="0"/>
    <n v="0"/>
    <n v="6"/>
    <n v="0"/>
    <n v="0"/>
    <n v="19.32"/>
    <n v="0"/>
    <n v="0"/>
    <n v="16.680041929169654"/>
    <m/>
    <m/>
    <n v="966"/>
    <n v="0"/>
    <n v="0"/>
    <n v="834.0020964584827"/>
    <n v="0"/>
    <n v="0"/>
  </r>
  <r>
    <s v="Regular"/>
    <x v="0"/>
    <x v="1"/>
    <x v="2"/>
    <x v="1"/>
    <x v="0"/>
    <x v="0"/>
    <x v="2"/>
    <x v="3"/>
    <n v="50"/>
    <n v="50"/>
    <n v="0"/>
    <n v="0"/>
    <n v="0"/>
    <n v="0"/>
    <n v="1"/>
    <x v="0"/>
    <n v="0"/>
    <n v="6"/>
    <n v="0"/>
    <n v="0"/>
    <n v="19.32"/>
    <n v="0"/>
    <n v="0"/>
    <n v="16.680041929169654"/>
    <m/>
    <m/>
    <n v="966"/>
    <n v="0"/>
    <n v="0"/>
    <n v="834.0020964584827"/>
    <n v="0"/>
    <n v="0"/>
  </r>
  <r>
    <s v="Regular"/>
    <x v="0"/>
    <x v="1"/>
    <x v="2"/>
    <x v="1"/>
    <x v="0"/>
    <x v="0"/>
    <x v="2"/>
    <x v="4"/>
    <n v="50"/>
    <n v="50"/>
    <n v="0"/>
    <n v="0"/>
    <n v="0"/>
    <n v="0"/>
    <n v="1"/>
    <x v="0"/>
    <n v="0"/>
    <n v="6"/>
    <n v="0"/>
    <n v="0"/>
    <n v="19.32"/>
    <n v="0"/>
    <n v="0"/>
    <n v="16.680041929169654"/>
    <m/>
    <m/>
    <n v="966"/>
    <n v="0"/>
    <n v="0"/>
    <n v="834.0020964584827"/>
    <n v="0"/>
    <n v="0"/>
  </r>
  <r>
    <s v="Regular"/>
    <x v="0"/>
    <x v="1"/>
    <x v="2"/>
    <x v="1"/>
    <x v="0"/>
    <x v="0"/>
    <x v="2"/>
    <x v="5"/>
    <n v="50"/>
    <n v="50"/>
    <n v="0"/>
    <n v="0"/>
    <n v="0"/>
    <n v="0"/>
    <n v="1"/>
    <x v="0"/>
    <n v="0"/>
    <n v="6"/>
    <n v="0"/>
    <n v="0"/>
    <n v="19.32"/>
    <n v="0"/>
    <n v="0"/>
    <n v="16.680041929169654"/>
    <m/>
    <m/>
    <n v="966"/>
    <n v="0"/>
    <n v="0"/>
    <n v="834.0020964584827"/>
    <n v="0"/>
    <n v="0"/>
  </r>
  <r>
    <s v="Regular"/>
    <x v="0"/>
    <x v="1"/>
    <x v="2"/>
    <x v="1"/>
    <x v="0"/>
    <x v="0"/>
    <x v="2"/>
    <x v="6"/>
    <n v="50"/>
    <n v="50"/>
    <n v="0"/>
    <n v="0"/>
    <n v="0"/>
    <n v="0"/>
    <n v="1"/>
    <x v="0"/>
    <n v="0"/>
    <n v="6"/>
    <n v="0"/>
    <n v="0"/>
    <n v="19.32"/>
    <n v="0"/>
    <n v="0"/>
    <n v="16.680041929169654"/>
    <m/>
    <m/>
    <n v="966"/>
    <n v="0"/>
    <n v="0"/>
    <n v="834.0020964584827"/>
    <n v="0"/>
    <n v="0"/>
  </r>
  <r>
    <s v="Regular"/>
    <x v="0"/>
    <x v="1"/>
    <x v="2"/>
    <x v="1"/>
    <x v="0"/>
    <x v="0"/>
    <x v="2"/>
    <x v="7"/>
    <n v="50"/>
    <n v="50"/>
    <n v="0"/>
    <n v="0"/>
    <n v="0"/>
    <n v="0"/>
    <n v="1"/>
    <x v="0"/>
    <n v="0"/>
    <n v="6"/>
    <n v="0"/>
    <n v="0"/>
    <n v="19.32"/>
    <n v="0"/>
    <n v="0"/>
    <n v="16.680041929169654"/>
    <m/>
    <m/>
    <n v="966"/>
    <n v="0"/>
    <n v="0"/>
    <n v="834.0020964584827"/>
    <n v="0"/>
    <n v="0"/>
  </r>
  <r>
    <s v="Regular"/>
    <x v="0"/>
    <x v="1"/>
    <x v="2"/>
    <x v="1"/>
    <x v="0"/>
    <x v="0"/>
    <x v="2"/>
    <x v="8"/>
    <n v="50"/>
    <n v="50"/>
    <n v="0"/>
    <n v="0"/>
    <n v="0"/>
    <n v="0"/>
    <n v="1"/>
    <x v="0"/>
    <n v="0"/>
    <n v="6"/>
    <n v="0"/>
    <n v="0"/>
    <n v="19.32"/>
    <n v="0"/>
    <n v="0"/>
    <n v="16.680041929169654"/>
    <m/>
    <m/>
    <n v="966"/>
    <n v="0"/>
    <n v="0"/>
    <n v="834.0020964584827"/>
    <n v="0"/>
    <n v="0"/>
  </r>
  <r>
    <s v="Regular"/>
    <x v="0"/>
    <x v="1"/>
    <x v="2"/>
    <x v="1"/>
    <x v="0"/>
    <x v="0"/>
    <x v="2"/>
    <x v="9"/>
    <n v="50"/>
    <n v="50"/>
    <n v="0"/>
    <n v="0"/>
    <n v="0"/>
    <n v="0"/>
    <n v="1"/>
    <x v="0"/>
    <n v="0"/>
    <n v="6"/>
    <n v="0"/>
    <n v="0"/>
    <n v="19.32"/>
    <n v="0"/>
    <n v="0"/>
    <n v="16.680041929169654"/>
    <m/>
    <m/>
    <n v="966"/>
    <n v="0"/>
    <n v="0"/>
    <n v="834.0020964584827"/>
    <n v="0"/>
    <n v="0"/>
  </r>
  <r>
    <s v="Regular"/>
    <x v="0"/>
    <x v="1"/>
    <x v="2"/>
    <x v="1"/>
    <x v="0"/>
    <x v="0"/>
    <x v="2"/>
    <x v="10"/>
    <n v="50"/>
    <n v="50"/>
    <n v="0"/>
    <n v="0"/>
    <n v="0"/>
    <n v="0"/>
    <n v="1"/>
    <x v="0"/>
    <n v="0"/>
    <n v="6"/>
    <n v="0"/>
    <n v="0"/>
    <n v="19.32"/>
    <n v="0"/>
    <n v="0"/>
    <n v="16.680041929169654"/>
    <m/>
    <m/>
    <n v="966"/>
    <n v="0"/>
    <n v="0"/>
    <n v="834.0020964584827"/>
    <n v="0"/>
    <n v="0"/>
  </r>
  <r>
    <s v="Regular"/>
    <x v="0"/>
    <x v="1"/>
    <x v="2"/>
    <x v="1"/>
    <x v="0"/>
    <x v="0"/>
    <x v="2"/>
    <x v="11"/>
    <n v="51"/>
    <n v="51"/>
    <n v="0"/>
    <n v="0"/>
    <n v="0"/>
    <n v="0"/>
    <n v="1"/>
    <x v="0"/>
    <n v="0"/>
    <n v="6"/>
    <n v="0"/>
    <n v="0"/>
    <n v="19.32"/>
    <n v="0"/>
    <n v="0"/>
    <n v="16.680041929169654"/>
    <m/>
    <m/>
    <n v="985.32"/>
    <n v="0"/>
    <n v="0"/>
    <n v="850.68213838765234"/>
    <n v="0"/>
    <n v="0"/>
  </r>
  <r>
    <s v="Regular"/>
    <x v="0"/>
    <x v="1"/>
    <x v="2"/>
    <x v="1"/>
    <x v="0"/>
    <x v="0"/>
    <x v="1"/>
    <x v="0"/>
    <n v="0"/>
    <n v="0"/>
    <n v="0.313"/>
    <n v="0.313"/>
    <n v="0.313"/>
    <n v="0.313"/>
    <n v="0"/>
    <x v="0"/>
    <n v="0"/>
    <n v="0"/>
    <n v="7"/>
    <n v="48"/>
    <n v="0"/>
    <n v="948.15"/>
    <n v="263.29000000000002"/>
    <m/>
    <n v="976.42305228824534"/>
    <n v="210.64397598313801"/>
    <n v="0"/>
    <n v="296.77094999999997"/>
    <n v="82.409770000000009"/>
    <n v="0"/>
    <n v="305.62041536622081"/>
    <n v="65.931564482722194"/>
  </r>
  <r>
    <s v="Regular"/>
    <x v="0"/>
    <x v="1"/>
    <x v="2"/>
    <x v="1"/>
    <x v="0"/>
    <x v="0"/>
    <x v="1"/>
    <x v="1"/>
    <n v="0"/>
    <n v="0"/>
    <n v="0.28899999999999998"/>
    <n v="0.28899999999999998"/>
    <n v="0.28899999999999998"/>
    <n v="0.28899999999999998"/>
    <n v="0"/>
    <x v="0"/>
    <n v="0"/>
    <n v="0"/>
    <n v="7"/>
    <n v="48"/>
    <n v="0"/>
    <n v="948.15"/>
    <n v="263.29000000000002"/>
    <m/>
    <n v="976.42305228824534"/>
    <n v="210.64397598313801"/>
    <n v="0"/>
    <n v="274.01534999999996"/>
    <n v="76.090810000000005"/>
    <n v="0"/>
    <n v="282.18626211130288"/>
    <n v="60.876109059126883"/>
  </r>
  <r>
    <s v="Regular"/>
    <x v="0"/>
    <x v="1"/>
    <x v="2"/>
    <x v="1"/>
    <x v="0"/>
    <x v="0"/>
    <x v="1"/>
    <x v="2"/>
    <n v="0"/>
    <n v="0"/>
    <n v="0.43"/>
    <n v="0.43"/>
    <n v="0.43"/>
    <n v="0.43"/>
    <n v="0"/>
    <x v="0"/>
    <n v="0"/>
    <n v="0"/>
    <n v="7"/>
    <n v="48"/>
    <n v="0"/>
    <n v="948.15"/>
    <n v="263.29000000000002"/>
    <m/>
    <n v="976.42305228824534"/>
    <n v="210.64397598313801"/>
    <n v="0"/>
    <n v="407.7045"/>
    <n v="113.21470000000001"/>
    <n v="0"/>
    <n v="419.8619124839455"/>
    <n v="90.576909672749338"/>
  </r>
  <r>
    <s v="Regular"/>
    <x v="0"/>
    <x v="1"/>
    <x v="2"/>
    <x v="1"/>
    <x v="0"/>
    <x v="0"/>
    <x v="1"/>
    <x v="3"/>
    <n v="0"/>
    <n v="0"/>
    <n v="0.46800000000000003"/>
    <n v="0.46800000000000003"/>
    <n v="0.46800000000000003"/>
    <n v="0.46800000000000003"/>
    <n v="0"/>
    <x v="0"/>
    <n v="0"/>
    <n v="0"/>
    <n v="7"/>
    <n v="48"/>
    <n v="0"/>
    <n v="948.15"/>
    <n v="263.29000000000002"/>
    <m/>
    <n v="976.42305228824534"/>
    <n v="210.64397598313801"/>
    <n v="0"/>
    <n v="443.73419999999999"/>
    <n v="123.21972000000002"/>
    <n v="0"/>
    <n v="456.96598847089882"/>
    <n v="98.581380760108587"/>
  </r>
  <r>
    <s v="Regular"/>
    <x v="0"/>
    <x v="1"/>
    <x v="2"/>
    <x v="1"/>
    <x v="0"/>
    <x v="0"/>
    <x v="1"/>
    <x v="4"/>
    <n v="0"/>
    <n v="0"/>
    <n v="0.33300000000000002"/>
    <n v="0.33300000000000002"/>
    <n v="0.33300000000000002"/>
    <n v="0.33300000000000002"/>
    <n v="0"/>
    <x v="0"/>
    <n v="0"/>
    <n v="0"/>
    <n v="7"/>
    <n v="48"/>
    <n v="0"/>
    <n v="948.15"/>
    <n v="263.29000000000002"/>
    <m/>
    <n v="976.42305228824534"/>
    <n v="210.64397598313801"/>
    <n v="0"/>
    <n v="315.73394999999999"/>
    <n v="87.675570000000008"/>
    <n v="0"/>
    <n v="325.14887641198573"/>
    <n v="70.144444002384958"/>
  </r>
  <r>
    <s v="Regular"/>
    <x v="0"/>
    <x v="1"/>
    <x v="2"/>
    <x v="1"/>
    <x v="0"/>
    <x v="0"/>
    <x v="1"/>
    <x v="5"/>
    <n v="0"/>
    <n v="0"/>
    <n v="0.501"/>
    <n v="0.501"/>
    <n v="0.501"/>
    <n v="0.501"/>
    <n v="0"/>
    <x v="0"/>
    <n v="0"/>
    <n v="0"/>
    <n v="7"/>
    <n v="48"/>
    <n v="0"/>
    <n v="948.15"/>
    <n v="263.29000000000002"/>
    <m/>
    <n v="976.42305228824534"/>
    <n v="210.64397598313801"/>
    <n v="0"/>
    <n v="475.02314999999999"/>
    <n v="131.90829000000002"/>
    <n v="0"/>
    <n v="489.1879491964109"/>
    <n v="105.53263196755213"/>
  </r>
  <r>
    <s v="Regular"/>
    <x v="0"/>
    <x v="1"/>
    <x v="2"/>
    <x v="1"/>
    <x v="0"/>
    <x v="0"/>
    <x v="1"/>
    <x v="6"/>
    <n v="0"/>
    <n v="0"/>
    <n v="0.437"/>
    <n v="0.437"/>
    <n v="0.437"/>
    <n v="0.437"/>
    <n v="0"/>
    <x v="0"/>
    <n v="0"/>
    <n v="0"/>
    <n v="7"/>
    <n v="48"/>
    <n v="0"/>
    <n v="948.15"/>
    <n v="263.29000000000002"/>
    <m/>
    <n v="976.42305228824534"/>
    <n v="210.64397598313801"/>
    <n v="0"/>
    <n v="414.34154999999998"/>
    <n v="115.05773000000001"/>
    <n v="0"/>
    <n v="426.6968738499632"/>
    <n v="92.051417504631303"/>
  </r>
  <r>
    <s v="Regular"/>
    <x v="0"/>
    <x v="1"/>
    <x v="2"/>
    <x v="1"/>
    <x v="0"/>
    <x v="0"/>
    <x v="1"/>
    <x v="7"/>
    <n v="0"/>
    <n v="0"/>
    <n v="0.36"/>
    <n v="0.36"/>
    <n v="0.36"/>
    <n v="0.36"/>
    <n v="0"/>
    <x v="0"/>
    <n v="0"/>
    <n v="0"/>
    <n v="7"/>
    <n v="48"/>
    <n v="0"/>
    <n v="948.15"/>
    <n v="263.29000000000002"/>
    <m/>
    <n v="976.42305228824534"/>
    <n v="210.64397598313801"/>
    <n v="0"/>
    <n v="341.334"/>
    <n v="94.784400000000005"/>
    <n v="0"/>
    <n v="351.51229882376833"/>
    <n v="75.831831353929672"/>
  </r>
  <r>
    <s v="Regular"/>
    <x v="0"/>
    <x v="1"/>
    <x v="2"/>
    <x v="1"/>
    <x v="0"/>
    <x v="0"/>
    <x v="1"/>
    <x v="8"/>
    <n v="0"/>
    <n v="0"/>
    <n v="0.33600000000000002"/>
    <n v="0.33600000000000002"/>
    <n v="0.33600000000000002"/>
    <n v="0.33600000000000002"/>
    <n v="0"/>
    <x v="0"/>
    <n v="0"/>
    <n v="0"/>
    <n v="7"/>
    <n v="48"/>
    <n v="0"/>
    <n v="948.15"/>
    <n v="263.29000000000002"/>
    <m/>
    <n v="976.42305228824534"/>
    <n v="210.64397598313801"/>
    <n v="0"/>
    <n v="318.57839999999999"/>
    <n v="88.465440000000015"/>
    <n v="0"/>
    <n v="328.07814556885046"/>
    <n v="70.776375930334368"/>
  </r>
  <r>
    <s v="Regular"/>
    <x v="0"/>
    <x v="1"/>
    <x v="2"/>
    <x v="1"/>
    <x v="0"/>
    <x v="0"/>
    <x v="1"/>
    <x v="9"/>
    <n v="0"/>
    <n v="0"/>
    <n v="0.255"/>
    <n v="0.255"/>
    <n v="0.255"/>
    <n v="0.255"/>
    <n v="0"/>
    <x v="0"/>
    <n v="0"/>
    <n v="0"/>
    <n v="7"/>
    <n v="48"/>
    <n v="0"/>
    <n v="948.15"/>
    <n v="263.29000000000002"/>
    <m/>
    <n v="976.42305228824534"/>
    <n v="210.64397598313801"/>
    <n v="0"/>
    <n v="241.77824999999999"/>
    <n v="67.138950000000008"/>
    <n v="0"/>
    <n v="248.98787833350258"/>
    <n v="53.714213875700196"/>
  </r>
  <r>
    <s v="Regular"/>
    <x v="0"/>
    <x v="1"/>
    <x v="2"/>
    <x v="1"/>
    <x v="0"/>
    <x v="0"/>
    <x v="1"/>
    <x v="10"/>
    <n v="0"/>
    <n v="0"/>
    <n v="0.36899999999999999"/>
    <n v="0.36899999999999999"/>
    <n v="0.36899999999999999"/>
    <n v="0.36899999999999999"/>
    <n v="0"/>
    <x v="0"/>
    <n v="0"/>
    <n v="0"/>
    <n v="7"/>
    <n v="48"/>
    <n v="0"/>
    <n v="948.15"/>
    <n v="263.29000000000002"/>
    <m/>
    <n v="976.42305228824534"/>
    <n v="210.64397598313801"/>
    <n v="0"/>
    <n v="349.86734999999999"/>
    <n v="97.15401"/>
    <n v="0"/>
    <n v="360.30010629436254"/>
    <n v="77.72762713777793"/>
  </r>
  <r>
    <s v="Regular"/>
    <x v="0"/>
    <x v="1"/>
    <x v="2"/>
    <x v="1"/>
    <x v="0"/>
    <x v="0"/>
    <x v="1"/>
    <x v="11"/>
    <n v="0"/>
    <n v="0"/>
    <n v="0.56399999999999995"/>
    <n v="0.56399999999999995"/>
    <n v="0.56399999999999995"/>
    <n v="0.56399999999999995"/>
    <n v="0"/>
    <x v="0"/>
    <n v="0"/>
    <n v="0"/>
    <n v="7"/>
    <n v="48"/>
    <n v="0"/>
    <n v="948.15"/>
    <n v="263.29000000000002"/>
    <m/>
    <n v="976.42305228824534"/>
    <n v="210.64397598313801"/>
    <n v="0"/>
    <n v="534.75659999999993"/>
    <n v="148.49555999999998"/>
    <n v="0"/>
    <n v="550.70260149057037"/>
    <n v="118.80320245448982"/>
  </r>
  <r>
    <s v="Regular"/>
    <x v="0"/>
    <x v="1"/>
    <x v="3"/>
    <x v="2"/>
    <x v="2"/>
    <x v="0"/>
    <x v="0"/>
    <x v="0"/>
    <n v="0"/>
    <n v="0"/>
    <n v="35.371000000000002"/>
    <n v="10.6113"/>
    <n v="35.371000000000002"/>
    <n v="10.6113"/>
    <n v="0"/>
    <x v="0"/>
    <n v="0"/>
    <n v="0"/>
    <n v="8"/>
    <n v="49"/>
    <n v="0"/>
    <n v="65.61"/>
    <n v="263.29000000000002"/>
    <m/>
    <n v="100.34646310857573"/>
    <n v="210.64397598313801"/>
    <n v="0"/>
    <n v="696.20739300000002"/>
    <n v="2793.8491770000001"/>
    <n v="0"/>
    <n v="1064.8064239840296"/>
    <n v="2235.2064223498724"/>
  </r>
  <r>
    <s v="Regular"/>
    <x v="0"/>
    <x v="1"/>
    <x v="3"/>
    <x v="2"/>
    <x v="2"/>
    <x v="0"/>
    <x v="0"/>
    <x v="1"/>
    <n v="0"/>
    <n v="0"/>
    <n v="6.79"/>
    <n v="2.0369999999999999"/>
    <n v="6.79"/>
    <n v="2.0369999999999999"/>
    <n v="0"/>
    <x v="0"/>
    <n v="0"/>
    <n v="0"/>
    <n v="8"/>
    <n v="49"/>
    <n v="0"/>
    <n v="65.61"/>
    <n v="263.29000000000002"/>
    <m/>
    <n v="100.34646310857573"/>
    <n v="210.64397598313801"/>
    <n v="0"/>
    <n v="133.64757"/>
    <n v="536.32173"/>
    <n v="0"/>
    <n v="204.40574535216876"/>
    <n v="429.08177907765213"/>
  </r>
  <r>
    <s v="Regular"/>
    <x v="0"/>
    <x v="1"/>
    <x v="3"/>
    <x v="2"/>
    <x v="2"/>
    <x v="0"/>
    <x v="0"/>
    <x v="2"/>
    <n v="0"/>
    <n v="0"/>
    <n v="16.233000000000001"/>
    <n v="4.8699000000000003"/>
    <n v="16.233000000000001"/>
    <n v="4.8699000000000003"/>
    <n v="0"/>
    <x v="0"/>
    <n v="0"/>
    <n v="0"/>
    <n v="8"/>
    <n v="49"/>
    <n v="0"/>
    <n v="65.61"/>
    <n v="263.29000000000002"/>
    <m/>
    <n v="100.34646310857573"/>
    <n v="210.64397598313801"/>
    <n v="0"/>
    <n v="319.514139"/>
    <n v="1282.1959710000001"/>
    <n v="0"/>
    <n v="488.67724069245298"/>
    <n v="1025.8150986402838"/>
  </r>
  <r>
    <s v="Regular"/>
    <x v="0"/>
    <x v="1"/>
    <x v="3"/>
    <x v="2"/>
    <x v="2"/>
    <x v="0"/>
    <x v="0"/>
    <x v="3"/>
    <n v="0"/>
    <n v="0"/>
    <n v="19.994"/>
    <n v="5.9981999999999998"/>
    <n v="19.994"/>
    <n v="5.9981999999999998"/>
    <n v="0"/>
    <x v="0"/>
    <n v="0"/>
    <n v="0"/>
    <n v="8"/>
    <n v="49"/>
    <n v="0"/>
    <n v="65.61"/>
    <n v="263.29000000000002"/>
    <m/>
    <n v="100.34646310857573"/>
    <n v="210.64397598313801"/>
    <n v="0"/>
    <n v="393.54190199999999"/>
    <n v="1579.2660780000001"/>
    <n v="0"/>
    <n v="601.89815501785893"/>
    <n v="1263.4846967420583"/>
  </r>
  <r>
    <s v="Regular"/>
    <x v="0"/>
    <x v="1"/>
    <x v="3"/>
    <x v="2"/>
    <x v="2"/>
    <x v="0"/>
    <x v="0"/>
    <x v="4"/>
    <n v="0"/>
    <n v="0"/>
    <n v="42.274000000000001"/>
    <n v="12.6822"/>
    <n v="42.274000000000001"/>
    <n v="12.6822"/>
    <n v="0"/>
    <x v="0"/>
    <n v="0"/>
    <n v="0"/>
    <n v="8"/>
    <n v="49"/>
    <n v="0"/>
    <n v="65.61"/>
    <n v="263.29000000000002"/>
    <m/>
    <n v="100.34646310857573"/>
    <n v="210.64397598313801"/>
    <n v="0"/>
    <n v="832.07914199999993"/>
    <n v="3339.096438"/>
    <n v="0"/>
    <n v="1272.6139144355791"/>
    <n v="2671.4290322133529"/>
  </r>
  <r>
    <s v="Regular"/>
    <x v="0"/>
    <x v="1"/>
    <x v="3"/>
    <x v="2"/>
    <x v="2"/>
    <x v="0"/>
    <x v="0"/>
    <x v="5"/>
    <n v="0"/>
    <n v="0"/>
    <n v="2.4"/>
    <n v="0.72"/>
    <n v="2.4"/>
    <n v="0.72"/>
    <n v="0"/>
    <x v="0"/>
    <n v="0"/>
    <n v="0"/>
    <n v="8"/>
    <n v="49"/>
    <n v="0"/>
    <n v="65.61"/>
    <n v="263.29000000000002"/>
    <m/>
    <n v="100.34646310857573"/>
    <n v="210.64397598313801"/>
    <n v="0"/>
    <n v="47.239199999999997"/>
    <n v="189.56880000000001"/>
    <n v="0"/>
    <n v="72.249453438174527"/>
    <n v="151.66366270785934"/>
  </r>
  <r>
    <s v="Regular"/>
    <x v="0"/>
    <x v="1"/>
    <x v="3"/>
    <x v="2"/>
    <x v="2"/>
    <x v="0"/>
    <x v="0"/>
    <x v="6"/>
    <n v="0"/>
    <n v="0"/>
    <n v="3.2000000000000001E-2"/>
    <n v="9.5999999999999992E-3"/>
    <n v="3.2000000000000001E-2"/>
    <n v="9.5999999999999992E-3"/>
    <n v="0"/>
    <x v="0"/>
    <n v="0"/>
    <n v="0"/>
    <n v="8"/>
    <n v="49"/>
    <n v="0"/>
    <n v="65.61"/>
    <n v="263.29000000000002"/>
    <m/>
    <n v="100.34646310857573"/>
    <n v="210.64397598313801"/>
    <n v="0"/>
    <n v="0.62985599999999997"/>
    <n v="2.5275840000000001"/>
    <n v="0"/>
    <n v="0.96332604584232695"/>
    <n v="2.0221821694381248"/>
  </r>
  <r>
    <s v="Regular"/>
    <x v="0"/>
    <x v="1"/>
    <x v="3"/>
    <x v="2"/>
    <x v="2"/>
    <x v="0"/>
    <x v="0"/>
    <x v="7"/>
    <n v="0"/>
    <n v="0"/>
    <n v="6.6000000000000003E-2"/>
    <n v="1.9800000000000002E-2"/>
    <n v="6.6000000000000003E-2"/>
    <n v="1.9800000000000002E-2"/>
    <n v="0"/>
    <x v="0"/>
    <n v="0"/>
    <n v="0"/>
    <n v="8"/>
    <n v="49"/>
    <n v="0"/>
    <n v="65.61"/>
    <n v="263.29000000000002"/>
    <m/>
    <n v="100.34646310857573"/>
    <n v="210.64397598313801"/>
    <n v="0"/>
    <n v="1.2990780000000002"/>
    <n v="5.2131420000000013"/>
    <n v="0"/>
    <n v="1.9868599695497997"/>
    <n v="4.1707507244661333"/>
  </r>
  <r>
    <s v="Regular"/>
    <x v="0"/>
    <x v="1"/>
    <x v="3"/>
    <x v="2"/>
    <x v="2"/>
    <x v="0"/>
    <x v="0"/>
    <x v="8"/>
    <n v="0"/>
    <n v="0"/>
    <n v="0.10199999999999999"/>
    <n v="3.0599999999999999E-2"/>
    <n v="0.10199999999999999"/>
    <n v="3.0599999999999999E-2"/>
    <n v="0"/>
    <x v="0"/>
    <n v="0"/>
    <n v="0"/>
    <n v="8"/>
    <n v="49"/>
    <n v="0"/>
    <n v="65.61"/>
    <n v="263.29000000000002"/>
    <m/>
    <n v="100.34646310857573"/>
    <n v="210.64397598313801"/>
    <n v="0"/>
    <n v="2.007666"/>
    <n v="8.056674000000001"/>
    <n v="0"/>
    <n v="3.0706017711224174"/>
    <n v="6.4457056650840228"/>
  </r>
  <r>
    <s v="Regular"/>
    <x v="0"/>
    <x v="1"/>
    <x v="3"/>
    <x v="2"/>
    <x v="2"/>
    <x v="0"/>
    <x v="0"/>
    <x v="9"/>
    <n v="0"/>
    <n v="0"/>
    <n v="0.25700000000000001"/>
    <n v="7.7100000000000002E-2"/>
    <n v="0.25700000000000001"/>
    <n v="7.7100000000000002E-2"/>
    <n v="0"/>
    <x v="0"/>
    <n v="0"/>
    <n v="0"/>
    <n v="8"/>
    <n v="49"/>
    <n v="0"/>
    <n v="65.61"/>
    <n v="263.29000000000002"/>
    <m/>
    <n v="100.34646310857573"/>
    <n v="210.64397598313801"/>
    <n v="0"/>
    <n v="5.0585310000000003"/>
    <n v="20.299659000000002"/>
    <n v="0"/>
    <n v="7.7367123056711895"/>
    <n v="16.240650548299939"/>
  </r>
  <r>
    <s v="Regular"/>
    <x v="0"/>
    <x v="1"/>
    <x v="3"/>
    <x v="2"/>
    <x v="2"/>
    <x v="0"/>
    <x v="0"/>
    <x v="10"/>
    <n v="0"/>
    <n v="0"/>
    <n v="3.399"/>
    <n v="1.0197000000000001"/>
    <n v="3.399"/>
    <n v="1.0197000000000001"/>
    <n v="0"/>
    <x v="0"/>
    <n v="0"/>
    <n v="0"/>
    <n v="8"/>
    <n v="49"/>
    <n v="0"/>
    <n v="65.61"/>
    <n v="263.29000000000002"/>
    <m/>
    <n v="100.34646310857573"/>
    <n v="210.64397598313801"/>
    <n v="0"/>
    <n v="66.902517000000003"/>
    <n v="268.47681300000005"/>
    <n v="0"/>
    <n v="102.32328843181467"/>
    <n v="214.79366231000583"/>
  </r>
  <r>
    <s v="Regular"/>
    <x v="0"/>
    <x v="1"/>
    <x v="3"/>
    <x v="2"/>
    <x v="2"/>
    <x v="0"/>
    <x v="0"/>
    <x v="11"/>
    <n v="0"/>
    <n v="0"/>
    <n v="5.7000000000000002E-2"/>
    <n v="1.7100000000000001E-2"/>
    <n v="5.7000000000000002E-2"/>
    <n v="1.7100000000000001E-2"/>
    <n v="0"/>
    <x v="0"/>
    <n v="0"/>
    <n v="0"/>
    <n v="8"/>
    <n v="49"/>
    <n v="0"/>
    <n v="65.61"/>
    <n v="263.29000000000002"/>
    <m/>
    <n v="100.34646310857573"/>
    <n v="210.64397598313801"/>
    <n v="0"/>
    <n v="1.121931"/>
    <n v="4.5022590000000005"/>
    <n v="0"/>
    <n v="1.715924519156645"/>
    <n v="3.6020119893116602"/>
  </r>
  <r>
    <s v="Regular"/>
    <x v="0"/>
    <x v="1"/>
    <x v="3"/>
    <x v="2"/>
    <x v="0"/>
    <x v="0"/>
    <x v="0"/>
    <x v="0"/>
    <n v="0"/>
    <n v="0"/>
    <n v="81.334000000000003"/>
    <n v="78.080640000000002"/>
    <n v="81.334000000000003"/>
    <n v="78.080640000000002"/>
    <n v="0"/>
    <x v="0"/>
    <n v="0"/>
    <n v="0"/>
    <n v="8"/>
    <n v="49"/>
    <n v="0"/>
    <n v="65.61"/>
    <n v="263.29000000000002"/>
    <m/>
    <n v="100.34646310857573"/>
    <n v="210.64397598313801"/>
    <n v="0"/>
    <n v="5122.8707904000003"/>
    <n v="20557.851705600002"/>
    <n v="0"/>
    <n v="7835.1160612539834"/>
    <n v="16447.216456908045"/>
  </r>
  <r>
    <s v="Regular"/>
    <x v="0"/>
    <x v="1"/>
    <x v="3"/>
    <x v="2"/>
    <x v="0"/>
    <x v="0"/>
    <x v="0"/>
    <x v="1"/>
    <n v="0"/>
    <n v="0"/>
    <n v="26.411000000000001"/>
    <n v="25.354559999999999"/>
    <n v="26.411000000000001"/>
    <n v="25.354559999999999"/>
    <n v="0"/>
    <x v="0"/>
    <n v="0"/>
    <n v="0"/>
    <n v="8"/>
    <n v="49"/>
    <n v="0"/>
    <n v="65.61"/>
    <n v="263.29000000000002"/>
    <m/>
    <n v="100.34646310857573"/>
    <n v="210.64397598313801"/>
    <n v="0"/>
    <n v="1663.5126816"/>
    <n v="6675.6021024000001"/>
    <n v="0"/>
    <n v="2544.24041967417"/>
    <n v="5340.7853277030317"/>
  </r>
  <r>
    <s v="Regular"/>
    <x v="0"/>
    <x v="1"/>
    <x v="3"/>
    <x v="2"/>
    <x v="0"/>
    <x v="0"/>
    <x v="0"/>
    <x v="2"/>
    <n v="0"/>
    <n v="0"/>
    <n v="42.161000000000001"/>
    <n v="40.474559999999997"/>
    <n v="42.161000000000001"/>
    <n v="40.474559999999997"/>
    <n v="0"/>
    <x v="0"/>
    <n v="0"/>
    <n v="0"/>
    <n v="8"/>
    <n v="49"/>
    <n v="0"/>
    <n v="65.61"/>
    <n v="263.29000000000002"/>
    <m/>
    <n v="100.34646310857573"/>
    <n v="210.64397598313801"/>
    <n v="0"/>
    <n v="2655.5358815999998"/>
    <n v="10656.546902399999"/>
    <n v="0"/>
    <n v="4061.4789418758346"/>
    <n v="8525.7222445680782"/>
  </r>
  <r>
    <s v="Regular"/>
    <x v="0"/>
    <x v="1"/>
    <x v="3"/>
    <x v="2"/>
    <x v="0"/>
    <x v="0"/>
    <x v="0"/>
    <x v="3"/>
    <n v="0"/>
    <n v="0"/>
    <n v="63.097000000000001"/>
    <n v="60.573120000000003"/>
    <n v="63.097000000000001"/>
    <n v="60.573120000000003"/>
    <n v="0"/>
    <x v="0"/>
    <n v="0"/>
    <n v="0"/>
    <n v="8"/>
    <n v="49"/>
    <n v="0"/>
    <n v="65.61"/>
    <n v="263.29000000000002"/>
    <m/>
    <n v="100.34646310857573"/>
    <n v="210.64397598313801"/>
    <n v="0"/>
    <n v="3974.2024031999999"/>
    <n v="15948.296764800001"/>
    <n v="0"/>
    <n v="6078.2983514513317"/>
    <n v="12759.362834503738"/>
  </r>
  <r>
    <s v="Regular"/>
    <x v="0"/>
    <x v="1"/>
    <x v="3"/>
    <x v="2"/>
    <x v="0"/>
    <x v="0"/>
    <x v="0"/>
    <x v="4"/>
    <n v="0"/>
    <n v="0"/>
    <n v="77.786000000000001"/>
    <n v="74.67456"/>
    <n v="77.786000000000001"/>
    <n v="74.67456"/>
    <n v="0"/>
    <x v="0"/>
    <n v="0"/>
    <n v="0"/>
    <n v="8"/>
    <n v="49"/>
    <n v="0"/>
    <n v="65.61"/>
    <n v="263.29000000000002"/>
    <m/>
    <n v="100.34646310857573"/>
    <n v="210.64397598313801"/>
    <n v="0"/>
    <n v="4899.3978815999999"/>
    <n v="19661.064902400001"/>
    <n v="0"/>
    <n v="7493.3279801891249"/>
    <n v="15729.746223191398"/>
  </r>
  <r>
    <s v="Regular"/>
    <x v="0"/>
    <x v="1"/>
    <x v="3"/>
    <x v="2"/>
    <x v="0"/>
    <x v="0"/>
    <x v="0"/>
    <x v="5"/>
    <n v="0"/>
    <n v="0"/>
    <n v="10.853999999999999"/>
    <n v="10.419840000000001"/>
    <n v="10.853999999999999"/>
    <n v="10.419840000000001"/>
    <n v="0"/>
    <x v="0"/>
    <n v="0"/>
    <n v="0"/>
    <n v="8"/>
    <n v="49"/>
    <n v="0"/>
    <n v="65.61"/>
    <n v="263.29000000000002"/>
    <m/>
    <n v="100.34646310857573"/>
    <n v="210.64397598313801"/>
    <n v="0"/>
    <n v="683.6457024"/>
    <n v="2743.4396736000003"/>
    <n v="0"/>
    <n v="1045.5940901572619"/>
    <n v="2194.8765267081408"/>
  </r>
  <r>
    <s v="Regular"/>
    <x v="0"/>
    <x v="1"/>
    <x v="3"/>
    <x v="2"/>
    <x v="0"/>
    <x v="0"/>
    <x v="0"/>
    <x v="6"/>
    <n v="0"/>
    <n v="0"/>
    <n v="11.193"/>
    <n v="10.745279999999999"/>
    <n v="11.193"/>
    <n v="10.745279999999999"/>
    <n v="0"/>
    <x v="0"/>
    <n v="0"/>
    <n v="0"/>
    <n v="8"/>
    <n v="49"/>
    <n v="0"/>
    <n v="65.61"/>
    <n v="263.29000000000002"/>
    <m/>
    <n v="100.34646310857573"/>
    <n v="210.64397598313801"/>
    <n v="0"/>
    <n v="704.9978208"/>
    <n v="2829.1247711999999"/>
    <n v="0"/>
    <n v="1078.2508431113165"/>
    <n v="2263.428502252093"/>
  </r>
  <r>
    <s v="Regular"/>
    <x v="0"/>
    <x v="1"/>
    <x v="3"/>
    <x v="2"/>
    <x v="0"/>
    <x v="0"/>
    <x v="0"/>
    <x v="7"/>
    <n v="0"/>
    <n v="0"/>
    <n v="7.9580000000000002"/>
    <n v="7.6396800000000002"/>
    <n v="7.9580000000000002"/>
    <n v="7.6396800000000002"/>
    <n v="0"/>
    <x v="0"/>
    <n v="0"/>
    <n v="0"/>
    <n v="8"/>
    <n v="49"/>
    <n v="0"/>
    <n v="65.61"/>
    <n v="263.29000000000002"/>
    <m/>
    <n v="100.34646310857573"/>
    <n v="210.64397598313801"/>
    <n v="0"/>
    <n v="501.23940479999999"/>
    <n v="2011.4513472000003"/>
    <n v="0"/>
    <n v="766.61486728132388"/>
    <n v="1609.2525704388597"/>
  </r>
  <r>
    <s v="Regular"/>
    <x v="0"/>
    <x v="1"/>
    <x v="3"/>
    <x v="2"/>
    <x v="0"/>
    <x v="0"/>
    <x v="0"/>
    <x v="8"/>
    <n v="0"/>
    <n v="0"/>
    <n v="6.7270000000000003"/>
    <n v="6.4579199999999997"/>
    <n v="6.7270000000000003"/>
    <n v="6.4579199999999997"/>
    <n v="0"/>
    <x v="0"/>
    <n v="0"/>
    <n v="0"/>
    <n v="8"/>
    <n v="49"/>
    <n v="0"/>
    <n v="65.61"/>
    <n v="263.29000000000002"/>
    <m/>
    <n v="100.34646310857573"/>
    <n v="210.64397598313801"/>
    <n v="0"/>
    <n v="423.70413119999995"/>
    <n v="1700.3057568000002"/>
    <n v="0"/>
    <n v="648.02943103813334"/>
    <n v="1360.3219453810266"/>
  </r>
  <r>
    <s v="Regular"/>
    <x v="0"/>
    <x v="1"/>
    <x v="3"/>
    <x v="2"/>
    <x v="0"/>
    <x v="0"/>
    <x v="0"/>
    <x v="9"/>
    <n v="0"/>
    <n v="0"/>
    <n v="11.124000000000001"/>
    <n v="10.679040000000001"/>
    <n v="11.124000000000001"/>
    <n v="10.679040000000001"/>
    <n v="0"/>
    <x v="0"/>
    <n v="0"/>
    <n v="0"/>
    <n v="8"/>
    <n v="49"/>
    <n v="0"/>
    <n v="65.61"/>
    <n v="263.29000000000002"/>
    <m/>
    <n v="100.34646310857573"/>
    <n v="210.64397598313801"/>
    <n v="0"/>
    <n v="700.65181440000003"/>
    <n v="2811.6844416000004"/>
    <n v="0"/>
    <n v="1071.6038933950047"/>
    <n v="2249.4754452829702"/>
  </r>
  <r>
    <s v="Regular"/>
    <x v="0"/>
    <x v="1"/>
    <x v="3"/>
    <x v="2"/>
    <x v="0"/>
    <x v="0"/>
    <x v="0"/>
    <x v="10"/>
    <n v="0"/>
    <n v="0"/>
    <n v="18.661999999999999"/>
    <n v="17.915520000000001"/>
    <n v="18.661999999999999"/>
    <n v="17.915520000000001"/>
    <n v="0"/>
    <x v="0"/>
    <n v="0"/>
    <n v="0"/>
    <n v="8"/>
    <n v="49"/>
    <n v="0"/>
    <n v="65.61"/>
    <n v="263.29000000000002"/>
    <m/>
    <n v="100.34646310857573"/>
    <n v="210.64397598313801"/>
    <n v="0"/>
    <n v="1175.4372672"/>
    <n v="4716.9772608000003"/>
    <n v="0"/>
    <n v="1797.7590667509508"/>
    <n v="3773.7963646054286"/>
  </r>
  <r>
    <s v="Regular"/>
    <x v="0"/>
    <x v="1"/>
    <x v="3"/>
    <x v="2"/>
    <x v="0"/>
    <x v="0"/>
    <x v="0"/>
    <x v="11"/>
    <n v="0"/>
    <n v="0"/>
    <n v="7.1369999999999996"/>
    <n v="6.8515199999999998"/>
    <n v="7.1369999999999996"/>
    <n v="6.8515199999999998"/>
    <n v="0"/>
    <x v="0"/>
    <n v="0"/>
    <n v="0"/>
    <n v="8"/>
    <n v="49"/>
    <n v="0"/>
    <n v="65.61"/>
    <n v="263.29000000000002"/>
    <m/>
    <n v="100.34646310857573"/>
    <n v="210.64397598313801"/>
    <n v="0"/>
    <n v="449.5282272"/>
    <n v="1803.9367008000002"/>
    <n v="0"/>
    <n v="687.52579891766879"/>
    <n v="1443.2314143279896"/>
  </r>
  <r>
    <s v="Regular"/>
    <x v="0"/>
    <x v="1"/>
    <x v="3"/>
    <x v="2"/>
    <x v="0"/>
    <x v="0"/>
    <x v="2"/>
    <x v="0"/>
    <n v="487"/>
    <n v="467.52"/>
    <n v="0"/>
    <n v="0"/>
    <n v="0"/>
    <n v="0"/>
    <n v="5"/>
    <x v="0"/>
    <n v="0"/>
    <n v="6"/>
    <n v="0"/>
    <n v="0"/>
    <n v="19.32"/>
    <n v="0"/>
    <n v="0"/>
    <n v="16.680041929169654"/>
    <m/>
    <m/>
    <n v="9032.4863999999998"/>
    <n v="0"/>
    <n v="0"/>
    <n v="7798.2532027253965"/>
    <n v="0"/>
    <n v="0"/>
  </r>
  <r>
    <s v="Regular"/>
    <x v="0"/>
    <x v="1"/>
    <x v="3"/>
    <x v="2"/>
    <x v="0"/>
    <x v="0"/>
    <x v="2"/>
    <x v="1"/>
    <n v="385"/>
    <n v="369.6"/>
    <n v="0"/>
    <n v="0"/>
    <n v="0"/>
    <n v="0"/>
    <n v="5"/>
    <x v="0"/>
    <n v="0"/>
    <n v="6"/>
    <n v="0"/>
    <n v="0"/>
    <n v="19.32"/>
    <n v="0"/>
    <n v="0"/>
    <n v="16.680041929169654"/>
    <m/>
    <m/>
    <n v="7140.6720000000005"/>
    <n v="0"/>
    <n v="0"/>
    <n v="6164.943497021105"/>
    <n v="0"/>
    <n v="0"/>
  </r>
  <r>
    <s v="Regular"/>
    <x v="0"/>
    <x v="1"/>
    <x v="3"/>
    <x v="2"/>
    <x v="0"/>
    <x v="0"/>
    <x v="2"/>
    <x v="2"/>
    <n v="389"/>
    <n v="373.44"/>
    <n v="0"/>
    <n v="0"/>
    <n v="0"/>
    <n v="0"/>
    <n v="5"/>
    <x v="0"/>
    <n v="0"/>
    <n v="6"/>
    <n v="0"/>
    <n v="0"/>
    <n v="19.32"/>
    <n v="0"/>
    <n v="0"/>
    <n v="16.680041929169654"/>
    <m/>
    <m/>
    <n v="7214.8608000000004"/>
    <n v="0"/>
    <n v="0"/>
    <n v="6228.9948580291157"/>
    <n v="0"/>
    <n v="0"/>
  </r>
  <r>
    <s v="Regular"/>
    <x v="0"/>
    <x v="1"/>
    <x v="3"/>
    <x v="2"/>
    <x v="0"/>
    <x v="0"/>
    <x v="2"/>
    <x v="3"/>
    <n v="502"/>
    <n v="481.92"/>
    <n v="0"/>
    <n v="0"/>
    <n v="0"/>
    <n v="0"/>
    <n v="5"/>
    <x v="0"/>
    <n v="0"/>
    <n v="6"/>
    <n v="0"/>
    <n v="0"/>
    <n v="19.32"/>
    <n v="0"/>
    <n v="0"/>
    <n v="16.680041929169654"/>
    <m/>
    <m/>
    <n v="9310.6944000000003"/>
    <n v="0"/>
    <n v="0"/>
    <n v="8038.4458065054396"/>
    <n v="0"/>
    <n v="0"/>
  </r>
  <r>
    <s v="Regular"/>
    <x v="0"/>
    <x v="1"/>
    <x v="3"/>
    <x v="2"/>
    <x v="0"/>
    <x v="0"/>
    <x v="2"/>
    <x v="4"/>
    <n v="496"/>
    <n v="476.16"/>
    <n v="0"/>
    <n v="0"/>
    <n v="0"/>
    <n v="0"/>
    <n v="5"/>
    <x v="0"/>
    <n v="0"/>
    <n v="6"/>
    <n v="0"/>
    <n v="0"/>
    <n v="19.32"/>
    <n v="0"/>
    <n v="0"/>
    <n v="16.680041929169654"/>
    <m/>
    <m/>
    <n v="9199.4112000000005"/>
    <n v="0"/>
    <n v="0"/>
    <n v="7942.3687649934227"/>
    <n v="0"/>
    <n v="0"/>
  </r>
  <r>
    <s v="Regular"/>
    <x v="0"/>
    <x v="1"/>
    <x v="3"/>
    <x v="2"/>
    <x v="0"/>
    <x v="0"/>
    <x v="2"/>
    <x v="5"/>
    <n v="466"/>
    <n v="447.36"/>
    <n v="0"/>
    <n v="0"/>
    <n v="0"/>
    <n v="0"/>
    <n v="5"/>
    <x v="0"/>
    <n v="0"/>
    <n v="6"/>
    <n v="0"/>
    <n v="0"/>
    <n v="19.32"/>
    <n v="0"/>
    <n v="0"/>
    <n v="16.680041929169654"/>
    <m/>
    <m/>
    <n v="8642.9952000000012"/>
    <n v="0"/>
    <n v="0"/>
    <n v="7461.9835574333365"/>
    <n v="0"/>
    <n v="0"/>
  </r>
  <r>
    <s v="Regular"/>
    <x v="0"/>
    <x v="1"/>
    <x v="3"/>
    <x v="2"/>
    <x v="0"/>
    <x v="0"/>
    <x v="2"/>
    <x v="6"/>
    <n v="311"/>
    <n v="298.56"/>
    <n v="0"/>
    <n v="0"/>
    <n v="0"/>
    <n v="0"/>
    <n v="4"/>
    <x v="0"/>
    <n v="0"/>
    <n v="6"/>
    <n v="0"/>
    <n v="0"/>
    <n v="19.32"/>
    <n v="0"/>
    <n v="0"/>
    <n v="16.680041929169654"/>
    <m/>
    <m/>
    <n v="5768.1792000000005"/>
    <n v="0"/>
    <n v="0"/>
    <n v="4979.9933183728917"/>
    <n v="0"/>
    <n v="0"/>
  </r>
  <r>
    <s v="Regular"/>
    <x v="0"/>
    <x v="1"/>
    <x v="3"/>
    <x v="2"/>
    <x v="0"/>
    <x v="0"/>
    <x v="2"/>
    <x v="7"/>
    <n v="307"/>
    <n v="294.72000000000003"/>
    <n v="0"/>
    <n v="0"/>
    <n v="0"/>
    <n v="0"/>
    <n v="4"/>
    <x v="0"/>
    <n v="0"/>
    <n v="6"/>
    <n v="0"/>
    <n v="0"/>
    <n v="19.32"/>
    <n v="0"/>
    <n v="0"/>
    <n v="16.680041929169654"/>
    <m/>
    <m/>
    <n v="5693.9904000000006"/>
    <n v="0"/>
    <n v="0"/>
    <n v="4915.9419573648811"/>
    <n v="0"/>
    <n v="0"/>
  </r>
  <r>
    <s v="Regular"/>
    <x v="0"/>
    <x v="1"/>
    <x v="3"/>
    <x v="2"/>
    <x v="0"/>
    <x v="0"/>
    <x v="2"/>
    <x v="8"/>
    <n v="403"/>
    <n v="386.88"/>
    <n v="0"/>
    <n v="0"/>
    <n v="0"/>
    <n v="0"/>
    <n v="4"/>
    <x v="0"/>
    <n v="0"/>
    <n v="6"/>
    <n v="0"/>
    <n v="0"/>
    <n v="19.32"/>
    <n v="0"/>
    <n v="0"/>
    <n v="16.680041929169654"/>
    <m/>
    <m/>
    <n v="7474.5216"/>
    <n v="0"/>
    <n v="0"/>
    <n v="6453.1746215571557"/>
    <n v="0"/>
    <n v="0"/>
  </r>
  <r>
    <s v="Regular"/>
    <x v="0"/>
    <x v="1"/>
    <x v="3"/>
    <x v="2"/>
    <x v="0"/>
    <x v="0"/>
    <x v="2"/>
    <x v="9"/>
    <n v="319"/>
    <n v="306.24"/>
    <n v="0"/>
    <n v="0"/>
    <n v="0"/>
    <n v="0"/>
    <n v="4"/>
    <x v="0"/>
    <n v="0"/>
    <n v="6"/>
    <n v="0"/>
    <n v="0"/>
    <n v="19.32"/>
    <n v="0"/>
    <n v="0"/>
    <n v="16.680041929169654"/>
    <m/>
    <m/>
    <n v="5916.5568000000003"/>
    <n v="0"/>
    <n v="0"/>
    <n v="5108.0960403889148"/>
    <n v="0"/>
    <n v="0"/>
  </r>
  <r>
    <s v="Regular"/>
    <x v="0"/>
    <x v="1"/>
    <x v="3"/>
    <x v="2"/>
    <x v="0"/>
    <x v="0"/>
    <x v="2"/>
    <x v="10"/>
    <n v="767"/>
    <n v="736.32"/>
    <n v="0"/>
    <n v="0"/>
    <n v="0"/>
    <n v="0"/>
    <n v="4"/>
    <x v="0"/>
    <n v="0"/>
    <n v="6"/>
    <n v="0"/>
    <n v="0"/>
    <n v="19.32"/>
    <n v="0"/>
    <n v="0"/>
    <n v="16.680041929169654"/>
    <m/>
    <m/>
    <n v="14225.702400000002"/>
    <n v="0"/>
    <n v="0"/>
    <n v="12281.8484732862"/>
    <n v="0"/>
    <n v="0"/>
  </r>
  <r>
    <s v="Regular"/>
    <x v="0"/>
    <x v="1"/>
    <x v="3"/>
    <x v="2"/>
    <x v="0"/>
    <x v="0"/>
    <x v="2"/>
    <x v="11"/>
    <n v="367"/>
    <n v="352.32"/>
    <n v="0"/>
    <n v="0"/>
    <n v="0"/>
    <n v="0"/>
    <n v="4"/>
    <x v="0"/>
    <n v="0"/>
    <n v="6"/>
    <n v="0"/>
    <n v="0"/>
    <n v="19.32"/>
    <n v="0"/>
    <n v="0"/>
    <n v="16.680041929169654"/>
    <m/>
    <m/>
    <n v="6806.8224"/>
    <n v="0"/>
    <n v="0"/>
    <n v="5876.7123724850526"/>
    <n v="0"/>
    <n v="0"/>
  </r>
  <r>
    <s v="Regular"/>
    <x v="0"/>
    <x v="1"/>
    <x v="3"/>
    <x v="2"/>
    <x v="0"/>
    <x v="0"/>
    <x v="1"/>
    <x v="0"/>
    <n v="0"/>
    <n v="0"/>
    <n v="3.048"/>
    <n v="2.9260799999999998"/>
    <n v="3.048"/>
    <n v="2.9260799999999998"/>
    <n v="0"/>
    <x v="0"/>
    <n v="0"/>
    <n v="0"/>
    <n v="7"/>
    <n v="48"/>
    <n v="0"/>
    <n v="948.15"/>
    <n v="263.29000000000002"/>
    <m/>
    <n v="976.42305228824534"/>
    <n v="210.64397598313801"/>
    <n v="0"/>
    <n v="2774.3627519999995"/>
    <n v="770.40760320000004"/>
    <n v="0"/>
    <n v="2857.0919648395889"/>
    <n v="616.36112524474038"/>
  </r>
  <r>
    <s v="Regular"/>
    <x v="0"/>
    <x v="1"/>
    <x v="3"/>
    <x v="2"/>
    <x v="0"/>
    <x v="0"/>
    <x v="1"/>
    <x v="1"/>
    <n v="0"/>
    <n v="0"/>
    <n v="0.34399999999999997"/>
    <n v="0.33023999999999998"/>
    <n v="0.34399999999999997"/>
    <n v="0.33023999999999998"/>
    <n v="0"/>
    <x v="0"/>
    <n v="0"/>
    <n v="0"/>
    <n v="7"/>
    <n v="48"/>
    <n v="0"/>
    <n v="948.15"/>
    <n v="263.29000000000002"/>
    <m/>
    <n v="976.42305228824534"/>
    <n v="210.64397598313801"/>
    <n v="0"/>
    <n v="313.11705599999999"/>
    <n v="86.948889600000001"/>
    <n v="0"/>
    <n v="322.45394878767013"/>
    <n v="69.563066628671493"/>
  </r>
  <r>
    <s v="Regular"/>
    <x v="0"/>
    <x v="1"/>
    <x v="3"/>
    <x v="2"/>
    <x v="0"/>
    <x v="0"/>
    <x v="1"/>
    <x v="2"/>
    <n v="0"/>
    <n v="0"/>
    <n v="1.044"/>
    <n v="1.00224"/>
    <n v="1.044"/>
    <n v="1.00224"/>
    <n v="0"/>
    <x v="0"/>
    <n v="0"/>
    <n v="0"/>
    <n v="7"/>
    <n v="48"/>
    <n v="0"/>
    <n v="948.15"/>
    <n v="263.29000000000002"/>
    <m/>
    <n v="976.42305228824534"/>
    <n v="210.64397598313801"/>
    <n v="0"/>
    <n v="950.27385600000002"/>
    <n v="263.87976960000003"/>
    <n v="0"/>
    <n v="978.61023992537105"/>
    <n v="211.11581848934023"/>
  </r>
  <r>
    <s v="Regular"/>
    <x v="0"/>
    <x v="1"/>
    <x v="3"/>
    <x v="2"/>
    <x v="0"/>
    <x v="0"/>
    <x v="1"/>
    <x v="3"/>
    <n v="0"/>
    <n v="0"/>
    <n v="1.976"/>
    <n v="1.89696"/>
    <n v="1.976"/>
    <n v="1.89696"/>
    <n v="0"/>
    <x v="0"/>
    <n v="0"/>
    <n v="0"/>
    <n v="7"/>
    <n v="48"/>
    <n v="0"/>
    <n v="948.15"/>
    <n v="263.29000000000002"/>
    <m/>
    <n v="976.42305228824534"/>
    <n v="210.64397598313801"/>
    <n v="0"/>
    <n v="1798.6026239999999"/>
    <n v="499.45059840000005"/>
    <n v="0"/>
    <n v="1852.2354732687099"/>
    <n v="399.58319668097346"/>
  </r>
  <r>
    <s v="Regular"/>
    <x v="0"/>
    <x v="1"/>
    <x v="3"/>
    <x v="2"/>
    <x v="0"/>
    <x v="0"/>
    <x v="1"/>
    <x v="4"/>
    <n v="0"/>
    <n v="0"/>
    <n v="2.6779999999999999"/>
    <n v="2.5708799999999998"/>
    <n v="2.6779999999999999"/>
    <n v="2.5708799999999998"/>
    <n v="0"/>
    <x v="0"/>
    <n v="0"/>
    <n v="0"/>
    <n v="7"/>
    <n v="48"/>
    <n v="0"/>
    <n v="948.15"/>
    <n v="263.29000000000002"/>
    <m/>
    <n v="976.42305228824534"/>
    <n v="210.64397598313801"/>
    <n v="0"/>
    <n v="2437.5798719999998"/>
    <n v="676.8869952"/>
    <n v="0"/>
    <n v="2510.266496666804"/>
    <n v="541.54038497552983"/>
  </r>
  <r>
    <s v="Regular"/>
    <x v="0"/>
    <x v="1"/>
    <x v="3"/>
    <x v="2"/>
    <x v="0"/>
    <x v="0"/>
    <x v="1"/>
    <x v="5"/>
    <n v="0"/>
    <n v="0"/>
    <n v="1.6E-2"/>
    <n v="1.536E-2"/>
    <n v="1.6E-2"/>
    <n v="1.536E-2"/>
    <n v="0"/>
    <x v="0"/>
    <n v="0"/>
    <n v="0"/>
    <n v="7"/>
    <n v="48"/>
    <n v="0"/>
    <n v="948.15"/>
    <n v="263.29000000000002"/>
    <m/>
    <n v="976.42305228824534"/>
    <n v="210.64397598313801"/>
    <n v="0"/>
    <n v="14.563584000000001"/>
    <n v="4.0441344000000008"/>
    <n v="0"/>
    <n v="14.997858083147449"/>
    <n v="3.2354914711009997"/>
  </r>
  <r>
    <s v="Regular"/>
    <x v="0"/>
    <x v="1"/>
    <x v="3"/>
    <x v="2"/>
    <x v="0"/>
    <x v="0"/>
    <x v="1"/>
    <x v="6"/>
    <n v="0"/>
    <n v="0"/>
    <n v="1.7999999999999999E-2"/>
    <n v="1.728E-2"/>
    <n v="1.7999999999999999E-2"/>
    <n v="1.728E-2"/>
    <n v="0"/>
    <x v="0"/>
    <n v="0"/>
    <n v="0"/>
    <n v="7"/>
    <n v="48"/>
    <n v="0"/>
    <n v="948.15"/>
    <n v="263.29000000000002"/>
    <m/>
    <n v="976.42305228824534"/>
    <n v="210.64397598313801"/>
    <n v="0"/>
    <n v="16.384032000000001"/>
    <n v="4.5496512000000005"/>
    <n v="0"/>
    <n v="16.872590343540878"/>
    <n v="3.6399279049886246"/>
  </r>
  <r>
    <s v="Regular"/>
    <x v="0"/>
    <x v="1"/>
    <x v="3"/>
    <x v="2"/>
    <x v="0"/>
    <x v="0"/>
    <x v="1"/>
    <x v="7"/>
    <n v="0"/>
    <n v="0"/>
    <n v="0.1"/>
    <n v="9.6000000000000002E-2"/>
    <n v="0.1"/>
    <n v="9.6000000000000002E-2"/>
    <n v="0"/>
    <x v="0"/>
    <n v="0"/>
    <n v="0"/>
    <n v="7"/>
    <n v="48"/>
    <n v="0"/>
    <n v="948.15"/>
    <n v="263.29000000000002"/>
    <m/>
    <n v="976.42305228824534"/>
    <n v="210.64397598313801"/>
    <n v="0"/>
    <n v="91.022400000000005"/>
    <n v="25.275840000000002"/>
    <n v="0"/>
    <n v="93.736613019671552"/>
    <n v="20.221821694381248"/>
  </r>
  <r>
    <s v="Regular"/>
    <x v="0"/>
    <x v="1"/>
    <x v="3"/>
    <x v="2"/>
    <x v="0"/>
    <x v="0"/>
    <x v="1"/>
    <x v="8"/>
    <n v="0"/>
    <n v="0"/>
    <n v="0.128"/>
    <n v="0.12288"/>
    <n v="0.128"/>
    <n v="0.12288"/>
    <n v="0"/>
    <x v="0"/>
    <n v="0"/>
    <n v="0"/>
    <n v="7"/>
    <n v="48"/>
    <n v="0"/>
    <n v="948.15"/>
    <n v="263.29000000000002"/>
    <m/>
    <n v="976.42305228824534"/>
    <n v="210.64397598313801"/>
    <n v="0"/>
    <n v="116.508672"/>
    <n v="32.353075200000006"/>
    <n v="0"/>
    <n v="119.98286466517959"/>
    <n v="25.883931768807997"/>
  </r>
  <r>
    <s v="Regular"/>
    <x v="0"/>
    <x v="1"/>
    <x v="3"/>
    <x v="2"/>
    <x v="0"/>
    <x v="0"/>
    <x v="1"/>
    <x v="9"/>
    <n v="0"/>
    <n v="0"/>
    <n v="0.19800000000000001"/>
    <n v="0.19008"/>
    <n v="0.19800000000000001"/>
    <n v="0.19008"/>
    <n v="0"/>
    <x v="0"/>
    <n v="0"/>
    <n v="0"/>
    <n v="7"/>
    <n v="48"/>
    <n v="0"/>
    <n v="948.15"/>
    <n v="263.29000000000002"/>
    <m/>
    <n v="976.42305228824534"/>
    <n v="210.64397598313801"/>
    <n v="0"/>
    <n v="180.22435199999998"/>
    <n v="50.046163200000002"/>
    <n v="0"/>
    <n v="185.59849377894966"/>
    <n v="40.039206954874871"/>
  </r>
  <r>
    <s v="Regular"/>
    <x v="0"/>
    <x v="1"/>
    <x v="3"/>
    <x v="2"/>
    <x v="0"/>
    <x v="0"/>
    <x v="1"/>
    <x v="10"/>
    <n v="0"/>
    <n v="0"/>
    <n v="0.214"/>
    <n v="0.20544000000000001"/>
    <n v="0.214"/>
    <n v="0.20544000000000001"/>
    <n v="0"/>
    <x v="0"/>
    <n v="0"/>
    <n v="0"/>
    <n v="7"/>
    <n v="48"/>
    <n v="0"/>
    <n v="948.15"/>
    <n v="263.29000000000002"/>
    <m/>
    <n v="976.42305228824534"/>
    <n v="210.64397598313801"/>
    <n v="0"/>
    <n v="194.787936"/>
    <n v="54.090297600000007"/>
    <n v="0"/>
    <n v="200.59635186209712"/>
    <n v="43.274698425975878"/>
  </r>
  <r>
    <s v="Regular"/>
    <x v="0"/>
    <x v="1"/>
    <x v="3"/>
    <x v="2"/>
    <x v="0"/>
    <x v="0"/>
    <x v="1"/>
    <x v="11"/>
    <n v="0"/>
    <n v="0"/>
    <n v="2.7E-2"/>
    <n v="2.5919999999999999E-2"/>
    <n v="2.7E-2"/>
    <n v="2.5919999999999999E-2"/>
    <n v="0"/>
    <x v="0"/>
    <n v="0"/>
    <n v="0"/>
    <n v="7"/>
    <n v="48"/>
    <n v="0"/>
    <n v="948.15"/>
    <n v="263.29000000000002"/>
    <m/>
    <n v="976.42305228824534"/>
    <n v="210.64397598313801"/>
    <n v="0"/>
    <n v="24.576047999999997"/>
    <n v="6.8244768000000002"/>
    <n v="0"/>
    <n v="25.308885515311317"/>
    <n v="5.4598918574829369"/>
  </r>
  <r>
    <s v="Regular"/>
    <x v="0"/>
    <x v="1"/>
    <x v="3"/>
    <x v="0"/>
    <x v="0"/>
    <x v="0"/>
    <x v="0"/>
    <x v="0"/>
    <n v="0"/>
    <n v="0"/>
    <n v="1497.307"/>
    <n v="1437.41472"/>
    <n v="1497.307"/>
    <n v="1437.41472"/>
    <n v="0"/>
    <x v="0"/>
    <n v="0"/>
    <n v="0"/>
    <n v="8"/>
    <n v="49"/>
    <n v="0"/>
    <n v="65.61"/>
    <n v="263.29000000000002"/>
    <m/>
    <n v="100.34646310857573"/>
    <n v="210.64397598313801"/>
    <n v="0"/>
    <n v="94308.779779200006"/>
    <n v="378456.92162880005"/>
    <n v="0"/>
    <n v="144239.48317220371"/>
    <n v="302782.75175748905"/>
  </r>
  <r>
    <s v="Regular"/>
    <x v="0"/>
    <x v="1"/>
    <x v="3"/>
    <x v="0"/>
    <x v="0"/>
    <x v="0"/>
    <x v="0"/>
    <x v="1"/>
    <n v="0"/>
    <n v="0"/>
    <n v="1484.1410000000001"/>
    <n v="1424.7753600000001"/>
    <n v="1484.1410000000001"/>
    <n v="1424.7753600000001"/>
    <n v="0"/>
    <x v="0"/>
    <n v="0"/>
    <n v="0"/>
    <n v="8"/>
    <n v="49"/>
    <n v="0"/>
    <n v="65.61"/>
    <n v="263.29000000000002"/>
    <m/>
    <n v="100.34646310857573"/>
    <n v="210.64397598313801"/>
    <n v="0"/>
    <n v="93479.511369600004"/>
    <n v="375129.10453440004"/>
    <n v="0"/>
    <n v="142971.16810024771"/>
    <n v="300120.34671320685"/>
  </r>
  <r>
    <s v="Regular"/>
    <x v="0"/>
    <x v="1"/>
    <x v="3"/>
    <x v="0"/>
    <x v="0"/>
    <x v="0"/>
    <x v="0"/>
    <x v="2"/>
    <n v="0"/>
    <n v="0"/>
    <n v="1533.3710000000001"/>
    <n v="1472.0361600000001"/>
    <n v="1533.3710000000001"/>
    <n v="1472.0361600000001"/>
    <n v="0"/>
    <x v="0"/>
    <n v="0"/>
    <n v="0"/>
    <n v="8"/>
    <n v="49"/>
    <n v="0"/>
    <n v="65.61"/>
    <n v="263.29000000000002"/>
    <m/>
    <n v="100.34646310857573"/>
    <n v="210.64397598313801"/>
    <n v="0"/>
    <n v="96580.292457600008"/>
    <n v="387572.40056640009"/>
    <n v="0"/>
    <n v="147713.6222239295"/>
    <n v="310075.54953335074"/>
  </r>
  <r>
    <s v="Regular"/>
    <x v="0"/>
    <x v="1"/>
    <x v="3"/>
    <x v="0"/>
    <x v="0"/>
    <x v="0"/>
    <x v="0"/>
    <x v="3"/>
    <n v="0"/>
    <n v="0"/>
    <n v="1605.268"/>
    <n v="1541.05728"/>
    <n v="1605.268"/>
    <n v="1541.05728"/>
    <n v="0"/>
    <x v="0"/>
    <n v="0"/>
    <n v="0"/>
    <n v="8"/>
    <n v="49"/>
    <n v="0"/>
    <n v="65.61"/>
    <n v="263.29000000000002"/>
    <m/>
    <n v="100.34646310857573"/>
    <n v="210.64397598313801"/>
    <n v="0"/>
    <n v="101108.76814079999"/>
    <n v="405744.97125120001"/>
    <n v="0"/>
    <n v="154639.64749572205"/>
    <n v="324614.43267695996"/>
  </r>
  <r>
    <s v="Sistema de Compensação"/>
    <x v="0"/>
    <x v="1"/>
    <x v="3"/>
    <x v="0"/>
    <x v="0"/>
    <x v="0"/>
    <x v="0"/>
    <x v="3"/>
    <n v="0"/>
    <n v="0"/>
    <n v="6.8630000000000004"/>
    <n v="6.5884800000000006"/>
    <n v="6.8630000000000004"/>
    <n v="6.5884800000000006"/>
    <n v="0"/>
    <x v="0"/>
    <n v="0"/>
    <n v="0"/>
    <n v="8"/>
    <n v="49"/>
    <n v="0"/>
    <n v="65.61"/>
    <n v="263.29000000000002"/>
    <m/>
    <n v="100.34646310857573"/>
    <n v="210.64397598313801"/>
    <n v="0"/>
    <n v="432.27017280000001"/>
    <n v="1734.6808992000003"/>
    <n v="0"/>
    <n v="661.13066526158912"/>
    <n v="1387.8236228853852"/>
  </r>
  <r>
    <s v="Regular"/>
    <x v="0"/>
    <x v="1"/>
    <x v="3"/>
    <x v="0"/>
    <x v="0"/>
    <x v="0"/>
    <x v="0"/>
    <x v="4"/>
    <n v="0"/>
    <n v="0"/>
    <n v="1987.703"/>
    <n v="1908.19488"/>
    <n v="1987.703"/>
    <n v="1908.19488"/>
    <n v="0"/>
    <x v="0"/>
    <n v="0"/>
    <n v="0"/>
    <n v="8"/>
    <n v="49"/>
    <n v="0"/>
    <n v="65.61"/>
    <n v="263.29000000000002"/>
    <m/>
    <n v="100.34646310857573"/>
    <n v="210.64397598313801"/>
    <n v="0"/>
    <n v="125196.6660768"/>
    <n v="502408.62995520007"/>
    <n v="0"/>
    <n v="191480.60712989309"/>
    <n v="401949.75647386693"/>
  </r>
  <r>
    <s v="Sistema de Compensação"/>
    <x v="0"/>
    <x v="1"/>
    <x v="3"/>
    <x v="0"/>
    <x v="0"/>
    <x v="0"/>
    <x v="0"/>
    <x v="4"/>
    <n v="0"/>
    <n v="0"/>
    <n v="13.683999999999999"/>
    <n v="13.136639999999998"/>
    <n v="13.683999999999999"/>
    <n v="13.136639999999998"/>
    <n v="0"/>
    <x v="0"/>
    <n v="0"/>
    <n v="0"/>
    <n v="8"/>
    <n v="49"/>
    <n v="0"/>
    <n v="65.61"/>
    <n v="263.29000000000002"/>
    <m/>
    <n v="100.34646310857573"/>
    <n v="210.64397598313801"/>
    <n v="0"/>
    <n v="861.89495039999986"/>
    <n v="3458.7459455999997"/>
    <n v="0"/>
    <n v="1318.2153611306401"/>
    <n v="2767.1540806591297"/>
  </r>
  <r>
    <s v="Regular"/>
    <x v="0"/>
    <x v="1"/>
    <x v="3"/>
    <x v="0"/>
    <x v="0"/>
    <x v="0"/>
    <x v="0"/>
    <x v="5"/>
    <n v="0"/>
    <n v="0"/>
    <n v="2111.8159999999998"/>
    <n v="2027.3433600000001"/>
    <n v="2111.8159999999998"/>
    <n v="2027.3433600000001"/>
    <n v="0"/>
    <x v="0"/>
    <n v="0"/>
    <n v="0"/>
    <n v="8"/>
    <n v="49"/>
    <n v="0"/>
    <n v="65.61"/>
    <n v="263.29000000000002"/>
    <m/>
    <n v="100.34646310857573"/>
    <n v="210.64397598313801"/>
    <n v="0"/>
    <n v="133013.99784960001"/>
    <n v="533779.23325440008"/>
    <n v="0"/>
    <n v="203436.73568265597"/>
    <n v="427047.66603341431"/>
  </r>
  <r>
    <s v="Sistema de Compensação"/>
    <x v="0"/>
    <x v="1"/>
    <x v="3"/>
    <x v="0"/>
    <x v="0"/>
    <x v="0"/>
    <x v="0"/>
    <x v="5"/>
    <n v="0"/>
    <n v="0"/>
    <n v="22.838999999999999"/>
    <n v="21.925439999999998"/>
    <n v="22.838999999999999"/>
    <n v="21.925439999999998"/>
    <n v="0"/>
    <x v="0"/>
    <n v="0"/>
    <n v="0"/>
    <n v="8"/>
    <n v="49"/>
    <n v="0"/>
    <n v="65.61"/>
    <n v="263.29000000000002"/>
    <m/>
    <n v="100.34646310857573"/>
    <n v="210.64397598313801"/>
    <n v="0"/>
    <n v="1438.5281183999998"/>
    <n v="5772.7490975999999"/>
    <n v="0"/>
    <n v="2200.1403560992903"/>
    <n v="4618.4618567797334"/>
  </r>
  <r>
    <s v="Regular"/>
    <x v="0"/>
    <x v="1"/>
    <x v="3"/>
    <x v="0"/>
    <x v="0"/>
    <x v="0"/>
    <x v="0"/>
    <x v="6"/>
    <n v="0"/>
    <n v="0"/>
    <n v="2204.989"/>
    <n v="2116.78944"/>
    <n v="2204.989"/>
    <n v="2116.78944"/>
    <n v="0"/>
    <x v="0"/>
    <n v="0"/>
    <n v="0"/>
    <n v="8"/>
    <n v="49"/>
    <n v="0"/>
    <n v="65.61"/>
    <n v="263.29000000000002"/>
    <m/>
    <n v="100.34646310857573"/>
    <n v="210.64397598313801"/>
    <n v="0"/>
    <n v="138882.55515840001"/>
    <n v="557329.49165760004"/>
    <n v="0"/>
    <n v="212412.33344958269"/>
    <n v="445888.94396072015"/>
  </r>
  <r>
    <s v="Regular"/>
    <x v="0"/>
    <x v="1"/>
    <x v="3"/>
    <x v="0"/>
    <x v="0"/>
    <x v="0"/>
    <x v="0"/>
    <x v="7"/>
    <n v="0"/>
    <n v="0"/>
    <n v="2329.8919999999998"/>
    <n v="2236.69632"/>
    <n v="2329.8919999999998"/>
    <n v="2236.69632"/>
    <n v="0"/>
    <x v="0"/>
    <n v="0"/>
    <n v="0"/>
    <n v="8"/>
    <n v="49"/>
    <n v="0"/>
    <n v="65.61"/>
    <n v="263.29000000000002"/>
    <m/>
    <n v="100.34646310857573"/>
    <n v="210.64397598313801"/>
    <n v="0"/>
    <n v="146749.6455552"/>
    <n v="588899.7740928001"/>
    <n v="0"/>
    <n v="224444.56475996709"/>
    <n v="471146.60591165314"/>
  </r>
  <r>
    <s v="Sistema de Compensação"/>
    <x v="0"/>
    <x v="1"/>
    <x v="3"/>
    <x v="0"/>
    <x v="0"/>
    <x v="0"/>
    <x v="0"/>
    <x v="7"/>
    <n v="0"/>
    <n v="0"/>
    <n v="13.545999999999999"/>
    <n v="13.004159999999999"/>
    <n v="13.545999999999999"/>
    <n v="13.004159999999999"/>
    <n v="0"/>
    <x v="0"/>
    <n v="0"/>
    <n v="0"/>
    <n v="8"/>
    <n v="49"/>
    <n v="0"/>
    <n v="65.61"/>
    <n v="263.29000000000002"/>
    <m/>
    <n v="100.34646310857573"/>
    <n v="210.64397598313801"/>
    <n v="0"/>
    <n v="853.20293759999993"/>
    <n v="3423.8652864000001"/>
    <n v="0"/>
    <n v="1304.9214616980162"/>
    <n v="2739.2479667208836"/>
  </r>
  <r>
    <s v="Regular"/>
    <x v="0"/>
    <x v="1"/>
    <x v="3"/>
    <x v="0"/>
    <x v="0"/>
    <x v="0"/>
    <x v="0"/>
    <x v="8"/>
    <n v="0"/>
    <n v="0"/>
    <n v="2430.29"/>
    <n v="2333.0783999999999"/>
    <n v="2430.29"/>
    <n v="2333.0783999999999"/>
    <n v="0"/>
    <x v="0"/>
    <n v="0"/>
    <n v="0"/>
    <n v="8"/>
    <n v="49"/>
    <n v="0"/>
    <n v="65.61"/>
    <n v="263.29000000000002"/>
    <m/>
    <n v="100.34646310857573"/>
    <n v="210.64397598313801"/>
    <n v="0"/>
    <n v="153073.273824"/>
    <n v="614276.21193600004"/>
    <n v="0"/>
    <n v="234116.1655950149"/>
    <n v="491448.91045637801"/>
  </r>
  <r>
    <s v="Sistema de Compensação"/>
    <x v="0"/>
    <x v="1"/>
    <x v="3"/>
    <x v="0"/>
    <x v="0"/>
    <x v="0"/>
    <x v="0"/>
    <x v="8"/>
    <n v="0"/>
    <n v="0"/>
    <n v="8.6039999999999992"/>
    <n v="8.2598399999999987"/>
    <n v="8.6039999999999992"/>
    <n v="8.2598399999999987"/>
    <n v="0"/>
    <x v="0"/>
    <n v="0"/>
    <n v="0"/>
    <n v="8"/>
    <n v="49"/>
    <n v="0"/>
    <n v="65.61"/>
    <n v="263.29000000000002"/>
    <m/>
    <n v="100.34646310857573"/>
    <n v="210.64397598313801"/>
    <n v="0"/>
    <n v="541.92810239999994"/>
    <n v="2174.7332735999998"/>
    <n v="0"/>
    <n v="828.84572984273802"/>
    <n v="1739.8855385845623"/>
  </r>
  <r>
    <s v="Regular"/>
    <x v="0"/>
    <x v="1"/>
    <x v="3"/>
    <x v="0"/>
    <x v="0"/>
    <x v="0"/>
    <x v="0"/>
    <x v="9"/>
    <n v="0"/>
    <n v="0"/>
    <n v="2171.7860000000001"/>
    <n v="2084.9145600000002"/>
    <n v="2171.7860000000001"/>
    <n v="2084.9145600000002"/>
    <n v="0"/>
    <x v="0"/>
    <n v="0"/>
    <n v="0"/>
    <n v="8"/>
    <n v="49"/>
    <n v="0"/>
    <n v="65.61"/>
    <n v="263.29000000000002"/>
    <m/>
    <n v="100.34646310857573"/>
    <n v="210.64397598313801"/>
    <n v="0"/>
    <n v="136791.2442816"/>
    <n v="548937.15450240008"/>
    <n v="0"/>
    <n v="209213.80197957242"/>
    <n v="439174.69250353478"/>
  </r>
  <r>
    <s v="Regular"/>
    <x v="0"/>
    <x v="1"/>
    <x v="3"/>
    <x v="0"/>
    <x v="0"/>
    <x v="0"/>
    <x v="0"/>
    <x v="10"/>
    <n v="0"/>
    <n v="0"/>
    <n v="2384.8110000000001"/>
    <n v="2289.4185600000001"/>
    <n v="2384.8110000000001"/>
    <n v="2289.4185600000001"/>
    <n v="0"/>
    <x v="0"/>
    <n v="0"/>
    <n v="0"/>
    <n v="8"/>
    <n v="49"/>
    <n v="0"/>
    <n v="65.61"/>
    <n v="263.29000000000002"/>
    <m/>
    <n v="100.34646310857573"/>
    <n v="210.64397598313801"/>
    <n v="0"/>
    <n v="150208.75172160001"/>
    <n v="602781.01266240003"/>
    <n v="0"/>
    <n v="229735.05507112859"/>
    <n v="482252.2281679904"/>
  </r>
  <r>
    <s v="Sistema de Compensação"/>
    <x v="0"/>
    <x v="1"/>
    <x v="3"/>
    <x v="0"/>
    <x v="0"/>
    <x v="0"/>
    <x v="0"/>
    <x v="10"/>
    <n v="0"/>
    <n v="0"/>
    <n v="70.647999999999996"/>
    <n v="67.82208"/>
    <n v="70.647999999999996"/>
    <n v="67.82208"/>
    <n v="0"/>
    <x v="0"/>
    <n v="0"/>
    <n v="0"/>
    <n v="8"/>
    <n v="49"/>
    <n v="0"/>
    <n v="65.61"/>
    <n v="263.29000000000002"/>
    <m/>
    <n v="100.34646310857573"/>
    <n v="210.64397598313801"/>
    <n v="0"/>
    <n v="4449.8066687999999"/>
    <n v="17856.875443200002"/>
    <n v="0"/>
    <n v="6805.705848666872"/>
    <n v="14286.312590646465"/>
  </r>
  <r>
    <s v="Regular"/>
    <x v="0"/>
    <x v="1"/>
    <x v="3"/>
    <x v="0"/>
    <x v="0"/>
    <x v="0"/>
    <x v="0"/>
    <x v="11"/>
    <n v="0"/>
    <n v="0"/>
    <n v="1900.2560000000001"/>
    <n v="1824.24576"/>
    <n v="1900.2560000000001"/>
    <n v="1824.24576"/>
    <n v="0"/>
    <x v="0"/>
    <n v="0"/>
    <n v="0"/>
    <n v="8"/>
    <n v="49"/>
    <n v="0"/>
    <n v="65.61"/>
    <n v="263.29000000000002"/>
    <m/>
    <n v="100.34646310857573"/>
    <n v="210.64397598313801"/>
    <n v="0"/>
    <n v="119688.7643136"/>
    <n v="480305.66615040007"/>
    <n v="0"/>
    <n v="183056.60985681569"/>
    <n v="384266.38005678135"/>
  </r>
  <r>
    <s v="Regular"/>
    <x v="0"/>
    <x v="1"/>
    <x v="3"/>
    <x v="0"/>
    <x v="0"/>
    <x v="0"/>
    <x v="2"/>
    <x v="0"/>
    <n v="6735"/>
    <n v="6465.5999999999995"/>
    <n v="0"/>
    <n v="0"/>
    <n v="0"/>
    <n v="0"/>
    <n v="48"/>
    <x v="0"/>
    <n v="0"/>
    <n v="6"/>
    <n v="0"/>
    <n v="0"/>
    <n v="19.32"/>
    <n v="0"/>
    <n v="0"/>
    <n v="16.680041929169654"/>
    <m/>
    <m/>
    <n v="124915.39199999999"/>
    <n v="0"/>
    <n v="0"/>
    <n v="107846.47909723931"/>
    <n v="0"/>
    <n v="0"/>
  </r>
  <r>
    <s v="Sistema de Compensação"/>
    <x v="0"/>
    <x v="1"/>
    <x v="3"/>
    <x v="0"/>
    <x v="0"/>
    <x v="0"/>
    <x v="2"/>
    <x v="0"/>
    <n v="63"/>
    <n v="60.48"/>
    <n v="0"/>
    <n v="0"/>
    <n v="0"/>
    <n v="0"/>
    <n v="1"/>
    <x v="0"/>
    <n v="0"/>
    <n v="6"/>
    <n v="0"/>
    <n v="0"/>
    <n v="19.32"/>
    <n v="0"/>
    <n v="0"/>
    <n v="16.680041929169654"/>
    <m/>
    <m/>
    <n v="1168.4736"/>
    <n v="0"/>
    <n v="0"/>
    <n v="1008.8089358761806"/>
    <n v="0"/>
    <n v="0"/>
  </r>
  <r>
    <s v="Regular"/>
    <x v="0"/>
    <x v="1"/>
    <x v="3"/>
    <x v="0"/>
    <x v="0"/>
    <x v="0"/>
    <x v="2"/>
    <x v="1"/>
    <n v="6004"/>
    <n v="5763.84"/>
    <n v="0"/>
    <n v="0"/>
    <n v="0"/>
    <n v="0"/>
    <n v="48"/>
    <x v="0"/>
    <n v="0"/>
    <n v="6"/>
    <n v="0"/>
    <n v="0"/>
    <n v="19.32"/>
    <n v="0"/>
    <n v="0"/>
    <n v="16.680041929169654"/>
    <m/>
    <m/>
    <n v="111357.3888"/>
    <n v="0"/>
    <n v="0"/>
    <n v="96141.09287302522"/>
    <n v="0"/>
    <n v="0"/>
  </r>
  <r>
    <s v="Sistema de Compensação"/>
    <x v="0"/>
    <x v="1"/>
    <x v="3"/>
    <x v="0"/>
    <x v="0"/>
    <x v="0"/>
    <x v="2"/>
    <x v="1"/>
    <n v="117"/>
    <n v="112.32"/>
    <n v="0"/>
    <n v="0"/>
    <n v="0"/>
    <n v="0"/>
    <n v="1"/>
    <x v="0"/>
    <n v="0"/>
    <n v="6"/>
    <n v="0"/>
    <n v="0"/>
    <n v="19.32"/>
    <n v="0"/>
    <n v="0"/>
    <n v="16.680041929169654"/>
    <m/>
    <m/>
    <n v="2170.0223999999998"/>
    <n v="0"/>
    <n v="0"/>
    <n v="1873.5023094843355"/>
    <n v="0"/>
    <n v="0"/>
  </r>
  <r>
    <s v="Regular"/>
    <x v="0"/>
    <x v="1"/>
    <x v="3"/>
    <x v="0"/>
    <x v="0"/>
    <x v="0"/>
    <x v="2"/>
    <x v="2"/>
    <n v="5704"/>
    <n v="5475.84"/>
    <n v="0"/>
    <n v="0"/>
    <n v="0"/>
    <n v="0"/>
    <n v="48"/>
    <x v="0"/>
    <n v="0"/>
    <n v="6"/>
    <n v="0"/>
    <n v="0"/>
    <n v="19.32"/>
    <n v="0"/>
    <n v="0"/>
    <n v="16.680041929169654"/>
    <m/>
    <m/>
    <n v="105793.2288"/>
    <n v="0"/>
    <n v="0"/>
    <n v="91337.240797424369"/>
    <n v="0"/>
    <n v="0"/>
  </r>
  <r>
    <s v="Sistema de Compensação"/>
    <x v="0"/>
    <x v="1"/>
    <x v="3"/>
    <x v="0"/>
    <x v="0"/>
    <x v="0"/>
    <x v="2"/>
    <x v="2"/>
    <n v="127"/>
    <n v="121.92"/>
    <n v="0"/>
    <n v="0"/>
    <n v="0"/>
    <n v="0"/>
    <n v="1"/>
    <x v="0"/>
    <n v="0"/>
    <n v="6"/>
    <n v="0"/>
    <n v="0"/>
    <n v="19.32"/>
    <n v="0"/>
    <n v="0"/>
    <n v="16.680041929169654"/>
    <m/>
    <m/>
    <n v="2355.4944"/>
    <n v="0"/>
    <n v="0"/>
    <n v="2033.6307120043643"/>
    <n v="0"/>
    <n v="0"/>
  </r>
  <r>
    <s v="Regular"/>
    <x v="0"/>
    <x v="1"/>
    <x v="3"/>
    <x v="0"/>
    <x v="0"/>
    <x v="0"/>
    <x v="2"/>
    <x v="3"/>
    <n v="6448"/>
    <n v="6190.08"/>
    <n v="0"/>
    <n v="0"/>
    <n v="0"/>
    <n v="0"/>
    <n v="46"/>
    <x v="0"/>
    <n v="0"/>
    <n v="6"/>
    <n v="0"/>
    <n v="0"/>
    <n v="19.32"/>
    <n v="0"/>
    <n v="0"/>
    <n v="16.680041929169654"/>
    <m/>
    <m/>
    <n v="119592.3456"/>
    <n v="0"/>
    <n v="0"/>
    <n v="103250.79394491449"/>
    <n v="0"/>
    <n v="0"/>
  </r>
  <r>
    <s v="Sistema de Compensação"/>
    <x v="0"/>
    <x v="1"/>
    <x v="3"/>
    <x v="0"/>
    <x v="0"/>
    <x v="0"/>
    <x v="2"/>
    <x v="3"/>
    <n v="279"/>
    <n v="267.83999999999997"/>
    <n v="0"/>
    <n v="0"/>
    <n v="0"/>
    <n v="0"/>
    <n v="2"/>
    <x v="0"/>
    <n v="0"/>
    <n v="6"/>
    <n v="0"/>
    <n v="0"/>
    <n v="19.32"/>
    <n v="0"/>
    <n v="0"/>
    <n v="16.680041929169654"/>
    <m/>
    <m/>
    <n v="5174.6687999999995"/>
    <n v="0"/>
    <n v="0"/>
    <n v="4467.5824303088002"/>
    <n v="0"/>
    <n v="0"/>
  </r>
  <r>
    <s v="Regular"/>
    <x v="0"/>
    <x v="1"/>
    <x v="3"/>
    <x v="0"/>
    <x v="0"/>
    <x v="0"/>
    <x v="2"/>
    <x v="4"/>
    <n v="9002"/>
    <n v="8641.92"/>
    <n v="0"/>
    <n v="0"/>
    <n v="0"/>
    <n v="0"/>
    <n v="47"/>
    <x v="0"/>
    <n v="0"/>
    <n v="6"/>
    <n v="0"/>
    <n v="0"/>
    <n v="19.32"/>
    <n v="0"/>
    <n v="0"/>
    <n v="16.680041929169654"/>
    <m/>
    <m/>
    <n v="166961.89439999999"/>
    <n v="0"/>
    <n v="0"/>
    <n v="144147.58794852981"/>
    <n v="0"/>
    <n v="0"/>
  </r>
  <r>
    <s v="Sistema de Compensação"/>
    <x v="0"/>
    <x v="1"/>
    <x v="3"/>
    <x v="0"/>
    <x v="0"/>
    <x v="0"/>
    <x v="2"/>
    <x v="4"/>
    <n v="320"/>
    <n v="307.2"/>
    <n v="0"/>
    <n v="0"/>
    <n v="0"/>
    <n v="0"/>
    <n v="3"/>
    <x v="0"/>
    <n v="0"/>
    <n v="6"/>
    <n v="0"/>
    <n v="0"/>
    <n v="19.32"/>
    <n v="0"/>
    <n v="0"/>
    <n v="16.680041929169654"/>
    <m/>
    <m/>
    <n v="5935.1040000000003"/>
    <n v="0"/>
    <n v="0"/>
    <n v="5124.108880640918"/>
    <n v="0"/>
    <n v="0"/>
  </r>
  <r>
    <s v="Regular"/>
    <x v="0"/>
    <x v="1"/>
    <x v="3"/>
    <x v="0"/>
    <x v="0"/>
    <x v="0"/>
    <x v="2"/>
    <x v="5"/>
    <n v="8558"/>
    <n v="8215.68"/>
    <n v="0"/>
    <n v="0"/>
    <n v="0"/>
    <n v="0"/>
    <n v="46"/>
    <x v="0"/>
    <n v="0"/>
    <n v="6"/>
    <n v="0"/>
    <n v="0"/>
    <n v="19.32"/>
    <n v="0"/>
    <n v="0"/>
    <n v="16.680041929169654"/>
    <m/>
    <m/>
    <n v="158726.9376"/>
    <n v="0"/>
    <n v="0"/>
    <n v="137037.88687664055"/>
    <n v="0"/>
    <n v="0"/>
  </r>
  <r>
    <s v="Sistema de Compensação"/>
    <x v="0"/>
    <x v="1"/>
    <x v="3"/>
    <x v="0"/>
    <x v="0"/>
    <x v="0"/>
    <x v="2"/>
    <x v="5"/>
    <n v="209"/>
    <n v="200.64"/>
    <n v="0"/>
    <n v="0"/>
    <n v="0"/>
    <n v="0"/>
    <n v="2"/>
    <x v="0"/>
    <n v="0"/>
    <n v="6"/>
    <n v="0"/>
    <n v="0"/>
    <n v="19.32"/>
    <n v="0"/>
    <n v="0"/>
    <n v="16.680041929169654"/>
    <m/>
    <m/>
    <n v="3876.3647999999998"/>
    <n v="0"/>
    <n v="0"/>
    <n v="3346.6836126685994"/>
    <n v="0"/>
    <n v="0"/>
  </r>
  <r>
    <s v="Regular"/>
    <x v="0"/>
    <x v="1"/>
    <x v="3"/>
    <x v="0"/>
    <x v="0"/>
    <x v="0"/>
    <x v="2"/>
    <x v="6"/>
    <n v="7866"/>
    <n v="7551.36"/>
    <n v="0"/>
    <n v="0"/>
    <n v="0"/>
    <n v="0"/>
    <n v="47"/>
    <x v="0"/>
    <n v="0"/>
    <n v="6"/>
    <n v="0"/>
    <n v="0"/>
    <n v="19.32"/>
    <n v="0"/>
    <n v="0"/>
    <n v="16.680041929169654"/>
    <m/>
    <m/>
    <n v="145892.2752"/>
    <n v="0"/>
    <n v="0"/>
    <n v="125957.00142225456"/>
    <n v="0"/>
    <n v="0"/>
  </r>
  <r>
    <s v="Sistema de Compensação"/>
    <x v="0"/>
    <x v="1"/>
    <x v="3"/>
    <x v="0"/>
    <x v="0"/>
    <x v="0"/>
    <x v="2"/>
    <x v="6"/>
    <n v="275"/>
    <n v="264"/>
    <n v="0"/>
    <n v="0"/>
    <n v="0"/>
    <n v="0"/>
    <n v="2"/>
    <x v="0"/>
    <n v="0"/>
    <n v="6"/>
    <n v="0"/>
    <n v="0"/>
    <n v="19.32"/>
    <n v="0"/>
    <n v="0"/>
    <n v="16.680041929169654"/>
    <m/>
    <m/>
    <n v="5100.4800000000005"/>
    <n v="0"/>
    <n v="0"/>
    <n v="4403.5310693007887"/>
    <n v="0"/>
    <n v="0"/>
  </r>
  <r>
    <s v="Regular"/>
    <x v="0"/>
    <x v="1"/>
    <x v="3"/>
    <x v="0"/>
    <x v="0"/>
    <x v="0"/>
    <x v="2"/>
    <x v="7"/>
    <n v="8612"/>
    <n v="8267.52"/>
    <n v="0"/>
    <n v="0"/>
    <n v="0"/>
    <n v="0"/>
    <n v="47"/>
    <x v="0"/>
    <n v="0"/>
    <n v="6"/>
    <n v="0"/>
    <n v="0"/>
    <n v="19.32"/>
    <n v="0"/>
    <n v="0"/>
    <n v="16.680041929169654"/>
    <m/>
    <m/>
    <n v="159728.48640000002"/>
    <n v="0"/>
    <n v="0"/>
    <n v="137902.58025024872"/>
    <n v="0"/>
    <n v="0"/>
  </r>
  <r>
    <s v="Sistema de Compensação"/>
    <x v="0"/>
    <x v="1"/>
    <x v="3"/>
    <x v="0"/>
    <x v="0"/>
    <x v="0"/>
    <x v="2"/>
    <x v="7"/>
    <n v="541"/>
    <n v="519.36"/>
    <n v="0"/>
    <n v="0"/>
    <n v="0"/>
    <n v="0"/>
    <n v="2"/>
    <x v="0"/>
    <n v="0"/>
    <n v="6"/>
    <n v="0"/>
    <n v="0"/>
    <n v="19.32"/>
    <n v="0"/>
    <n v="0"/>
    <n v="16.680041929169654"/>
    <m/>
    <m/>
    <n v="10034.0352"/>
    <n v="0"/>
    <n v="0"/>
    <n v="8662.946576333552"/>
    <n v="0"/>
    <n v="0"/>
  </r>
  <r>
    <s v="Regular"/>
    <x v="0"/>
    <x v="1"/>
    <x v="3"/>
    <x v="0"/>
    <x v="0"/>
    <x v="0"/>
    <x v="2"/>
    <x v="8"/>
    <n v="8678"/>
    <n v="8330.8799999999992"/>
    <n v="0"/>
    <n v="0"/>
    <n v="0"/>
    <n v="0"/>
    <n v="45"/>
    <x v="0"/>
    <n v="0"/>
    <n v="6"/>
    <n v="0"/>
    <n v="0"/>
    <n v="19.32"/>
    <n v="0"/>
    <n v="0"/>
    <n v="16.680041929169654"/>
    <m/>
    <m/>
    <n v="160952.60159999999"/>
    <n v="0"/>
    <n v="0"/>
    <n v="138959.42770688087"/>
    <n v="0"/>
    <n v="0"/>
  </r>
  <r>
    <s v="Sistema de Compensação"/>
    <x v="0"/>
    <x v="1"/>
    <x v="3"/>
    <x v="0"/>
    <x v="0"/>
    <x v="0"/>
    <x v="2"/>
    <x v="8"/>
    <n v="268"/>
    <n v="257.27999999999997"/>
    <n v="0"/>
    <n v="0"/>
    <n v="0"/>
    <n v="0"/>
    <n v="2"/>
    <x v="0"/>
    <n v="0"/>
    <n v="6"/>
    <n v="0"/>
    <n v="0"/>
    <n v="19.32"/>
    <n v="0"/>
    <n v="0"/>
    <n v="16.680041929169654"/>
    <m/>
    <m/>
    <n v="4970.6495999999997"/>
    <n v="0"/>
    <n v="0"/>
    <n v="4291.4411875367678"/>
    <n v="0"/>
    <n v="0"/>
  </r>
  <r>
    <s v="Regular"/>
    <x v="0"/>
    <x v="1"/>
    <x v="3"/>
    <x v="0"/>
    <x v="0"/>
    <x v="0"/>
    <x v="2"/>
    <x v="9"/>
    <n v="7872"/>
    <n v="7557.12"/>
    <n v="0"/>
    <n v="0"/>
    <n v="0"/>
    <n v="0"/>
    <n v="41"/>
    <x v="0"/>
    <n v="0"/>
    <n v="6"/>
    <n v="0"/>
    <n v="0"/>
    <n v="19.32"/>
    <n v="0"/>
    <n v="0"/>
    <n v="16.680041929169654"/>
    <m/>
    <m/>
    <n v="146003.55840000001"/>
    <n v="0"/>
    <n v="0"/>
    <n v="126053.07846376658"/>
    <n v="0"/>
    <n v="0"/>
  </r>
  <r>
    <s v="Sistema de Compensação"/>
    <x v="0"/>
    <x v="1"/>
    <x v="3"/>
    <x v="0"/>
    <x v="0"/>
    <x v="0"/>
    <x v="2"/>
    <x v="9"/>
    <n v="271"/>
    <n v="260.15999999999997"/>
    <n v="0"/>
    <n v="0"/>
    <n v="0"/>
    <n v="0"/>
    <n v="2"/>
    <x v="0"/>
    <n v="0"/>
    <n v="6"/>
    <n v="0"/>
    <n v="0"/>
    <n v="19.32"/>
    <n v="0"/>
    <n v="0"/>
    <n v="16.680041929169654"/>
    <m/>
    <m/>
    <n v="5026.2911999999997"/>
    <n v="0"/>
    <n v="0"/>
    <n v="4339.4797082927771"/>
    <n v="0"/>
    <n v="0"/>
  </r>
  <r>
    <s v="Regular"/>
    <x v="0"/>
    <x v="1"/>
    <x v="3"/>
    <x v="0"/>
    <x v="0"/>
    <x v="0"/>
    <x v="2"/>
    <x v="10"/>
    <n v="7637"/>
    <n v="7331.52"/>
    <n v="0"/>
    <n v="0"/>
    <n v="0"/>
    <n v="0"/>
    <n v="39"/>
    <x v="0"/>
    <n v="0"/>
    <n v="6"/>
    <n v="0"/>
    <n v="0"/>
    <n v="19.32"/>
    <n v="0"/>
    <n v="0"/>
    <n v="16.680041929169654"/>
    <m/>
    <m/>
    <n v="141644.9664"/>
    <n v="0"/>
    <n v="0"/>
    <n v="122290.0610045459"/>
    <n v="0"/>
    <n v="0"/>
  </r>
  <r>
    <s v="Sistema de Compensação"/>
    <x v="0"/>
    <x v="1"/>
    <x v="3"/>
    <x v="0"/>
    <x v="0"/>
    <x v="0"/>
    <x v="2"/>
    <x v="10"/>
    <n v="669"/>
    <n v="642.24"/>
    <n v="0"/>
    <n v="0"/>
    <n v="0"/>
    <n v="0"/>
    <n v="4"/>
    <x v="0"/>
    <n v="0"/>
    <n v="6"/>
    <n v="0"/>
    <n v="0"/>
    <n v="19.32"/>
    <n v="0"/>
    <n v="0"/>
    <n v="16.680041929169654"/>
    <m/>
    <m/>
    <n v="12408.076800000001"/>
    <n v="0"/>
    <n v="0"/>
    <n v="10712.590128589918"/>
    <n v="0"/>
    <n v="0"/>
  </r>
  <r>
    <s v="Regular"/>
    <x v="0"/>
    <x v="1"/>
    <x v="3"/>
    <x v="0"/>
    <x v="0"/>
    <x v="0"/>
    <x v="2"/>
    <x v="11"/>
    <n v="7118"/>
    <n v="6833.28"/>
    <n v="0"/>
    <n v="0"/>
    <n v="0"/>
    <n v="0"/>
    <n v="39"/>
    <x v="0"/>
    <n v="0"/>
    <n v="6"/>
    <n v="0"/>
    <n v="0"/>
    <n v="19.32"/>
    <n v="0"/>
    <n v="0"/>
    <n v="16.680041929169654"/>
    <m/>
    <m/>
    <n v="132018.96960000001"/>
    <n v="0"/>
    <n v="0"/>
    <n v="113979.39691375641"/>
    <n v="0"/>
    <n v="0"/>
  </r>
  <r>
    <s v="Regular"/>
    <x v="0"/>
    <x v="1"/>
    <x v="3"/>
    <x v="0"/>
    <x v="0"/>
    <x v="0"/>
    <x v="1"/>
    <x v="0"/>
    <n v="0"/>
    <n v="0"/>
    <n v="77.981999999999999"/>
    <n v="74.862719999999996"/>
    <n v="77.981999999999999"/>
    <n v="74.862719999999996"/>
    <n v="0"/>
    <x v="0"/>
    <n v="0"/>
    <n v="0"/>
    <n v="7"/>
    <n v="48"/>
    <n v="0"/>
    <n v="948.15"/>
    <n v="263.29000000000002"/>
    <m/>
    <n v="976.42305228824534"/>
    <n v="210.64397598313801"/>
    <n v="0"/>
    <n v="70981.087967999993"/>
    <n v="19710.605548800002"/>
    <n v="0"/>
    <n v="73097.685565000269"/>
    <n v="15769.380993712384"/>
  </r>
  <r>
    <s v="Regular"/>
    <x v="0"/>
    <x v="1"/>
    <x v="3"/>
    <x v="0"/>
    <x v="0"/>
    <x v="0"/>
    <x v="1"/>
    <x v="1"/>
    <n v="0"/>
    <n v="0"/>
    <n v="63.808"/>
    <n v="61.255679999999998"/>
    <n v="63.808"/>
    <n v="61.255679999999998"/>
    <n v="0"/>
    <x v="0"/>
    <n v="0"/>
    <n v="0"/>
    <n v="7"/>
    <n v="48"/>
    <n v="0"/>
    <n v="948.15"/>
    <n v="263.29000000000002"/>
    <m/>
    <n v="976.42305228824534"/>
    <n v="210.64397598313801"/>
    <n v="0"/>
    <n v="58079.572991999994"/>
    <n v="16128.007987200001"/>
    <n v="0"/>
    <n v="59811.458035592026"/>
    <n v="12903.139986750786"/>
  </r>
  <r>
    <s v="Regular"/>
    <x v="0"/>
    <x v="1"/>
    <x v="3"/>
    <x v="0"/>
    <x v="0"/>
    <x v="0"/>
    <x v="1"/>
    <x v="2"/>
    <n v="0"/>
    <n v="0"/>
    <n v="64.644999999999996"/>
    <n v="62.059199999999997"/>
    <n v="64.644999999999996"/>
    <n v="62.059199999999997"/>
    <n v="0"/>
    <x v="0"/>
    <n v="0"/>
    <n v="0"/>
    <n v="7"/>
    <n v="48"/>
    <n v="0"/>
    <n v="948.15"/>
    <n v="263.29000000000002"/>
    <m/>
    <n v="976.42305228824534"/>
    <n v="210.64397598313801"/>
    <n v="0"/>
    <n v="58841.430479999995"/>
    <n v="16339.566768000001"/>
    <n v="0"/>
    <n v="60596.033486566674"/>
    <n v="13072.396634332757"/>
  </r>
  <r>
    <s v="Regular"/>
    <x v="0"/>
    <x v="1"/>
    <x v="3"/>
    <x v="0"/>
    <x v="0"/>
    <x v="0"/>
    <x v="1"/>
    <x v="3"/>
    <n v="0"/>
    <n v="0"/>
    <n v="65.417000000000002"/>
    <n v="62.800319999999999"/>
    <n v="65.417000000000002"/>
    <n v="62.800319999999999"/>
    <n v="0"/>
    <x v="0"/>
    <n v="0"/>
    <n v="0"/>
    <n v="7"/>
    <n v="48"/>
    <n v="0"/>
    <n v="948.15"/>
    <n v="263.29000000000002"/>
    <m/>
    <n v="976.42305228824534"/>
    <n v="210.64397598313801"/>
    <n v="0"/>
    <n v="59544.123407999999"/>
    <n v="16534.6962528"/>
    <n v="0"/>
    <n v="61319.68013907854"/>
    <n v="13228.509097813381"/>
  </r>
  <r>
    <s v="Sistema de Compensação"/>
    <x v="0"/>
    <x v="1"/>
    <x v="3"/>
    <x v="0"/>
    <x v="0"/>
    <x v="0"/>
    <x v="1"/>
    <x v="3"/>
    <n v="0"/>
    <n v="0"/>
    <n v="0.44500000000000001"/>
    <n v="0.42719999999999997"/>
    <n v="0.44500000000000001"/>
    <n v="0.42719999999999997"/>
    <n v="0"/>
    <x v="0"/>
    <n v="0"/>
    <n v="0"/>
    <n v="7"/>
    <n v="48"/>
    <n v="0"/>
    <n v="948.15"/>
    <n v="263.29000000000002"/>
    <m/>
    <n v="976.42305228824534"/>
    <n v="210.64397598313801"/>
    <n v="0"/>
    <n v="405.04967999999997"/>
    <n v="112.47748799999999"/>
    <n v="0"/>
    <n v="417.1279279375384"/>
    <n v="89.987106539996546"/>
  </r>
  <r>
    <s v="Regular"/>
    <x v="0"/>
    <x v="1"/>
    <x v="3"/>
    <x v="0"/>
    <x v="0"/>
    <x v="0"/>
    <x v="1"/>
    <x v="4"/>
    <n v="0"/>
    <n v="0"/>
    <n v="73.748000000000005"/>
    <n v="70.798079999999999"/>
    <n v="73.748000000000005"/>
    <n v="70.798079999999999"/>
    <n v="0"/>
    <x v="0"/>
    <n v="0"/>
    <n v="0"/>
    <n v="7"/>
    <n v="48"/>
    <n v="0"/>
    <n v="948.15"/>
    <n v="263.29000000000002"/>
    <m/>
    <n v="976.42305228824534"/>
    <n v="210.64397598313801"/>
    <n v="0"/>
    <n v="67127.199551999991"/>
    <n v="18640.426483200001"/>
    <n v="0"/>
    <n v="69128.877369747381"/>
    <n v="14913.189063172284"/>
  </r>
  <r>
    <s v="Sistema de Compensação"/>
    <x v="0"/>
    <x v="1"/>
    <x v="3"/>
    <x v="0"/>
    <x v="0"/>
    <x v="0"/>
    <x v="1"/>
    <x v="4"/>
    <n v="0"/>
    <n v="0"/>
    <n v="4.085"/>
    <n v="3.9215999999999998"/>
    <n v="4.085"/>
    <n v="3.9215999999999998"/>
    <n v="0"/>
    <x v="0"/>
    <n v="0"/>
    <n v="0"/>
    <n v="7"/>
    <n v="48"/>
    <n v="0"/>
    <n v="948.15"/>
    <n v="263.29000000000002"/>
    <m/>
    <n v="976.42305228824534"/>
    <n v="210.64397598313801"/>
    <n v="0"/>
    <n v="3718.2650399999998"/>
    <n v="1032.5180640000001"/>
    <n v="0"/>
    <n v="3829.1406418535826"/>
    <n v="826.06141621547397"/>
  </r>
  <r>
    <s v="Regular"/>
    <x v="0"/>
    <x v="1"/>
    <x v="3"/>
    <x v="0"/>
    <x v="0"/>
    <x v="0"/>
    <x v="1"/>
    <x v="5"/>
    <n v="0"/>
    <n v="0"/>
    <n v="69.872"/>
    <n v="67.077119999999994"/>
    <n v="69.872"/>
    <n v="67.077119999999994"/>
    <n v="0"/>
    <x v="0"/>
    <n v="0"/>
    <n v="0"/>
    <n v="7"/>
    <n v="48"/>
    <n v="0"/>
    <n v="948.15"/>
    <n v="263.29000000000002"/>
    <m/>
    <n v="976.42305228824534"/>
    <n v="210.64397598313801"/>
    <n v="0"/>
    <n v="63599.171327999989"/>
    <n v="17660.734924799999"/>
    <n v="0"/>
    <n v="65495.646249104902"/>
    <n v="14129.391254298065"/>
  </r>
  <r>
    <s v="Sistema de Compensação"/>
    <x v="0"/>
    <x v="1"/>
    <x v="3"/>
    <x v="0"/>
    <x v="0"/>
    <x v="0"/>
    <x v="1"/>
    <x v="5"/>
    <n v="0"/>
    <n v="0"/>
    <n v="5.5250000000000004"/>
    <n v="5.3040000000000003"/>
    <n v="5.5250000000000004"/>
    <n v="5.3040000000000003"/>
    <n v="0"/>
    <x v="0"/>
    <n v="0"/>
    <n v="0"/>
    <n v="7"/>
    <n v="48"/>
    <n v="0"/>
    <n v="948.15"/>
    <n v="263.29000000000002"/>
    <m/>
    <n v="976.42305228824534"/>
    <n v="210.64397598313801"/>
    <n v="0"/>
    <n v="5028.9876000000004"/>
    <n v="1396.4901600000003"/>
    <n v="0"/>
    <n v="5178.9478693368537"/>
    <n v="1117.2556486145641"/>
  </r>
  <r>
    <s v="Regular"/>
    <x v="0"/>
    <x v="1"/>
    <x v="3"/>
    <x v="0"/>
    <x v="0"/>
    <x v="0"/>
    <x v="1"/>
    <x v="6"/>
    <n v="0"/>
    <n v="0"/>
    <n v="75.876999999999995"/>
    <n v="72.841920000000002"/>
    <n v="75.876999999999995"/>
    <n v="72.841920000000002"/>
    <n v="0"/>
    <x v="0"/>
    <n v="0"/>
    <n v="0"/>
    <n v="7"/>
    <n v="48"/>
    <n v="0"/>
    <n v="948.15"/>
    <n v="263.29000000000002"/>
    <m/>
    <n v="976.42305228824534"/>
    <n v="210.64397598313801"/>
    <n v="0"/>
    <n v="69065.066447999998"/>
    <n v="19178.549116800001"/>
    <n v="0"/>
    <n v="71124.529860936193"/>
    <n v="15343.71164704566"/>
  </r>
  <r>
    <s v="Sistema de Compensação"/>
    <x v="0"/>
    <x v="1"/>
    <x v="3"/>
    <x v="0"/>
    <x v="0"/>
    <x v="0"/>
    <x v="1"/>
    <x v="6"/>
    <n v="0"/>
    <n v="0"/>
    <n v="2.8690000000000002"/>
    <n v="2.7542400000000002"/>
    <n v="2.8690000000000002"/>
    <n v="2.7542400000000002"/>
    <n v="0"/>
    <x v="0"/>
    <n v="0"/>
    <n v="0"/>
    <n v="7"/>
    <n v="48"/>
    <n v="0"/>
    <n v="948.15"/>
    <n v="263.29000000000002"/>
    <m/>
    <n v="976.42305228824534"/>
    <n v="210.64397598313801"/>
    <n v="0"/>
    <n v="2611.432656"/>
    <n v="725.16384960000016"/>
    <n v="0"/>
    <n v="2689.3034275343771"/>
    <n v="580.16406441179811"/>
  </r>
  <r>
    <s v="Regular"/>
    <x v="0"/>
    <x v="1"/>
    <x v="3"/>
    <x v="0"/>
    <x v="0"/>
    <x v="0"/>
    <x v="1"/>
    <x v="7"/>
    <n v="0"/>
    <n v="0"/>
    <n v="96.19"/>
    <n v="92.342399999999998"/>
    <n v="96.19"/>
    <n v="92.342399999999998"/>
    <n v="0"/>
    <x v="0"/>
    <n v="0"/>
    <n v="0"/>
    <n v="7"/>
    <n v="48"/>
    <n v="0"/>
    <n v="948.15"/>
    <n v="263.29000000000002"/>
    <m/>
    <n v="976.42305228824534"/>
    <n v="210.64397598313801"/>
    <n v="0"/>
    <n v="87554.446559999997"/>
    <n v="24312.830496000002"/>
    <n v="0"/>
    <n v="90165.248063622072"/>
    <n v="19451.370287825324"/>
  </r>
  <r>
    <s v="Sistema de Compensação"/>
    <x v="0"/>
    <x v="1"/>
    <x v="3"/>
    <x v="0"/>
    <x v="0"/>
    <x v="0"/>
    <x v="1"/>
    <x v="7"/>
    <n v="0"/>
    <n v="0"/>
    <n v="9.3789999999999996"/>
    <n v="9.0038399999999985"/>
    <n v="9.3789999999999996"/>
    <n v="9.0038399999999985"/>
    <n v="0"/>
    <x v="0"/>
    <n v="0"/>
    <n v="0"/>
    <n v="7"/>
    <n v="48"/>
    <n v="0"/>
    <n v="948.15"/>
    <n v="263.29000000000002"/>
    <m/>
    <n v="976.42305228824534"/>
    <n v="210.64397598313801"/>
    <n v="0"/>
    <n v="8536.9908959999975"/>
    <n v="2370.6210335999999"/>
    <n v="0"/>
    <n v="8791.5569351149934"/>
    <n v="1896.604656716017"/>
  </r>
  <r>
    <s v="Regular"/>
    <x v="0"/>
    <x v="1"/>
    <x v="3"/>
    <x v="0"/>
    <x v="0"/>
    <x v="0"/>
    <x v="1"/>
    <x v="8"/>
    <n v="0"/>
    <n v="0"/>
    <n v="105.491"/>
    <n v="101.27136"/>
    <n v="105.491"/>
    <n v="101.27136"/>
    <n v="0"/>
    <x v="0"/>
    <n v="0"/>
    <n v="0"/>
    <n v="7"/>
    <n v="48"/>
    <n v="0"/>
    <n v="948.15"/>
    <n v="263.29000000000002"/>
    <m/>
    <n v="976.42305228824534"/>
    <n v="210.64397598313801"/>
    <n v="0"/>
    <n v="96020.439983999997"/>
    <n v="26663.736374400003"/>
    <n v="0"/>
    <n v="98883.690440581719"/>
    <n v="21332.201923619723"/>
  </r>
  <r>
    <s v="Sistema de Compensação"/>
    <x v="0"/>
    <x v="1"/>
    <x v="3"/>
    <x v="0"/>
    <x v="0"/>
    <x v="0"/>
    <x v="1"/>
    <x v="8"/>
    <n v="0"/>
    <n v="0"/>
    <n v="9.3650000000000002"/>
    <n v="8.9903999999999993"/>
    <n v="9.3650000000000002"/>
    <n v="8.9903999999999993"/>
    <n v="0"/>
    <x v="0"/>
    <n v="0"/>
    <n v="0"/>
    <n v="7"/>
    <n v="48"/>
    <n v="0"/>
    <n v="948.15"/>
    <n v="263.29000000000002"/>
    <m/>
    <n v="976.42305228824534"/>
    <n v="210.64397598313801"/>
    <n v="0"/>
    <n v="8524.2477599999984"/>
    <n v="2367.0824160000002"/>
    <n v="0"/>
    <n v="8778.4338092922408"/>
    <n v="1893.7736016788037"/>
  </r>
  <r>
    <s v="Regular"/>
    <x v="0"/>
    <x v="1"/>
    <x v="3"/>
    <x v="0"/>
    <x v="0"/>
    <x v="0"/>
    <x v="1"/>
    <x v="9"/>
    <n v="0"/>
    <n v="0"/>
    <n v="108.82"/>
    <n v="104.46720000000001"/>
    <n v="108.82"/>
    <n v="104.46720000000001"/>
    <n v="0"/>
    <x v="0"/>
    <n v="0"/>
    <n v="0"/>
    <n v="7"/>
    <n v="48"/>
    <n v="0"/>
    <n v="948.15"/>
    <n v="263.29000000000002"/>
    <m/>
    <n v="976.42305228824534"/>
    <n v="210.64397598313801"/>
    <n v="0"/>
    <n v="99050.575680000009"/>
    <n v="27505.169088000002"/>
    <n v="0"/>
    <n v="102004.18228800659"/>
    <n v="22005.386367825675"/>
  </r>
  <r>
    <s v="Regular"/>
    <x v="0"/>
    <x v="1"/>
    <x v="3"/>
    <x v="0"/>
    <x v="0"/>
    <x v="0"/>
    <x v="1"/>
    <x v="10"/>
    <n v="0"/>
    <n v="0"/>
    <n v="115.779"/>
    <n v="111.14784"/>
    <n v="115.779"/>
    <n v="111.14784"/>
    <n v="0"/>
    <x v="0"/>
    <n v="0"/>
    <n v="0"/>
    <n v="7"/>
    <n v="48"/>
    <n v="0"/>
    <n v="948.15"/>
    <n v="263.29000000000002"/>
    <m/>
    <n v="976.42305228824534"/>
    <n v="210.64397598313801"/>
    <n v="0"/>
    <n v="105384.824496"/>
    <n v="29264.114793600002"/>
    <n v="0"/>
    <n v="108527.31318804553"/>
    <n v="23412.622939537665"/>
  </r>
  <r>
    <s v="Sistema de Compensação"/>
    <x v="0"/>
    <x v="1"/>
    <x v="3"/>
    <x v="0"/>
    <x v="0"/>
    <x v="0"/>
    <x v="1"/>
    <x v="10"/>
    <n v="0"/>
    <n v="0"/>
    <n v="20.672000000000001"/>
    <n v="19.845120000000001"/>
    <n v="20.672000000000001"/>
    <n v="19.845120000000001"/>
    <n v="0"/>
    <x v="0"/>
    <n v="0"/>
    <n v="0"/>
    <n v="7"/>
    <n v="48"/>
    <n v="0"/>
    <n v="948.15"/>
    <n v="263.29000000000002"/>
    <m/>
    <n v="976.42305228824534"/>
    <n v="210.64397598313801"/>
    <n v="0"/>
    <n v="18816.150528000002"/>
    <n v="5225.021644800001"/>
    <n v="0"/>
    <n v="19377.232643426505"/>
    <n v="4180.254980662492"/>
  </r>
  <r>
    <s v="Regular"/>
    <x v="0"/>
    <x v="1"/>
    <x v="3"/>
    <x v="0"/>
    <x v="0"/>
    <x v="0"/>
    <x v="1"/>
    <x v="11"/>
    <n v="0"/>
    <n v="0"/>
    <n v="83.061000000000007"/>
    <n v="79.738560000000007"/>
    <n v="83.061000000000007"/>
    <n v="79.738560000000007"/>
    <n v="0"/>
    <x v="0"/>
    <n v="0"/>
    <n v="0"/>
    <n v="7"/>
    <n v="48"/>
    <n v="0"/>
    <n v="948.15"/>
    <n v="263.29000000000002"/>
    <m/>
    <n v="976.42305228824534"/>
    <n v="210.64397598313801"/>
    <n v="0"/>
    <n v="75604.115664000012"/>
    <n v="20994.365462400005"/>
    <n v="0"/>
    <n v="77858.568140269388"/>
    <n v="16796.447317570011"/>
  </r>
  <r>
    <s v="Regular"/>
    <x v="0"/>
    <x v="1"/>
    <x v="4"/>
    <x v="3"/>
    <x v="0"/>
    <x v="0"/>
    <x v="0"/>
    <x v="0"/>
    <n v="0"/>
    <n v="0"/>
    <n v="73.616"/>
    <n v="69.199039999999997"/>
    <n v="73.616"/>
    <n v="69.199039999999997"/>
    <n v="0"/>
    <x v="0"/>
    <n v="0"/>
    <n v="0"/>
    <n v="8"/>
    <n v="49"/>
    <n v="0"/>
    <n v="65.61"/>
    <n v="263.29000000000002"/>
    <m/>
    <n v="100.34646310857573"/>
    <n v="210.64397598313801"/>
    <n v="0"/>
    <n v="4540.1490143999999"/>
    <n v="18219.4152416"/>
    <n v="0"/>
    <n v="6943.8789145088558"/>
    <n v="14576.360919816205"/>
  </r>
  <r>
    <s v="Regular"/>
    <x v="0"/>
    <x v="1"/>
    <x v="4"/>
    <x v="3"/>
    <x v="0"/>
    <x v="0"/>
    <x v="0"/>
    <x v="1"/>
    <n v="0"/>
    <n v="0"/>
    <n v="85.453000000000003"/>
    <n v="80.325819999999993"/>
    <n v="85.453000000000003"/>
    <n v="80.325819999999993"/>
    <n v="0"/>
    <x v="0"/>
    <n v="0"/>
    <n v="0"/>
    <n v="8"/>
    <n v="49"/>
    <n v="0"/>
    <n v="65.61"/>
    <n v="263.29000000000002"/>
    <m/>
    <n v="100.34646310857573"/>
    <n v="210.64397598313801"/>
    <n v="0"/>
    <n v="5270.1770501999999"/>
    <n v="21148.985147799998"/>
    <n v="0"/>
    <n v="8060.4119332960945"/>
    <n v="16920.150098905866"/>
  </r>
  <r>
    <s v="Regular"/>
    <x v="0"/>
    <x v="1"/>
    <x v="4"/>
    <x v="3"/>
    <x v="0"/>
    <x v="0"/>
    <x v="0"/>
    <x v="2"/>
    <n v="0"/>
    <n v="0"/>
    <n v="87.182000000000002"/>
    <n v="81.951080000000005"/>
    <n v="87.182000000000002"/>
    <n v="81.951080000000005"/>
    <n v="0"/>
    <x v="0"/>
    <n v="0"/>
    <n v="0"/>
    <n v="8"/>
    <n v="49"/>
    <n v="0"/>
    <n v="65.61"/>
    <n v="263.29000000000002"/>
    <m/>
    <n v="100.34646310857573"/>
    <n v="210.64397598313801"/>
    <n v="0"/>
    <n v="5376.8103588000004"/>
    <n v="21576.899853200004"/>
    <n v="0"/>
    <n v="8223.5010259279388"/>
    <n v="17262.501327312224"/>
  </r>
  <r>
    <s v="Regular"/>
    <x v="0"/>
    <x v="1"/>
    <x v="4"/>
    <x v="3"/>
    <x v="0"/>
    <x v="0"/>
    <x v="0"/>
    <x v="3"/>
    <n v="0"/>
    <n v="0"/>
    <n v="82.013999999999996"/>
    <n v="77.093159999999997"/>
    <n v="82.013999999999996"/>
    <n v="77.093159999999997"/>
    <n v="0"/>
    <x v="0"/>
    <n v="0"/>
    <n v="0"/>
    <n v="8"/>
    <n v="49"/>
    <n v="0"/>
    <n v="65.61"/>
    <n v="263.29000000000002"/>
    <m/>
    <n v="100.34646310857573"/>
    <n v="210.64397598313801"/>
    <n v="0"/>
    <n v="5058.0822275999999"/>
    <n v="20297.858096399999"/>
    <n v="0"/>
    <n v="7736.0259358635258"/>
    <n v="16239.209743504214"/>
  </r>
  <r>
    <s v="Regular"/>
    <x v="0"/>
    <x v="1"/>
    <x v="4"/>
    <x v="3"/>
    <x v="0"/>
    <x v="0"/>
    <x v="0"/>
    <x v="4"/>
    <n v="0"/>
    <n v="0"/>
    <n v="76.3"/>
    <n v="71.721999999999994"/>
    <n v="76.3"/>
    <n v="71.721999999999994"/>
    <n v="0"/>
    <x v="0"/>
    <n v="0"/>
    <n v="0"/>
    <n v="8"/>
    <n v="49"/>
    <n v="0"/>
    <n v="65.61"/>
    <n v="263.29000000000002"/>
    <m/>
    <n v="100.34646310857573"/>
    <n v="210.64397598313801"/>
    <n v="0"/>
    <n v="4705.6804199999997"/>
    <n v="18883.685379999999"/>
    <n v="0"/>
    <n v="7197.049027073268"/>
    <n v="15107.807245462624"/>
  </r>
  <r>
    <s v="Regular"/>
    <x v="0"/>
    <x v="1"/>
    <x v="4"/>
    <x v="3"/>
    <x v="0"/>
    <x v="0"/>
    <x v="0"/>
    <x v="5"/>
    <n v="0"/>
    <n v="0"/>
    <n v="82.744"/>
    <n v="77.779359999999997"/>
    <n v="82.744"/>
    <n v="77.779359999999997"/>
    <n v="0"/>
    <x v="0"/>
    <n v="0"/>
    <n v="0"/>
    <n v="8"/>
    <n v="49"/>
    <n v="0"/>
    <n v="65.61"/>
    <n v="263.29000000000002"/>
    <m/>
    <n v="100.34646310857573"/>
    <n v="210.64397598313801"/>
    <n v="0"/>
    <n v="5103.1038096000002"/>
    <n v="20478.5276944"/>
    <n v="0"/>
    <n v="7804.8836788486306"/>
    <n v="16383.753639823844"/>
  </r>
  <r>
    <s v="Regular"/>
    <x v="0"/>
    <x v="1"/>
    <x v="4"/>
    <x v="3"/>
    <x v="0"/>
    <x v="0"/>
    <x v="0"/>
    <x v="6"/>
    <n v="0"/>
    <n v="0"/>
    <n v="92.778999999999996"/>
    <n v="87.212259999999986"/>
    <n v="92.778999999999996"/>
    <n v="87.212259999999986"/>
    <n v="0"/>
    <x v="0"/>
    <n v="0"/>
    <n v="0"/>
    <n v="8"/>
    <n v="49"/>
    <n v="0"/>
    <n v="65.61"/>
    <n v="263.29000000000002"/>
    <m/>
    <n v="100.34646310857573"/>
    <n v="210.64397598313801"/>
    <n v="0"/>
    <n v="5721.9963785999989"/>
    <n v="22962.115935399997"/>
    <n v="0"/>
    <n v="8751.441830705513"/>
    <n v="18370.737200875184"/>
  </r>
  <r>
    <s v="Regular"/>
    <x v="0"/>
    <x v="1"/>
    <x v="4"/>
    <x v="3"/>
    <x v="0"/>
    <x v="0"/>
    <x v="0"/>
    <x v="7"/>
    <n v="0"/>
    <n v="0"/>
    <n v="96.944999999999993"/>
    <n v="91.128299999999982"/>
    <n v="96.944999999999993"/>
    <n v="91.128299999999982"/>
    <n v="0"/>
    <x v="0"/>
    <n v="0"/>
    <n v="0"/>
    <n v="8"/>
    <n v="49"/>
    <n v="0"/>
    <n v="65.61"/>
    <n v="263.29000000000002"/>
    <m/>
    <n v="100.34646310857573"/>
    <n v="210.64397598313801"/>
    <n v="0"/>
    <n v="5978.9277629999988"/>
    <n v="23993.170106999998"/>
    <n v="0"/>
    <n v="9144.4025940972206"/>
    <n v="19195.627436584193"/>
  </r>
  <r>
    <s v="Regular"/>
    <x v="0"/>
    <x v="1"/>
    <x v="4"/>
    <x v="3"/>
    <x v="0"/>
    <x v="0"/>
    <x v="0"/>
    <x v="8"/>
    <n v="0"/>
    <n v="0"/>
    <n v="105.916"/>
    <n v="99.561039999999991"/>
    <n v="105.916"/>
    <n v="99.561039999999991"/>
    <n v="0"/>
    <x v="0"/>
    <n v="0"/>
    <n v="0"/>
    <n v="8"/>
    <n v="49"/>
    <n v="0"/>
    <n v="65.61"/>
    <n v="263.29000000000002"/>
    <m/>
    <n v="100.34646310857573"/>
    <n v="210.64397598313801"/>
    <n v="0"/>
    <n v="6532.1998343999994"/>
    <n v="26213.426221599999"/>
    <n v="0"/>
    <n v="9990.5982274114322"/>
    <n v="20971.93331861624"/>
  </r>
  <r>
    <s v="Regular"/>
    <x v="0"/>
    <x v="1"/>
    <x v="4"/>
    <x v="3"/>
    <x v="0"/>
    <x v="0"/>
    <x v="0"/>
    <x v="9"/>
    <n v="0"/>
    <n v="0"/>
    <n v="106.723"/>
    <n v="100.31961999999999"/>
    <n v="106.723"/>
    <n v="100.31961999999999"/>
    <n v="0"/>
    <x v="0"/>
    <n v="0"/>
    <n v="0"/>
    <n v="8"/>
    <n v="49"/>
    <n v="0"/>
    <n v="65.61"/>
    <n v="263.29000000000002"/>
    <m/>
    <n v="100.34646310857573"/>
    <n v="210.64397598313801"/>
    <n v="0"/>
    <n v="6581.9702681999988"/>
    <n v="26413.1527498"/>
    <n v="0"/>
    <n v="10066.719047396335"/>
    <n v="21131.72362591753"/>
  </r>
  <r>
    <s v="Regular"/>
    <x v="0"/>
    <x v="1"/>
    <x v="4"/>
    <x v="3"/>
    <x v="0"/>
    <x v="0"/>
    <x v="0"/>
    <x v="10"/>
    <n v="0"/>
    <n v="0"/>
    <n v="120.622"/>
    <n v="113.38467999999999"/>
    <n v="120.622"/>
    <n v="113.38467999999999"/>
    <n v="0"/>
    <x v="0"/>
    <n v="0"/>
    <n v="0"/>
    <n v="8"/>
    <n v="49"/>
    <n v="0"/>
    <n v="65.61"/>
    <n v="263.29000000000002"/>
    <m/>
    <n v="100.34646310857573"/>
    <n v="210.64397598313801"/>
    <n v="0"/>
    <n v="7439.1688547999993"/>
    <n v="29853.052397200001"/>
    <n v="0"/>
    <n v="11377.751608697663"/>
    <n v="23883.799810775785"/>
  </r>
  <r>
    <s v="Regular"/>
    <x v="0"/>
    <x v="1"/>
    <x v="4"/>
    <x v="3"/>
    <x v="0"/>
    <x v="0"/>
    <x v="0"/>
    <x v="11"/>
    <n v="0"/>
    <n v="0"/>
    <n v="110.827"/>
    <n v="104.17738"/>
    <n v="110.827"/>
    <n v="104.17738"/>
    <n v="0"/>
    <x v="0"/>
    <n v="0"/>
    <n v="0"/>
    <n v="8"/>
    <n v="49"/>
    <n v="0"/>
    <n v="65.61"/>
    <n v="263.29000000000002"/>
    <m/>
    <n v="100.34646310857573"/>
    <n v="210.64397598313801"/>
    <n v="0"/>
    <n v="6835.0779018000003"/>
    <n v="27428.8623802"/>
    <n v="0"/>
    <n v="10453.831618918075"/>
    <n v="21944.337530706242"/>
  </r>
  <r>
    <s v="Regular"/>
    <x v="0"/>
    <x v="1"/>
    <x v="4"/>
    <x v="3"/>
    <x v="0"/>
    <x v="0"/>
    <x v="2"/>
    <x v="0"/>
    <n v="259"/>
    <n v="220.15"/>
    <n v="0"/>
    <n v="0"/>
    <n v="0"/>
    <n v="0"/>
    <n v="3"/>
    <x v="0"/>
    <n v="0"/>
    <n v="6"/>
    <n v="0"/>
    <n v="0"/>
    <n v="19.32"/>
    <n v="0"/>
    <n v="0"/>
    <n v="16.680041929169654"/>
    <m/>
    <m/>
    <n v="4253.2979999999998"/>
    <n v="0"/>
    <n v="0"/>
    <n v="3672.1112307066996"/>
    <n v="0"/>
    <n v="0"/>
  </r>
  <r>
    <s v="Regular"/>
    <x v="0"/>
    <x v="1"/>
    <x v="4"/>
    <x v="3"/>
    <x v="0"/>
    <x v="0"/>
    <x v="2"/>
    <x v="1"/>
    <n v="259"/>
    <n v="220.15"/>
    <n v="0"/>
    <n v="0"/>
    <n v="0"/>
    <n v="0"/>
    <n v="3"/>
    <x v="0"/>
    <n v="0"/>
    <n v="6"/>
    <n v="0"/>
    <n v="0"/>
    <n v="19.32"/>
    <n v="0"/>
    <n v="0"/>
    <n v="16.680041929169654"/>
    <m/>
    <m/>
    <n v="4253.2979999999998"/>
    <n v="0"/>
    <n v="0"/>
    <n v="3672.1112307066996"/>
    <n v="0"/>
    <n v="0"/>
  </r>
  <r>
    <s v="Regular"/>
    <x v="0"/>
    <x v="1"/>
    <x v="4"/>
    <x v="3"/>
    <x v="0"/>
    <x v="0"/>
    <x v="2"/>
    <x v="2"/>
    <n v="259"/>
    <n v="220.15"/>
    <n v="0"/>
    <n v="0"/>
    <n v="0"/>
    <n v="0"/>
    <n v="3"/>
    <x v="0"/>
    <n v="0"/>
    <n v="6"/>
    <n v="0"/>
    <n v="0"/>
    <n v="19.32"/>
    <n v="0"/>
    <n v="0"/>
    <n v="16.680041929169654"/>
    <m/>
    <m/>
    <n v="4253.2979999999998"/>
    <n v="0"/>
    <n v="0"/>
    <n v="3672.1112307066996"/>
    <n v="0"/>
    <n v="0"/>
  </r>
  <r>
    <s v="Regular"/>
    <x v="0"/>
    <x v="1"/>
    <x v="4"/>
    <x v="3"/>
    <x v="0"/>
    <x v="0"/>
    <x v="2"/>
    <x v="3"/>
    <n v="259"/>
    <n v="220.15"/>
    <n v="0"/>
    <n v="0"/>
    <n v="0"/>
    <n v="0"/>
    <n v="3"/>
    <x v="0"/>
    <n v="0"/>
    <n v="6"/>
    <n v="0"/>
    <n v="0"/>
    <n v="19.32"/>
    <n v="0"/>
    <n v="0"/>
    <n v="16.680041929169654"/>
    <m/>
    <m/>
    <n v="4253.2979999999998"/>
    <n v="0"/>
    <n v="0"/>
    <n v="3672.1112307066996"/>
    <n v="0"/>
    <n v="0"/>
  </r>
  <r>
    <s v="Regular"/>
    <x v="0"/>
    <x v="1"/>
    <x v="4"/>
    <x v="3"/>
    <x v="0"/>
    <x v="0"/>
    <x v="2"/>
    <x v="4"/>
    <n v="261"/>
    <n v="221.85"/>
    <n v="0"/>
    <n v="0"/>
    <n v="0"/>
    <n v="0"/>
    <n v="3"/>
    <x v="0"/>
    <n v="0"/>
    <n v="6"/>
    <n v="0"/>
    <n v="0"/>
    <n v="19.32"/>
    <n v="0"/>
    <n v="0"/>
    <n v="16.680041929169654"/>
    <m/>
    <m/>
    <n v="4286.1419999999998"/>
    <n v="0"/>
    <n v="0"/>
    <n v="3700.4673019862876"/>
    <n v="0"/>
    <n v="0"/>
  </r>
  <r>
    <s v="Regular"/>
    <x v="0"/>
    <x v="1"/>
    <x v="4"/>
    <x v="3"/>
    <x v="0"/>
    <x v="0"/>
    <x v="2"/>
    <x v="5"/>
    <n v="260"/>
    <n v="221"/>
    <n v="0"/>
    <n v="0"/>
    <n v="0"/>
    <n v="0"/>
    <n v="3"/>
    <x v="0"/>
    <n v="0"/>
    <n v="6"/>
    <n v="0"/>
    <n v="0"/>
    <n v="19.32"/>
    <n v="0"/>
    <n v="0"/>
    <n v="16.680041929169654"/>
    <m/>
    <m/>
    <n v="4269.72"/>
    <n v="0"/>
    <n v="0"/>
    <n v="3686.2892663464936"/>
    <n v="0"/>
    <n v="0"/>
  </r>
  <r>
    <s v="Regular"/>
    <x v="0"/>
    <x v="1"/>
    <x v="4"/>
    <x v="3"/>
    <x v="0"/>
    <x v="0"/>
    <x v="2"/>
    <x v="6"/>
    <n v="259"/>
    <n v="220.15"/>
    <n v="0"/>
    <n v="0"/>
    <n v="0"/>
    <n v="0"/>
    <n v="3"/>
    <x v="0"/>
    <n v="0"/>
    <n v="6"/>
    <n v="0"/>
    <n v="0"/>
    <n v="19.32"/>
    <n v="0"/>
    <n v="0"/>
    <n v="16.680041929169654"/>
    <m/>
    <m/>
    <n v="4253.2979999999998"/>
    <n v="0"/>
    <n v="0"/>
    <n v="3672.1112307066996"/>
    <n v="0"/>
    <n v="0"/>
  </r>
  <r>
    <s v="Regular"/>
    <x v="0"/>
    <x v="1"/>
    <x v="4"/>
    <x v="3"/>
    <x v="0"/>
    <x v="0"/>
    <x v="2"/>
    <x v="7"/>
    <n v="259"/>
    <n v="220.15"/>
    <n v="0"/>
    <n v="0"/>
    <n v="0"/>
    <n v="0"/>
    <n v="3"/>
    <x v="0"/>
    <n v="0"/>
    <n v="6"/>
    <n v="0"/>
    <n v="0"/>
    <n v="19.32"/>
    <n v="0"/>
    <n v="0"/>
    <n v="16.680041929169654"/>
    <m/>
    <m/>
    <n v="4253.2979999999998"/>
    <n v="0"/>
    <n v="0"/>
    <n v="3672.1112307066996"/>
    <n v="0"/>
    <n v="0"/>
  </r>
  <r>
    <s v="Regular"/>
    <x v="0"/>
    <x v="1"/>
    <x v="4"/>
    <x v="3"/>
    <x v="0"/>
    <x v="0"/>
    <x v="2"/>
    <x v="8"/>
    <n v="261"/>
    <n v="221.85"/>
    <n v="0"/>
    <n v="0"/>
    <n v="0"/>
    <n v="0"/>
    <n v="3"/>
    <x v="0"/>
    <n v="0"/>
    <n v="6"/>
    <n v="0"/>
    <n v="0"/>
    <n v="19.32"/>
    <n v="0"/>
    <n v="0"/>
    <n v="16.680041929169654"/>
    <m/>
    <m/>
    <n v="4286.1419999999998"/>
    <n v="0"/>
    <n v="0"/>
    <n v="3700.4673019862876"/>
    <n v="0"/>
    <n v="0"/>
  </r>
  <r>
    <s v="Regular"/>
    <x v="0"/>
    <x v="1"/>
    <x v="4"/>
    <x v="3"/>
    <x v="0"/>
    <x v="0"/>
    <x v="2"/>
    <x v="9"/>
    <n v="264"/>
    <n v="224.4"/>
    <n v="0"/>
    <n v="0"/>
    <n v="0"/>
    <n v="0"/>
    <n v="3"/>
    <x v="0"/>
    <n v="0"/>
    <n v="6"/>
    <n v="0"/>
    <n v="0"/>
    <n v="19.32"/>
    <n v="0"/>
    <n v="0"/>
    <n v="16.680041929169654"/>
    <m/>
    <m/>
    <n v="4335.4080000000004"/>
    <n v="0"/>
    <n v="0"/>
    <n v="3743.0014089056704"/>
    <n v="0"/>
    <n v="0"/>
  </r>
  <r>
    <s v="Regular"/>
    <x v="0"/>
    <x v="1"/>
    <x v="4"/>
    <x v="3"/>
    <x v="0"/>
    <x v="0"/>
    <x v="2"/>
    <x v="10"/>
    <n v="269"/>
    <n v="228.65"/>
    <n v="0"/>
    <n v="0"/>
    <n v="0"/>
    <n v="0"/>
    <n v="3"/>
    <x v="0"/>
    <n v="0"/>
    <n v="6"/>
    <n v="0"/>
    <n v="0"/>
    <n v="19.32"/>
    <n v="0"/>
    <n v="0"/>
    <n v="16.680041929169654"/>
    <m/>
    <m/>
    <n v="4417.518"/>
    <n v="0"/>
    <n v="0"/>
    <n v="3813.8915871046415"/>
    <n v="0"/>
    <n v="0"/>
  </r>
  <r>
    <s v="Regular"/>
    <x v="0"/>
    <x v="1"/>
    <x v="4"/>
    <x v="3"/>
    <x v="0"/>
    <x v="0"/>
    <x v="2"/>
    <x v="11"/>
    <n v="270"/>
    <n v="229.5"/>
    <n v="0"/>
    <n v="0"/>
    <n v="0"/>
    <n v="0"/>
    <n v="3"/>
    <x v="0"/>
    <n v="0"/>
    <n v="6"/>
    <n v="0"/>
    <n v="0"/>
    <n v="19.32"/>
    <n v="0"/>
    <n v="0"/>
    <n v="16.680041929169654"/>
    <m/>
    <m/>
    <n v="4433.9400000000005"/>
    <n v="0"/>
    <n v="0"/>
    <n v="3828.0696227444355"/>
    <n v="0"/>
    <n v="0"/>
  </r>
  <r>
    <s v="Regular"/>
    <x v="0"/>
    <x v="1"/>
    <x v="4"/>
    <x v="3"/>
    <x v="0"/>
    <x v="0"/>
    <x v="1"/>
    <x v="0"/>
    <n v="0"/>
    <n v="0"/>
    <n v="6.8140000000000001"/>
    <n v="6.4051599999999995"/>
    <n v="6.8140000000000001"/>
    <n v="6.4051599999999995"/>
    <n v="0"/>
    <x v="0"/>
    <n v="0"/>
    <n v="0"/>
    <n v="7"/>
    <n v="48"/>
    <n v="0"/>
    <n v="948.15"/>
    <n v="263.29000000000002"/>
    <m/>
    <n v="976.42305228824534"/>
    <n v="210.64397598313801"/>
    <n v="0"/>
    <n v="6073.0524539999997"/>
    <n v="1686.4145764"/>
    <n v="0"/>
    <n v="6254.1458775945766"/>
    <n v="1349.2083692081562"/>
  </r>
  <r>
    <s v="Regular"/>
    <x v="0"/>
    <x v="1"/>
    <x v="4"/>
    <x v="3"/>
    <x v="0"/>
    <x v="0"/>
    <x v="1"/>
    <x v="1"/>
    <n v="0"/>
    <n v="0"/>
    <n v="7.5190000000000001"/>
    <n v="7.0678599999999996"/>
    <n v="7.5190000000000001"/>
    <n v="7.0678599999999996"/>
    <n v="0"/>
    <x v="0"/>
    <n v="0"/>
    <n v="0"/>
    <n v="7"/>
    <n v="48"/>
    <n v="0"/>
    <n v="948.15"/>
    <n v="263.29000000000002"/>
    <m/>
    <n v="976.42305228824534"/>
    <n v="210.64397598313801"/>
    <n v="0"/>
    <n v="6701.3914589999995"/>
    <n v="1860.8968594"/>
    <n v="0"/>
    <n v="6901.2214343459973"/>
    <n v="1488.8021320921816"/>
  </r>
  <r>
    <s v="Regular"/>
    <x v="0"/>
    <x v="1"/>
    <x v="4"/>
    <x v="3"/>
    <x v="0"/>
    <x v="0"/>
    <x v="1"/>
    <x v="2"/>
    <n v="0"/>
    <n v="0"/>
    <n v="6.431"/>
    <n v="6.04514"/>
    <n v="6.431"/>
    <n v="6.04514"/>
    <n v="0"/>
    <x v="0"/>
    <n v="0"/>
    <n v="0"/>
    <n v="7"/>
    <n v="48"/>
    <n v="0"/>
    <n v="948.15"/>
    <n v="263.29000000000002"/>
    <m/>
    <n v="976.42305228824534"/>
    <n v="210.64397598313801"/>
    <n v="0"/>
    <n v="5731.6994909999994"/>
    <n v="1591.6249106"/>
    <n v="0"/>
    <n v="5902.6140503097631"/>
    <n v="1273.3723249747068"/>
  </r>
  <r>
    <s v="Regular"/>
    <x v="0"/>
    <x v="1"/>
    <x v="4"/>
    <x v="3"/>
    <x v="0"/>
    <x v="0"/>
    <x v="1"/>
    <x v="3"/>
    <n v="0"/>
    <n v="0"/>
    <n v="7.1349999999999998"/>
    <n v="6.7069000000000001"/>
    <n v="7.1349999999999998"/>
    <n v="6.7069000000000001"/>
    <n v="0"/>
    <x v="0"/>
    <n v="0"/>
    <n v="0"/>
    <n v="7"/>
    <n v="48"/>
    <n v="0"/>
    <n v="948.15"/>
    <n v="263.29000000000002"/>
    <m/>
    <n v="976.42305228824534"/>
    <n v="210.64397598313801"/>
    <n v="0"/>
    <n v="6359.1472350000004"/>
    <n v="1765.8597010000001"/>
    <n v="0"/>
    <n v="6548.7717693920331"/>
    <n v="1412.7680825213083"/>
  </r>
  <r>
    <s v="Regular"/>
    <x v="0"/>
    <x v="1"/>
    <x v="4"/>
    <x v="3"/>
    <x v="0"/>
    <x v="0"/>
    <x v="1"/>
    <x v="4"/>
    <n v="0"/>
    <n v="0"/>
    <n v="8.0429999999999993"/>
    <n v="7.5604199999999997"/>
    <n v="8.0429999999999993"/>
    <n v="7.5604199999999997"/>
    <n v="0"/>
    <x v="0"/>
    <n v="0"/>
    <n v="0"/>
    <n v="7"/>
    <n v="48"/>
    <n v="0"/>
    <n v="948.15"/>
    <n v="263.29000000000002"/>
    <m/>
    <n v="976.42305228824534"/>
    <n v="210.64397598313801"/>
    <n v="0"/>
    <n v="7168.4122229999994"/>
    <n v="1990.5829818"/>
    <n v="0"/>
    <n v="7382.1683729810957"/>
    <n v="1592.5569289024361"/>
  </r>
  <r>
    <s v="Regular"/>
    <x v="0"/>
    <x v="1"/>
    <x v="4"/>
    <x v="3"/>
    <x v="0"/>
    <x v="0"/>
    <x v="1"/>
    <x v="5"/>
    <n v="0"/>
    <n v="0"/>
    <n v="8.9540000000000006"/>
    <n v="8.41676"/>
    <n v="8.9540000000000006"/>
    <n v="8.41676"/>
    <n v="0"/>
    <x v="0"/>
    <n v="0"/>
    <n v="0"/>
    <n v="7"/>
    <n v="48"/>
    <n v="0"/>
    <n v="948.15"/>
    <n v="263.29000000000002"/>
    <m/>
    <n v="976.42305228824534"/>
    <n v="210.64397598313801"/>
    <n v="0"/>
    <n v="7980.3509939999994"/>
    <n v="2216.0487404"/>
    <n v="0"/>
    <n v="8218.3184895776121"/>
    <n v="1772.9397912958366"/>
  </r>
  <r>
    <s v="Regular"/>
    <x v="0"/>
    <x v="1"/>
    <x v="4"/>
    <x v="3"/>
    <x v="0"/>
    <x v="0"/>
    <x v="1"/>
    <x v="6"/>
    <n v="0"/>
    <n v="0"/>
    <n v="9.6679999999999993"/>
    <n v="9.0879199999999987"/>
    <n v="9.6679999999999993"/>
    <n v="9.0879199999999987"/>
    <n v="0"/>
    <x v="0"/>
    <n v="0"/>
    <n v="0"/>
    <n v="7"/>
    <n v="48"/>
    <n v="0"/>
    <n v="948.15"/>
    <n v="263.29000000000002"/>
    <m/>
    <n v="976.42305228824534"/>
    <n v="210.64397598313801"/>
    <n v="0"/>
    <n v="8616.7113479999989"/>
    <n v="2392.7584567999997"/>
    <n v="0"/>
    <n v="8873.654585351389"/>
    <n v="1914.3156022166793"/>
  </r>
  <r>
    <s v="Regular"/>
    <x v="0"/>
    <x v="1"/>
    <x v="4"/>
    <x v="3"/>
    <x v="0"/>
    <x v="0"/>
    <x v="1"/>
    <x v="7"/>
    <n v="0"/>
    <n v="0"/>
    <n v="11.029"/>
    <n v="10.36726"/>
    <n v="11.029"/>
    <n v="10.36726"/>
    <n v="0"/>
    <x v="0"/>
    <n v="0"/>
    <n v="0"/>
    <n v="7"/>
    <n v="48"/>
    <n v="0"/>
    <n v="948.15"/>
    <n v="263.29000000000002"/>
    <m/>
    <n v="976.42305228824534"/>
    <n v="210.64397598313801"/>
    <n v="0"/>
    <n v="9829.7175690000004"/>
    <n v="2729.5958854"/>
    <n v="0"/>
    <n v="10122.831653065834"/>
    <n v="2183.8008664509475"/>
  </r>
  <r>
    <s v="Regular"/>
    <x v="0"/>
    <x v="1"/>
    <x v="4"/>
    <x v="3"/>
    <x v="0"/>
    <x v="0"/>
    <x v="1"/>
    <x v="8"/>
    <n v="0"/>
    <n v="0"/>
    <n v="10.352"/>
    <n v="9.7308799999999991"/>
    <n v="10.352"/>
    <n v="9.7308799999999991"/>
    <n v="0"/>
    <x v="0"/>
    <n v="0"/>
    <n v="0"/>
    <n v="7"/>
    <n v="48"/>
    <n v="0"/>
    <n v="948.15"/>
    <n v="263.29000000000002"/>
    <m/>
    <n v="976.42305228824534"/>
    <n v="210.64397598313801"/>
    <n v="0"/>
    <n v="9226.3338719999992"/>
    <n v="2562.0433951999998"/>
    <n v="0"/>
    <n v="9501.4555510506398"/>
    <n v="2049.7512530147978"/>
  </r>
  <r>
    <s v="Regular"/>
    <x v="0"/>
    <x v="1"/>
    <x v="4"/>
    <x v="3"/>
    <x v="0"/>
    <x v="0"/>
    <x v="1"/>
    <x v="9"/>
    <n v="0"/>
    <n v="0"/>
    <n v="10.896000000000001"/>
    <n v="10.242240000000001"/>
    <n v="10.896000000000001"/>
    <n v="10.242240000000001"/>
    <n v="0"/>
    <x v="0"/>
    <n v="0"/>
    <n v="0"/>
    <n v="7"/>
    <n v="48"/>
    <n v="0"/>
    <n v="948.15"/>
    <n v="263.29000000000002"/>
    <m/>
    <n v="976.42305228824534"/>
    <n v="210.64397598313801"/>
    <n v="0"/>
    <n v="9711.1798560000007"/>
    <n v="2696.6793696000004"/>
    <n v="0"/>
    <n v="10000.759243068758"/>
    <n v="2157.4661565735355"/>
  </r>
  <r>
    <s v="Regular"/>
    <x v="0"/>
    <x v="1"/>
    <x v="4"/>
    <x v="3"/>
    <x v="0"/>
    <x v="0"/>
    <x v="1"/>
    <x v="10"/>
    <n v="0"/>
    <n v="0"/>
    <n v="10.621"/>
    <n v="9.9837399999999992"/>
    <n v="10.621"/>
    <n v="9.9837399999999992"/>
    <n v="0"/>
    <x v="0"/>
    <n v="0"/>
    <n v="0"/>
    <n v="7"/>
    <n v="48"/>
    <n v="0"/>
    <n v="948.15"/>
    <n v="263.29000000000002"/>
    <m/>
    <n v="976.42305228824534"/>
    <n v="210.64397598313801"/>
    <n v="0"/>
    <n v="9466.0830809999989"/>
    <n v="2628.6189046"/>
    <n v="0"/>
    <n v="9748.3538840522451"/>
    <n v="2103.0146887818942"/>
  </r>
  <r>
    <s v="Regular"/>
    <x v="0"/>
    <x v="1"/>
    <x v="4"/>
    <x v="3"/>
    <x v="0"/>
    <x v="0"/>
    <x v="1"/>
    <x v="11"/>
    <n v="0"/>
    <n v="0"/>
    <n v="10.084"/>
    <n v="9.4789599999999989"/>
    <n v="10.084"/>
    <n v="9.4789599999999989"/>
    <n v="0"/>
    <x v="0"/>
    <n v="0"/>
    <n v="0"/>
    <n v="7"/>
    <n v="48"/>
    <n v="0"/>
    <n v="948.15"/>
    <n v="263.29000000000002"/>
    <m/>
    <n v="976.42305228824534"/>
    <n v="210.64397598313801"/>
    <n v="0"/>
    <n v="8987.4759239999985"/>
    <n v="2495.7153783999997"/>
    <n v="0"/>
    <n v="9255.4750557181851"/>
    <n v="1996.6858225851256"/>
  </r>
  <r>
    <s v="Regular"/>
    <x v="1"/>
    <x v="2"/>
    <x v="2"/>
    <x v="1"/>
    <x v="0"/>
    <x v="0"/>
    <x v="0"/>
    <x v="0"/>
    <n v="0"/>
    <n v="0"/>
    <n v="1.794"/>
    <n v="1.794"/>
    <n v="1.794"/>
    <n v="1.794"/>
    <n v="0"/>
    <x v="0"/>
    <n v="0"/>
    <n v="0"/>
    <n v="15"/>
    <n v="52"/>
    <n v="0"/>
    <n v="177.55"/>
    <n v="263.29000000000002"/>
    <m/>
    <n v="222.85358588706794"/>
    <n v="210.64397598313801"/>
    <n v="0"/>
    <n v="318.52470000000005"/>
    <n v="472.34226000000007"/>
    <n v="0"/>
    <n v="399.79933308139988"/>
    <n v="377.89529291374959"/>
  </r>
  <r>
    <s v="Regular"/>
    <x v="1"/>
    <x v="2"/>
    <x v="2"/>
    <x v="1"/>
    <x v="0"/>
    <x v="0"/>
    <x v="0"/>
    <x v="1"/>
    <n v="0"/>
    <n v="0"/>
    <n v="1.857"/>
    <n v="1.857"/>
    <n v="1.857"/>
    <n v="1.857"/>
    <n v="0"/>
    <x v="0"/>
    <n v="0"/>
    <n v="0"/>
    <n v="15"/>
    <n v="52"/>
    <n v="0"/>
    <n v="177.55"/>
    <n v="263.29000000000002"/>
    <m/>
    <n v="222.85358588706794"/>
    <n v="210.64397598313801"/>
    <n v="0"/>
    <n v="329.71035000000001"/>
    <n v="488.92953000000006"/>
    <n v="0"/>
    <n v="413.83910899228516"/>
    <n v="391.16586340068727"/>
  </r>
  <r>
    <s v="Regular"/>
    <x v="1"/>
    <x v="2"/>
    <x v="2"/>
    <x v="1"/>
    <x v="0"/>
    <x v="0"/>
    <x v="0"/>
    <x v="2"/>
    <n v="0"/>
    <n v="0"/>
    <n v="1.9950000000000001"/>
    <n v="1.9950000000000001"/>
    <n v="1.9950000000000001"/>
    <n v="1.9950000000000001"/>
    <n v="0"/>
    <x v="0"/>
    <n v="0"/>
    <n v="0"/>
    <n v="15"/>
    <n v="52"/>
    <n v="0"/>
    <n v="177.55"/>
    <n v="263.29000000000002"/>
    <m/>
    <n v="222.85358588706794"/>
    <n v="210.64397598313801"/>
    <n v="0"/>
    <n v="354.21225000000004"/>
    <n v="525.26355000000012"/>
    <n v="0"/>
    <n v="444.59290384470057"/>
    <n v="420.23473208636034"/>
  </r>
  <r>
    <s v="Regular"/>
    <x v="1"/>
    <x v="2"/>
    <x v="2"/>
    <x v="1"/>
    <x v="0"/>
    <x v="0"/>
    <x v="0"/>
    <x v="3"/>
    <n v="0"/>
    <n v="0"/>
    <n v="2.456"/>
    <n v="2.456"/>
    <n v="2.456"/>
    <n v="2.456"/>
    <n v="0"/>
    <x v="0"/>
    <n v="0"/>
    <n v="0"/>
    <n v="15"/>
    <n v="52"/>
    <n v="0"/>
    <n v="177.55"/>
    <n v="263.29000000000002"/>
    <m/>
    <n v="222.85358588706794"/>
    <n v="210.64397598313801"/>
    <n v="0"/>
    <n v="436.06280000000004"/>
    <n v="646.64024000000006"/>
    <n v="0"/>
    <n v="547.32840693863886"/>
    <n v="517.34160501458689"/>
  </r>
  <r>
    <s v="Regular"/>
    <x v="1"/>
    <x v="2"/>
    <x v="2"/>
    <x v="1"/>
    <x v="0"/>
    <x v="0"/>
    <x v="0"/>
    <x v="4"/>
    <n v="0"/>
    <n v="0"/>
    <n v="2.7250000000000001"/>
    <n v="2.7250000000000001"/>
    <n v="2.7250000000000001"/>
    <n v="2.7250000000000001"/>
    <n v="0"/>
    <x v="0"/>
    <n v="0"/>
    <n v="0"/>
    <n v="15"/>
    <n v="52"/>
    <n v="0"/>
    <n v="177.55"/>
    <n v="263.29000000000002"/>
    <m/>
    <n v="222.85358588706794"/>
    <n v="210.64397598313801"/>
    <n v="0"/>
    <n v="483.82375000000008"/>
    <n v="717.46525000000008"/>
    <n v="0"/>
    <n v="607.2760215422602"/>
    <n v="574.00483455405106"/>
  </r>
  <r>
    <s v="Regular"/>
    <x v="1"/>
    <x v="2"/>
    <x v="2"/>
    <x v="1"/>
    <x v="0"/>
    <x v="0"/>
    <x v="0"/>
    <x v="5"/>
    <n v="0"/>
    <n v="0"/>
    <n v="2.3330000000000002"/>
    <n v="2.3330000000000002"/>
    <n v="2.3330000000000002"/>
    <n v="2.3330000000000002"/>
    <n v="0"/>
    <x v="0"/>
    <n v="0"/>
    <n v="0"/>
    <n v="15"/>
    <n v="52"/>
    <n v="0"/>
    <n v="177.55"/>
    <n v="263.29000000000002"/>
    <m/>
    <n v="222.85358588706794"/>
    <n v="210.64397598313801"/>
    <n v="0"/>
    <n v="414.22415000000007"/>
    <n v="614.25557000000015"/>
    <n v="0"/>
    <n v="519.91741587452952"/>
    <n v="491.43239596866101"/>
  </r>
  <r>
    <s v="Regular"/>
    <x v="1"/>
    <x v="2"/>
    <x v="2"/>
    <x v="1"/>
    <x v="0"/>
    <x v="0"/>
    <x v="0"/>
    <x v="6"/>
    <n v="0"/>
    <n v="0"/>
    <n v="2.3420000000000001"/>
    <n v="2.3420000000000001"/>
    <n v="2.3420000000000001"/>
    <n v="2.3420000000000001"/>
    <n v="0"/>
    <x v="0"/>
    <n v="0"/>
    <n v="0"/>
    <n v="15"/>
    <n v="52"/>
    <n v="0"/>
    <n v="177.55"/>
    <n v="263.29000000000002"/>
    <m/>
    <n v="222.85358588706794"/>
    <n v="210.64397598313801"/>
    <n v="0"/>
    <n v="415.82210000000003"/>
    <n v="616.62518000000011"/>
    <n v="0"/>
    <n v="521.92309814751309"/>
    <n v="493.32819175250921"/>
  </r>
  <r>
    <s v="Regular"/>
    <x v="1"/>
    <x v="2"/>
    <x v="2"/>
    <x v="1"/>
    <x v="0"/>
    <x v="0"/>
    <x v="0"/>
    <x v="7"/>
    <n v="0"/>
    <n v="0"/>
    <n v="2.4870000000000001"/>
    <n v="2.4870000000000001"/>
    <n v="2.4870000000000001"/>
    <n v="2.4870000000000001"/>
    <n v="0"/>
    <x v="0"/>
    <n v="0"/>
    <n v="0"/>
    <n v="15"/>
    <n v="52"/>
    <n v="0"/>
    <n v="177.55"/>
    <n v="263.29000000000002"/>
    <m/>
    <n v="222.85358588706794"/>
    <n v="210.64397598313801"/>
    <n v="0"/>
    <n v="441.56685000000004"/>
    <n v="654.80223000000012"/>
    <n v="0"/>
    <n v="554.23686810113793"/>
    <n v="523.87156827006424"/>
  </r>
  <r>
    <s v="Regular"/>
    <x v="1"/>
    <x v="2"/>
    <x v="2"/>
    <x v="1"/>
    <x v="0"/>
    <x v="0"/>
    <x v="0"/>
    <x v="8"/>
    <n v="0"/>
    <n v="0"/>
    <n v="2.78"/>
    <n v="2.78"/>
    <n v="2.78"/>
    <n v="2.78"/>
    <n v="0"/>
    <x v="0"/>
    <n v="0"/>
    <n v="0"/>
    <n v="15"/>
    <n v="52"/>
    <n v="0"/>
    <n v="177.55"/>
    <n v="263.29000000000002"/>
    <m/>
    <n v="222.85358588706794"/>
    <n v="210.64397598313801"/>
    <n v="0"/>
    <n v="493.589"/>
    <n v="731.94619999999998"/>
    <n v="0"/>
    <n v="619.53296876604884"/>
    <n v="585.59025323312358"/>
  </r>
  <r>
    <s v="Regular"/>
    <x v="1"/>
    <x v="2"/>
    <x v="2"/>
    <x v="1"/>
    <x v="0"/>
    <x v="0"/>
    <x v="0"/>
    <x v="9"/>
    <n v="0"/>
    <n v="0"/>
    <n v="2.7229999999999999"/>
    <n v="2.7229999999999999"/>
    <n v="2.7229999999999999"/>
    <n v="2.7229999999999999"/>
    <n v="0"/>
    <x v="0"/>
    <n v="0"/>
    <n v="0"/>
    <n v="15"/>
    <n v="52"/>
    <n v="0"/>
    <n v="177.55"/>
    <n v="263.29000000000002"/>
    <m/>
    <n v="222.85358588706794"/>
    <n v="210.64397598313801"/>
    <n v="0"/>
    <n v="483.46865000000003"/>
    <n v="716.93867"/>
    <n v="0"/>
    <n v="606.83031437048601"/>
    <n v="573.58354660208477"/>
  </r>
  <r>
    <s v="Regular"/>
    <x v="1"/>
    <x v="2"/>
    <x v="2"/>
    <x v="1"/>
    <x v="0"/>
    <x v="0"/>
    <x v="0"/>
    <x v="10"/>
    <n v="0"/>
    <n v="0"/>
    <n v="3.5790000000000002"/>
    <n v="3.5790000000000002"/>
    <n v="3.5790000000000002"/>
    <n v="3.5790000000000002"/>
    <n v="0"/>
    <x v="0"/>
    <n v="0"/>
    <n v="0"/>
    <n v="15"/>
    <n v="52"/>
    <n v="0"/>
    <n v="177.55"/>
    <n v="263.29000000000002"/>
    <m/>
    <n v="222.85358588706794"/>
    <n v="210.64397598313801"/>
    <n v="0"/>
    <n v="635.45145000000002"/>
    <n v="942.31491000000017"/>
    <n v="0"/>
    <n v="797.5929838898162"/>
    <n v="753.89479004365091"/>
  </r>
  <r>
    <s v="Regular"/>
    <x v="1"/>
    <x v="2"/>
    <x v="2"/>
    <x v="1"/>
    <x v="0"/>
    <x v="0"/>
    <x v="0"/>
    <x v="11"/>
    <n v="0"/>
    <n v="0"/>
    <n v="2.8010000000000002"/>
    <n v="2.8010000000000002"/>
    <n v="2.8010000000000002"/>
    <n v="2.8010000000000002"/>
    <n v="0"/>
    <x v="0"/>
    <n v="0"/>
    <n v="0"/>
    <n v="15"/>
    <n v="52"/>
    <n v="0"/>
    <n v="177.55"/>
    <n v="263.29000000000002"/>
    <m/>
    <n v="222.85358588706794"/>
    <n v="210.64397598313801"/>
    <n v="0"/>
    <n v="497.31755000000004"/>
    <n v="737.47529000000009"/>
    <n v="0"/>
    <n v="624.2128940696773"/>
    <n v="590.01377672876959"/>
  </r>
  <r>
    <s v="Regular"/>
    <x v="1"/>
    <x v="2"/>
    <x v="2"/>
    <x v="1"/>
    <x v="0"/>
    <x v="0"/>
    <x v="3"/>
    <x v="0"/>
    <n v="0"/>
    <n v="0"/>
    <n v="0.18"/>
    <n v="0.18"/>
    <n v="0.18"/>
    <n v="0.18"/>
    <n v="0"/>
    <x v="0"/>
    <n v="0"/>
    <n v="0"/>
    <n v="14"/>
    <n v="51"/>
    <n v="0"/>
    <n v="369.83"/>
    <n v="263.29000000000002"/>
    <m/>
    <n v="417.35749474811553"/>
    <n v="210.64397598313801"/>
    <n v="0"/>
    <n v="66.569400000000002"/>
    <n v="47.392200000000003"/>
    <n v="0"/>
    <n v="75.124349054660797"/>
    <n v="37.915915676964836"/>
  </r>
  <r>
    <s v="Regular"/>
    <x v="1"/>
    <x v="2"/>
    <x v="2"/>
    <x v="1"/>
    <x v="0"/>
    <x v="0"/>
    <x v="3"/>
    <x v="1"/>
    <n v="0"/>
    <n v="0"/>
    <n v="0.21"/>
    <n v="0.21"/>
    <n v="0.21"/>
    <n v="0.21"/>
    <n v="0"/>
    <x v="0"/>
    <n v="0"/>
    <n v="0"/>
    <n v="14"/>
    <n v="51"/>
    <n v="0"/>
    <n v="369.83"/>
    <n v="263.29000000000002"/>
    <m/>
    <n v="417.35749474811553"/>
    <n v="210.64397598313801"/>
    <n v="0"/>
    <n v="77.664299999999997"/>
    <n v="55.290900000000001"/>
    <n v="0"/>
    <n v="87.645073897104254"/>
    <n v="44.235234956458982"/>
  </r>
  <r>
    <s v="Regular"/>
    <x v="1"/>
    <x v="2"/>
    <x v="2"/>
    <x v="1"/>
    <x v="0"/>
    <x v="0"/>
    <x v="3"/>
    <x v="2"/>
    <n v="0"/>
    <n v="0"/>
    <n v="0.20200000000000001"/>
    <n v="0.20200000000000001"/>
    <n v="0.20200000000000001"/>
    <n v="0.20200000000000001"/>
    <n v="0"/>
    <x v="0"/>
    <n v="0"/>
    <n v="0"/>
    <n v="14"/>
    <n v="51"/>
    <n v="0"/>
    <n v="369.83"/>
    <n v="263.29000000000002"/>
    <m/>
    <n v="417.35749474811553"/>
    <n v="210.64397598313801"/>
    <n v="0"/>
    <n v="74.705659999999995"/>
    <n v="53.184580000000011"/>
    <n v="0"/>
    <n v="84.306213939119345"/>
    <n v="42.550083148593878"/>
  </r>
  <r>
    <s v="Regular"/>
    <x v="1"/>
    <x v="2"/>
    <x v="2"/>
    <x v="1"/>
    <x v="0"/>
    <x v="0"/>
    <x v="3"/>
    <x v="3"/>
    <n v="0"/>
    <n v="0"/>
    <n v="0.63500000000000001"/>
    <n v="0.63500000000000001"/>
    <n v="0.63500000000000001"/>
    <n v="0.63500000000000001"/>
    <n v="0"/>
    <x v="0"/>
    <n v="0"/>
    <n v="0"/>
    <n v="14"/>
    <n v="51"/>
    <n v="0"/>
    <n v="369.83"/>
    <n v="263.29000000000002"/>
    <m/>
    <n v="417.35749474811553"/>
    <n v="210.64397598313801"/>
    <n v="0"/>
    <n v="234.84205"/>
    <n v="167.18915000000001"/>
    <n v="0"/>
    <n v="265.02200916505336"/>
    <n v="133.75892474929265"/>
  </r>
  <r>
    <s v="Regular"/>
    <x v="1"/>
    <x v="2"/>
    <x v="2"/>
    <x v="1"/>
    <x v="0"/>
    <x v="0"/>
    <x v="3"/>
    <x v="4"/>
    <n v="0"/>
    <n v="0"/>
    <n v="0.60299999999999998"/>
    <n v="0.60299999999999998"/>
    <n v="0.60299999999999998"/>
    <n v="0.60299999999999998"/>
    <n v="0"/>
    <x v="0"/>
    <n v="0"/>
    <n v="0"/>
    <n v="14"/>
    <n v="51"/>
    <n v="0"/>
    <n v="369.83"/>
    <n v="263.29000000000002"/>
    <m/>
    <n v="417.35749474811553"/>
    <n v="210.64397598313801"/>
    <n v="0"/>
    <n v="223.00748999999999"/>
    <n v="158.76387"/>
    <n v="0"/>
    <n v="251.66656933311364"/>
    <n v="127.01831751783222"/>
  </r>
  <r>
    <s v="Regular"/>
    <x v="1"/>
    <x v="2"/>
    <x v="2"/>
    <x v="1"/>
    <x v="0"/>
    <x v="0"/>
    <x v="3"/>
    <x v="5"/>
    <n v="0"/>
    <n v="0"/>
    <n v="0.56299999999999994"/>
    <n v="0.56299999999999994"/>
    <n v="0.56299999999999994"/>
    <n v="0.56299999999999994"/>
    <n v="0"/>
    <x v="0"/>
    <n v="0"/>
    <n v="0"/>
    <n v="14"/>
    <n v="51"/>
    <n v="0"/>
    <n v="369.83"/>
    <n v="263.29000000000002"/>
    <m/>
    <n v="417.35749474811553"/>
    <n v="210.64397598313801"/>
    <n v="0"/>
    <n v="208.21428999999998"/>
    <n v="148.23227"/>
    <n v="0"/>
    <n v="234.97226954318901"/>
    <n v="118.59255847850669"/>
  </r>
  <r>
    <s v="Regular"/>
    <x v="1"/>
    <x v="2"/>
    <x v="2"/>
    <x v="1"/>
    <x v="0"/>
    <x v="0"/>
    <x v="3"/>
    <x v="6"/>
    <n v="0"/>
    <n v="0"/>
    <n v="0.48599999999999999"/>
    <n v="0.48599999999999999"/>
    <n v="0.48599999999999999"/>
    <n v="0.48599999999999999"/>
    <n v="0"/>
    <x v="0"/>
    <n v="0"/>
    <n v="0"/>
    <n v="14"/>
    <n v="51"/>
    <n v="0"/>
    <n v="369.83"/>
    <n v="263.29000000000002"/>
    <m/>
    <n v="417.35749474811553"/>
    <n v="210.64397598313801"/>
    <n v="0"/>
    <n v="179.73738"/>
    <n v="127.95894000000001"/>
    <n v="0"/>
    <n v="202.83574244758415"/>
    <n v="102.37297232780507"/>
  </r>
  <r>
    <s v="Regular"/>
    <x v="1"/>
    <x v="2"/>
    <x v="2"/>
    <x v="1"/>
    <x v="0"/>
    <x v="0"/>
    <x v="3"/>
    <x v="7"/>
    <n v="0"/>
    <n v="0"/>
    <n v="0.69"/>
    <n v="0.69"/>
    <n v="0.69"/>
    <n v="0.69"/>
    <n v="0"/>
    <x v="0"/>
    <n v="0"/>
    <n v="0"/>
    <n v="14"/>
    <n v="51"/>
    <n v="0"/>
    <n v="369.83"/>
    <n v="263.29000000000002"/>
    <m/>
    <n v="417.35749474811553"/>
    <n v="210.64397598313801"/>
    <n v="0"/>
    <n v="255.18269999999998"/>
    <n v="181.67009999999999"/>
    <n v="0"/>
    <n v="287.9766713761997"/>
    <n v="145.34434342836522"/>
  </r>
  <r>
    <s v="Regular"/>
    <x v="1"/>
    <x v="2"/>
    <x v="2"/>
    <x v="1"/>
    <x v="0"/>
    <x v="0"/>
    <x v="3"/>
    <x v="8"/>
    <n v="0"/>
    <n v="0"/>
    <n v="0.81699999999999995"/>
    <n v="0.81699999999999995"/>
    <n v="0.81699999999999995"/>
    <n v="0.81699999999999995"/>
    <n v="0"/>
    <x v="0"/>
    <n v="0"/>
    <n v="0"/>
    <n v="14"/>
    <n v="51"/>
    <n v="0"/>
    <n v="369.83"/>
    <n v="263.29000000000002"/>
    <m/>
    <n v="417.35749474811553"/>
    <n v="210.64397598313801"/>
    <n v="0"/>
    <n v="302.15110999999996"/>
    <n v="215.10793000000001"/>
    <n v="0"/>
    <n v="340.98107320921036"/>
    <n v="172.09612837822374"/>
  </r>
  <r>
    <s v="Regular"/>
    <x v="1"/>
    <x v="2"/>
    <x v="2"/>
    <x v="1"/>
    <x v="0"/>
    <x v="0"/>
    <x v="3"/>
    <x v="9"/>
    <n v="0"/>
    <n v="0"/>
    <n v="0.78"/>
    <n v="0.78"/>
    <n v="0.78"/>
    <n v="0.78"/>
    <n v="0"/>
    <x v="0"/>
    <n v="0"/>
    <n v="0"/>
    <n v="14"/>
    <n v="51"/>
    <n v="0"/>
    <n v="369.83"/>
    <n v="263.29000000000002"/>
    <m/>
    <n v="417.35749474811553"/>
    <n v="210.64397598313801"/>
    <n v="0"/>
    <n v="288.4674"/>
    <n v="205.36620000000002"/>
    <n v="0"/>
    <n v="325.5388459035301"/>
    <n v="164.30230126684765"/>
  </r>
  <r>
    <s v="Regular"/>
    <x v="1"/>
    <x v="2"/>
    <x v="2"/>
    <x v="1"/>
    <x v="0"/>
    <x v="0"/>
    <x v="3"/>
    <x v="10"/>
    <n v="0"/>
    <n v="0"/>
    <n v="1.012"/>
    <n v="1.012"/>
    <n v="1.012"/>
    <n v="1.012"/>
    <n v="0"/>
    <x v="0"/>
    <n v="0"/>
    <n v="0"/>
    <n v="14"/>
    <n v="51"/>
    <n v="0"/>
    <n v="369.83"/>
    <n v="263.29000000000002"/>
    <m/>
    <n v="417.35749474811553"/>
    <n v="210.64397598313801"/>
    <n v="0"/>
    <n v="374.26795999999996"/>
    <n v="266.44948000000005"/>
    <n v="0"/>
    <n v="422.36578468509293"/>
    <n v="213.17170369493567"/>
  </r>
  <r>
    <s v="Regular"/>
    <x v="1"/>
    <x v="2"/>
    <x v="2"/>
    <x v="1"/>
    <x v="0"/>
    <x v="0"/>
    <x v="3"/>
    <x v="11"/>
    <n v="0"/>
    <n v="0"/>
    <n v="0.84099999999999997"/>
    <n v="0.84099999999999997"/>
    <n v="0.84099999999999997"/>
    <n v="0.84099999999999997"/>
    <n v="0"/>
    <x v="0"/>
    <n v="0"/>
    <n v="0"/>
    <n v="14"/>
    <n v="51"/>
    <n v="0"/>
    <n v="369.83"/>
    <n v="263.29000000000002"/>
    <m/>
    <n v="417.35749474811553"/>
    <n v="210.64397598313801"/>
    <n v="0"/>
    <n v="311.02702999999997"/>
    <n v="221.42689000000001"/>
    <n v="0"/>
    <n v="350.99765308316512"/>
    <n v="177.15158380181904"/>
  </r>
  <r>
    <s v="Regular"/>
    <x v="1"/>
    <x v="2"/>
    <x v="2"/>
    <x v="1"/>
    <x v="0"/>
    <x v="0"/>
    <x v="1"/>
    <x v="0"/>
    <n v="0"/>
    <n v="0"/>
    <n v="0.28999999999999998"/>
    <n v="0.28999999999999998"/>
    <n v="0.28999999999999998"/>
    <n v="0.28999999999999998"/>
    <n v="0"/>
    <x v="0"/>
    <n v="0"/>
    <n v="0"/>
    <n v="13"/>
    <n v="50"/>
    <n v="0"/>
    <n v="562.1"/>
    <n v="263.29000000000002"/>
    <m/>
    <n v="611.86054847069954"/>
    <n v="210.64397598313801"/>
    <n v="0"/>
    <n v="163.00899999999999"/>
    <n v="76.354100000000003"/>
    <n v="0"/>
    <n v="177.43955905650284"/>
    <n v="61.086753035110014"/>
  </r>
  <r>
    <s v="Regular"/>
    <x v="1"/>
    <x v="2"/>
    <x v="2"/>
    <x v="1"/>
    <x v="0"/>
    <x v="0"/>
    <x v="1"/>
    <x v="1"/>
    <n v="0"/>
    <n v="0"/>
    <n v="0.33700000000000002"/>
    <n v="0.33700000000000002"/>
    <n v="0.33700000000000002"/>
    <n v="0.33700000000000002"/>
    <n v="0"/>
    <x v="0"/>
    <n v="0"/>
    <n v="0"/>
    <n v="13"/>
    <n v="50"/>
    <n v="0"/>
    <n v="562.1"/>
    <n v="263.29000000000002"/>
    <m/>
    <n v="611.86054847069954"/>
    <n v="210.64397598313801"/>
    <n v="0"/>
    <n v="189.42770000000002"/>
    <n v="88.728730000000013"/>
    <n v="0"/>
    <n v="206.19700483462577"/>
    <n v="70.987019906317514"/>
  </r>
  <r>
    <s v="Regular"/>
    <x v="1"/>
    <x v="2"/>
    <x v="2"/>
    <x v="1"/>
    <x v="0"/>
    <x v="0"/>
    <x v="1"/>
    <x v="2"/>
    <n v="0"/>
    <n v="0"/>
    <n v="0.36299999999999999"/>
    <n v="0.36299999999999999"/>
    <n v="0.36299999999999999"/>
    <n v="0.36299999999999999"/>
    <n v="0"/>
    <x v="0"/>
    <n v="0"/>
    <n v="0"/>
    <n v="13"/>
    <n v="50"/>
    <n v="0"/>
    <n v="562.1"/>
    <n v="263.29000000000002"/>
    <m/>
    <n v="611.86054847069954"/>
    <n v="210.64397598313801"/>
    <n v="0"/>
    <n v="204.04230000000001"/>
    <n v="95.574269999999999"/>
    <n v="0"/>
    <n v="222.10537909486393"/>
    <n v="76.463763281879096"/>
  </r>
  <r>
    <s v="Regular"/>
    <x v="1"/>
    <x v="2"/>
    <x v="2"/>
    <x v="1"/>
    <x v="0"/>
    <x v="0"/>
    <x v="1"/>
    <x v="3"/>
    <n v="0"/>
    <n v="0"/>
    <n v="0.42799999999999999"/>
    <n v="0.42799999999999999"/>
    <n v="0.42799999999999999"/>
    <n v="0.42799999999999999"/>
    <n v="0"/>
    <x v="0"/>
    <n v="0"/>
    <n v="0"/>
    <n v="13"/>
    <n v="50"/>
    <n v="0"/>
    <n v="562.1"/>
    <n v="263.29000000000002"/>
    <m/>
    <n v="611.86054847069954"/>
    <n v="210.64397598313801"/>
    <n v="0"/>
    <n v="240.5788"/>
    <n v="112.68812000000001"/>
    <n v="0"/>
    <n v="261.87631474545941"/>
    <n v="90.15562172078306"/>
  </r>
  <r>
    <s v="Regular"/>
    <x v="1"/>
    <x v="2"/>
    <x v="2"/>
    <x v="1"/>
    <x v="0"/>
    <x v="0"/>
    <x v="1"/>
    <x v="4"/>
    <n v="0"/>
    <n v="0"/>
    <n v="0.36099999999999999"/>
    <n v="0.36099999999999999"/>
    <n v="0.36099999999999999"/>
    <n v="0.36099999999999999"/>
    <n v="0"/>
    <x v="0"/>
    <n v="0"/>
    <n v="0"/>
    <n v="13"/>
    <n v="50"/>
    <n v="0"/>
    <n v="562.1"/>
    <n v="263.29000000000002"/>
    <m/>
    <n v="611.86054847069954"/>
    <n v="210.64397598313801"/>
    <n v="0"/>
    <n v="202.91810000000001"/>
    <n v="95.047690000000003"/>
    <n v="0"/>
    <n v="220.88165799792253"/>
    <n v="76.042475329912818"/>
  </r>
  <r>
    <s v="Regular"/>
    <x v="1"/>
    <x v="2"/>
    <x v="2"/>
    <x v="1"/>
    <x v="0"/>
    <x v="0"/>
    <x v="1"/>
    <x v="5"/>
    <n v="0"/>
    <n v="0"/>
    <n v="0.36499999999999999"/>
    <n v="0.36499999999999999"/>
    <n v="0.36499999999999999"/>
    <n v="0.36499999999999999"/>
    <n v="0"/>
    <x v="0"/>
    <n v="0"/>
    <n v="0"/>
    <n v="13"/>
    <n v="50"/>
    <n v="0"/>
    <n v="562.1"/>
    <n v="263.29000000000002"/>
    <m/>
    <n v="611.86054847069954"/>
    <n v="210.64397598313801"/>
    <n v="0"/>
    <n v="205.16650000000001"/>
    <n v="96.100850000000008"/>
    <n v="0"/>
    <n v="223.32910019180534"/>
    <n v="76.885051233845374"/>
  </r>
  <r>
    <s v="Regular"/>
    <x v="1"/>
    <x v="2"/>
    <x v="2"/>
    <x v="1"/>
    <x v="0"/>
    <x v="0"/>
    <x v="1"/>
    <x v="6"/>
    <n v="0"/>
    <n v="0"/>
    <n v="0.36299999999999999"/>
    <n v="0.36299999999999999"/>
    <n v="0.36299999999999999"/>
    <n v="0.36299999999999999"/>
    <n v="0"/>
    <x v="0"/>
    <n v="0"/>
    <n v="0"/>
    <n v="13"/>
    <n v="50"/>
    <n v="0"/>
    <n v="562.1"/>
    <n v="263.29000000000002"/>
    <m/>
    <n v="611.86054847069954"/>
    <n v="210.64397598313801"/>
    <n v="0"/>
    <n v="204.04230000000001"/>
    <n v="95.574269999999999"/>
    <n v="0"/>
    <n v="222.10537909486393"/>
    <n v="76.463763281879096"/>
  </r>
  <r>
    <s v="Regular"/>
    <x v="1"/>
    <x v="2"/>
    <x v="2"/>
    <x v="1"/>
    <x v="0"/>
    <x v="0"/>
    <x v="1"/>
    <x v="7"/>
    <n v="0"/>
    <n v="0"/>
    <n v="0.36199999999999999"/>
    <n v="0.36199999999999999"/>
    <n v="0.36199999999999999"/>
    <n v="0.36199999999999999"/>
    <n v="0"/>
    <x v="0"/>
    <n v="0"/>
    <n v="0"/>
    <n v="13"/>
    <n v="50"/>
    <n v="0"/>
    <n v="562.1"/>
    <n v="263.29000000000002"/>
    <m/>
    <n v="611.86054847069954"/>
    <n v="210.64397598313801"/>
    <n v="0"/>
    <n v="203.4802"/>
    <n v="95.310980000000001"/>
    <n v="0"/>
    <n v="221.49351854639323"/>
    <n v="76.25311930589595"/>
  </r>
  <r>
    <s v="Regular"/>
    <x v="1"/>
    <x v="2"/>
    <x v="2"/>
    <x v="1"/>
    <x v="0"/>
    <x v="0"/>
    <x v="1"/>
    <x v="8"/>
    <n v="0"/>
    <n v="0"/>
    <n v="0.40300000000000002"/>
    <n v="0.40300000000000002"/>
    <n v="0.40300000000000002"/>
    <n v="0.40300000000000002"/>
    <n v="0"/>
    <x v="0"/>
    <n v="0"/>
    <n v="0"/>
    <n v="13"/>
    <n v="50"/>
    <n v="0"/>
    <n v="562.1"/>
    <n v="263.29000000000002"/>
    <m/>
    <n v="611.86054847069954"/>
    <n v="210.64397598313801"/>
    <n v="0"/>
    <n v="226.52630000000002"/>
    <n v="106.10587000000001"/>
    <n v="0"/>
    <n v="246.57980103369192"/>
    <n v="84.889522321204623"/>
  </r>
  <r>
    <s v="Regular"/>
    <x v="1"/>
    <x v="2"/>
    <x v="2"/>
    <x v="1"/>
    <x v="0"/>
    <x v="0"/>
    <x v="1"/>
    <x v="9"/>
    <n v="0"/>
    <n v="0"/>
    <n v="0.41199999999999998"/>
    <n v="0.41199999999999998"/>
    <n v="0.41199999999999998"/>
    <n v="0.41199999999999998"/>
    <n v="0"/>
    <x v="0"/>
    <n v="0"/>
    <n v="0"/>
    <n v="13"/>
    <n v="50"/>
    <n v="0"/>
    <n v="562.1"/>
    <n v="263.29000000000002"/>
    <m/>
    <n v="611.86054847069954"/>
    <n v="210.64397598313801"/>
    <n v="0"/>
    <n v="231.58519999999999"/>
    <n v="108.47548"/>
    <n v="0"/>
    <n v="252.08654596992821"/>
    <n v="86.785318105052852"/>
  </r>
  <r>
    <s v="Regular"/>
    <x v="1"/>
    <x v="2"/>
    <x v="2"/>
    <x v="1"/>
    <x v="0"/>
    <x v="0"/>
    <x v="1"/>
    <x v="10"/>
    <n v="0"/>
    <n v="0"/>
    <n v="0.503"/>
    <n v="0.503"/>
    <n v="0.503"/>
    <n v="0.503"/>
    <n v="0"/>
    <x v="0"/>
    <n v="0"/>
    <n v="0"/>
    <n v="13"/>
    <n v="50"/>
    <n v="0"/>
    <n v="562.1"/>
    <n v="263.29000000000002"/>
    <m/>
    <n v="611.86054847069954"/>
    <n v="210.64397598313801"/>
    <n v="0"/>
    <n v="282.73630000000003"/>
    <n v="132.43487000000002"/>
    <n v="0"/>
    <n v="307.76585588076188"/>
    <n v="105.95391991951841"/>
  </r>
  <r>
    <s v="Regular"/>
    <x v="1"/>
    <x v="2"/>
    <x v="2"/>
    <x v="1"/>
    <x v="0"/>
    <x v="0"/>
    <x v="1"/>
    <x v="11"/>
    <n v="0"/>
    <n v="0"/>
    <n v="0.42699999999999999"/>
    <n v="0.42699999999999999"/>
    <n v="0.42699999999999999"/>
    <n v="0.42699999999999999"/>
    <n v="0"/>
    <x v="0"/>
    <n v="0"/>
    <n v="0"/>
    <n v="13"/>
    <n v="50"/>
    <n v="0"/>
    <n v="562.1"/>
    <n v="263.29000000000002"/>
    <m/>
    <n v="611.86054847069954"/>
    <n v="210.64397598313801"/>
    <n v="0"/>
    <n v="240.01670000000001"/>
    <n v="112.42483"/>
    <n v="0"/>
    <n v="261.26445419698871"/>
    <n v="89.944977744799928"/>
  </r>
  <r>
    <s v="Regular"/>
    <x v="1"/>
    <x v="3"/>
    <x v="2"/>
    <x v="1"/>
    <x v="0"/>
    <x v="0"/>
    <x v="2"/>
    <x v="0"/>
    <n v="0"/>
    <n v="0"/>
    <n v="1855.4870000000001"/>
    <n v="1855.4870000000001"/>
    <n v="1855.4870000000001"/>
    <n v="1855.4870000000001"/>
    <n v="10624"/>
    <x v="0"/>
    <n v="0"/>
    <n v="0"/>
    <n v="16"/>
    <n v="53"/>
    <n v="0"/>
    <n v="273.69"/>
    <n v="263.29000000000002"/>
    <m/>
    <n v="320.1054038964063"/>
    <n v="210.64397598313801"/>
    <n v="0"/>
    <n v="507828.23703000002"/>
    <n v="488531.17223000008"/>
    <n v="0"/>
    <n v="593951.41555953131"/>
    <n v="390847.15906502481"/>
  </r>
  <r>
    <s v="Refaturamento - Regular"/>
    <x v="1"/>
    <x v="3"/>
    <x v="2"/>
    <x v="1"/>
    <x v="0"/>
    <x v="0"/>
    <x v="2"/>
    <x v="0"/>
    <n v="0"/>
    <n v="0"/>
    <n v="-1.3089999999999999"/>
    <n v="-1.3089999999999999"/>
    <n v="-1.3089999999999999"/>
    <n v="-1.3089999999999999"/>
    <n v="0"/>
    <x v="0"/>
    <n v="0"/>
    <n v="0"/>
    <n v="16"/>
    <n v="53"/>
    <n v="0"/>
    <n v="273.69"/>
    <n v="263.29000000000002"/>
    <m/>
    <n v="320.1054038964063"/>
    <n v="210.64397598313801"/>
    <n v="0"/>
    <n v="-358.26020999999997"/>
    <n v="-344.64661000000001"/>
    <n v="0"/>
    <n v="-419.01797370039583"/>
    <n v="-275.73296456192764"/>
  </r>
  <r>
    <s v="Sistema de Compensação"/>
    <x v="1"/>
    <x v="3"/>
    <x v="2"/>
    <x v="1"/>
    <x v="0"/>
    <x v="0"/>
    <x v="2"/>
    <x v="0"/>
    <n v="0"/>
    <n v="0"/>
    <n v="19.227"/>
    <n v="19.227"/>
    <n v="19.227"/>
    <n v="19.227"/>
    <n v="133"/>
    <x v="0"/>
    <n v="0"/>
    <n v="0"/>
    <n v="16"/>
    <n v="53"/>
    <n v="0"/>
    <n v="273.69"/>
    <n v="263.29000000000002"/>
    <m/>
    <n v="320.1054038964063"/>
    <n v="210.64397598313801"/>
    <n v="0"/>
    <n v="5262.2376299999996"/>
    <n v="5062.2768300000007"/>
    <n v="0"/>
    <n v="6154.6666007162039"/>
    <n v="4050.0517262277945"/>
  </r>
  <r>
    <s v="Regular"/>
    <x v="1"/>
    <x v="3"/>
    <x v="2"/>
    <x v="1"/>
    <x v="0"/>
    <x v="0"/>
    <x v="2"/>
    <x v="1"/>
    <n v="0"/>
    <n v="0"/>
    <n v="1958.2639999999999"/>
    <n v="1958.2639999999999"/>
    <n v="1958.2639999999999"/>
    <n v="1958.2639999999999"/>
    <n v="10661"/>
    <x v="0"/>
    <n v="0"/>
    <n v="0"/>
    <n v="16"/>
    <n v="53"/>
    <n v="0"/>
    <n v="273.69"/>
    <n v="263.29000000000002"/>
    <m/>
    <n v="320.1054038964063"/>
    <n v="210.64397598313801"/>
    <n v="0"/>
    <n v="535957.27415999991"/>
    <n v="515591.32855999999"/>
    <n v="0"/>
    <n v="626850.88865579211"/>
    <n v="412496.51498464373"/>
  </r>
  <r>
    <s v="Refaturamento - Regular"/>
    <x v="1"/>
    <x v="3"/>
    <x v="2"/>
    <x v="1"/>
    <x v="0"/>
    <x v="0"/>
    <x v="2"/>
    <x v="1"/>
    <n v="0"/>
    <n v="0"/>
    <n v="-2.7160000000000002"/>
    <n v="-2.7160000000000002"/>
    <n v="-2.7160000000000002"/>
    <n v="-2.7160000000000002"/>
    <n v="0"/>
    <x v="0"/>
    <n v="0"/>
    <n v="0"/>
    <n v="16"/>
    <n v="53"/>
    <n v="0"/>
    <n v="273.69"/>
    <n v="263.29000000000002"/>
    <m/>
    <n v="320.1054038964063"/>
    <n v="210.64397598313801"/>
    <n v="0"/>
    <n v="-743.34204"/>
    <n v="-715.09564000000012"/>
    <n v="0"/>
    <n v="-869.40627698263961"/>
    <n v="-572.10903877020291"/>
  </r>
  <r>
    <s v="Sistema de Compensação"/>
    <x v="1"/>
    <x v="3"/>
    <x v="2"/>
    <x v="1"/>
    <x v="0"/>
    <x v="0"/>
    <x v="2"/>
    <x v="1"/>
    <n v="0"/>
    <n v="0"/>
    <n v="22.452000000000002"/>
    <n v="22.452000000000002"/>
    <n v="22.452000000000002"/>
    <n v="22.452000000000002"/>
    <n v="140"/>
    <x v="0"/>
    <n v="0"/>
    <n v="0"/>
    <n v="16"/>
    <n v="53"/>
    <n v="0"/>
    <n v="273.69"/>
    <n v="263.29000000000002"/>
    <m/>
    <n v="320.1054038964063"/>
    <n v="210.64397598313801"/>
    <n v="0"/>
    <n v="6144.8878800000002"/>
    <n v="5911.3870800000013"/>
    <n v="0"/>
    <n v="7187.0065282821151"/>
    <n v="4729.3785487734149"/>
  </r>
  <r>
    <s v="Sistema de Compensação"/>
    <x v="1"/>
    <x v="3"/>
    <x v="2"/>
    <x v="1"/>
    <x v="0"/>
    <x v="0"/>
    <x v="2"/>
    <x v="1"/>
    <n v="0"/>
    <n v="0"/>
    <n v="-0.14299999999999999"/>
    <n v="-0.14299999999999999"/>
    <n v="-0.14299999999999999"/>
    <n v="-0.14299999999999999"/>
    <n v="1"/>
    <x v="0"/>
    <n v="0"/>
    <n v="0"/>
    <n v="16"/>
    <n v="53"/>
    <n v="0"/>
    <n v="273.69"/>
    <n v="263.29000000000002"/>
    <m/>
    <n v="320.1054038964063"/>
    <n v="210.64397598313801"/>
    <n v="0"/>
    <n v="-39.13767"/>
    <n v="-37.650469999999999"/>
    <n v="0"/>
    <n v="-45.775072757186095"/>
    <n v="-30.122088565588733"/>
  </r>
  <r>
    <s v="Regular"/>
    <x v="1"/>
    <x v="3"/>
    <x v="2"/>
    <x v="1"/>
    <x v="0"/>
    <x v="0"/>
    <x v="2"/>
    <x v="2"/>
    <n v="0"/>
    <n v="0"/>
    <n v="1909.954"/>
    <n v="1909.954"/>
    <n v="1909.954"/>
    <n v="1909.954"/>
    <n v="10723"/>
    <x v="0"/>
    <n v="0"/>
    <n v="0"/>
    <n v="16"/>
    <n v="53"/>
    <n v="0"/>
    <n v="273.69"/>
    <n v="263.29000000000002"/>
    <m/>
    <n v="320.1054038964063"/>
    <n v="210.64397598313801"/>
    <n v="0"/>
    <n v="522735.31026"/>
    <n v="502871.78866000002"/>
    <n v="0"/>
    <n v="611386.59659355681"/>
    <n v="402320.30450489838"/>
  </r>
  <r>
    <s v="Refaturamento - Regular"/>
    <x v="1"/>
    <x v="3"/>
    <x v="2"/>
    <x v="1"/>
    <x v="0"/>
    <x v="0"/>
    <x v="2"/>
    <x v="2"/>
    <n v="0"/>
    <n v="0"/>
    <n v="-2.3650000000000002"/>
    <n v="-2.3650000000000002"/>
    <n v="-2.3650000000000002"/>
    <n v="-2.3650000000000002"/>
    <n v="0"/>
    <x v="0"/>
    <n v="0"/>
    <n v="0"/>
    <n v="16"/>
    <n v="53"/>
    <n v="0"/>
    <n v="273.69"/>
    <n v="263.29000000000002"/>
    <m/>
    <n v="320.1054038964063"/>
    <n v="210.64397598313801"/>
    <n v="0"/>
    <n v="-647.27685000000008"/>
    <n v="-622.68085000000008"/>
    <n v="0"/>
    <n v="-757.04928021500098"/>
    <n v="-498.17300320012146"/>
  </r>
  <r>
    <s v="Sistema de Compensação"/>
    <x v="1"/>
    <x v="3"/>
    <x v="2"/>
    <x v="1"/>
    <x v="0"/>
    <x v="0"/>
    <x v="2"/>
    <x v="2"/>
    <n v="0"/>
    <n v="0"/>
    <n v="22.797999999999998"/>
    <n v="22.797999999999998"/>
    <n v="22.797999999999998"/>
    <n v="22.797999999999998"/>
    <n v="143"/>
    <x v="0"/>
    <n v="0"/>
    <n v="0"/>
    <n v="16"/>
    <n v="53"/>
    <n v="0"/>
    <n v="273.69"/>
    <n v="263.29000000000002"/>
    <m/>
    <n v="320.1054038964063"/>
    <n v="210.64397598313801"/>
    <n v="0"/>
    <n v="6239.5846199999996"/>
    <n v="6002.48542"/>
    <n v="0"/>
    <n v="7297.76299803027"/>
    <n v="4802.2613644635803"/>
  </r>
  <r>
    <s v="Regular"/>
    <x v="1"/>
    <x v="3"/>
    <x v="2"/>
    <x v="1"/>
    <x v="0"/>
    <x v="0"/>
    <x v="2"/>
    <x v="3"/>
    <n v="0"/>
    <n v="0"/>
    <n v="1987.383"/>
    <n v="1987.383"/>
    <n v="1987.383"/>
    <n v="1987.383"/>
    <n v="10766"/>
    <x v="0"/>
    <n v="0"/>
    <n v="0"/>
    <n v="16"/>
    <n v="53"/>
    <n v="0"/>
    <n v="273.69"/>
    <n v="263.29000000000002"/>
    <m/>
    <n v="320.1054038964063"/>
    <n v="210.64397598313801"/>
    <n v="0"/>
    <n v="543926.85326999996"/>
    <n v="523258.07007000007"/>
    <n v="0"/>
    <n v="636172.03791185166"/>
    <n v="418630.25692129676"/>
  </r>
  <r>
    <s v="Refaturamento - Regular"/>
    <x v="1"/>
    <x v="3"/>
    <x v="2"/>
    <x v="1"/>
    <x v="0"/>
    <x v="0"/>
    <x v="2"/>
    <x v="3"/>
    <n v="0"/>
    <n v="0"/>
    <n v="-5.2480000000000002"/>
    <n v="-5.2480000000000002"/>
    <n v="-5.2480000000000002"/>
    <n v="-5.2480000000000002"/>
    <n v="0"/>
    <x v="0"/>
    <n v="0"/>
    <n v="0"/>
    <n v="16"/>
    <n v="53"/>
    <n v="0"/>
    <n v="273.69"/>
    <n v="263.29000000000002"/>
    <m/>
    <n v="320.1054038964063"/>
    <n v="210.64397598313801"/>
    <n v="0"/>
    <n v="-1436.32512"/>
    <n v="-1381.7459200000001"/>
    <n v="0"/>
    <n v="-1679.9131596483403"/>
    <n v="-1105.4595859595083"/>
  </r>
  <r>
    <s v="Sistema de Compensação"/>
    <x v="1"/>
    <x v="3"/>
    <x v="2"/>
    <x v="1"/>
    <x v="0"/>
    <x v="0"/>
    <x v="2"/>
    <x v="3"/>
    <n v="0"/>
    <n v="0"/>
    <n v="22.396999999999998"/>
    <n v="22.396999999999998"/>
    <n v="22.396999999999998"/>
    <n v="22.396999999999998"/>
    <n v="146"/>
    <x v="0"/>
    <n v="0"/>
    <n v="0"/>
    <n v="16"/>
    <n v="53"/>
    <n v="0"/>
    <n v="273.69"/>
    <n v="263.29000000000002"/>
    <m/>
    <n v="320.1054038964063"/>
    <n v="210.64397598313801"/>
    <n v="0"/>
    <n v="6129.8349299999991"/>
    <n v="5896.9061300000003"/>
    <n v="0"/>
    <n v="7169.4007310678116"/>
    <n v="4717.7931300943419"/>
  </r>
  <r>
    <s v="Regular"/>
    <x v="1"/>
    <x v="3"/>
    <x v="2"/>
    <x v="1"/>
    <x v="0"/>
    <x v="0"/>
    <x v="2"/>
    <x v="4"/>
    <n v="0"/>
    <n v="0"/>
    <n v="2160.2640000000001"/>
    <n v="2160.2640000000001"/>
    <n v="2160.2640000000001"/>
    <n v="2160.2640000000001"/>
    <n v="10857"/>
    <x v="0"/>
    <n v="0"/>
    <n v="0"/>
    <n v="16"/>
    <n v="53"/>
    <n v="0"/>
    <n v="273.69"/>
    <n v="263.29000000000002"/>
    <m/>
    <n v="320.1054038964063"/>
    <n v="210.64397598313801"/>
    <n v="0"/>
    <n v="591242.65416000003"/>
    <n v="568775.90856000013"/>
    <n v="0"/>
    <n v="691512.18024286628"/>
    <n v="455046.59813323768"/>
  </r>
  <r>
    <s v="Refaturamento - Regular"/>
    <x v="1"/>
    <x v="3"/>
    <x v="2"/>
    <x v="1"/>
    <x v="0"/>
    <x v="0"/>
    <x v="2"/>
    <x v="4"/>
    <n v="0"/>
    <n v="0"/>
    <n v="-9.6820000000000004"/>
    <n v="-9.6820000000000004"/>
    <n v="-9.6820000000000004"/>
    <n v="-9.6820000000000004"/>
    <n v="0"/>
    <x v="0"/>
    <n v="0"/>
    <n v="0"/>
    <n v="16"/>
    <n v="53"/>
    <n v="0"/>
    <n v="273.69"/>
    <n v="263.29000000000002"/>
    <m/>
    <n v="320.1054038964063"/>
    <n v="210.64397598313801"/>
    <n v="0"/>
    <n v="-2649.8665799999999"/>
    <n v="-2549.1737800000001"/>
    <n v="0"/>
    <n v="-3099.2605205250061"/>
    <n v="-2039.4549754687423"/>
  </r>
  <r>
    <s v="Sistema de Compensação"/>
    <x v="1"/>
    <x v="3"/>
    <x v="2"/>
    <x v="1"/>
    <x v="0"/>
    <x v="0"/>
    <x v="2"/>
    <x v="4"/>
    <n v="0"/>
    <n v="0"/>
    <n v="20.276"/>
    <n v="20.276"/>
    <n v="20.276"/>
    <n v="20.276"/>
    <n v="155"/>
    <x v="0"/>
    <n v="0"/>
    <n v="0"/>
    <n v="16"/>
    <n v="53"/>
    <n v="0"/>
    <n v="273.69"/>
    <n v="263.29000000000002"/>
    <m/>
    <n v="320.1054038964063"/>
    <n v="210.64397598313801"/>
    <n v="0"/>
    <n v="5549.3384399999995"/>
    <n v="5338.4680400000007"/>
    <n v="0"/>
    <n v="6490.457169403534"/>
    <n v="4271.0172570341065"/>
  </r>
  <r>
    <s v="Sistema de Compensação"/>
    <x v="1"/>
    <x v="3"/>
    <x v="2"/>
    <x v="1"/>
    <x v="0"/>
    <x v="0"/>
    <x v="2"/>
    <x v="4"/>
    <n v="0"/>
    <n v="0"/>
    <n v="0.4"/>
    <n v="0.4"/>
    <n v="0.4"/>
    <n v="0.4"/>
    <n v="8"/>
    <x v="0"/>
    <n v="0"/>
    <n v="0"/>
    <n v="16"/>
    <n v="53"/>
    <n v="0"/>
    <n v="273.69"/>
    <n v="263.29000000000002"/>
    <m/>
    <n v="320.1054038964063"/>
    <n v="210.64397598313801"/>
    <n v="0"/>
    <n v="109.476"/>
    <n v="105.31600000000002"/>
    <n v="0"/>
    <n v="128.04216155856253"/>
    <n v="84.257590393255214"/>
  </r>
  <r>
    <s v="Regular"/>
    <x v="1"/>
    <x v="3"/>
    <x v="2"/>
    <x v="1"/>
    <x v="0"/>
    <x v="0"/>
    <x v="2"/>
    <x v="5"/>
    <n v="0"/>
    <n v="0"/>
    <n v="2287.4720000000002"/>
    <n v="2287.4720000000002"/>
    <n v="2287.4720000000002"/>
    <n v="2287.4720000000002"/>
    <n v="10927"/>
    <x v="0"/>
    <n v="0"/>
    <n v="0"/>
    <n v="16"/>
    <n v="53"/>
    <n v="0"/>
    <n v="273.69"/>
    <n v="263.29000000000002"/>
    <m/>
    <n v="320.1054038964063"/>
    <n v="210.64397598313801"/>
    <n v="0"/>
    <n v="626058.21168000007"/>
    <n v="602268.50288000004"/>
    <n v="0"/>
    <n v="732232.14846172032"/>
    <n v="481842.19703010068"/>
  </r>
  <r>
    <s v="Refaturamento - Regular"/>
    <x v="1"/>
    <x v="3"/>
    <x v="2"/>
    <x v="1"/>
    <x v="0"/>
    <x v="0"/>
    <x v="2"/>
    <x v="5"/>
    <n v="0"/>
    <n v="0"/>
    <n v="-71.149000000000001"/>
    <n v="-71.149000000000001"/>
    <n v="-71.149000000000001"/>
    <n v="-71.149000000000001"/>
    <n v="0"/>
    <x v="0"/>
    <n v="0"/>
    <n v="0"/>
    <n v="16"/>
    <n v="53"/>
    <n v="0"/>
    <n v="273.69"/>
    <n v="263.29000000000002"/>
    <m/>
    <n v="320.1054038964063"/>
    <n v="210.64397598313801"/>
    <n v="0"/>
    <n v="-19472.769810000002"/>
    <n v="-18732.820210000002"/>
    <n v="0"/>
    <n v="-22775.179381825412"/>
    <n v="-14987.108247224287"/>
  </r>
  <r>
    <s v="Sistema de Compensação"/>
    <x v="1"/>
    <x v="3"/>
    <x v="2"/>
    <x v="1"/>
    <x v="0"/>
    <x v="0"/>
    <x v="2"/>
    <x v="5"/>
    <n v="0"/>
    <n v="0"/>
    <n v="21.625"/>
    <n v="21.625"/>
    <n v="21.625"/>
    <n v="21.625"/>
    <n v="160"/>
    <x v="0"/>
    <n v="0"/>
    <n v="0"/>
    <n v="16"/>
    <n v="53"/>
    <n v="0"/>
    <n v="273.69"/>
    <n v="263.29000000000002"/>
    <m/>
    <n v="320.1054038964063"/>
    <n v="210.64397598313801"/>
    <n v="0"/>
    <n v="5918.5462500000003"/>
    <n v="5693.6462500000007"/>
    <n v="0"/>
    <n v="6922.2793592597864"/>
    <n v="4555.1759806353593"/>
  </r>
  <r>
    <s v="Regular"/>
    <x v="1"/>
    <x v="3"/>
    <x v="2"/>
    <x v="1"/>
    <x v="0"/>
    <x v="0"/>
    <x v="2"/>
    <x v="6"/>
    <n v="0"/>
    <n v="0"/>
    <n v="2171.8649999999998"/>
    <n v="2171.8649999999998"/>
    <n v="2171.8649999999998"/>
    <n v="2171.8649999999998"/>
    <n v="10969"/>
    <x v="0"/>
    <n v="0"/>
    <n v="0"/>
    <n v="16"/>
    <n v="53"/>
    <n v="0"/>
    <n v="273.69"/>
    <n v="263.29000000000002"/>
    <m/>
    <n v="320.1054038964063"/>
    <n v="210.64397598313801"/>
    <n v="0"/>
    <n v="594417.73184999998"/>
    <n v="571830.33585000003"/>
    <n v="0"/>
    <n v="695225.72303346836"/>
    <n v="457490.27889861795"/>
  </r>
  <r>
    <s v="Refaturamento - Regular"/>
    <x v="1"/>
    <x v="3"/>
    <x v="2"/>
    <x v="1"/>
    <x v="0"/>
    <x v="0"/>
    <x v="2"/>
    <x v="6"/>
    <n v="0"/>
    <n v="0"/>
    <n v="-0.49099999999999999"/>
    <n v="-0.49099999999999999"/>
    <n v="-0.49099999999999999"/>
    <n v="-0.49099999999999999"/>
    <n v="0"/>
    <x v="0"/>
    <n v="0"/>
    <n v="0"/>
    <n v="16"/>
    <n v="53"/>
    <n v="0"/>
    <n v="273.69"/>
    <n v="263.29000000000002"/>
    <m/>
    <n v="320.1054038964063"/>
    <n v="210.64397598313801"/>
    <n v="0"/>
    <n v="-134.38179"/>
    <n v="-129.27539000000002"/>
    <n v="0"/>
    <n v="-157.1717533131355"/>
    <n v="-103.42619220772076"/>
  </r>
  <r>
    <s v="Sistema de Compensação"/>
    <x v="1"/>
    <x v="3"/>
    <x v="2"/>
    <x v="1"/>
    <x v="0"/>
    <x v="0"/>
    <x v="2"/>
    <x v="6"/>
    <n v="0"/>
    <n v="0"/>
    <n v="19.73"/>
    <n v="19.73"/>
    <n v="19.73"/>
    <n v="19.73"/>
    <n v="171"/>
    <x v="0"/>
    <n v="0"/>
    <n v="0"/>
    <n v="16"/>
    <n v="53"/>
    <n v="0"/>
    <n v="273.69"/>
    <n v="263.29000000000002"/>
    <m/>
    <n v="320.1054038964063"/>
    <n v="210.64397598313801"/>
    <n v="0"/>
    <n v="5399.9036999999998"/>
    <n v="5194.7117000000007"/>
    <n v="0"/>
    <n v="6315.6796188760964"/>
    <n v="4156.0056461473132"/>
  </r>
  <r>
    <s v="Regular"/>
    <x v="1"/>
    <x v="3"/>
    <x v="2"/>
    <x v="1"/>
    <x v="0"/>
    <x v="0"/>
    <x v="2"/>
    <x v="7"/>
    <n v="0"/>
    <n v="0"/>
    <n v="2116.02"/>
    <n v="2116.02"/>
    <n v="2116.02"/>
    <n v="2116.02"/>
    <n v="11011"/>
    <x v="0"/>
    <n v="0"/>
    <n v="0"/>
    <n v="16"/>
    <n v="53"/>
    <n v="0"/>
    <n v="273.69"/>
    <n v="263.29000000000002"/>
    <m/>
    <n v="320.1054038964063"/>
    <n v="210.64397598313801"/>
    <n v="0"/>
    <n v="579133.51379999996"/>
    <n v="557126.90580000007"/>
    <n v="0"/>
    <n v="677349.43675287371"/>
    <n v="445726.86605983967"/>
  </r>
  <r>
    <s v="Refaturamento - Regular"/>
    <x v="1"/>
    <x v="3"/>
    <x v="2"/>
    <x v="1"/>
    <x v="0"/>
    <x v="0"/>
    <x v="2"/>
    <x v="7"/>
    <n v="0"/>
    <n v="0"/>
    <n v="-1.9370000000000001"/>
    <n v="-1.9370000000000001"/>
    <n v="-1.9370000000000001"/>
    <n v="-1.9370000000000001"/>
    <n v="0"/>
    <x v="0"/>
    <n v="0"/>
    <n v="0"/>
    <n v="16"/>
    <n v="53"/>
    <n v="0"/>
    <n v="273.69"/>
    <n v="263.29000000000002"/>
    <m/>
    <n v="320.1054038964063"/>
    <n v="210.64397598313801"/>
    <n v="0"/>
    <n v="-530.13752999999997"/>
    <n v="-509.99273000000005"/>
    <n v="0"/>
    <n v="-620.044167347339"/>
    <n v="-408.01738147933833"/>
  </r>
  <r>
    <s v="Sistema de Compensação"/>
    <x v="1"/>
    <x v="3"/>
    <x v="2"/>
    <x v="1"/>
    <x v="0"/>
    <x v="0"/>
    <x v="2"/>
    <x v="7"/>
    <n v="0"/>
    <n v="0"/>
    <n v="22.012"/>
    <n v="22.012"/>
    <n v="22.012"/>
    <n v="22.012"/>
    <n v="179"/>
    <x v="0"/>
    <n v="0"/>
    <n v="0"/>
    <n v="16"/>
    <n v="53"/>
    <n v="0"/>
    <n v="273.69"/>
    <n v="263.29000000000002"/>
    <m/>
    <n v="320.1054038964063"/>
    <n v="210.64397598313801"/>
    <n v="0"/>
    <n v="6024.4642800000001"/>
    <n v="5795.5394800000004"/>
    <n v="0"/>
    <n v="7046.1601505676954"/>
    <n v="4636.6951993408338"/>
  </r>
  <r>
    <s v="Regular"/>
    <x v="1"/>
    <x v="3"/>
    <x v="2"/>
    <x v="1"/>
    <x v="0"/>
    <x v="0"/>
    <x v="2"/>
    <x v="8"/>
    <n v="0"/>
    <n v="0"/>
    <n v="2267.7260000000001"/>
    <n v="2267.7260000000001"/>
    <n v="2267.7260000000001"/>
    <n v="2267.7260000000001"/>
    <n v="11041"/>
    <x v="0"/>
    <n v="0"/>
    <n v="0"/>
    <n v="16"/>
    <n v="53"/>
    <n v="0"/>
    <n v="273.69"/>
    <n v="263.29000000000002"/>
    <m/>
    <n v="320.1054038964063"/>
    <n v="210.64397598313801"/>
    <n v="0"/>
    <n v="620653.92894000001"/>
    <n v="597069.57854000013"/>
    <n v="0"/>
    <n v="725911.34715638193"/>
    <n v="477682.82108033763"/>
  </r>
  <r>
    <s v="Refaturamento - Regular"/>
    <x v="1"/>
    <x v="3"/>
    <x v="2"/>
    <x v="1"/>
    <x v="0"/>
    <x v="0"/>
    <x v="2"/>
    <x v="8"/>
    <n v="0"/>
    <n v="0"/>
    <n v="-0.98899999999999999"/>
    <n v="-0.98899999999999999"/>
    <n v="-0.98899999999999999"/>
    <n v="-0.98899999999999999"/>
    <n v="0"/>
    <x v="0"/>
    <n v="0"/>
    <n v="0"/>
    <n v="16"/>
    <n v="53"/>
    <n v="0"/>
    <n v="273.69"/>
    <n v="263.29000000000002"/>
    <m/>
    <n v="320.1054038964063"/>
    <n v="210.64397598313801"/>
    <n v="0"/>
    <n v="-270.67941000000002"/>
    <n v="-260.39381000000003"/>
    <n v="0"/>
    <n v="-316.58424445354581"/>
    <n v="-208.32689224732349"/>
  </r>
  <r>
    <s v="Sistema de Compensação"/>
    <x v="1"/>
    <x v="3"/>
    <x v="2"/>
    <x v="1"/>
    <x v="0"/>
    <x v="0"/>
    <x v="2"/>
    <x v="8"/>
    <n v="0"/>
    <n v="0"/>
    <n v="26.532"/>
    <n v="26.532"/>
    <n v="26.532"/>
    <n v="26.532"/>
    <n v="188"/>
    <x v="0"/>
    <n v="0"/>
    <n v="0"/>
    <n v="16"/>
    <n v="53"/>
    <n v="0"/>
    <n v="273.69"/>
    <n v="263.29000000000002"/>
    <m/>
    <n v="320.1054038964063"/>
    <n v="210.64397598313801"/>
    <n v="0"/>
    <n v="7261.5430800000004"/>
    <n v="6985.6102800000008"/>
    <n v="0"/>
    <n v="8493.0365761794528"/>
    <n v="5588.8059707846178"/>
  </r>
  <r>
    <s v="Regular"/>
    <x v="1"/>
    <x v="3"/>
    <x v="2"/>
    <x v="1"/>
    <x v="0"/>
    <x v="0"/>
    <x v="2"/>
    <x v="9"/>
    <n v="0"/>
    <n v="0"/>
    <n v="2150.9079999999999"/>
    <n v="2150.9079999999999"/>
    <n v="2150.9079999999999"/>
    <n v="2150.9079999999999"/>
    <n v="11020"/>
    <x v="0"/>
    <n v="0"/>
    <n v="0"/>
    <n v="16"/>
    <n v="53"/>
    <n v="0"/>
    <n v="273.69"/>
    <n v="263.29000000000002"/>
    <m/>
    <n v="320.1054038964063"/>
    <n v="210.64397598313801"/>
    <n v="0"/>
    <n v="588682.01052000001"/>
    <n v="566312.56732000003"/>
    <n v="0"/>
    <n v="688517.27408401144"/>
    <n v="453075.81309393939"/>
  </r>
  <r>
    <s v="Refaturamento - Regular"/>
    <x v="1"/>
    <x v="3"/>
    <x v="2"/>
    <x v="1"/>
    <x v="0"/>
    <x v="0"/>
    <x v="2"/>
    <x v="9"/>
    <n v="0"/>
    <n v="0"/>
    <n v="-0.69299999999999995"/>
    <n v="-0.69299999999999995"/>
    <n v="-0.69299999999999995"/>
    <n v="-0.69299999999999995"/>
    <n v="0"/>
    <x v="0"/>
    <n v="0"/>
    <n v="0"/>
    <n v="16"/>
    <n v="53"/>
    <n v="0"/>
    <n v="273.69"/>
    <n v="263.29000000000002"/>
    <m/>
    <n v="320.1054038964063"/>
    <n v="210.64397598313801"/>
    <n v="0"/>
    <n v="-189.66717"/>
    <n v="-182.45997"/>
    <n v="0"/>
    <n v="-221.83304490020956"/>
    <n v="-145.97627535631463"/>
  </r>
  <r>
    <s v="Sistema de Compensação"/>
    <x v="1"/>
    <x v="3"/>
    <x v="2"/>
    <x v="1"/>
    <x v="0"/>
    <x v="0"/>
    <x v="2"/>
    <x v="9"/>
    <n v="0"/>
    <n v="0"/>
    <n v="28.321999999999999"/>
    <n v="28.321999999999999"/>
    <n v="28.321999999999999"/>
    <n v="28.321999999999999"/>
    <n v="199"/>
    <x v="0"/>
    <n v="0"/>
    <n v="0"/>
    <n v="16"/>
    <n v="53"/>
    <n v="0"/>
    <n v="273.69"/>
    <n v="263.29000000000002"/>
    <m/>
    <n v="320.1054038964063"/>
    <n v="210.64397598313801"/>
    <n v="0"/>
    <n v="7751.4481799999994"/>
    <n v="7456.8993800000007"/>
    <n v="0"/>
    <n v="9066.0252491540195"/>
    <n v="5965.8586877944344"/>
  </r>
  <r>
    <s v="Regular"/>
    <x v="1"/>
    <x v="3"/>
    <x v="2"/>
    <x v="1"/>
    <x v="0"/>
    <x v="0"/>
    <x v="2"/>
    <x v="10"/>
    <n v="0"/>
    <n v="0"/>
    <n v="2389.2820000000002"/>
    <n v="2389.2820000000002"/>
    <n v="2389.2820000000002"/>
    <n v="2389.2820000000002"/>
    <n v="10795"/>
    <x v="0"/>
    <n v="0"/>
    <n v="0"/>
    <n v="16"/>
    <n v="53"/>
    <n v="0"/>
    <n v="273.69"/>
    <n v="263.29000000000002"/>
    <m/>
    <n v="320.1054038964063"/>
    <n v="210.64397598313801"/>
    <n v="0"/>
    <n v="653922.59058000008"/>
    <n v="629074.05778000003"/>
    <n v="0"/>
    <n v="764822.07963241346"/>
    <n v="503287.86022494396"/>
  </r>
  <r>
    <s v="Refaturamento - Regular"/>
    <x v="1"/>
    <x v="3"/>
    <x v="2"/>
    <x v="1"/>
    <x v="0"/>
    <x v="0"/>
    <x v="2"/>
    <x v="10"/>
    <n v="0"/>
    <n v="0"/>
    <n v="-9.0220000000000002"/>
    <n v="-9.0220000000000002"/>
    <n v="-9.0220000000000002"/>
    <n v="-9.0220000000000002"/>
    <n v="0"/>
    <x v="0"/>
    <n v="0"/>
    <n v="0"/>
    <n v="16"/>
    <n v="53"/>
    <n v="0"/>
    <n v="273.69"/>
    <n v="263.29000000000002"/>
    <m/>
    <n v="320.1054038964063"/>
    <n v="210.64397598313801"/>
    <n v="0"/>
    <n v="-2469.2311800000002"/>
    <n v="-2375.4023800000004"/>
    <n v="0"/>
    <n v="-2887.9909539533778"/>
    <n v="-1900.4299513198712"/>
  </r>
  <r>
    <s v="Sistema de Compensação"/>
    <x v="1"/>
    <x v="3"/>
    <x v="2"/>
    <x v="1"/>
    <x v="0"/>
    <x v="0"/>
    <x v="2"/>
    <x v="10"/>
    <n v="0"/>
    <n v="0"/>
    <n v="38.92"/>
    <n v="38.92"/>
    <n v="38.92"/>
    <n v="38.92"/>
    <n v="213"/>
    <x v="0"/>
    <n v="0"/>
    <n v="0"/>
    <n v="16"/>
    <n v="53"/>
    <n v="0"/>
    <n v="273.69"/>
    <n v="263.29000000000002"/>
    <m/>
    <n v="320.1054038964063"/>
    <n v="210.64397598313801"/>
    <n v="0"/>
    <n v="10652.014800000001"/>
    <n v="10247.246800000001"/>
    <n v="0"/>
    <n v="12458.502319648134"/>
    <n v="8198.2635452637314"/>
  </r>
  <r>
    <s v="Regular"/>
    <x v="1"/>
    <x v="3"/>
    <x v="2"/>
    <x v="1"/>
    <x v="0"/>
    <x v="0"/>
    <x v="2"/>
    <x v="11"/>
    <n v="0"/>
    <n v="0"/>
    <n v="2235.0160000000001"/>
    <n v="2235.0160000000001"/>
    <n v="2235.0160000000001"/>
    <n v="2235.0160000000001"/>
    <n v="10827"/>
    <x v="0"/>
    <n v="0"/>
    <n v="0"/>
    <n v="16"/>
    <n v="53"/>
    <n v="0"/>
    <n v="273.69"/>
    <n v="263.29000000000002"/>
    <m/>
    <n v="320.1054038964063"/>
    <n v="210.64397598313801"/>
    <n v="0"/>
    <n v="611701.52904000005"/>
    <n v="588457.36264000006"/>
    <n v="0"/>
    <n v="715440.6993949305"/>
    <n v="470792.65662592917"/>
  </r>
  <r>
    <s v="Regular"/>
    <x v="1"/>
    <x v="3"/>
    <x v="2"/>
    <x v="4"/>
    <x v="0"/>
    <x v="0"/>
    <x v="2"/>
    <x v="0"/>
    <n v="0"/>
    <n v="0"/>
    <n v="14.34"/>
    <n v="14.34"/>
    <n v="14.34"/>
    <n v="14.34"/>
    <n v="0"/>
    <x v="0"/>
    <n v="0"/>
    <n v="0"/>
    <n v="17"/>
    <n v="54"/>
    <n v="0"/>
    <n v="72.489999999999995"/>
    <n v="92.15"/>
    <m/>
    <n v="74.641108889990974"/>
    <n v="73.725391594098298"/>
    <n v="0"/>
    <n v="1039.5065999999999"/>
    <n v="1321.431"/>
    <n v="0"/>
    <n v="1070.3535014824706"/>
    <n v="1057.2221154593697"/>
  </r>
  <r>
    <s v="Regular"/>
    <x v="1"/>
    <x v="3"/>
    <x v="2"/>
    <x v="4"/>
    <x v="0"/>
    <x v="0"/>
    <x v="2"/>
    <x v="1"/>
    <n v="0"/>
    <n v="0"/>
    <n v="14.58"/>
    <n v="14.58"/>
    <n v="14.58"/>
    <n v="14.58"/>
    <n v="0"/>
    <x v="0"/>
    <n v="0"/>
    <n v="0"/>
    <n v="17"/>
    <n v="54"/>
    <n v="0"/>
    <n v="72.489999999999995"/>
    <n v="92.15"/>
    <m/>
    <n v="74.641108889990974"/>
    <n v="73.725391594098298"/>
    <n v="0"/>
    <n v="1056.9041999999999"/>
    <n v="1343.547"/>
    <n v="0"/>
    <n v="1088.2673676160684"/>
    <n v="1074.9162094419532"/>
  </r>
  <r>
    <s v="Regular"/>
    <x v="1"/>
    <x v="3"/>
    <x v="2"/>
    <x v="4"/>
    <x v="0"/>
    <x v="0"/>
    <x v="2"/>
    <x v="2"/>
    <n v="0"/>
    <n v="0"/>
    <n v="14.73"/>
    <n v="14.73"/>
    <n v="14.73"/>
    <n v="14.73"/>
    <n v="0"/>
    <x v="0"/>
    <n v="0"/>
    <n v="0"/>
    <n v="17"/>
    <n v="54"/>
    <n v="0"/>
    <n v="72.489999999999995"/>
    <n v="92.15"/>
    <m/>
    <n v="74.641108889990974"/>
    <n v="73.725391594098298"/>
    <n v="0"/>
    <n v="1067.7776999999999"/>
    <n v="1357.3695"/>
    <n v="0"/>
    <n v="1099.4635339495671"/>
    <n v="1085.975018181068"/>
  </r>
  <r>
    <s v="Regular"/>
    <x v="1"/>
    <x v="3"/>
    <x v="2"/>
    <x v="4"/>
    <x v="0"/>
    <x v="0"/>
    <x v="2"/>
    <x v="3"/>
    <n v="0"/>
    <n v="0"/>
    <n v="14.85"/>
    <n v="14.85"/>
    <n v="14.85"/>
    <n v="14.85"/>
    <n v="0"/>
    <x v="0"/>
    <n v="0"/>
    <n v="0"/>
    <n v="17"/>
    <n v="54"/>
    <n v="0"/>
    <n v="72.489999999999995"/>
    <n v="92.15"/>
    <m/>
    <n v="74.641108889990974"/>
    <n v="73.725391594098298"/>
    <n v="0"/>
    <n v="1076.4765"/>
    <n v="1368.4275"/>
    <n v="0"/>
    <n v="1108.420467016366"/>
    <n v="1094.8220651723598"/>
  </r>
  <r>
    <s v="Regular"/>
    <x v="1"/>
    <x v="3"/>
    <x v="2"/>
    <x v="4"/>
    <x v="0"/>
    <x v="0"/>
    <x v="2"/>
    <x v="4"/>
    <n v="0"/>
    <n v="0"/>
    <n v="14.85"/>
    <n v="14.85"/>
    <n v="14.85"/>
    <n v="14.85"/>
    <n v="0"/>
    <x v="0"/>
    <n v="0"/>
    <n v="0"/>
    <n v="17"/>
    <n v="54"/>
    <n v="0"/>
    <n v="72.489999999999995"/>
    <n v="92.15"/>
    <m/>
    <n v="74.641108889990974"/>
    <n v="73.725391594098298"/>
    <n v="0"/>
    <n v="1076.4765"/>
    <n v="1368.4275"/>
    <n v="0"/>
    <n v="1108.420467016366"/>
    <n v="1094.8220651723598"/>
  </r>
  <r>
    <s v="Regular"/>
    <x v="1"/>
    <x v="3"/>
    <x v="2"/>
    <x v="4"/>
    <x v="0"/>
    <x v="0"/>
    <x v="2"/>
    <x v="5"/>
    <n v="0"/>
    <n v="0"/>
    <n v="14.94"/>
    <n v="14.94"/>
    <n v="14.94"/>
    <n v="14.94"/>
    <n v="0"/>
    <x v="0"/>
    <n v="0"/>
    <n v="0"/>
    <n v="17"/>
    <n v="54"/>
    <n v="0"/>
    <n v="72.489999999999995"/>
    <n v="92.15"/>
    <m/>
    <n v="74.641108889990974"/>
    <n v="73.725391594098298"/>
    <n v="0"/>
    <n v="1083.0005999999998"/>
    <n v="1376.721"/>
    <n v="0"/>
    <n v="1115.1381668164652"/>
    <n v="1101.4573504158286"/>
  </r>
  <r>
    <s v="Regular"/>
    <x v="1"/>
    <x v="3"/>
    <x v="2"/>
    <x v="4"/>
    <x v="0"/>
    <x v="0"/>
    <x v="2"/>
    <x v="6"/>
    <n v="0"/>
    <n v="0"/>
    <n v="15.06"/>
    <n v="15.06"/>
    <n v="15.06"/>
    <n v="15.06"/>
    <n v="1"/>
    <x v="0"/>
    <n v="0"/>
    <n v="0"/>
    <n v="17"/>
    <n v="54"/>
    <n v="0"/>
    <n v="72.489999999999995"/>
    <n v="92.15"/>
    <m/>
    <n v="74.641108889990974"/>
    <n v="73.725391594098298"/>
    <n v="0"/>
    <n v="1091.6994"/>
    <n v="1387.7790000000002"/>
    <n v="0"/>
    <n v="1124.0950998832641"/>
    <n v="1110.3043974071204"/>
  </r>
  <r>
    <s v="Regular"/>
    <x v="1"/>
    <x v="3"/>
    <x v="2"/>
    <x v="4"/>
    <x v="0"/>
    <x v="0"/>
    <x v="2"/>
    <x v="7"/>
    <n v="0"/>
    <n v="0"/>
    <n v="15.42"/>
    <n v="15.42"/>
    <n v="15.42"/>
    <n v="15.42"/>
    <n v="1"/>
    <x v="0"/>
    <n v="0"/>
    <n v="0"/>
    <n v="17"/>
    <n v="54"/>
    <n v="0"/>
    <n v="72.489999999999995"/>
    <n v="92.15"/>
    <m/>
    <n v="74.641108889990974"/>
    <n v="73.725391594098298"/>
    <n v="0"/>
    <n v="1117.7957999999999"/>
    <n v="1420.953"/>
    <n v="0"/>
    <n v="1150.9658990836608"/>
    <n v="1136.8455383809958"/>
  </r>
  <r>
    <s v="Regular"/>
    <x v="1"/>
    <x v="3"/>
    <x v="2"/>
    <x v="4"/>
    <x v="0"/>
    <x v="0"/>
    <x v="2"/>
    <x v="8"/>
    <n v="0"/>
    <n v="0"/>
    <n v="15.72"/>
    <n v="15.72"/>
    <n v="15.72"/>
    <n v="15.72"/>
    <n v="0"/>
    <x v="0"/>
    <n v="0"/>
    <n v="0"/>
    <n v="17"/>
    <n v="54"/>
    <n v="0"/>
    <n v="72.489999999999995"/>
    <n v="92.15"/>
    <m/>
    <n v="74.641108889990974"/>
    <n v="73.725391594098298"/>
    <n v="0"/>
    <n v="1139.5427999999999"/>
    <n v="1448.5980000000002"/>
    <n v="0"/>
    <n v="1173.3582317506582"/>
    <n v="1158.9631558592253"/>
  </r>
  <r>
    <s v="Regular"/>
    <x v="1"/>
    <x v="3"/>
    <x v="2"/>
    <x v="4"/>
    <x v="0"/>
    <x v="0"/>
    <x v="2"/>
    <x v="9"/>
    <n v="0"/>
    <n v="0"/>
    <n v="17.100000000000001"/>
    <n v="17.100000000000001"/>
    <n v="17.100000000000001"/>
    <n v="17.100000000000001"/>
    <n v="1"/>
    <x v="0"/>
    <n v="0"/>
    <n v="0"/>
    <n v="17"/>
    <n v="54"/>
    <n v="0"/>
    <n v="72.489999999999995"/>
    <n v="92.15"/>
    <m/>
    <n v="74.641108889990974"/>
    <n v="73.725391594098298"/>
    <n v="0"/>
    <n v="1239.579"/>
    <n v="1575.7650000000003"/>
    <n v="0"/>
    <n v="1276.3629620188458"/>
    <n v="1260.7041962590811"/>
  </r>
  <r>
    <s v="Regular"/>
    <x v="1"/>
    <x v="3"/>
    <x v="2"/>
    <x v="4"/>
    <x v="0"/>
    <x v="0"/>
    <x v="2"/>
    <x v="10"/>
    <n v="0"/>
    <n v="0"/>
    <n v="25.65"/>
    <n v="25.65"/>
    <n v="25.65"/>
    <n v="25.65"/>
    <n v="2"/>
    <x v="0"/>
    <n v="0"/>
    <n v="0"/>
    <n v="17"/>
    <n v="54"/>
    <n v="0"/>
    <n v="72.489999999999995"/>
    <n v="92.15"/>
    <m/>
    <n v="74.641108889990974"/>
    <n v="73.725391594098298"/>
    <n v="0"/>
    <n v="1859.3684999999998"/>
    <n v="2363.6475"/>
    <n v="0"/>
    <n v="1914.5444430282685"/>
    <n v="1891.0562943886212"/>
  </r>
  <r>
    <s v="Regular"/>
    <x v="1"/>
    <x v="3"/>
    <x v="2"/>
    <x v="4"/>
    <x v="0"/>
    <x v="0"/>
    <x v="2"/>
    <x v="11"/>
    <n v="0"/>
    <n v="0"/>
    <n v="26.34"/>
    <n v="26.34"/>
    <n v="26.34"/>
    <n v="26.34"/>
    <n v="1"/>
    <x v="0"/>
    <n v="0"/>
    <n v="0"/>
    <n v="17"/>
    <n v="54"/>
    <n v="0"/>
    <n v="72.489999999999995"/>
    <n v="92.15"/>
    <m/>
    <n v="74.641108889990974"/>
    <n v="73.725391594098298"/>
    <n v="0"/>
    <n v="1909.3865999999998"/>
    <n v="2427.2310000000002"/>
    <n v="0"/>
    <n v="1966.0468081623621"/>
    <n v="1941.9268145885492"/>
  </r>
  <r>
    <s v="Regular"/>
    <x v="1"/>
    <x v="3"/>
    <x v="2"/>
    <x v="5"/>
    <x v="0"/>
    <x v="0"/>
    <x v="2"/>
    <x v="0"/>
    <n v="0"/>
    <n v="0"/>
    <n v="30.431999999999999"/>
    <n v="30.431999999999999"/>
    <n v="30.431999999999999"/>
    <n v="30.431999999999999"/>
    <n v="128"/>
    <x v="0"/>
    <n v="0"/>
    <n v="0"/>
    <n v="18"/>
    <n v="55"/>
    <n v="0"/>
    <n v="124.26"/>
    <n v="157.97999999999999"/>
    <m/>
    <n v="127.95618666855596"/>
    <n v="126.38638558988279"/>
    <n v="0"/>
    <n v="3781.4803200000001"/>
    <n v="4807.647359999999"/>
    <n v="0"/>
    <n v="3893.9626726974948"/>
    <n v="3846.1904862713131"/>
  </r>
  <r>
    <s v="Regular"/>
    <x v="1"/>
    <x v="3"/>
    <x v="2"/>
    <x v="5"/>
    <x v="0"/>
    <x v="0"/>
    <x v="2"/>
    <x v="1"/>
    <n v="0"/>
    <n v="0"/>
    <n v="31.23"/>
    <n v="31.23"/>
    <n v="31.23"/>
    <n v="31.23"/>
    <n v="111"/>
    <x v="0"/>
    <n v="0"/>
    <n v="0"/>
    <n v="18"/>
    <n v="55"/>
    <n v="0"/>
    <n v="124.26"/>
    <n v="157.97999999999999"/>
    <m/>
    <n v="127.95618666855596"/>
    <n v="126.38638558988279"/>
    <n v="0"/>
    <n v="3880.6398000000004"/>
    <n v="4933.7154"/>
    <n v="0"/>
    <n v="3996.0717096590024"/>
    <n v="3947.0468219720397"/>
  </r>
  <r>
    <s v="Regular"/>
    <x v="1"/>
    <x v="3"/>
    <x v="2"/>
    <x v="5"/>
    <x v="0"/>
    <x v="0"/>
    <x v="2"/>
    <x v="2"/>
    <n v="0"/>
    <n v="0"/>
    <n v="31.652000000000001"/>
    <n v="31.652000000000001"/>
    <n v="31.652000000000001"/>
    <n v="31.652000000000001"/>
    <n v="114"/>
    <x v="0"/>
    <n v="0"/>
    <n v="0"/>
    <n v="18"/>
    <n v="55"/>
    <n v="0"/>
    <n v="124.26"/>
    <n v="157.97999999999999"/>
    <m/>
    <n v="127.95618666855596"/>
    <n v="126.38638558988279"/>
    <n v="0"/>
    <n v="3933.0775200000003"/>
    <n v="5000.3829599999999"/>
    <n v="0"/>
    <n v="4050.0692204331335"/>
    <n v="4000.3818766909703"/>
  </r>
  <r>
    <s v="Regular"/>
    <x v="1"/>
    <x v="3"/>
    <x v="2"/>
    <x v="5"/>
    <x v="0"/>
    <x v="0"/>
    <x v="2"/>
    <x v="3"/>
    <n v="0"/>
    <n v="0"/>
    <n v="31.445"/>
    <n v="31.445"/>
    <n v="31.445"/>
    <n v="31.445"/>
    <n v="134"/>
    <x v="0"/>
    <n v="0"/>
    <n v="0"/>
    <n v="18"/>
    <n v="55"/>
    <n v="0"/>
    <n v="124.26"/>
    <n v="157.97999999999999"/>
    <m/>
    <n v="127.95618666855596"/>
    <n v="126.38638558988279"/>
    <n v="0"/>
    <n v="3907.3557000000001"/>
    <n v="4967.6810999999998"/>
    <n v="0"/>
    <n v="4023.5822897927424"/>
    <n v="3974.2198948738646"/>
  </r>
  <r>
    <s v="Regular"/>
    <x v="1"/>
    <x v="3"/>
    <x v="2"/>
    <x v="5"/>
    <x v="0"/>
    <x v="0"/>
    <x v="2"/>
    <x v="4"/>
    <n v="0"/>
    <n v="0"/>
    <n v="32.24"/>
    <n v="32.24"/>
    <n v="32.24"/>
    <n v="32.24"/>
    <n v="111"/>
    <x v="0"/>
    <n v="0"/>
    <n v="0"/>
    <n v="18"/>
    <n v="55"/>
    <n v="0"/>
    <n v="124.26"/>
    <n v="157.97999999999999"/>
    <m/>
    <n v="127.95618666855596"/>
    <n v="126.38638558988279"/>
    <n v="0"/>
    <n v="4006.1424000000006"/>
    <n v="5093.2752"/>
    <n v="0"/>
    <n v="4125.3074581942446"/>
    <n v="4074.6970714178215"/>
  </r>
  <r>
    <s v="Regular"/>
    <x v="1"/>
    <x v="3"/>
    <x v="2"/>
    <x v="5"/>
    <x v="0"/>
    <x v="0"/>
    <x v="2"/>
    <x v="5"/>
    <n v="0"/>
    <n v="0"/>
    <n v="33.164000000000001"/>
    <n v="33.164000000000001"/>
    <n v="33.164000000000001"/>
    <n v="33.164000000000001"/>
    <n v="79"/>
    <x v="0"/>
    <n v="0"/>
    <n v="0"/>
    <n v="18"/>
    <n v="55"/>
    <n v="0"/>
    <n v="124.26"/>
    <n v="157.97999999999999"/>
    <m/>
    <n v="127.95618666855596"/>
    <n v="126.38638558988279"/>
    <n v="0"/>
    <n v="4120.9586400000007"/>
    <n v="5239.2487199999996"/>
    <n v="0"/>
    <n v="4243.5389746759902"/>
    <n v="4191.4780917028729"/>
  </r>
  <r>
    <s v="Regular"/>
    <x v="1"/>
    <x v="3"/>
    <x v="2"/>
    <x v="5"/>
    <x v="0"/>
    <x v="0"/>
    <x v="2"/>
    <x v="6"/>
    <n v="0"/>
    <n v="0"/>
    <n v="32.828000000000003"/>
    <n v="32.828000000000003"/>
    <n v="32.828000000000003"/>
    <n v="32.828000000000003"/>
    <n v="94"/>
    <x v="0"/>
    <n v="0"/>
    <n v="0"/>
    <n v="18"/>
    <n v="55"/>
    <n v="0"/>
    <n v="124.26"/>
    <n v="157.97999999999999"/>
    <m/>
    <n v="127.95618666855596"/>
    <n v="126.38638558988279"/>
    <n v="0"/>
    <n v="4079.2072800000005"/>
    <n v="5186.1674400000002"/>
    <n v="0"/>
    <n v="4200.5456959553558"/>
    <n v="4149.012266144673"/>
  </r>
  <r>
    <s v="Regular"/>
    <x v="1"/>
    <x v="3"/>
    <x v="2"/>
    <x v="5"/>
    <x v="0"/>
    <x v="0"/>
    <x v="2"/>
    <x v="7"/>
    <n v="0"/>
    <n v="0"/>
    <n v="33.479999999999997"/>
    <n v="33.479999999999997"/>
    <n v="33.479999999999997"/>
    <n v="33.479999999999997"/>
    <n v="103"/>
    <x v="0"/>
    <n v="0"/>
    <n v="0"/>
    <n v="18"/>
    <n v="55"/>
    <n v="0"/>
    <n v="124.26"/>
    <n v="157.97999999999999"/>
    <m/>
    <n v="127.95618666855596"/>
    <n v="126.38638558988279"/>
    <n v="0"/>
    <n v="4160.2248"/>
    <n v="5289.1703999999991"/>
    <n v="0"/>
    <n v="4283.9731296632526"/>
    <n v="4231.4161895492753"/>
  </r>
  <r>
    <s v="Regular"/>
    <x v="1"/>
    <x v="3"/>
    <x v="2"/>
    <x v="5"/>
    <x v="0"/>
    <x v="0"/>
    <x v="2"/>
    <x v="8"/>
    <n v="0"/>
    <n v="0"/>
    <n v="34.700000000000003"/>
    <n v="34.700000000000003"/>
    <n v="34.700000000000003"/>
    <n v="34.700000000000003"/>
    <n v="92"/>
    <x v="0"/>
    <n v="0"/>
    <n v="0"/>
    <n v="18"/>
    <n v="55"/>
    <n v="0"/>
    <n v="124.26"/>
    <n v="157.97999999999999"/>
    <m/>
    <n v="127.95618666855596"/>
    <n v="126.38638558988279"/>
    <n v="0"/>
    <n v="4311.8220000000001"/>
    <n v="5481.9059999999999"/>
    <n v="0"/>
    <n v="4440.0796773988923"/>
    <n v="4385.6075799689334"/>
  </r>
  <r>
    <s v="Regular"/>
    <x v="1"/>
    <x v="3"/>
    <x v="2"/>
    <x v="5"/>
    <x v="0"/>
    <x v="0"/>
    <x v="2"/>
    <x v="9"/>
    <n v="0"/>
    <n v="0"/>
    <n v="37.752000000000002"/>
    <n v="37.752000000000002"/>
    <n v="37.752000000000002"/>
    <n v="37.752000000000002"/>
    <n v="98"/>
    <x v="0"/>
    <n v="0"/>
    <n v="0"/>
    <n v="18"/>
    <n v="55"/>
    <n v="0"/>
    <n v="124.26"/>
    <n v="157.97999999999999"/>
    <m/>
    <n v="127.95618666855596"/>
    <n v="126.38638558988279"/>
    <n v="0"/>
    <n v="4691.0635200000006"/>
    <n v="5964.0609599999998"/>
    <n v="0"/>
    <n v="4830.6019591113245"/>
    <n v="4771.3388287892558"/>
  </r>
  <r>
    <s v="Regular"/>
    <x v="1"/>
    <x v="3"/>
    <x v="2"/>
    <x v="5"/>
    <x v="0"/>
    <x v="0"/>
    <x v="2"/>
    <x v="10"/>
    <n v="0"/>
    <n v="0"/>
    <n v="55.347000000000001"/>
    <n v="55.347000000000001"/>
    <n v="55.347000000000001"/>
    <n v="55.347000000000001"/>
    <n v="165"/>
    <x v="0"/>
    <n v="0"/>
    <n v="0"/>
    <n v="18"/>
    <n v="55"/>
    <n v="0"/>
    <n v="124.26"/>
    <n v="157.97999999999999"/>
    <m/>
    <n v="127.95618666855596"/>
    <n v="126.38638558988279"/>
    <n v="0"/>
    <n v="6877.4182200000005"/>
    <n v="8743.7190599999994"/>
    <n v="0"/>
    <n v="7081.9910635445667"/>
    <n v="6995.1072832432428"/>
  </r>
  <r>
    <s v="Regular"/>
    <x v="1"/>
    <x v="3"/>
    <x v="2"/>
    <x v="5"/>
    <x v="0"/>
    <x v="0"/>
    <x v="2"/>
    <x v="11"/>
    <n v="0"/>
    <n v="0"/>
    <n v="57.487000000000002"/>
    <n v="57.487000000000002"/>
    <n v="57.487000000000002"/>
    <n v="57.487000000000002"/>
    <n v="157"/>
    <x v="0"/>
    <n v="0"/>
    <n v="0"/>
    <n v="18"/>
    <n v="55"/>
    <n v="0"/>
    <n v="124.26"/>
    <n v="157.97999999999999"/>
    <m/>
    <n v="127.95618666855596"/>
    <n v="126.38638558988279"/>
    <n v="0"/>
    <n v="7143.3346200000005"/>
    <n v="9081.7962599999992"/>
    <n v="0"/>
    <n v="7355.8173030152766"/>
    <n v="7265.5741484055925"/>
  </r>
  <r>
    <s v="Regular"/>
    <x v="1"/>
    <x v="3"/>
    <x v="2"/>
    <x v="6"/>
    <x v="0"/>
    <x v="0"/>
    <x v="2"/>
    <x v="0"/>
    <n v="0"/>
    <n v="0"/>
    <n v="20.859000000000002"/>
    <n v="20.859000000000002"/>
    <n v="20.859000000000002"/>
    <n v="20.859000000000002"/>
    <n v="304"/>
    <x v="0"/>
    <n v="0"/>
    <n v="0"/>
    <n v="19"/>
    <n v="56"/>
    <n v="0"/>
    <n v="186.4"/>
    <n v="236.96"/>
    <m/>
    <n v="191.93428000283396"/>
    <n v="189.5795783848242"/>
    <n v="0"/>
    <n v="3888.1176000000005"/>
    <n v="4942.7486400000007"/>
    <n v="0"/>
    <n v="4003.557146579114"/>
    <n v="3954.4404255290483"/>
  </r>
  <r>
    <s v="Regular"/>
    <x v="1"/>
    <x v="3"/>
    <x v="2"/>
    <x v="6"/>
    <x v="0"/>
    <x v="0"/>
    <x v="2"/>
    <x v="1"/>
    <n v="0"/>
    <n v="0"/>
    <n v="24.350999999999999"/>
    <n v="24.350999999999999"/>
    <n v="24.350999999999999"/>
    <n v="24.350999999999999"/>
    <n v="315"/>
    <x v="0"/>
    <n v="0"/>
    <n v="0"/>
    <n v="19"/>
    <n v="56"/>
    <n v="0"/>
    <n v="186.4"/>
    <n v="236.96"/>
    <m/>
    <n v="191.93428000283396"/>
    <n v="189.5795783848242"/>
    <n v="0"/>
    <n v="4539.0263999999997"/>
    <n v="5770.2129599999998"/>
    <n v="0"/>
    <n v="4673.7916523490094"/>
    <n v="4616.4523132488539"/>
  </r>
  <r>
    <s v="Regular"/>
    <x v="1"/>
    <x v="3"/>
    <x v="2"/>
    <x v="6"/>
    <x v="0"/>
    <x v="0"/>
    <x v="2"/>
    <x v="2"/>
    <n v="0"/>
    <n v="0"/>
    <n v="26.155999999999999"/>
    <n v="26.155999999999999"/>
    <n v="26.155999999999999"/>
    <n v="26.155999999999999"/>
    <n v="304"/>
    <x v="0"/>
    <n v="0"/>
    <n v="0"/>
    <n v="19"/>
    <n v="56"/>
    <n v="0"/>
    <n v="186.4"/>
    <n v="236.96"/>
    <m/>
    <n v="191.93428000283396"/>
    <n v="189.5795783848242"/>
    <n v="0"/>
    <n v="4875.4784"/>
    <n v="6197.9257600000001"/>
    <n v="0"/>
    <n v="5020.233027754125"/>
    <n v="4958.6434522334612"/>
  </r>
  <r>
    <s v="Refaturamento - Regular"/>
    <x v="1"/>
    <x v="3"/>
    <x v="2"/>
    <x v="6"/>
    <x v="0"/>
    <x v="0"/>
    <x v="2"/>
    <x v="2"/>
    <n v="0"/>
    <n v="0"/>
    <n v="-8.8999999999999996E-2"/>
    <n v="-8.8999999999999996E-2"/>
    <n v="-8.8999999999999996E-2"/>
    <n v="-8.8999999999999996E-2"/>
    <n v="0"/>
    <x v="0"/>
    <n v="0"/>
    <n v="0"/>
    <n v="19"/>
    <n v="56"/>
    <n v="0"/>
    <n v="186.4"/>
    <n v="236.96"/>
    <m/>
    <n v="191.93428000283396"/>
    <n v="189.5795783848242"/>
    <n v="0"/>
    <n v="-16.589600000000001"/>
    <n v="-21.08944"/>
    <n v="0"/>
    <n v="-17.082150920252221"/>
    <n v="-16.872582476249352"/>
  </r>
  <r>
    <s v="Regular"/>
    <x v="1"/>
    <x v="3"/>
    <x v="2"/>
    <x v="6"/>
    <x v="0"/>
    <x v="0"/>
    <x v="2"/>
    <x v="3"/>
    <n v="0"/>
    <n v="0"/>
    <n v="23.449000000000002"/>
    <n v="23.449000000000002"/>
    <n v="23.449000000000002"/>
    <n v="23.449000000000002"/>
    <n v="297"/>
    <x v="0"/>
    <n v="0"/>
    <n v="0"/>
    <n v="19"/>
    <n v="56"/>
    <n v="0"/>
    <n v="186.4"/>
    <n v="236.96"/>
    <m/>
    <n v="191.93428000283396"/>
    <n v="189.5795783848242"/>
    <n v="0"/>
    <n v="4370.8936000000003"/>
    <n v="5556.4750400000003"/>
    <n v="0"/>
    <n v="4500.6669317864535"/>
    <n v="4445.4515335457427"/>
  </r>
  <r>
    <s v="Regular"/>
    <x v="1"/>
    <x v="3"/>
    <x v="2"/>
    <x v="6"/>
    <x v="0"/>
    <x v="0"/>
    <x v="2"/>
    <x v="4"/>
    <n v="0"/>
    <n v="0"/>
    <n v="27.283000000000001"/>
    <n v="27.283000000000001"/>
    <n v="27.283000000000001"/>
    <n v="27.283000000000001"/>
    <n v="299"/>
    <x v="0"/>
    <n v="0"/>
    <n v="0"/>
    <n v="19"/>
    <n v="56"/>
    <n v="0"/>
    <n v="186.4"/>
    <n v="236.96"/>
    <m/>
    <n v="191.93428000283396"/>
    <n v="189.5795783848242"/>
    <n v="0"/>
    <n v="5085.5512000000008"/>
    <n v="6464.9796800000004"/>
    <n v="0"/>
    <n v="5236.5429613173192"/>
    <n v="5172.2996370731589"/>
  </r>
  <r>
    <s v="Regular"/>
    <x v="1"/>
    <x v="3"/>
    <x v="2"/>
    <x v="6"/>
    <x v="0"/>
    <x v="0"/>
    <x v="2"/>
    <x v="5"/>
    <n v="0"/>
    <n v="0"/>
    <n v="32.040999999999997"/>
    <n v="32.040999999999997"/>
    <n v="32.040999999999997"/>
    <n v="32.040999999999997"/>
    <n v="305"/>
    <x v="0"/>
    <n v="0"/>
    <n v="0"/>
    <n v="19"/>
    <n v="56"/>
    <n v="0"/>
    <n v="186.4"/>
    <n v="236.96"/>
    <m/>
    <n v="191.93428000283396"/>
    <n v="189.5795783848242"/>
    <n v="0"/>
    <n v="5972.4423999999999"/>
    <n v="7592.4353599999995"/>
    <n v="0"/>
    <n v="6149.7662655708018"/>
    <n v="6074.3192710281519"/>
  </r>
  <r>
    <s v="Regular"/>
    <x v="1"/>
    <x v="3"/>
    <x v="2"/>
    <x v="6"/>
    <x v="0"/>
    <x v="0"/>
    <x v="2"/>
    <x v="6"/>
    <n v="0"/>
    <n v="0"/>
    <n v="29.46"/>
    <n v="29.46"/>
    <n v="29.46"/>
    <n v="29.46"/>
    <n v="313"/>
    <x v="0"/>
    <n v="0"/>
    <n v="0"/>
    <n v="19"/>
    <n v="56"/>
    <n v="0"/>
    <n v="186.4"/>
    <n v="236.96"/>
    <m/>
    <n v="191.93428000283396"/>
    <n v="189.5795783848242"/>
    <n v="0"/>
    <n v="5491.3440000000001"/>
    <n v="6980.8416000000007"/>
    <n v="0"/>
    <n v="5654.3838888834889"/>
    <n v="5585.014379216921"/>
  </r>
  <r>
    <s v="Regular"/>
    <x v="1"/>
    <x v="3"/>
    <x v="2"/>
    <x v="6"/>
    <x v="0"/>
    <x v="0"/>
    <x v="2"/>
    <x v="7"/>
    <n v="0"/>
    <n v="0"/>
    <n v="27.106999999999999"/>
    <n v="27.106999999999999"/>
    <n v="27.106999999999999"/>
    <n v="27.106999999999999"/>
    <n v="335"/>
    <x v="0"/>
    <n v="0"/>
    <n v="0"/>
    <n v="19"/>
    <n v="56"/>
    <n v="0"/>
    <n v="186.4"/>
    <n v="236.96"/>
    <m/>
    <n v="191.93428000283396"/>
    <n v="189.5795783848242"/>
    <n v="0"/>
    <n v="5052.7448000000004"/>
    <n v="6423.2747200000003"/>
    <n v="0"/>
    <n v="5202.7625280368202"/>
    <n v="5138.9336312774294"/>
  </r>
  <r>
    <s v="Regular"/>
    <x v="1"/>
    <x v="3"/>
    <x v="2"/>
    <x v="6"/>
    <x v="0"/>
    <x v="0"/>
    <x v="2"/>
    <x v="8"/>
    <n v="0"/>
    <n v="0"/>
    <n v="30.98"/>
    <n v="30.98"/>
    <n v="30.98"/>
    <n v="30.98"/>
    <n v="318"/>
    <x v="0"/>
    <n v="0"/>
    <n v="0"/>
    <n v="19"/>
    <n v="56"/>
    <n v="0"/>
    <n v="186.4"/>
    <n v="236.96"/>
    <m/>
    <n v="191.93428000283396"/>
    <n v="189.5795783848242"/>
    <n v="0"/>
    <n v="5774.6720000000005"/>
    <n v="7341.0208000000002"/>
    <n v="0"/>
    <n v="5946.1239944877962"/>
    <n v="5873.1753383618543"/>
  </r>
  <r>
    <s v="Regular"/>
    <x v="1"/>
    <x v="3"/>
    <x v="2"/>
    <x v="6"/>
    <x v="0"/>
    <x v="0"/>
    <x v="2"/>
    <x v="9"/>
    <n v="0"/>
    <n v="0"/>
    <n v="33.667999999999999"/>
    <n v="33.667999999999999"/>
    <n v="33.667999999999999"/>
    <n v="33.667999999999999"/>
    <n v="361"/>
    <x v="0"/>
    <n v="0"/>
    <n v="0"/>
    <n v="19"/>
    <n v="56"/>
    <n v="0"/>
    <n v="186.4"/>
    <n v="236.96"/>
    <m/>
    <n v="191.93428000283396"/>
    <n v="189.5795783848242"/>
    <n v="0"/>
    <n v="6275.7151999999996"/>
    <n v="7977.9692800000003"/>
    <n v="0"/>
    <n v="6462.0433391354136"/>
    <n v="6382.7652450602609"/>
  </r>
  <r>
    <s v="Regular"/>
    <x v="1"/>
    <x v="3"/>
    <x v="2"/>
    <x v="6"/>
    <x v="0"/>
    <x v="0"/>
    <x v="2"/>
    <x v="10"/>
    <n v="0"/>
    <n v="0"/>
    <n v="50.784999999999997"/>
    <n v="50.784999999999997"/>
    <n v="50.784999999999997"/>
    <n v="50.784999999999997"/>
    <n v="505"/>
    <x v="0"/>
    <n v="0"/>
    <n v="0"/>
    <n v="19"/>
    <n v="56"/>
    <n v="0"/>
    <n v="186.4"/>
    <n v="236.96"/>
    <m/>
    <n v="191.93428000283396"/>
    <n v="189.5795783848242"/>
    <n v="0"/>
    <n v="9466.3240000000005"/>
    <n v="12034.0136"/>
    <n v="0"/>
    <n v="9747.3824099439225"/>
    <n v="9627.7988882732971"/>
  </r>
  <r>
    <s v="Regular"/>
    <x v="1"/>
    <x v="3"/>
    <x v="2"/>
    <x v="6"/>
    <x v="0"/>
    <x v="0"/>
    <x v="2"/>
    <x v="11"/>
    <n v="0"/>
    <n v="0"/>
    <n v="54.502000000000002"/>
    <n v="54.502000000000002"/>
    <n v="54.502000000000002"/>
    <n v="54.502000000000002"/>
    <n v="518"/>
    <x v="0"/>
    <n v="0"/>
    <n v="0"/>
    <n v="19"/>
    <n v="56"/>
    <n v="0"/>
    <n v="186.4"/>
    <n v="236.96"/>
    <m/>
    <n v="191.93428000283396"/>
    <n v="189.5795783848242"/>
    <n v="0"/>
    <n v="10159.1728"/>
    <n v="12914.793920000002"/>
    <n v="0"/>
    <n v="10460.802128714457"/>
    <n v="10332.466181129688"/>
  </r>
  <r>
    <s v="Regular"/>
    <x v="1"/>
    <x v="3"/>
    <x v="2"/>
    <x v="7"/>
    <x v="0"/>
    <x v="0"/>
    <x v="2"/>
    <x v="0"/>
    <n v="0"/>
    <n v="0"/>
    <n v="2.774"/>
    <n v="2.774"/>
    <n v="2.774"/>
    <n v="2.774"/>
    <n v="46"/>
    <x v="0"/>
    <n v="0"/>
    <n v="0"/>
    <n v="20"/>
    <n v="57"/>
    <n v="0"/>
    <n v="207.11"/>
    <n v="263.29000000000002"/>
    <m/>
    <n v="213.26031111425993"/>
    <n v="210.64397598313801"/>
    <n v="0"/>
    <n v="574.52314000000001"/>
    <n v="730.36646000000007"/>
    <n v="0"/>
    <n v="591.58410303095707"/>
    <n v="584.32638937722481"/>
  </r>
  <r>
    <s v="Regular"/>
    <x v="1"/>
    <x v="3"/>
    <x v="2"/>
    <x v="7"/>
    <x v="0"/>
    <x v="0"/>
    <x v="2"/>
    <x v="1"/>
    <n v="0"/>
    <n v="0"/>
    <n v="3.8330000000000002"/>
    <n v="3.8330000000000002"/>
    <n v="3.8330000000000002"/>
    <n v="3.8330000000000002"/>
    <n v="60"/>
    <x v="0"/>
    <n v="0"/>
    <n v="0"/>
    <n v="20"/>
    <n v="57"/>
    <n v="0"/>
    <n v="207.11"/>
    <n v="263.29000000000002"/>
    <m/>
    <n v="213.26031111425993"/>
    <n v="210.64397598313801"/>
    <n v="0"/>
    <n v="793.85263000000009"/>
    <n v="1009.1905700000001"/>
    <n v="0"/>
    <n v="817.42677250095835"/>
    <n v="807.39835994336806"/>
  </r>
  <r>
    <s v="Regular"/>
    <x v="1"/>
    <x v="3"/>
    <x v="2"/>
    <x v="7"/>
    <x v="0"/>
    <x v="0"/>
    <x v="2"/>
    <x v="2"/>
    <n v="0"/>
    <n v="0"/>
    <n v="4.3470000000000004"/>
    <n v="4.3470000000000004"/>
    <n v="4.3470000000000004"/>
    <n v="4.3470000000000004"/>
    <n v="73"/>
    <x v="0"/>
    <n v="0"/>
    <n v="0"/>
    <n v="20"/>
    <n v="57"/>
    <n v="0"/>
    <n v="207.11"/>
    <n v="263.29000000000002"/>
    <m/>
    <n v="213.26031111425993"/>
    <n v="210.64397598313801"/>
    <n v="0"/>
    <n v="900.30717000000016"/>
    <n v="1144.5216300000002"/>
    <n v="0"/>
    <n v="927.04257241368805"/>
    <n v="915.66936359870101"/>
  </r>
  <r>
    <s v="Refaturamento - Regular"/>
    <x v="1"/>
    <x v="3"/>
    <x v="2"/>
    <x v="7"/>
    <x v="0"/>
    <x v="0"/>
    <x v="2"/>
    <x v="2"/>
    <n v="0"/>
    <n v="0"/>
    <n v="-1.0999999999999999E-2"/>
    <n v="-1.0999999999999999E-2"/>
    <n v="-1.0999999999999999E-2"/>
    <n v="-1.0999999999999999E-2"/>
    <n v="0"/>
    <x v="0"/>
    <n v="0"/>
    <n v="0"/>
    <n v="20"/>
    <n v="57"/>
    <n v="0"/>
    <n v="207.11"/>
    <n v="263.29000000000002"/>
    <m/>
    <n v="213.26031111425993"/>
    <n v="210.64397598313801"/>
    <n v="0"/>
    <n v="-2.2782100000000001"/>
    <n v="-2.8961900000000003"/>
    <n v="0"/>
    <n v="-2.3458634222568593"/>
    <n v="-2.317083735814518"/>
  </r>
  <r>
    <s v="Regular"/>
    <x v="1"/>
    <x v="3"/>
    <x v="2"/>
    <x v="7"/>
    <x v="0"/>
    <x v="0"/>
    <x v="2"/>
    <x v="3"/>
    <n v="0"/>
    <n v="0"/>
    <n v="4.085"/>
    <n v="4.085"/>
    <n v="4.085"/>
    <n v="4.085"/>
    <n v="64"/>
    <x v="0"/>
    <n v="0"/>
    <n v="0"/>
    <n v="20"/>
    <n v="57"/>
    <n v="0"/>
    <n v="207.11"/>
    <n v="263.29000000000002"/>
    <m/>
    <n v="213.26031111425993"/>
    <n v="210.64397598313801"/>
    <n v="0"/>
    <n v="846.04435000000001"/>
    <n v="1075.5396500000002"/>
    <n v="0"/>
    <n v="871.16837090175181"/>
    <n v="860.48064189111869"/>
  </r>
  <r>
    <s v="Regular"/>
    <x v="1"/>
    <x v="3"/>
    <x v="2"/>
    <x v="7"/>
    <x v="0"/>
    <x v="0"/>
    <x v="2"/>
    <x v="4"/>
    <n v="0"/>
    <n v="0"/>
    <n v="5.5570000000000004"/>
    <n v="5.5570000000000004"/>
    <n v="5.5570000000000004"/>
    <n v="5.5570000000000004"/>
    <n v="85"/>
    <x v="0"/>
    <n v="0"/>
    <n v="0"/>
    <n v="20"/>
    <n v="57"/>
    <n v="0"/>
    <n v="207.11"/>
    <n v="263.29000000000002"/>
    <m/>
    <n v="213.26031111425993"/>
    <n v="210.64397598313801"/>
    <n v="0"/>
    <n v="1150.9102700000001"/>
    <n v="1463.1025300000001"/>
    <n v="0"/>
    <n v="1185.0875488619427"/>
    <n v="1170.548574538298"/>
  </r>
  <r>
    <s v="Regular"/>
    <x v="1"/>
    <x v="3"/>
    <x v="2"/>
    <x v="7"/>
    <x v="0"/>
    <x v="0"/>
    <x v="2"/>
    <x v="5"/>
    <n v="0"/>
    <n v="0"/>
    <n v="7.4669999999999996"/>
    <n v="7.4669999999999996"/>
    <n v="7.4669999999999996"/>
    <n v="7.4669999999999996"/>
    <n v="114"/>
    <x v="0"/>
    <n v="0"/>
    <n v="0"/>
    <n v="20"/>
    <n v="57"/>
    <n v="0"/>
    <n v="207.11"/>
    <n v="263.29000000000002"/>
    <m/>
    <n v="213.26031111425993"/>
    <n v="210.64397598313801"/>
    <n v="0"/>
    <n v="1546.49037"/>
    <n v="1965.9864300000002"/>
    <n v="0"/>
    <n v="1592.4147430901789"/>
    <n v="1572.8785686660915"/>
  </r>
  <r>
    <s v="Regular"/>
    <x v="1"/>
    <x v="3"/>
    <x v="2"/>
    <x v="7"/>
    <x v="0"/>
    <x v="0"/>
    <x v="2"/>
    <x v="6"/>
    <n v="0"/>
    <n v="0"/>
    <n v="6.1790000000000003"/>
    <n v="6.1790000000000003"/>
    <n v="6.1790000000000003"/>
    <n v="6.1790000000000003"/>
    <n v="94"/>
    <x v="0"/>
    <n v="0"/>
    <n v="0"/>
    <n v="20"/>
    <n v="57"/>
    <n v="0"/>
    <n v="207.11"/>
    <n v="263.29000000000002"/>
    <m/>
    <n v="213.26031111425993"/>
    <n v="210.64397598313801"/>
    <n v="0"/>
    <n v="1279.73269"/>
    <n v="1626.8689100000001"/>
    <n v="0"/>
    <n v="1317.7354623750123"/>
    <n v="1301.5691275998097"/>
  </r>
  <r>
    <s v="Regular"/>
    <x v="1"/>
    <x v="3"/>
    <x v="2"/>
    <x v="7"/>
    <x v="0"/>
    <x v="0"/>
    <x v="2"/>
    <x v="7"/>
    <n v="0"/>
    <n v="0"/>
    <n v="5.0010000000000003"/>
    <n v="5.0010000000000003"/>
    <n v="5.0010000000000003"/>
    <n v="5.0010000000000003"/>
    <n v="75"/>
    <x v="0"/>
    <n v="0"/>
    <n v="0"/>
    <n v="20"/>
    <n v="57"/>
    <n v="0"/>
    <n v="207.11"/>
    <n v="263.29000000000002"/>
    <m/>
    <n v="213.26031111425993"/>
    <n v="210.64397598313801"/>
    <n v="0"/>
    <n v="1035.7571100000002"/>
    <n v="1316.7132900000001"/>
    <n v="0"/>
    <n v="1066.514815882414"/>
    <n v="1053.4305238916731"/>
  </r>
  <r>
    <s v="Regular"/>
    <x v="1"/>
    <x v="3"/>
    <x v="2"/>
    <x v="7"/>
    <x v="0"/>
    <x v="0"/>
    <x v="2"/>
    <x v="8"/>
    <n v="0"/>
    <n v="0"/>
    <n v="8.1170000000000009"/>
    <n v="8.1170000000000009"/>
    <n v="8.1170000000000009"/>
    <n v="8.1170000000000009"/>
    <n v="114"/>
    <x v="0"/>
    <n v="0"/>
    <n v="0"/>
    <n v="20"/>
    <n v="57"/>
    <n v="0"/>
    <n v="207.11"/>
    <n v="263.29000000000002"/>
    <m/>
    <n v="213.26031111425993"/>
    <n v="210.64397598313801"/>
    <n v="0"/>
    <n v="1681.1118700000002"/>
    <n v="2137.1249300000004"/>
    <n v="0"/>
    <n v="1731.0339453144481"/>
    <n v="1709.7971530551313"/>
  </r>
  <r>
    <s v="Regular"/>
    <x v="1"/>
    <x v="3"/>
    <x v="2"/>
    <x v="7"/>
    <x v="0"/>
    <x v="0"/>
    <x v="2"/>
    <x v="9"/>
    <n v="0"/>
    <n v="0"/>
    <n v="8.1470000000000002"/>
    <n v="8.1470000000000002"/>
    <n v="8.1470000000000002"/>
    <n v="8.1470000000000002"/>
    <n v="110"/>
    <x v="0"/>
    <n v="0"/>
    <n v="0"/>
    <n v="20"/>
    <n v="57"/>
    <n v="0"/>
    <n v="207.11"/>
    <n v="263.29000000000002"/>
    <m/>
    <n v="213.26031111425993"/>
    <n v="210.64397598313801"/>
    <n v="0"/>
    <n v="1687.3251700000001"/>
    <n v="2145.0236300000001"/>
    <n v="0"/>
    <n v="1737.4317546478758"/>
    <n v="1716.1164723346253"/>
  </r>
  <r>
    <s v="Regular"/>
    <x v="1"/>
    <x v="3"/>
    <x v="2"/>
    <x v="7"/>
    <x v="0"/>
    <x v="0"/>
    <x v="2"/>
    <x v="10"/>
    <n v="0"/>
    <n v="0"/>
    <n v="14.984"/>
    <n v="14.984"/>
    <n v="14.984"/>
    <n v="14.984"/>
    <n v="183"/>
    <x v="0"/>
    <n v="0"/>
    <n v="0"/>
    <n v="20"/>
    <n v="57"/>
    <n v="0"/>
    <n v="207.11"/>
    <n v="263.29000000000002"/>
    <m/>
    <n v="213.26031111425993"/>
    <n v="210.64397598313801"/>
    <n v="0"/>
    <n v="3103.3362400000001"/>
    <n v="3945.1373600000002"/>
    <n v="0"/>
    <n v="3195.4925017360711"/>
    <n v="3156.28933613134"/>
  </r>
  <r>
    <s v="Regular"/>
    <x v="1"/>
    <x v="3"/>
    <x v="2"/>
    <x v="7"/>
    <x v="0"/>
    <x v="0"/>
    <x v="2"/>
    <x v="11"/>
    <n v="0"/>
    <n v="0"/>
    <n v="15.241"/>
    <n v="15.241"/>
    <n v="15.241"/>
    <n v="15.241"/>
    <n v="202"/>
    <x v="0"/>
    <n v="0"/>
    <n v="0"/>
    <n v="20"/>
    <n v="57"/>
    <n v="0"/>
    <n v="207.11"/>
    <n v="263.29000000000002"/>
    <m/>
    <n v="213.26031111425993"/>
    <n v="210.64397598313801"/>
    <n v="0"/>
    <n v="3156.56351"/>
    <n v="4012.8028900000004"/>
    <n v="0"/>
    <n v="3250.3004016924356"/>
    <n v="3210.4248379590063"/>
  </r>
  <r>
    <s v="Regular"/>
    <x v="2"/>
    <x v="2"/>
    <x v="3"/>
    <x v="0"/>
    <x v="0"/>
    <x v="0"/>
    <x v="0"/>
    <x v="0"/>
    <n v="0"/>
    <n v="0"/>
    <n v="0.33300000000000002"/>
    <n v="0.33300000000000002"/>
    <n v="0.33300000000000002"/>
    <n v="0.33300000000000002"/>
    <n v="0"/>
    <x v="0"/>
    <n v="0"/>
    <n v="0"/>
    <n v="28"/>
    <n v="65"/>
    <n v="0"/>
    <n v="164.71"/>
    <n v="231.7"/>
    <m/>
    <n v="218.62401641895264"/>
    <n v="198.0053374241497"/>
    <n v="0"/>
    <n v="54.848430000000008"/>
    <n v="77.156099999999995"/>
    <n v="0"/>
    <n v="72.801797467511236"/>
    <n v="65.935777362241851"/>
  </r>
  <r>
    <s v="Regular"/>
    <x v="2"/>
    <x v="2"/>
    <x v="3"/>
    <x v="0"/>
    <x v="0"/>
    <x v="0"/>
    <x v="0"/>
    <x v="1"/>
    <n v="0"/>
    <n v="0"/>
    <n v="0.33400000000000002"/>
    <n v="0.33400000000000002"/>
    <n v="0.33400000000000002"/>
    <n v="0.33400000000000002"/>
    <n v="0"/>
    <x v="0"/>
    <n v="0"/>
    <n v="0"/>
    <n v="28"/>
    <n v="65"/>
    <n v="0"/>
    <n v="164.71"/>
    <n v="231.7"/>
    <m/>
    <n v="218.62401641895264"/>
    <n v="198.0053374241497"/>
    <n v="0"/>
    <n v="55.013140000000007"/>
    <n v="77.387799999999999"/>
    <n v="0"/>
    <n v="73.020421483930178"/>
    <n v="66.133782699666"/>
  </r>
  <r>
    <s v="Regular"/>
    <x v="2"/>
    <x v="2"/>
    <x v="3"/>
    <x v="0"/>
    <x v="0"/>
    <x v="0"/>
    <x v="0"/>
    <x v="2"/>
    <n v="0"/>
    <n v="0"/>
    <n v="0.32"/>
    <n v="0.32"/>
    <n v="0.32"/>
    <n v="0.32"/>
    <n v="0"/>
    <x v="0"/>
    <n v="0"/>
    <n v="0"/>
    <n v="28"/>
    <n v="65"/>
    <n v="0"/>
    <n v="164.71"/>
    <n v="231.7"/>
    <m/>
    <n v="218.62401641895264"/>
    <n v="198.0053374241497"/>
    <n v="0"/>
    <n v="52.7072"/>
    <n v="74.143999999999991"/>
    <n v="0"/>
    <n v="69.959685254064851"/>
    <n v="63.361707975727903"/>
  </r>
  <r>
    <s v="Regular"/>
    <x v="2"/>
    <x v="2"/>
    <x v="3"/>
    <x v="0"/>
    <x v="0"/>
    <x v="0"/>
    <x v="0"/>
    <x v="3"/>
    <n v="0"/>
    <n v="0"/>
    <n v="0.38"/>
    <n v="0.38"/>
    <n v="0.38"/>
    <n v="0.38"/>
    <n v="0"/>
    <x v="0"/>
    <n v="0"/>
    <n v="0"/>
    <n v="28"/>
    <n v="65"/>
    <n v="0"/>
    <n v="164.71"/>
    <n v="231.7"/>
    <m/>
    <n v="218.62401641895264"/>
    <n v="198.0053374241497"/>
    <n v="0"/>
    <n v="62.589800000000004"/>
    <n v="88.045999999999992"/>
    <n v="0"/>
    <n v="83.077126239202002"/>
    <n v="75.242028221176881"/>
  </r>
  <r>
    <s v="Regular"/>
    <x v="2"/>
    <x v="2"/>
    <x v="3"/>
    <x v="0"/>
    <x v="0"/>
    <x v="0"/>
    <x v="0"/>
    <x v="4"/>
    <n v="0"/>
    <n v="0"/>
    <n v="0.45700000000000002"/>
    <n v="0.45700000000000002"/>
    <n v="0.45700000000000002"/>
    <n v="0.45700000000000002"/>
    <n v="0"/>
    <x v="0"/>
    <n v="0"/>
    <n v="0"/>
    <n v="28"/>
    <n v="65"/>
    <n v="0"/>
    <n v="164.71"/>
    <n v="231.7"/>
    <m/>
    <n v="218.62401641895264"/>
    <n v="198.0053374241497"/>
    <n v="0"/>
    <n v="75.272470000000013"/>
    <n v="105.8869"/>
    <n v="0"/>
    <n v="99.911175503461365"/>
    <n v="90.488439202836418"/>
  </r>
  <r>
    <s v="Regular"/>
    <x v="2"/>
    <x v="2"/>
    <x v="3"/>
    <x v="0"/>
    <x v="0"/>
    <x v="0"/>
    <x v="0"/>
    <x v="5"/>
    <n v="0"/>
    <n v="0"/>
    <n v="0.44800000000000001"/>
    <n v="0.44800000000000001"/>
    <n v="0.44800000000000001"/>
    <n v="0.44800000000000001"/>
    <n v="0"/>
    <x v="0"/>
    <n v="0"/>
    <n v="0"/>
    <n v="28"/>
    <n v="65"/>
    <n v="0"/>
    <n v="164.71"/>
    <n v="231.7"/>
    <m/>
    <n v="218.62401641895264"/>
    <n v="198.0053374241497"/>
    <n v="0"/>
    <n v="73.790080000000003"/>
    <n v="103.80159999999999"/>
    <n v="0"/>
    <n v="97.94355935569078"/>
    <n v="88.706391166019074"/>
  </r>
  <r>
    <s v="Regular"/>
    <x v="2"/>
    <x v="2"/>
    <x v="3"/>
    <x v="0"/>
    <x v="0"/>
    <x v="0"/>
    <x v="0"/>
    <x v="6"/>
    <n v="0"/>
    <n v="0"/>
    <n v="0.47699999999999998"/>
    <n v="0.47699999999999998"/>
    <n v="0.47699999999999998"/>
    <n v="0.47699999999999998"/>
    <n v="0"/>
    <x v="0"/>
    <n v="0"/>
    <n v="0"/>
    <n v="28"/>
    <n v="65"/>
    <n v="0"/>
    <n v="164.71"/>
    <n v="231.7"/>
    <m/>
    <n v="218.62401641895264"/>
    <n v="198.0053374241497"/>
    <n v="0"/>
    <n v="78.566670000000002"/>
    <n v="110.52089999999998"/>
    <n v="0"/>
    <n v="104.28365583184041"/>
    <n v="94.448545951319403"/>
  </r>
  <r>
    <s v="Regular"/>
    <x v="2"/>
    <x v="2"/>
    <x v="3"/>
    <x v="0"/>
    <x v="0"/>
    <x v="0"/>
    <x v="0"/>
    <x v="7"/>
    <n v="0"/>
    <n v="0"/>
    <n v="0.432"/>
    <n v="0.432"/>
    <n v="0.432"/>
    <n v="0.432"/>
    <n v="0"/>
    <x v="0"/>
    <n v="0"/>
    <n v="0"/>
    <n v="28"/>
    <n v="65"/>
    <n v="0"/>
    <n v="164.71"/>
    <n v="231.7"/>
    <m/>
    <n v="218.62401641895264"/>
    <n v="198.0053374241497"/>
    <n v="0"/>
    <n v="71.154719999999998"/>
    <n v="100.09439999999999"/>
    <n v="0"/>
    <n v="94.445575092987539"/>
    <n v="85.538305767232671"/>
  </r>
  <r>
    <s v="Regular"/>
    <x v="2"/>
    <x v="2"/>
    <x v="3"/>
    <x v="0"/>
    <x v="0"/>
    <x v="0"/>
    <x v="0"/>
    <x v="8"/>
    <n v="0"/>
    <n v="0"/>
    <n v="0.42499999999999999"/>
    <n v="0.42499999999999999"/>
    <n v="0.42499999999999999"/>
    <n v="0.42499999999999999"/>
    <n v="0"/>
    <x v="0"/>
    <n v="0"/>
    <n v="0"/>
    <n v="28"/>
    <n v="65"/>
    <n v="0"/>
    <n v="164.71"/>
    <n v="231.7"/>
    <m/>
    <n v="218.62401641895264"/>
    <n v="198.0053374241497"/>
    <n v="0"/>
    <n v="70.001750000000001"/>
    <n v="98.472499999999997"/>
    <n v="0"/>
    <n v="92.915206978054869"/>
    <n v="84.152268405263627"/>
  </r>
  <r>
    <s v="Regular"/>
    <x v="2"/>
    <x v="2"/>
    <x v="3"/>
    <x v="0"/>
    <x v="0"/>
    <x v="0"/>
    <x v="0"/>
    <x v="9"/>
    <n v="0"/>
    <n v="0"/>
    <n v="0.46800000000000003"/>
    <n v="0.46800000000000003"/>
    <n v="0.46800000000000003"/>
    <n v="0.46800000000000003"/>
    <n v="0"/>
    <x v="0"/>
    <n v="0"/>
    <n v="0"/>
    <n v="28"/>
    <n v="65"/>
    <n v="0"/>
    <n v="164.71"/>
    <n v="231.7"/>
    <m/>
    <n v="218.62401641895264"/>
    <n v="198.0053374241497"/>
    <n v="0"/>
    <n v="77.084280000000007"/>
    <n v="108.43560000000001"/>
    <n v="0"/>
    <n v="102.31603968406984"/>
    <n v="92.66649791450206"/>
  </r>
  <r>
    <s v="Regular"/>
    <x v="2"/>
    <x v="2"/>
    <x v="3"/>
    <x v="0"/>
    <x v="0"/>
    <x v="0"/>
    <x v="0"/>
    <x v="10"/>
    <n v="0"/>
    <n v="0"/>
    <n v="0.56699999999999995"/>
    <n v="0.56699999999999995"/>
    <n v="0.56699999999999995"/>
    <n v="0.56699999999999995"/>
    <n v="0"/>
    <x v="0"/>
    <n v="0"/>
    <n v="0"/>
    <n v="28"/>
    <n v="65"/>
    <n v="0"/>
    <n v="164.71"/>
    <n v="231.7"/>
    <m/>
    <n v="218.62401641895264"/>
    <n v="198.0053374241497"/>
    <n v="0"/>
    <n v="93.390569999999997"/>
    <n v="131.37389999999999"/>
    <n v="0"/>
    <n v="123.95981730954614"/>
    <n v="112.26902631949287"/>
  </r>
  <r>
    <s v="Regular"/>
    <x v="2"/>
    <x v="2"/>
    <x v="3"/>
    <x v="0"/>
    <x v="0"/>
    <x v="0"/>
    <x v="0"/>
    <x v="11"/>
    <n v="0"/>
    <n v="0"/>
    <n v="0.45500000000000002"/>
    <n v="0.45500000000000002"/>
    <n v="0.45500000000000002"/>
    <n v="0.45500000000000002"/>
    <n v="0"/>
    <x v="0"/>
    <n v="0"/>
    <n v="0"/>
    <n v="28"/>
    <n v="65"/>
    <n v="0"/>
    <n v="164.71"/>
    <n v="231.7"/>
    <m/>
    <n v="218.62401641895264"/>
    <n v="198.0053374241497"/>
    <n v="0"/>
    <n v="74.943049999999999"/>
    <n v="105.4235"/>
    <n v="0"/>
    <n v="99.473927470623451"/>
    <n v="90.092428527988119"/>
  </r>
  <r>
    <s v="Regular"/>
    <x v="2"/>
    <x v="2"/>
    <x v="3"/>
    <x v="0"/>
    <x v="0"/>
    <x v="0"/>
    <x v="3"/>
    <x v="0"/>
    <n v="0"/>
    <n v="0"/>
    <n v="3.5000000000000003E-2"/>
    <n v="3.5000000000000003E-2"/>
    <n v="3.5000000000000003E-2"/>
    <n v="3.5000000000000003E-2"/>
    <n v="0"/>
    <x v="0"/>
    <n v="0"/>
    <n v="0"/>
    <n v="27"/>
    <n v="64"/>
    <n v="0"/>
    <n v="350.83"/>
    <n v="231.7"/>
    <m/>
    <n v="419.74084307814246"/>
    <n v="198.0053374241497"/>
    <n v="0"/>
    <n v="12.27905"/>
    <n v="8.1095000000000006"/>
    <n v="0"/>
    <n v="14.690929507734987"/>
    <n v="6.9301868098452406"/>
  </r>
  <r>
    <s v="Regular"/>
    <x v="2"/>
    <x v="2"/>
    <x v="3"/>
    <x v="0"/>
    <x v="0"/>
    <x v="0"/>
    <x v="3"/>
    <x v="1"/>
    <n v="0"/>
    <n v="0"/>
    <n v="3.5999999999999997E-2"/>
    <n v="3.5999999999999997E-2"/>
    <n v="3.5999999999999997E-2"/>
    <n v="3.5999999999999997E-2"/>
    <n v="0"/>
    <x v="0"/>
    <n v="0"/>
    <n v="0"/>
    <n v="27"/>
    <n v="64"/>
    <n v="0"/>
    <n v="350.83"/>
    <n v="231.7"/>
    <m/>
    <n v="419.74084307814246"/>
    <n v="198.0053374241497"/>
    <n v="0"/>
    <n v="12.629879999999998"/>
    <n v="8.3411999999999988"/>
    <n v="0"/>
    <n v="15.110670350813127"/>
    <n v="7.128192147269389"/>
  </r>
  <r>
    <s v="Regular"/>
    <x v="2"/>
    <x v="2"/>
    <x v="3"/>
    <x v="0"/>
    <x v="0"/>
    <x v="0"/>
    <x v="3"/>
    <x v="2"/>
    <n v="0"/>
    <n v="0"/>
    <n v="3.4000000000000002E-2"/>
    <n v="3.4000000000000002E-2"/>
    <n v="3.4000000000000002E-2"/>
    <n v="3.4000000000000002E-2"/>
    <n v="0"/>
    <x v="0"/>
    <n v="0"/>
    <n v="0"/>
    <n v="27"/>
    <n v="64"/>
    <n v="0"/>
    <n v="350.83"/>
    <n v="231.7"/>
    <m/>
    <n v="419.74084307814246"/>
    <n v="198.0053374241497"/>
    <n v="0"/>
    <n v="11.92822"/>
    <n v="7.8778000000000006"/>
    <n v="0"/>
    <n v="14.271188664656846"/>
    <n v="6.7321814724210904"/>
  </r>
  <r>
    <s v="Regular"/>
    <x v="2"/>
    <x v="2"/>
    <x v="3"/>
    <x v="0"/>
    <x v="0"/>
    <x v="0"/>
    <x v="3"/>
    <x v="3"/>
    <n v="0"/>
    <n v="0"/>
    <n v="3.9E-2"/>
    <n v="3.9E-2"/>
    <n v="3.9E-2"/>
    <n v="3.9E-2"/>
    <n v="0"/>
    <x v="0"/>
    <n v="0"/>
    <n v="0"/>
    <n v="27"/>
    <n v="64"/>
    <n v="0"/>
    <n v="350.83"/>
    <n v="231.7"/>
    <m/>
    <n v="419.74084307814246"/>
    <n v="198.0053374241497"/>
    <n v="0"/>
    <n v="13.682369999999999"/>
    <n v="9.0362999999999989"/>
    <n v="0"/>
    <n v="16.369892880047555"/>
    <n v="7.7222081595418386"/>
  </r>
  <r>
    <s v="Regular"/>
    <x v="2"/>
    <x v="2"/>
    <x v="3"/>
    <x v="0"/>
    <x v="0"/>
    <x v="0"/>
    <x v="3"/>
    <x v="4"/>
    <n v="0"/>
    <n v="0"/>
    <n v="0.16400000000000001"/>
    <n v="0.16400000000000001"/>
    <n v="0.16400000000000001"/>
    <n v="0.16400000000000001"/>
    <n v="0"/>
    <x v="0"/>
    <n v="0"/>
    <n v="0"/>
    <n v="27"/>
    <n v="64"/>
    <n v="0"/>
    <n v="350.83"/>
    <n v="231.7"/>
    <m/>
    <n v="419.74084307814246"/>
    <n v="198.0053374241497"/>
    <n v="0"/>
    <n v="57.536119999999997"/>
    <n v="37.998800000000003"/>
    <n v="0"/>
    <n v="68.837498264815366"/>
    <n v="32.472875337560552"/>
  </r>
  <r>
    <s v="Regular"/>
    <x v="2"/>
    <x v="2"/>
    <x v="3"/>
    <x v="0"/>
    <x v="0"/>
    <x v="0"/>
    <x v="3"/>
    <x v="5"/>
    <n v="0"/>
    <n v="0"/>
    <n v="3.2000000000000001E-2"/>
    <n v="3.2000000000000001E-2"/>
    <n v="3.2000000000000001E-2"/>
    <n v="3.2000000000000001E-2"/>
    <n v="0"/>
    <x v="0"/>
    <n v="0"/>
    <n v="0"/>
    <n v="27"/>
    <n v="64"/>
    <n v="0"/>
    <n v="350.83"/>
    <n v="231.7"/>
    <m/>
    <n v="419.74084307814246"/>
    <n v="198.0053374241497"/>
    <n v="0"/>
    <n v="11.226559999999999"/>
    <n v="7.4143999999999997"/>
    <n v="0"/>
    <n v="13.431706978500559"/>
    <n v="6.336170797572791"/>
  </r>
  <r>
    <s v="Regular"/>
    <x v="2"/>
    <x v="2"/>
    <x v="3"/>
    <x v="0"/>
    <x v="0"/>
    <x v="0"/>
    <x v="3"/>
    <x v="6"/>
    <n v="0"/>
    <n v="0"/>
    <n v="3.1E-2"/>
    <n v="3.1E-2"/>
    <n v="3.1E-2"/>
    <n v="3.1E-2"/>
    <n v="0"/>
    <x v="0"/>
    <n v="0"/>
    <n v="0"/>
    <n v="27"/>
    <n v="64"/>
    <n v="0"/>
    <n v="350.83"/>
    <n v="231.7"/>
    <m/>
    <n v="419.74084307814246"/>
    <n v="198.0053374241497"/>
    <n v="0"/>
    <n v="10.875729999999999"/>
    <n v="7.1826999999999996"/>
    <n v="0"/>
    <n v="13.011966135422416"/>
    <n v="6.1381654601486408"/>
  </r>
  <r>
    <s v="Regular"/>
    <x v="2"/>
    <x v="2"/>
    <x v="3"/>
    <x v="0"/>
    <x v="0"/>
    <x v="0"/>
    <x v="3"/>
    <x v="7"/>
    <n v="0"/>
    <n v="0"/>
    <n v="3.4000000000000002E-2"/>
    <n v="3.4000000000000002E-2"/>
    <n v="3.4000000000000002E-2"/>
    <n v="3.4000000000000002E-2"/>
    <n v="0"/>
    <x v="0"/>
    <n v="0"/>
    <n v="0"/>
    <n v="27"/>
    <n v="64"/>
    <n v="0"/>
    <n v="350.83"/>
    <n v="231.7"/>
    <m/>
    <n v="419.74084307814246"/>
    <n v="198.0053374241497"/>
    <n v="0"/>
    <n v="11.92822"/>
    <n v="7.8778000000000006"/>
    <n v="0"/>
    <n v="14.271188664656846"/>
    <n v="6.7321814724210904"/>
  </r>
  <r>
    <s v="Regular"/>
    <x v="2"/>
    <x v="2"/>
    <x v="3"/>
    <x v="0"/>
    <x v="0"/>
    <x v="0"/>
    <x v="3"/>
    <x v="8"/>
    <n v="0"/>
    <n v="0"/>
    <n v="3.5000000000000003E-2"/>
    <n v="3.5000000000000003E-2"/>
    <n v="3.5000000000000003E-2"/>
    <n v="3.5000000000000003E-2"/>
    <n v="0"/>
    <x v="0"/>
    <n v="0"/>
    <n v="0"/>
    <n v="27"/>
    <n v="64"/>
    <n v="0"/>
    <n v="350.83"/>
    <n v="231.7"/>
    <m/>
    <n v="419.74084307814246"/>
    <n v="198.0053374241497"/>
    <n v="0"/>
    <n v="12.27905"/>
    <n v="8.1095000000000006"/>
    <n v="0"/>
    <n v="14.690929507734987"/>
    <n v="6.9301868098452406"/>
  </r>
  <r>
    <s v="Regular"/>
    <x v="2"/>
    <x v="2"/>
    <x v="3"/>
    <x v="0"/>
    <x v="0"/>
    <x v="0"/>
    <x v="3"/>
    <x v="9"/>
    <n v="0"/>
    <n v="0"/>
    <n v="4.4999999999999998E-2"/>
    <n v="4.4999999999999998E-2"/>
    <n v="4.4999999999999998E-2"/>
    <n v="4.4999999999999998E-2"/>
    <n v="0"/>
    <x v="0"/>
    <n v="0"/>
    <n v="0"/>
    <n v="27"/>
    <n v="64"/>
    <n v="0"/>
    <n v="350.83"/>
    <n v="231.7"/>
    <m/>
    <n v="419.74084307814246"/>
    <n v="198.0053374241497"/>
    <n v="0"/>
    <n v="15.787349999999998"/>
    <n v="10.426499999999999"/>
    <n v="0"/>
    <n v="18.888337938516411"/>
    <n v="8.9102401840867369"/>
  </r>
  <r>
    <s v="Regular"/>
    <x v="2"/>
    <x v="2"/>
    <x v="3"/>
    <x v="0"/>
    <x v="0"/>
    <x v="0"/>
    <x v="3"/>
    <x v="10"/>
    <n v="0"/>
    <n v="0"/>
    <n v="4.4999999999999998E-2"/>
    <n v="4.4999999999999998E-2"/>
    <n v="4.4999999999999998E-2"/>
    <n v="4.4999999999999998E-2"/>
    <n v="0"/>
    <x v="0"/>
    <n v="0"/>
    <n v="0"/>
    <n v="27"/>
    <n v="64"/>
    <n v="0"/>
    <n v="350.83"/>
    <n v="231.7"/>
    <m/>
    <n v="419.74084307814246"/>
    <n v="198.0053374241497"/>
    <n v="0"/>
    <n v="15.787349999999998"/>
    <n v="10.426499999999999"/>
    <n v="0"/>
    <n v="18.888337938516411"/>
    <n v="8.9102401840867369"/>
  </r>
  <r>
    <s v="Regular"/>
    <x v="2"/>
    <x v="2"/>
    <x v="3"/>
    <x v="0"/>
    <x v="0"/>
    <x v="0"/>
    <x v="3"/>
    <x v="11"/>
    <n v="0"/>
    <n v="0"/>
    <n v="4.7E-2"/>
    <n v="4.7E-2"/>
    <n v="4.7E-2"/>
    <n v="4.7E-2"/>
    <n v="0"/>
    <x v="0"/>
    <n v="0"/>
    <n v="0"/>
    <n v="27"/>
    <n v="64"/>
    <n v="0"/>
    <n v="350.83"/>
    <n v="231.7"/>
    <m/>
    <n v="419.74084307814246"/>
    <n v="198.0053374241497"/>
    <n v="0"/>
    <n v="16.48901"/>
    <n v="10.889899999999999"/>
    <n v="0"/>
    <n v="19.727819624672694"/>
    <n v="9.3062508589350355"/>
  </r>
  <r>
    <s v="Regular"/>
    <x v="2"/>
    <x v="2"/>
    <x v="3"/>
    <x v="0"/>
    <x v="0"/>
    <x v="0"/>
    <x v="1"/>
    <x v="0"/>
    <n v="0"/>
    <n v="0"/>
    <n v="6.0999999999999999E-2"/>
    <n v="6.0999999999999999E-2"/>
    <n v="6.0999999999999999E-2"/>
    <n v="6.0999999999999999E-2"/>
    <n v="0"/>
    <x v="0"/>
    <n v="0"/>
    <n v="0"/>
    <n v="26"/>
    <n v="63"/>
    <n v="0"/>
    <n v="536.95000000000005"/>
    <n v="231.7"/>
    <m/>
    <n v="620.85778527662399"/>
    <n v="198.0053374241497"/>
    <n v="0"/>
    <n v="32.753950000000003"/>
    <n v="14.133699999999999"/>
    <n v="0"/>
    <n v="37.872324901874059"/>
    <n v="12.078325582873131"/>
  </r>
  <r>
    <s v="Regular"/>
    <x v="2"/>
    <x v="2"/>
    <x v="3"/>
    <x v="0"/>
    <x v="0"/>
    <x v="0"/>
    <x v="1"/>
    <x v="1"/>
    <n v="0"/>
    <n v="0"/>
    <n v="7.4999999999999997E-2"/>
    <n v="7.4999999999999997E-2"/>
    <n v="7.4999999999999997E-2"/>
    <n v="7.4999999999999997E-2"/>
    <n v="0"/>
    <x v="0"/>
    <n v="0"/>
    <n v="0"/>
    <n v="26"/>
    <n v="63"/>
    <n v="0"/>
    <n v="536.95000000000005"/>
    <n v="231.7"/>
    <m/>
    <n v="620.85778527662399"/>
    <n v="198.0053374241497"/>
    <n v="0"/>
    <n v="40.271250000000002"/>
    <n v="17.377499999999998"/>
    <n v="0"/>
    <n v="46.564333895746799"/>
    <n v="14.850400306811228"/>
  </r>
  <r>
    <s v="Regular"/>
    <x v="2"/>
    <x v="2"/>
    <x v="3"/>
    <x v="0"/>
    <x v="0"/>
    <x v="0"/>
    <x v="1"/>
    <x v="2"/>
    <n v="0"/>
    <n v="0"/>
    <n v="6.5000000000000002E-2"/>
    <n v="6.5000000000000002E-2"/>
    <n v="6.5000000000000002E-2"/>
    <n v="6.5000000000000002E-2"/>
    <n v="0"/>
    <x v="0"/>
    <n v="0"/>
    <n v="0"/>
    <n v="26"/>
    <n v="63"/>
    <n v="0"/>
    <n v="536.95000000000005"/>
    <n v="231.7"/>
    <m/>
    <n v="620.85778527662399"/>
    <n v="198.0053374241497"/>
    <n v="0"/>
    <n v="34.901750000000007"/>
    <n v="15.060499999999999"/>
    <n v="0"/>
    <n v="40.355756042980559"/>
    <n v="12.870346932569731"/>
  </r>
  <r>
    <s v="Regular"/>
    <x v="2"/>
    <x v="2"/>
    <x v="3"/>
    <x v="0"/>
    <x v="0"/>
    <x v="0"/>
    <x v="1"/>
    <x v="3"/>
    <n v="0"/>
    <n v="0"/>
    <n v="7.9000000000000001E-2"/>
    <n v="7.9000000000000001E-2"/>
    <n v="7.9000000000000001E-2"/>
    <n v="7.9000000000000001E-2"/>
    <n v="0"/>
    <x v="0"/>
    <n v="0"/>
    <n v="0"/>
    <n v="26"/>
    <n v="63"/>
    <n v="0"/>
    <n v="536.95000000000005"/>
    <n v="231.7"/>
    <m/>
    <n v="620.85778527662399"/>
    <n v="198.0053374241497"/>
    <n v="0"/>
    <n v="42.419050000000006"/>
    <n v="18.304299999999998"/>
    <n v="0"/>
    <n v="49.047765036853292"/>
    <n v="15.642421656507826"/>
  </r>
  <r>
    <s v="Regular"/>
    <x v="2"/>
    <x v="2"/>
    <x v="3"/>
    <x v="0"/>
    <x v="0"/>
    <x v="0"/>
    <x v="1"/>
    <x v="4"/>
    <n v="0"/>
    <n v="0"/>
    <n v="7.0999999999999994E-2"/>
    <n v="7.0999999999999994E-2"/>
    <n v="7.0999999999999994E-2"/>
    <n v="7.0999999999999994E-2"/>
    <n v="0"/>
    <x v="0"/>
    <n v="0"/>
    <n v="0"/>
    <n v="26"/>
    <n v="63"/>
    <n v="0"/>
    <n v="536.95000000000005"/>
    <n v="231.7"/>
    <m/>
    <n v="620.85778527662399"/>
    <n v="198.0053374241497"/>
    <n v="0"/>
    <n v="38.123449999999998"/>
    <n v="16.450699999999998"/>
    <n v="0"/>
    <n v="44.080902754640299"/>
    <n v="14.058378957114627"/>
  </r>
  <r>
    <s v="Regular"/>
    <x v="2"/>
    <x v="2"/>
    <x v="3"/>
    <x v="0"/>
    <x v="0"/>
    <x v="0"/>
    <x v="1"/>
    <x v="5"/>
    <n v="0"/>
    <n v="0"/>
    <n v="6.2E-2"/>
    <n v="6.2E-2"/>
    <n v="6.2E-2"/>
    <n v="6.2E-2"/>
    <n v="0"/>
    <x v="0"/>
    <n v="0"/>
    <n v="0"/>
    <n v="26"/>
    <n v="63"/>
    <n v="0"/>
    <n v="536.95000000000005"/>
    <n v="231.7"/>
    <m/>
    <n v="620.85778527662399"/>
    <n v="198.0053374241497"/>
    <n v="0"/>
    <n v="33.290900000000001"/>
    <n v="14.365399999999999"/>
    <n v="0"/>
    <n v="38.493182687150686"/>
    <n v="12.276330920297282"/>
  </r>
  <r>
    <s v="Regular"/>
    <x v="2"/>
    <x v="2"/>
    <x v="3"/>
    <x v="0"/>
    <x v="0"/>
    <x v="0"/>
    <x v="1"/>
    <x v="6"/>
    <n v="0"/>
    <n v="0"/>
    <n v="4.9000000000000002E-2"/>
    <n v="4.9000000000000002E-2"/>
    <n v="4.9000000000000002E-2"/>
    <n v="4.9000000000000002E-2"/>
    <n v="0"/>
    <x v="0"/>
    <n v="0"/>
    <n v="0"/>
    <n v="26"/>
    <n v="63"/>
    <n v="0"/>
    <n v="536.95000000000005"/>
    <n v="231.7"/>
    <m/>
    <n v="620.85778527662399"/>
    <n v="198.0053374241497"/>
    <n v="0"/>
    <n v="26.310550000000003"/>
    <n v="11.353299999999999"/>
    <n v="0"/>
    <n v="30.422031478554576"/>
    <n v="9.7022615337833358"/>
  </r>
  <r>
    <s v="Regular"/>
    <x v="2"/>
    <x v="2"/>
    <x v="3"/>
    <x v="0"/>
    <x v="0"/>
    <x v="0"/>
    <x v="1"/>
    <x v="7"/>
    <n v="0"/>
    <n v="0"/>
    <n v="4.9000000000000002E-2"/>
    <n v="4.9000000000000002E-2"/>
    <n v="4.9000000000000002E-2"/>
    <n v="4.9000000000000002E-2"/>
    <n v="0"/>
    <x v="0"/>
    <n v="0"/>
    <n v="0"/>
    <n v="26"/>
    <n v="63"/>
    <n v="0"/>
    <n v="536.95000000000005"/>
    <n v="231.7"/>
    <m/>
    <n v="620.85778527662399"/>
    <n v="198.0053374241497"/>
    <n v="0"/>
    <n v="26.310550000000003"/>
    <n v="11.353299999999999"/>
    <n v="0"/>
    <n v="30.422031478554576"/>
    <n v="9.7022615337833358"/>
  </r>
  <r>
    <s v="Regular"/>
    <x v="2"/>
    <x v="2"/>
    <x v="3"/>
    <x v="0"/>
    <x v="0"/>
    <x v="0"/>
    <x v="1"/>
    <x v="8"/>
    <n v="0"/>
    <n v="0"/>
    <n v="5.5E-2"/>
    <n v="5.5E-2"/>
    <n v="5.5E-2"/>
    <n v="5.5E-2"/>
    <n v="0"/>
    <x v="0"/>
    <n v="0"/>
    <n v="0"/>
    <n v="26"/>
    <n v="63"/>
    <n v="0"/>
    <n v="536.95000000000005"/>
    <n v="231.7"/>
    <m/>
    <n v="620.85778527662399"/>
    <n v="198.0053374241497"/>
    <n v="0"/>
    <n v="29.532250000000001"/>
    <n v="12.743499999999999"/>
    <n v="0"/>
    <n v="34.147178190214319"/>
    <n v="10.890293558328233"/>
  </r>
  <r>
    <s v="Regular"/>
    <x v="2"/>
    <x v="2"/>
    <x v="3"/>
    <x v="0"/>
    <x v="0"/>
    <x v="0"/>
    <x v="1"/>
    <x v="9"/>
    <n v="0"/>
    <n v="0"/>
    <n v="6.6000000000000003E-2"/>
    <n v="6.6000000000000003E-2"/>
    <n v="6.6000000000000003E-2"/>
    <n v="6.6000000000000003E-2"/>
    <n v="0"/>
    <x v="0"/>
    <n v="0"/>
    <n v="0"/>
    <n v="26"/>
    <n v="63"/>
    <n v="0"/>
    <n v="536.95000000000005"/>
    <n v="231.7"/>
    <m/>
    <n v="620.85778527662399"/>
    <n v="198.0053374241497"/>
    <n v="0"/>
    <n v="35.438700000000004"/>
    <n v="15.292199999999999"/>
    <n v="0"/>
    <n v="40.976613828257186"/>
    <n v="13.068352269993881"/>
  </r>
  <r>
    <s v="Regular"/>
    <x v="2"/>
    <x v="2"/>
    <x v="3"/>
    <x v="0"/>
    <x v="0"/>
    <x v="0"/>
    <x v="1"/>
    <x v="10"/>
    <n v="0"/>
    <n v="0"/>
    <n v="0.08"/>
    <n v="0.08"/>
    <n v="0.08"/>
    <n v="0.08"/>
    <n v="0"/>
    <x v="0"/>
    <n v="0"/>
    <n v="0"/>
    <n v="26"/>
    <n v="63"/>
    <n v="0"/>
    <n v="536.95000000000005"/>
    <n v="231.7"/>
    <m/>
    <n v="620.85778527662399"/>
    <n v="198.0053374241497"/>
    <n v="0"/>
    <n v="42.956000000000003"/>
    <n v="18.535999999999998"/>
    <n v="0"/>
    <n v="49.668622822129919"/>
    <n v="15.840426993931976"/>
  </r>
  <r>
    <s v="Regular"/>
    <x v="2"/>
    <x v="2"/>
    <x v="3"/>
    <x v="0"/>
    <x v="0"/>
    <x v="0"/>
    <x v="1"/>
    <x v="11"/>
    <n v="0"/>
    <n v="0"/>
    <n v="7.6999999999999999E-2"/>
    <n v="7.6999999999999999E-2"/>
    <n v="7.6999999999999999E-2"/>
    <n v="7.6999999999999999E-2"/>
    <n v="0"/>
    <x v="0"/>
    <n v="0"/>
    <n v="0"/>
    <n v="26"/>
    <n v="63"/>
    <n v="0"/>
    <n v="536.95000000000005"/>
    <n v="231.7"/>
    <m/>
    <n v="620.85778527662399"/>
    <n v="198.0053374241497"/>
    <n v="0"/>
    <n v="41.345150000000004"/>
    <n v="17.840899999999998"/>
    <n v="0"/>
    <n v="47.806049466300045"/>
    <n v="15.246410981659526"/>
  </r>
  <r>
    <s v="Regular"/>
    <x v="2"/>
    <x v="3"/>
    <x v="3"/>
    <x v="2"/>
    <x v="3"/>
    <x v="0"/>
    <x v="2"/>
    <x v="0"/>
    <n v="0"/>
    <n v="0"/>
    <n v="55.582000000000001"/>
    <n v="55.582000000000001"/>
    <n v="55.582000000000001"/>
    <n v="55.582000000000001"/>
    <n v="0"/>
    <x v="0"/>
    <n v="0"/>
    <n v="0"/>
    <n v="29"/>
    <n v="66"/>
    <n v="0"/>
    <n v="240.85"/>
    <n v="231.7"/>
    <m/>
    <n v="300.89907966262189"/>
    <n v="198.0053374241497"/>
    <n v="0"/>
    <n v="13386.9247"/>
    <n v="12878.349399999999"/>
    <n v="0"/>
    <n v="16724.57264580785"/>
    <n v="11005.53266470909"/>
  </r>
  <r>
    <s v="Regular"/>
    <x v="2"/>
    <x v="3"/>
    <x v="3"/>
    <x v="2"/>
    <x v="3"/>
    <x v="0"/>
    <x v="2"/>
    <x v="1"/>
    <n v="0"/>
    <n v="0"/>
    <n v="54.146000000000001"/>
    <n v="54.146000000000001"/>
    <n v="54.146000000000001"/>
    <n v="54.146000000000001"/>
    <n v="0"/>
    <x v="0"/>
    <n v="0"/>
    <n v="0"/>
    <n v="29"/>
    <n v="66"/>
    <n v="0"/>
    <n v="240.85"/>
    <n v="231.7"/>
    <m/>
    <n v="300.89907966262189"/>
    <n v="198.0053374241497"/>
    <n v="0"/>
    <n v="13041.0641"/>
    <n v="12545.628199999999"/>
    <n v="0"/>
    <n v="16292.481567412326"/>
    <n v="10721.197000168009"/>
  </r>
  <r>
    <s v="Regular"/>
    <x v="2"/>
    <x v="3"/>
    <x v="3"/>
    <x v="2"/>
    <x v="3"/>
    <x v="0"/>
    <x v="2"/>
    <x v="2"/>
    <n v="0"/>
    <n v="0"/>
    <n v="45.243000000000002"/>
    <n v="45.243000000000002"/>
    <n v="45.243000000000002"/>
    <n v="45.243000000000002"/>
    <n v="0"/>
    <x v="0"/>
    <n v="0"/>
    <n v="0"/>
    <n v="29"/>
    <n v="66"/>
    <n v="0"/>
    <n v="240.85"/>
    <n v="231.7"/>
    <m/>
    <n v="300.89907966262189"/>
    <n v="198.0053374241497"/>
    <n v="0"/>
    <n v="10896.77655"/>
    <n v="10482.803099999999"/>
    <n v="0"/>
    <n v="13613.577061176004"/>
    <n v="8958.3554810808055"/>
  </r>
  <r>
    <s v="Regular"/>
    <x v="2"/>
    <x v="3"/>
    <x v="3"/>
    <x v="2"/>
    <x v="3"/>
    <x v="0"/>
    <x v="2"/>
    <x v="3"/>
    <n v="0"/>
    <n v="0"/>
    <n v="58.381999999999998"/>
    <n v="58.381999999999998"/>
    <n v="58.381999999999998"/>
    <n v="58.381999999999998"/>
    <n v="0"/>
    <x v="0"/>
    <n v="0"/>
    <n v="0"/>
    <n v="29"/>
    <n v="66"/>
    <n v="0"/>
    <n v="240.85"/>
    <n v="231.7"/>
    <m/>
    <n v="300.89907966262189"/>
    <n v="198.0053374241497"/>
    <n v="0"/>
    <n v="14061.304699999999"/>
    <n v="13527.109399999999"/>
    <n v="0"/>
    <n v="17567.090068863192"/>
    <n v="11559.947609496707"/>
  </r>
  <r>
    <s v="Sistema de Compensação"/>
    <x v="2"/>
    <x v="3"/>
    <x v="3"/>
    <x v="2"/>
    <x v="3"/>
    <x v="0"/>
    <x v="2"/>
    <x v="3"/>
    <n v="0"/>
    <n v="0"/>
    <n v="0.99299999999999999"/>
    <n v="0.99299999999999999"/>
    <n v="0.99299999999999999"/>
    <n v="0.99299999999999999"/>
    <n v="0"/>
    <x v="0"/>
    <n v="0"/>
    <n v="0"/>
    <n v="29"/>
    <n v="66"/>
    <n v="0"/>
    <n v="240.85"/>
    <n v="231.7"/>
    <m/>
    <n v="300.89907966262189"/>
    <n v="198.0053374241497"/>
    <n v="0"/>
    <n v="239.16405"/>
    <n v="230.07809999999998"/>
    <n v="0"/>
    <n v="298.79278610498352"/>
    <n v="196.61930006218066"/>
  </r>
  <r>
    <s v="Regular"/>
    <x v="2"/>
    <x v="3"/>
    <x v="3"/>
    <x v="2"/>
    <x v="3"/>
    <x v="0"/>
    <x v="2"/>
    <x v="4"/>
    <n v="0"/>
    <n v="0"/>
    <n v="90.025000000000006"/>
    <n v="90.025000000000006"/>
    <n v="90.025000000000006"/>
    <n v="90.025000000000006"/>
    <n v="0"/>
    <x v="0"/>
    <n v="0"/>
    <n v="0"/>
    <n v="29"/>
    <n v="66"/>
    <n v="0"/>
    <n v="240.85"/>
    <n v="231.7"/>
    <m/>
    <n v="300.89907966262189"/>
    <n v="198.0053374241497"/>
    <n v="0"/>
    <n v="21682.521250000002"/>
    <n v="20858.7925"/>
    <n v="0"/>
    <n v="27088.439646627536"/>
    <n v="17825.430501609077"/>
  </r>
  <r>
    <s v="Sistema de Compensação"/>
    <x v="2"/>
    <x v="3"/>
    <x v="3"/>
    <x v="2"/>
    <x v="3"/>
    <x v="0"/>
    <x v="2"/>
    <x v="4"/>
    <n v="0"/>
    <n v="0"/>
    <n v="2.4279999999999999"/>
    <n v="2.4279999999999999"/>
    <n v="2.4279999999999999"/>
    <n v="2.4279999999999999"/>
    <n v="0"/>
    <x v="0"/>
    <n v="0"/>
    <n v="0"/>
    <n v="29"/>
    <n v="66"/>
    <n v="0"/>
    <n v="240.85"/>
    <n v="231.7"/>
    <m/>
    <n v="300.89907966262189"/>
    <n v="198.0053374241497"/>
    <n v="0"/>
    <n v="584.78379999999993"/>
    <n v="562.56759999999997"/>
    <n v="0"/>
    <n v="730.58296542084588"/>
    <n v="480.75695926583546"/>
  </r>
  <r>
    <s v="Regular"/>
    <x v="2"/>
    <x v="3"/>
    <x v="3"/>
    <x v="2"/>
    <x v="3"/>
    <x v="0"/>
    <x v="2"/>
    <x v="5"/>
    <n v="0"/>
    <n v="0"/>
    <n v="74.108000000000004"/>
    <n v="74.108000000000004"/>
    <n v="74.108000000000004"/>
    <n v="74.108000000000004"/>
    <n v="0"/>
    <x v="0"/>
    <n v="0"/>
    <n v="0"/>
    <n v="29"/>
    <n v="66"/>
    <n v="0"/>
    <n v="240.85"/>
    <n v="231.7"/>
    <m/>
    <n v="300.89907966262189"/>
    <n v="198.0053374241497"/>
    <n v="0"/>
    <n v="17848.911800000002"/>
    <n v="17170.8236"/>
    <n v="0"/>
    <n v="22299.028995637585"/>
    <n v="14673.779545828887"/>
  </r>
  <r>
    <s v="Sistema de Compensação"/>
    <x v="2"/>
    <x v="3"/>
    <x v="3"/>
    <x v="2"/>
    <x v="3"/>
    <x v="0"/>
    <x v="2"/>
    <x v="5"/>
    <n v="0"/>
    <n v="0"/>
    <n v="0.1"/>
    <n v="0.1"/>
    <n v="0.1"/>
    <n v="0.1"/>
    <n v="0"/>
    <x v="0"/>
    <n v="0"/>
    <n v="0"/>
    <n v="29"/>
    <n v="66"/>
    <n v="0"/>
    <n v="240.85"/>
    <n v="231.7"/>
    <m/>
    <n v="300.89907966262189"/>
    <n v="198.0053374241497"/>
    <n v="0"/>
    <n v="24.085000000000001"/>
    <n v="23.17"/>
    <n v="0"/>
    <n v="30.089907966262189"/>
    <n v="19.80053374241497"/>
  </r>
  <r>
    <s v="Regular"/>
    <x v="2"/>
    <x v="3"/>
    <x v="3"/>
    <x v="2"/>
    <x v="3"/>
    <x v="0"/>
    <x v="2"/>
    <x v="6"/>
    <n v="0"/>
    <n v="0"/>
    <n v="28.56"/>
    <n v="28.56"/>
    <n v="28.56"/>
    <n v="28.56"/>
    <n v="0"/>
    <x v="0"/>
    <n v="0"/>
    <n v="0"/>
    <n v="29"/>
    <n v="66"/>
    <n v="0"/>
    <n v="240.85"/>
    <n v="231.7"/>
    <m/>
    <n v="300.89907966262189"/>
    <n v="198.0053374241497"/>
    <n v="0"/>
    <n v="6878.6759999999995"/>
    <n v="6617.351999999999"/>
    <n v="0"/>
    <n v="8593.6777151644801"/>
    <n v="5655.0324368337151"/>
  </r>
  <r>
    <s v="Sistema de Compensação"/>
    <x v="2"/>
    <x v="3"/>
    <x v="3"/>
    <x v="2"/>
    <x v="3"/>
    <x v="0"/>
    <x v="2"/>
    <x v="6"/>
    <n v="0"/>
    <n v="0"/>
    <n v="0.1"/>
    <n v="0.1"/>
    <n v="0.1"/>
    <n v="0.1"/>
    <n v="0"/>
    <x v="0"/>
    <n v="0"/>
    <n v="0"/>
    <n v="29"/>
    <n v="66"/>
    <n v="0"/>
    <n v="240.85"/>
    <n v="231.7"/>
    <m/>
    <n v="300.89907966262189"/>
    <n v="198.0053374241497"/>
    <n v="0"/>
    <n v="24.085000000000001"/>
    <n v="23.17"/>
    <n v="0"/>
    <n v="30.089907966262189"/>
    <n v="19.80053374241497"/>
  </r>
  <r>
    <s v="Regular"/>
    <x v="2"/>
    <x v="3"/>
    <x v="3"/>
    <x v="2"/>
    <x v="3"/>
    <x v="0"/>
    <x v="2"/>
    <x v="7"/>
    <n v="0"/>
    <n v="0"/>
    <n v="30.66"/>
    <n v="30.66"/>
    <n v="30.66"/>
    <n v="30.66"/>
    <n v="0"/>
    <x v="0"/>
    <n v="0"/>
    <n v="0"/>
    <n v="29"/>
    <n v="66"/>
    <n v="0"/>
    <n v="240.85"/>
    <n v="231.7"/>
    <m/>
    <n v="300.89907966262189"/>
    <n v="198.0053374241497"/>
    <n v="0"/>
    <n v="7384.4610000000002"/>
    <n v="7103.9219999999996"/>
    <n v="0"/>
    <n v="9225.5657824559876"/>
    <n v="6070.8436454244302"/>
  </r>
  <r>
    <s v="Sistema de Compensação"/>
    <x v="2"/>
    <x v="3"/>
    <x v="3"/>
    <x v="2"/>
    <x v="3"/>
    <x v="0"/>
    <x v="2"/>
    <x v="7"/>
    <n v="0"/>
    <n v="0"/>
    <n v="0.1"/>
    <n v="0.1"/>
    <n v="0.1"/>
    <n v="0.1"/>
    <n v="0"/>
    <x v="0"/>
    <n v="0"/>
    <n v="0"/>
    <n v="29"/>
    <n v="66"/>
    <n v="0"/>
    <n v="240.85"/>
    <n v="231.7"/>
    <m/>
    <n v="300.89907966262189"/>
    <n v="198.0053374241497"/>
    <n v="0"/>
    <n v="24.085000000000001"/>
    <n v="23.17"/>
    <n v="0"/>
    <n v="30.089907966262189"/>
    <n v="19.80053374241497"/>
  </r>
  <r>
    <s v="Regular"/>
    <x v="2"/>
    <x v="3"/>
    <x v="3"/>
    <x v="2"/>
    <x v="3"/>
    <x v="0"/>
    <x v="2"/>
    <x v="8"/>
    <n v="0"/>
    <n v="0"/>
    <n v="29.619"/>
    <n v="29.619"/>
    <n v="29.619"/>
    <n v="29.619"/>
    <n v="0"/>
    <x v="0"/>
    <n v="0"/>
    <n v="0"/>
    <n v="29"/>
    <n v="66"/>
    <n v="0"/>
    <n v="240.85"/>
    <n v="231.7"/>
    <m/>
    <n v="300.89907966262189"/>
    <n v="198.0053374241497"/>
    <n v="0"/>
    <n v="7133.7361499999997"/>
    <n v="6862.7222999999994"/>
    <n v="0"/>
    <n v="8912.329840527198"/>
    <n v="5864.7200891658904"/>
  </r>
  <r>
    <s v="Sistema de Compensação"/>
    <x v="2"/>
    <x v="3"/>
    <x v="3"/>
    <x v="2"/>
    <x v="3"/>
    <x v="0"/>
    <x v="2"/>
    <x v="8"/>
    <n v="0"/>
    <n v="0"/>
    <n v="0.1"/>
    <n v="0.1"/>
    <n v="0.1"/>
    <n v="0.1"/>
    <n v="0"/>
    <x v="0"/>
    <n v="0"/>
    <n v="0"/>
    <n v="29"/>
    <n v="66"/>
    <n v="0"/>
    <n v="240.85"/>
    <n v="231.7"/>
    <m/>
    <n v="300.89907966262189"/>
    <n v="198.0053374241497"/>
    <n v="0"/>
    <n v="24.085000000000001"/>
    <n v="23.17"/>
    <n v="0"/>
    <n v="30.089907966262189"/>
    <n v="19.80053374241497"/>
  </r>
  <r>
    <s v="Regular"/>
    <x v="2"/>
    <x v="3"/>
    <x v="3"/>
    <x v="2"/>
    <x v="3"/>
    <x v="0"/>
    <x v="2"/>
    <x v="9"/>
    <n v="0"/>
    <n v="0"/>
    <n v="28.905000000000001"/>
    <n v="28.905000000000001"/>
    <n v="28.905000000000001"/>
    <n v="28.905000000000001"/>
    <n v="0"/>
    <x v="0"/>
    <n v="0"/>
    <n v="0"/>
    <n v="29"/>
    <n v="66"/>
    <n v="0"/>
    <n v="240.85"/>
    <n v="231.7"/>
    <m/>
    <n v="300.89907966262189"/>
    <n v="198.0053374241497"/>
    <n v="0"/>
    <n v="6961.7692500000003"/>
    <n v="6697.2884999999997"/>
    <n v="0"/>
    <n v="8697.4878976480868"/>
    <n v="5723.3442782450475"/>
  </r>
  <r>
    <s v="Sistema de Compensação"/>
    <x v="2"/>
    <x v="3"/>
    <x v="3"/>
    <x v="2"/>
    <x v="3"/>
    <x v="0"/>
    <x v="2"/>
    <x v="9"/>
    <n v="0"/>
    <n v="0"/>
    <n v="0.1"/>
    <n v="0.1"/>
    <n v="0.1"/>
    <n v="0.1"/>
    <n v="0"/>
    <x v="0"/>
    <n v="0"/>
    <n v="0"/>
    <n v="29"/>
    <n v="66"/>
    <n v="0"/>
    <n v="240.85"/>
    <n v="231.7"/>
    <m/>
    <n v="300.89907966262189"/>
    <n v="198.0053374241497"/>
    <n v="0"/>
    <n v="24.085000000000001"/>
    <n v="23.17"/>
    <n v="0"/>
    <n v="30.089907966262189"/>
    <n v="19.80053374241497"/>
  </r>
  <r>
    <s v="Regular"/>
    <x v="2"/>
    <x v="3"/>
    <x v="3"/>
    <x v="2"/>
    <x v="3"/>
    <x v="0"/>
    <x v="2"/>
    <x v="10"/>
    <n v="0"/>
    <n v="0"/>
    <n v="36.325000000000003"/>
    <n v="36.325000000000003"/>
    <n v="36.325000000000003"/>
    <n v="36.325000000000003"/>
    <n v="0"/>
    <x v="0"/>
    <n v="0"/>
    <n v="0"/>
    <n v="29"/>
    <n v="66"/>
    <n v="0"/>
    <n v="240.85"/>
    <n v="231.7"/>
    <m/>
    <n v="300.89907966262189"/>
    <n v="198.0053374241497"/>
    <n v="0"/>
    <n v="8748.8762500000012"/>
    <n v="8416.5025000000005"/>
    <n v="0"/>
    <n v="10930.159068744741"/>
    <n v="7192.543881932238"/>
  </r>
  <r>
    <s v="Sistema de Compensação"/>
    <x v="2"/>
    <x v="3"/>
    <x v="3"/>
    <x v="2"/>
    <x v="3"/>
    <x v="0"/>
    <x v="2"/>
    <x v="10"/>
    <n v="0"/>
    <n v="0"/>
    <n v="0.1"/>
    <n v="0.1"/>
    <n v="0.1"/>
    <n v="0.1"/>
    <n v="0"/>
    <x v="0"/>
    <n v="0"/>
    <n v="0"/>
    <n v="29"/>
    <n v="66"/>
    <n v="0"/>
    <n v="240.85"/>
    <n v="231.7"/>
    <m/>
    <n v="300.89907966262189"/>
    <n v="198.0053374241497"/>
    <n v="0"/>
    <n v="24.085000000000001"/>
    <n v="23.17"/>
    <n v="0"/>
    <n v="30.089907966262189"/>
    <n v="19.80053374241497"/>
  </r>
  <r>
    <s v="Regular"/>
    <x v="2"/>
    <x v="3"/>
    <x v="3"/>
    <x v="2"/>
    <x v="3"/>
    <x v="0"/>
    <x v="2"/>
    <x v="11"/>
    <n v="0"/>
    <n v="0"/>
    <n v="41.151000000000003"/>
    <n v="41.151000000000003"/>
    <n v="41.151000000000003"/>
    <n v="41.151000000000003"/>
    <n v="0"/>
    <x v="0"/>
    <n v="0"/>
    <n v="0"/>
    <n v="29"/>
    <n v="66"/>
    <n v="0"/>
    <n v="240.85"/>
    <n v="231.7"/>
    <m/>
    <n v="300.89907966262189"/>
    <n v="198.0053374241497"/>
    <n v="0"/>
    <n v="9911.218350000001"/>
    <n v="9534.6867000000002"/>
    <n v="0"/>
    <n v="12382.298027196553"/>
    <n v="8148.1176403411846"/>
  </r>
  <r>
    <s v="Regular"/>
    <x v="2"/>
    <x v="3"/>
    <x v="3"/>
    <x v="2"/>
    <x v="2"/>
    <x v="0"/>
    <x v="2"/>
    <x v="0"/>
    <n v="0"/>
    <n v="0"/>
    <n v="28.654"/>
    <n v="11.461600000000001"/>
    <n v="28.654"/>
    <n v="11.461600000000001"/>
    <n v="0"/>
    <x v="0"/>
    <n v="0"/>
    <n v="0"/>
    <n v="29"/>
    <n v="66"/>
    <n v="0"/>
    <n v="240.85"/>
    <n v="231.7"/>
    <m/>
    <n v="300.89907966262189"/>
    <n v="198.0053374241497"/>
    <n v="0"/>
    <n v="2760.5263600000003"/>
    <n v="2655.65272"/>
    <n v="0"/>
    <n v="3448.7848914611072"/>
    <n v="2269.4579754206343"/>
  </r>
  <r>
    <s v="Regular"/>
    <x v="2"/>
    <x v="3"/>
    <x v="3"/>
    <x v="2"/>
    <x v="2"/>
    <x v="0"/>
    <x v="2"/>
    <x v="1"/>
    <n v="0"/>
    <n v="0"/>
    <n v="27.117000000000001"/>
    <n v="10.8468"/>
    <n v="27.117000000000001"/>
    <n v="10.8468"/>
    <n v="0"/>
    <x v="0"/>
    <n v="0"/>
    <n v="0"/>
    <n v="29"/>
    <n v="66"/>
    <n v="0"/>
    <n v="240.85"/>
    <n v="231.7"/>
    <m/>
    <n v="300.89907966262189"/>
    <n v="198.0053374241497"/>
    <n v="0"/>
    <n v="2612.4517799999999"/>
    <n v="2513.2035599999999"/>
    <n v="0"/>
    <n v="3263.7921372845271"/>
    <n v="2147.7242939722669"/>
  </r>
  <r>
    <s v="Regular"/>
    <x v="2"/>
    <x v="3"/>
    <x v="3"/>
    <x v="2"/>
    <x v="2"/>
    <x v="0"/>
    <x v="2"/>
    <x v="2"/>
    <n v="0"/>
    <n v="0"/>
    <n v="23.562000000000001"/>
    <n v="9.4247999999999994"/>
    <n v="23.562000000000001"/>
    <n v="9.4247999999999994"/>
    <n v="0"/>
    <x v="0"/>
    <n v="0"/>
    <n v="0"/>
    <n v="29"/>
    <n v="66"/>
    <n v="0"/>
    <n v="240.85"/>
    <n v="231.7"/>
    <m/>
    <n v="300.89907966262189"/>
    <n v="198.0053374241497"/>
    <n v="0"/>
    <n v="2269.96308"/>
    <n v="2183.7261599999997"/>
    <n v="0"/>
    <n v="2835.9136460042787"/>
    <n v="1866.160704155126"/>
  </r>
  <r>
    <s v="Regular"/>
    <x v="2"/>
    <x v="3"/>
    <x v="3"/>
    <x v="2"/>
    <x v="2"/>
    <x v="0"/>
    <x v="2"/>
    <x v="3"/>
    <n v="0"/>
    <n v="0"/>
    <n v="32.128999999999998"/>
    <n v="12.851599999999999"/>
    <n v="32.128999999999998"/>
    <n v="12.851599999999999"/>
    <n v="0"/>
    <x v="0"/>
    <n v="0"/>
    <n v="0"/>
    <n v="29"/>
    <n v="66"/>
    <n v="0"/>
    <n v="240.85"/>
    <n v="231.7"/>
    <m/>
    <n v="300.89907966262189"/>
    <n v="198.0053374241497"/>
    <n v="0"/>
    <n v="3095.3078599999999"/>
    <n v="2977.7157199999997"/>
    <n v="0"/>
    <n v="3867.0346121921511"/>
    <n v="2544.6853944402023"/>
  </r>
  <r>
    <s v="Sistema de Compensação"/>
    <x v="2"/>
    <x v="3"/>
    <x v="3"/>
    <x v="2"/>
    <x v="2"/>
    <x v="0"/>
    <x v="2"/>
    <x v="3"/>
    <n v="0"/>
    <n v="0"/>
    <n v="0.373"/>
    <n v="0.373"/>
    <n v="0.373"/>
    <n v="0.373"/>
    <n v="0"/>
    <x v="0"/>
    <n v="0"/>
    <n v="0"/>
    <n v="29"/>
    <n v="66"/>
    <n v="0"/>
    <n v="240.85"/>
    <n v="231.7"/>
    <m/>
    <n v="300.89907966262189"/>
    <n v="198.0053374241497"/>
    <n v="0"/>
    <n v="89.837049999999991"/>
    <n v="86.424099999999996"/>
    <n v="0"/>
    <n v="112.23535671415796"/>
    <n v="73.855990859207836"/>
  </r>
  <r>
    <s v="Regular"/>
    <x v="2"/>
    <x v="3"/>
    <x v="3"/>
    <x v="2"/>
    <x v="2"/>
    <x v="0"/>
    <x v="2"/>
    <x v="4"/>
    <n v="0"/>
    <n v="0"/>
    <n v="38.651000000000003"/>
    <n v="15.4604"/>
    <n v="38.651000000000003"/>
    <n v="15.4604"/>
    <n v="0"/>
    <x v="0"/>
    <n v="0"/>
    <n v="0"/>
    <n v="29"/>
    <n v="66"/>
    <n v="0"/>
    <n v="240.85"/>
    <n v="231.7"/>
    <m/>
    <n v="300.89907966262189"/>
    <n v="198.0053374241497"/>
    <n v="0"/>
    <n v="3723.6373399999998"/>
    <n v="3582.1746799999996"/>
    <n v="0"/>
    <n v="4652.0201312159998"/>
    <n v="3061.2417187123242"/>
  </r>
  <r>
    <s v="Sistema de Compensação"/>
    <x v="2"/>
    <x v="3"/>
    <x v="3"/>
    <x v="2"/>
    <x v="2"/>
    <x v="0"/>
    <x v="2"/>
    <x v="4"/>
    <n v="0"/>
    <n v="0"/>
    <n v="3.214"/>
    <n v="3.214"/>
    <n v="3.214"/>
    <n v="3.214"/>
    <n v="0"/>
    <x v="0"/>
    <n v="0"/>
    <n v="0"/>
    <n v="29"/>
    <n v="66"/>
    <n v="0"/>
    <n v="240.85"/>
    <n v="231.7"/>
    <m/>
    <n v="300.89907966262189"/>
    <n v="198.0053374241497"/>
    <n v="0"/>
    <n v="774.09190000000001"/>
    <n v="744.68379999999991"/>
    <n v="0"/>
    <n v="967.08964203566677"/>
    <n v="636.38915448121713"/>
  </r>
  <r>
    <s v="Regular"/>
    <x v="2"/>
    <x v="3"/>
    <x v="3"/>
    <x v="2"/>
    <x v="2"/>
    <x v="0"/>
    <x v="2"/>
    <x v="5"/>
    <n v="0"/>
    <n v="0"/>
    <n v="31.411999999999999"/>
    <n v="12.5648"/>
    <n v="31.411999999999999"/>
    <n v="12.5648"/>
    <n v="0"/>
    <x v="0"/>
    <n v="0"/>
    <n v="0"/>
    <n v="29"/>
    <n v="66"/>
    <n v="0"/>
    <n v="240.85"/>
    <n v="231.7"/>
    <m/>
    <n v="300.89907966262189"/>
    <n v="198.0053374241497"/>
    <n v="0"/>
    <n v="3026.2320799999998"/>
    <n v="2911.2641599999997"/>
    <n v="0"/>
    <n v="3780.7367561449114"/>
    <n v="2487.8974636669564"/>
  </r>
  <r>
    <s v="Regular"/>
    <x v="2"/>
    <x v="3"/>
    <x v="3"/>
    <x v="2"/>
    <x v="2"/>
    <x v="0"/>
    <x v="2"/>
    <x v="6"/>
    <n v="0"/>
    <n v="0"/>
    <n v="4.9569999999999999"/>
    <n v="1.9827999999999999"/>
    <n v="4.9569999999999999"/>
    <n v="1.9827999999999999"/>
    <n v="0"/>
    <x v="0"/>
    <n v="0"/>
    <n v="0"/>
    <n v="29"/>
    <n v="66"/>
    <n v="0"/>
    <n v="240.85"/>
    <n v="231.7"/>
    <m/>
    <n v="300.89907966262189"/>
    <n v="198.0053374241497"/>
    <n v="0"/>
    <n v="477.55737999999997"/>
    <n v="459.41475999999994"/>
    <n v="0"/>
    <n v="596.6226951550467"/>
    <n v="392.60498304460401"/>
  </r>
  <r>
    <s v="Regular"/>
    <x v="2"/>
    <x v="3"/>
    <x v="3"/>
    <x v="2"/>
    <x v="2"/>
    <x v="0"/>
    <x v="2"/>
    <x v="7"/>
    <n v="0"/>
    <n v="0"/>
    <n v="4.7690000000000001"/>
    <n v="1.9076"/>
    <n v="4.7690000000000001"/>
    <n v="1.9076"/>
    <n v="0"/>
    <x v="0"/>
    <n v="0"/>
    <n v="0"/>
    <n v="29"/>
    <n v="66"/>
    <n v="0"/>
    <n v="240.85"/>
    <n v="231.7"/>
    <m/>
    <n v="300.89907966262189"/>
    <n v="198.0053374241497"/>
    <n v="0"/>
    <n v="459.44545999999997"/>
    <n v="441.99091999999996"/>
    <n v="0"/>
    <n v="573.99508436441749"/>
    <n v="377.71498167030796"/>
  </r>
  <r>
    <s v="Regular"/>
    <x v="2"/>
    <x v="3"/>
    <x v="3"/>
    <x v="2"/>
    <x v="2"/>
    <x v="0"/>
    <x v="2"/>
    <x v="8"/>
    <n v="0"/>
    <n v="0"/>
    <n v="5.1879999999999997"/>
    <n v="2.0752000000000002"/>
    <n v="5.1879999999999997"/>
    <n v="2.0752000000000002"/>
    <n v="0"/>
    <x v="0"/>
    <n v="0"/>
    <n v="0"/>
    <n v="29"/>
    <n v="66"/>
    <n v="0"/>
    <n v="240.85"/>
    <n v="231.7"/>
    <m/>
    <n v="300.89907966262189"/>
    <n v="198.0053374241497"/>
    <n v="0"/>
    <n v="499.81192000000004"/>
    <n v="480.82384000000002"/>
    <n v="0"/>
    <n v="624.42577011587298"/>
    <n v="410.90067622259551"/>
  </r>
  <r>
    <s v="Regular"/>
    <x v="2"/>
    <x v="3"/>
    <x v="3"/>
    <x v="2"/>
    <x v="2"/>
    <x v="0"/>
    <x v="2"/>
    <x v="9"/>
    <n v="0"/>
    <n v="0"/>
    <n v="5.6379999999999999"/>
    <n v="2.2551999999999999"/>
    <n v="5.6379999999999999"/>
    <n v="2.2551999999999999"/>
    <n v="0"/>
    <x v="0"/>
    <n v="0"/>
    <n v="0"/>
    <n v="29"/>
    <n v="66"/>
    <n v="0"/>
    <n v="240.85"/>
    <n v="231.7"/>
    <m/>
    <n v="300.89907966262189"/>
    <n v="198.0053374241497"/>
    <n v="0"/>
    <n v="543.16491999999994"/>
    <n v="522.52983999999992"/>
    <n v="0"/>
    <n v="678.58760445514486"/>
    <n v="446.54163695894238"/>
  </r>
  <r>
    <s v="Regular"/>
    <x v="2"/>
    <x v="3"/>
    <x v="3"/>
    <x v="2"/>
    <x v="2"/>
    <x v="0"/>
    <x v="2"/>
    <x v="10"/>
    <n v="0"/>
    <n v="0"/>
    <n v="9.3390000000000004"/>
    <n v="3.7355999999999998"/>
    <n v="9.3390000000000004"/>
    <n v="3.7355999999999998"/>
    <n v="0"/>
    <x v="0"/>
    <n v="0"/>
    <n v="0"/>
    <n v="29"/>
    <n v="66"/>
    <n v="0"/>
    <n v="240.85"/>
    <n v="231.7"/>
    <m/>
    <n v="300.89907966262189"/>
    <n v="198.0053374241497"/>
    <n v="0"/>
    <n v="899.71925999999996"/>
    <n v="865.53851999999995"/>
    <n v="0"/>
    <n v="1124.0386019876903"/>
    <n v="739.66873848165358"/>
  </r>
  <r>
    <s v="Regular"/>
    <x v="2"/>
    <x v="3"/>
    <x v="3"/>
    <x v="2"/>
    <x v="2"/>
    <x v="0"/>
    <x v="2"/>
    <x v="11"/>
    <n v="0"/>
    <n v="0"/>
    <n v="9.2910000000000004"/>
    <n v="3.7164000000000001"/>
    <n v="9.2910000000000004"/>
    <n v="3.7164000000000001"/>
    <n v="0"/>
    <x v="0"/>
    <n v="0"/>
    <n v="0"/>
    <n v="29"/>
    <n v="66"/>
    <n v="0"/>
    <n v="240.85"/>
    <n v="231.7"/>
    <m/>
    <n v="300.89907966262189"/>
    <n v="198.0053374241497"/>
    <n v="0"/>
    <n v="895.09494000000007"/>
    <n v="861.08987999999999"/>
    <n v="0"/>
    <n v="1118.261339658168"/>
    <n v="735.86703600311"/>
  </r>
  <r>
    <s v="Regular"/>
    <x v="2"/>
    <x v="3"/>
    <x v="3"/>
    <x v="8"/>
    <x v="3"/>
    <x v="0"/>
    <x v="2"/>
    <x v="0"/>
    <n v="0"/>
    <n v="0"/>
    <n v="0.63100000000000001"/>
    <n v="0.63100000000000001"/>
    <n v="0.63100000000000001"/>
    <n v="0.63100000000000001"/>
    <n v="0"/>
    <x v="0"/>
    <n v="0"/>
    <n v="0"/>
    <n v="29"/>
    <n v="66"/>
    <n v="0"/>
    <n v="240.85"/>
    <n v="231.7"/>
    <m/>
    <n v="300.89907966262189"/>
    <n v="198.0053374241497"/>
    <n v="0"/>
    <n v="151.97635"/>
    <n v="146.20269999999999"/>
    <n v="0"/>
    <n v="189.86731926711442"/>
    <n v="124.94136791463846"/>
  </r>
  <r>
    <s v="Regular"/>
    <x v="2"/>
    <x v="3"/>
    <x v="3"/>
    <x v="8"/>
    <x v="3"/>
    <x v="0"/>
    <x v="2"/>
    <x v="1"/>
    <n v="0"/>
    <n v="0"/>
    <n v="3.714"/>
    <n v="3.714"/>
    <n v="3.714"/>
    <n v="3.714"/>
    <n v="0"/>
    <x v="0"/>
    <n v="0"/>
    <n v="0"/>
    <n v="29"/>
    <n v="66"/>
    <n v="0"/>
    <n v="240.85"/>
    <n v="231.7"/>
    <m/>
    <n v="300.89907966262189"/>
    <n v="198.0053374241497"/>
    <n v="0"/>
    <n v="894.51689999999996"/>
    <n v="860.53379999999993"/>
    <n v="0"/>
    <n v="1117.5391818669777"/>
    <n v="735.391823193292"/>
  </r>
  <r>
    <s v="Regular"/>
    <x v="2"/>
    <x v="3"/>
    <x v="3"/>
    <x v="8"/>
    <x v="3"/>
    <x v="0"/>
    <x v="2"/>
    <x v="2"/>
    <n v="0"/>
    <n v="0"/>
    <n v="3.6040000000000001"/>
    <n v="3.6040000000000001"/>
    <n v="3.6040000000000001"/>
    <n v="3.6040000000000001"/>
    <n v="0"/>
    <x v="0"/>
    <n v="0"/>
    <n v="0"/>
    <n v="29"/>
    <n v="66"/>
    <n v="0"/>
    <n v="240.85"/>
    <n v="231.7"/>
    <m/>
    <n v="300.89907966262189"/>
    <n v="198.0053374241497"/>
    <n v="0"/>
    <n v="868.02340000000004"/>
    <n v="835.04679999999996"/>
    <n v="0"/>
    <n v="1084.4402831040893"/>
    <n v="713.61123607663558"/>
  </r>
  <r>
    <s v="Regular"/>
    <x v="2"/>
    <x v="3"/>
    <x v="3"/>
    <x v="8"/>
    <x v="3"/>
    <x v="0"/>
    <x v="2"/>
    <x v="3"/>
    <n v="0"/>
    <n v="0"/>
    <n v="4.0940000000000003"/>
    <n v="4.0940000000000003"/>
    <n v="4.0940000000000003"/>
    <n v="4.0940000000000003"/>
    <n v="0"/>
    <x v="0"/>
    <n v="0"/>
    <n v="0"/>
    <n v="29"/>
    <n v="66"/>
    <n v="0"/>
    <n v="240.85"/>
    <n v="231.7"/>
    <m/>
    <n v="300.89907966262189"/>
    <n v="198.0053374241497"/>
    <n v="0"/>
    <n v="986.0399000000001"/>
    <n v="948.57979999999998"/>
    <n v="0"/>
    <n v="1231.8808321387742"/>
    <n v="810.63385141446895"/>
  </r>
  <r>
    <s v="Regular"/>
    <x v="2"/>
    <x v="3"/>
    <x v="3"/>
    <x v="8"/>
    <x v="3"/>
    <x v="0"/>
    <x v="2"/>
    <x v="4"/>
    <n v="0"/>
    <n v="0"/>
    <n v="3.9260000000000002"/>
    <n v="3.9260000000000002"/>
    <n v="3.9260000000000002"/>
    <n v="3.9260000000000002"/>
    <n v="0"/>
    <x v="0"/>
    <n v="0"/>
    <n v="0"/>
    <n v="29"/>
    <n v="66"/>
    <n v="0"/>
    <n v="240.85"/>
    <n v="231.7"/>
    <m/>
    <n v="300.89907966262189"/>
    <n v="198.0053374241497"/>
    <n v="0"/>
    <n v="945.57709999999997"/>
    <n v="909.65419999999995"/>
    <n v="0"/>
    <n v="1181.3297867554536"/>
    <n v="777.36895472721176"/>
  </r>
  <r>
    <s v="Regular"/>
    <x v="2"/>
    <x v="3"/>
    <x v="3"/>
    <x v="8"/>
    <x v="3"/>
    <x v="0"/>
    <x v="2"/>
    <x v="5"/>
    <n v="0"/>
    <n v="0"/>
    <n v="1.698"/>
    <n v="1.698"/>
    <n v="1.698"/>
    <n v="1.698"/>
    <n v="0"/>
    <x v="0"/>
    <n v="0"/>
    <n v="0"/>
    <n v="29"/>
    <n v="66"/>
    <n v="0"/>
    <n v="240.85"/>
    <n v="231.7"/>
    <m/>
    <n v="300.89907966262189"/>
    <n v="198.0053374241497"/>
    <n v="0"/>
    <n v="408.9633"/>
    <n v="393.42659999999995"/>
    <n v="0"/>
    <n v="510.92663726713192"/>
    <n v="336.21306294620621"/>
  </r>
  <r>
    <s v="Regular"/>
    <x v="2"/>
    <x v="3"/>
    <x v="3"/>
    <x v="8"/>
    <x v="3"/>
    <x v="0"/>
    <x v="2"/>
    <x v="6"/>
    <n v="0"/>
    <n v="0"/>
    <n v="3.7109999999999999"/>
    <n v="3.7109999999999999"/>
    <n v="3.7109999999999999"/>
    <n v="3.7109999999999999"/>
    <n v="0"/>
    <x v="0"/>
    <n v="0"/>
    <n v="0"/>
    <n v="29"/>
    <n v="66"/>
    <n v="0"/>
    <n v="240.85"/>
    <n v="231.7"/>
    <m/>
    <n v="300.89907966262189"/>
    <n v="198.0053374241497"/>
    <n v="0"/>
    <n v="893.79434999999989"/>
    <n v="859.8386999999999"/>
    <n v="0"/>
    <n v="1116.6364846279898"/>
    <n v="734.79780718101949"/>
  </r>
  <r>
    <s v="Regular"/>
    <x v="2"/>
    <x v="3"/>
    <x v="3"/>
    <x v="8"/>
    <x v="3"/>
    <x v="0"/>
    <x v="2"/>
    <x v="7"/>
    <n v="0"/>
    <n v="0"/>
    <n v="3.3180000000000001"/>
    <n v="3.3180000000000001"/>
    <n v="3.3180000000000001"/>
    <n v="3.3180000000000001"/>
    <n v="0"/>
    <x v="0"/>
    <n v="0"/>
    <n v="0"/>
    <n v="29"/>
    <n v="66"/>
    <n v="0"/>
    <n v="240.85"/>
    <n v="231.7"/>
    <m/>
    <n v="300.89907966262189"/>
    <n v="198.0053374241497"/>
    <n v="0"/>
    <n v="799.14030000000002"/>
    <n v="768.78059999999994"/>
    <n v="0"/>
    <n v="998.38314632057939"/>
    <n v="656.98170957332877"/>
  </r>
  <r>
    <s v="Regular"/>
    <x v="2"/>
    <x v="3"/>
    <x v="3"/>
    <x v="8"/>
    <x v="3"/>
    <x v="0"/>
    <x v="2"/>
    <x v="8"/>
    <n v="0"/>
    <n v="0"/>
    <n v="3.28"/>
    <n v="3.28"/>
    <n v="3.28"/>
    <n v="3.28"/>
    <n v="0"/>
    <x v="0"/>
    <n v="0"/>
    <n v="0"/>
    <n v="29"/>
    <n v="66"/>
    <n v="0"/>
    <n v="240.85"/>
    <n v="231.7"/>
    <m/>
    <n v="300.89907966262189"/>
    <n v="198.0053374241497"/>
    <n v="0"/>
    <n v="789.98799999999994"/>
    <n v="759.97599999999989"/>
    <n v="0"/>
    <n v="986.9489812933997"/>
    <n v="649.45750675121099"/>
  </r>
  <r>
    <s v="Regular"/>
    <x v="2"/>
    <x v="3"/>
    <x v="3"/>
    <x v="8"/>
    <x v="3"/>
    <x v="0"/>
    <x v="2"/>
    <x v="9"/>
    <n v="0"/>
    <n v="0"/>
    <n v="2.9420000000000002"/>
    <n v="2.9420000000000002"/>
    <n v="2.9420000000000002"/>
    <n v="2.9420000000000002"/>
    <n v="0"/>
    <x v="0"/>
    <n v="0"/>
    <n v="0"/>
    <n v="29"/>
    <n v="66"/>
    <n v="0"/>
    <n v="240.85"/>
    <n v="231.7"/>
    <m/>
    <n v="300.89907966262189"/>
    <n v="198.0053374241497"/>
    <n v="0"/>
    <n v="708.58069999999998"/>
    <n v="681.66139999999996"/>
    <n v="0"/>
    <n v="885.24509236743359"/>
    <n v="582.53170270184842"/>
  </r>
  <r>
    <s v="Regular"/>
    <x v="2"/>
    <x v="3"/>
    <x v="3"/>
    <x v="8"/>
    <x v="3"/>
    <x v="0"/>
    <x v="2"/>
    <x v="10"/>
    <n v="0"/>
    <n v="0"/>
    <n v="2.9609999999999999"/>
    <n v="2.9609999999999999"/>
    <n v="2.9609999999999999"/>
    <n v="2.9609999999999999"/>
    <n v="0"/>
    <x v="0"/>
    <n v="0"/>
    <n v="0"/>
    <n v="29"/>
    <n v="66"/>
    <n v="0"/>
    <n v="240.85"/>
    <n v="231.7"/>
    <m/>
    <n v="300.89907966262189"/>
    <n v="198.0053374241497"/>
    <n v="0"/>
    <n v="713.15684999999996"/>
    <n v="686.06369999999993"/>
    <n v="0"/>
    <n v="890.96217488102332"/>
    <n v="586.2938041129072"/>
  </r>
  <r>
    <s v="Regular"/>
    <x v="2"/>
    <x v="3"/>
    <x v="3"/>
    <x v="8"/>
    <x v="3"/>
    <x v="0"/>
    <x v="2"/>
    <x v="11"/>
    <n v="0"/>
    <n v="0"/>
    <n v="2.7930000000000001"/>
    <n v="2.7930000000000001"/>
    <n v="2.7930000000000001"/>
    <n v="2.7930000000000001"/>
    <n v="0"/>
    <x v="0"/>
    <n v="0"/>
    <n v="0"/>
    <n v="29"/>
    <n v="66"/>
    <n v="0"/>
    <n v="240.85"/>
    <n v="231.7"/>
    <m/>
    <n v="300.89907966262189"/>
    <n v="198.0053374241497"/>
    <n v="0"/>
    <n v="672.69405000000006"/>
    <n v="647.13810000000001"/>
    <n v="0"/>
    <n v="840.41112949770297"/>
    <n v="553.02890742565012"/>
  </r>
  <r>
    <s v="Regular"/>
    <x v="2"/>
    <x v="3"/>
    <x v="3"/>
    <x v="8"/>
    <x v="2"/>
    <x v="0"/>
    <x v="2"/>
    <x v="0"/>
    <n v="0"/>
    <n v="0"/>
    <n v="1.8169999999999999"/>
    <n v="0.7268"/>
    <n v="1.8169999999999999"/>
    <n v="0.7268"/>
    <n v="0"/>
    <x v="0"/>
    <n v="0"/>
    <n v="0"/>
    <n v="29"/>
    <n v="66"/>
    <n v="0"/>
    <n v="240.85"/>
    <n v="231.7"/>
    <m/>
    <n v="300.89907966262189"/>
    <n v="198.0053374241497"/>
    <n v="0"/>
    <n v="175.04978"/>
    <n v="168.39955999999998"/>
    <n v="0"/>
    <n v="218.69345109879359"/>
    <n v="143.91027923987201"/>
  </r>
  <r>
    <s v="Regular"/>
    <x v="2"/>
    <x v="3"/>
    <x v="3"/>
    <x v="8"/>
    <x v="2"/>
    <x v="0"/>
    <x v="2"/>
    <x v="1"/>
    <n v="0"/>
    <n v="0"/>
    <n v="3.04"/>
    <n v="1.216"/>
    <n v="3.04"/>
    <n v="1.216"/>
    <n v="0"/>
    <x v="0"/>
    <n v="0"/>
    <n v="0"/>
    <n v="29"/>
    <n v="66"/>
    <n v="0"/>
    <n v="240.85"/>
    <n v="231.7"/>
    <m/>
    <n v="300.89907966262189"/>
    <n v="198.0053374241497"/>
    <n v="0"/>
    <n v="292.87360000000001"/>
    <n v="281.74719999999996"/>
    <n v="0"/>
    <n v="365.8932808697482"/>
    <n v="240.77449030776603"/>
  </r>
  <r>
    <s v="Regular"/>
    <x v="2"/>
    <x v="3"/>
    <x v="3"/>
    <x v="8"/>
    <x v="2"/>
    <x v="0"/>
    <x v="2"/>
    <x v="2"/>
    <n v="0"/>
    <n v="0"/>
    <n v="2.3580000000000001"/>
    <n v="0.94320000000000004"/>
    <n v="2.3580000000000001"/>
    <n v="0.94320000000000004"/>
    <n v="0"/>
    <x v="0"/>
    <n v="0"/>
    <n v="0"/>
    <n v="29"/>
    <n v="66"/>
    <n v="0"/>
    <n v="240.85"/>
    <n v="231.7"/>
    <m/>
    <n v="300.89907966262189"/>
    <n v="198.0053374241497"/>
    <n v="0"/>
    <n v="227.16972000000001"/>
    <n v="218.53943999999998"/>
    <n v="0"/>
    <n v="283.80801193778495"/>
    <n v="186.75863425845802"/>
  </r>
  <r>
    <s v="Regular"/>
    <x v="2"/>
    <x v="3"/>
    <x v="3"/>
    <x v="8"/>
    <x v="2"/>
    <x v="0"/>
    <x v="2"/>
    <x v="3"/>
    <n v="0"/>
    <n v="0"/>
    <n v="2.86"/>
    <n v="1.1439999999999999"/>
    <n v="2.86"/>
    <n v="1.1439999999999999"/>
    <n v="0"/>
    <x v="0"/>
    <n v="0"/>
    <n v="0"/>
    <n v="29"/>
    <n v="66"/>
    <n v="0"/>
    <n v="240.85"/>
    <n v="231.7"/>
    <m/>
    <n v="300.89907966262189"/>
    <n v="198.0053374241497"/>
    <n v="0"/>
    <n v="275.5324"/>
    <n v="265.06479999999999"/>
    <n v="0"/>
    <n v="344.22854713403939"/>
    <n v="226.51810601322725"/>
  </r>
  <r>
    <s v="Regular"/>
    <x v="2"/>
    <x v="3"/>
    <x v="3"/>
    <x v="8"/>
    <x v="2"/>
    <x v="0"/>
    <x v="2"/>
    <x v="4"/>
    <n v="0"/>
    <n v="0"/>
    <n v="2.6030000000000002"/>
    <n v="1.0411999999999999"/>
    <n v="2.6030000000000002"/>
    <n v="1.0411999999999999"/>
    <n v="0"/>
    <x v="0"/>
    <n v="0"/>
    <n v="0"/>
    <n v="29"/>
    <n v="66"/>
    <n v="0"/>
    <n v="240.85"/>
    <n v="231.7"/>
    <m/>
    <n v="300.89907966262189"/>
    <n v="198.0053374241497"/>
    <n v="0"/>
    <n v="250.77301999999997"/>
    <n v="241.24603999999997"/>
    <n v="0"/>
    <n v="313.29612174472186"/>
    <n v="206.16315732602465"/>
  </r>
  <r>
    <s v="Regular"/>
    <x v="2"/>
    <x v="3"/>
    <x v="3"/>
    <x v="8"/>
    <x v="2"/>
    <x v="0"/>
    <x v="2"/>
    <x v="5"/>
    <n v="0"/>
    <n v="0"/>
    <n v="2.6150000000000002"/>
    <n v="1.046"/>
    <n v="2.6150000000000002"/>
    <n v="1.046"/>
    <n v="0"/>
    <x v="0"/>
    <n v="0"/>
    <n v="0"/>
    <n v="29"/>
    <n v="66"/>
    <n v="0"/>
    <n v="240.85"/>
    <n v="231.7"/>
    <m/>
    <n v="300.89907966262189"/>
    <n v="198.0053374241497"/>
    <n v="0"/>
    <n v="251.92910000000001"/>
    <n v="242.35820000000001"/>
    <n v="0"/>
    <n v="314.74043732710248"/>
    <n v="207.1135829456606"/>
  </r>
  <r>
    <s v="Regular"/>
    <x v="2"/>
    <x v="3"/>
    <x v="3"/>
    <x v="8"/>
    <x v="2"/>
    <x v="0"/>
    <x v="2"/>
    <x v="6"/>
    <n v="0"/>
    <n v="0"/>
    <n v="2.3199999999999998"/>
    <n v="0.92800000000000005"/>
    <n v="2.3199999999999998"/>
    <n v="0.92800000000000005"/>
    <n v="0"/>
    <x v="0"/>
    <n v="0"/>
    <n v="0"/>
    <n v="29"/>
    <n v="66"/>
    <n v="0"/>
    <n v="240.85"/>
    <n v="231.7"/>
    <m/>
    <n v="300.89907966262189"/>
    <n v="198.0053374241497"/>
    <n v="0"/>
    <n v="223.50880000000001"/>
    <n v="215.01759999999999"/>
    <n v="0"/>
    <n v="279.23434592691314"/>
    <n v="183.74895312961092"/>
  </r>
  <r>
    <s v="Regular"/>
    <x v="2"/>
    <x v="3"/>
    <x v="3"/>
    <x v="8"/>
    <x v="2"/>
    <x v="0"/>
    <x v="2"/>
    <x v="7"/>
    <n v="0"/>
    <n v="0"/>
    <n v="2.157"/>
    <n v="0.86280000000000001"/>
    <n v="2.157"/>
    <n v="0.86280000000000001"/>
    <n v="0"/>
    <x v="0"/>
    <n v="0"/>
    <n v="0"/>
    <n v="29"/>
    <n v="66"/>
    <n v="0"/>
    <n v="240.85"/>
    <n v="231.7"/>
    <m/>
    <n v="300.89907966262189"/>
    <n v="198.0053374241497"/>
    <n v="0"/>
    <n v="207.80537999999999"/>
    <n v="199.91075999999998"/>
    <n v="0"/>
    <n v="259.61572593291015"/>
    <n v="170.83900512955637"/>
  </r>
  <r>
    <s v="Regular"/>
    <x v="2"/>
    <x v="3"/>
    <x v="3"/>
    <x v="8"/>
    <x v="2"/>
    <x v="0"/>
    <x v="2"/>
    <x v="8"/>
    <n v="0"/>
    <n v="0"/>
    <n v="1.97"/>
    <n v="0.78800000000000003"/>
    <n v="1.97"/>
    <n v="0.78800000000000003"/>
    <n v="0"/>
    <x v="0"/>
    <n v="0"/>
    <n v="0"/>
    <n v="29"/>
    <n v="66"/>
    <n v="0"/>
    <n v="240.85"/>
    <n v="231.7"/>
    <m/>
    <n v="300.89907966262189"/>
    <n v="198.0053374241497"/>
    <n v="0"/>
    <n v="189.78980000000001"/>
    <n v="182.5796"/>
    <n v="0"/>
    <n v="237.10847477414606"/>
    <n v="156.02820589022997"/>
  </r>
  <r>
    <s v="Regular"/>
    <x v="2"/>
    <x v="3"/>
    <x v="3"/>
    <x v="8"/>
    <x v="2"/>
    <x v="0"/>
    <x v="2"/>
    <x v="9"/>
    <n v="0"/>
    <n v="0"/>
    <n v="1.798"/>
    <n v="0.71919999999999995"/>
    <n v="1.798"/>
    <n v="0.71919999999999995"/>
    <n v="0"/>
    <x v="0"/>
    <n v="0"/>
    <n v="0"/>
    <n v="29"/>
    <n v="66"/>
    <n v="0"/>
    <n v="240.85"/>
    <n v="231.7"/>
    <m/>
    <n v="300.89907966262189"/>
    <n v="198.0053374241497"/>
    <n v="0"/>
    <n v="173.21931999999998"/>
    <n v="166.63863999999998"/>
    <n v="0"/>
    <n v="216.40661809335765"/>
    <n v="142.40543867544847"/>
  </r>
  <r>
    <s v="Regular"/>
    <x v="2"/>
    <x v="3"/>
    <x v="3"/>
    <x v="8"/>
    <x v="2"/>
    <x v="0"/>
    <x v="2"/>
    <x v="10"/>
    <n v="0"/>
    <n v="0"/>
    <n v="1.7749999999999999"/>
    <n v="0.71"/>
    <n v="1.7749999999999999"/>
    <n v="0.71"/>
    <n v="0"/>
    <x v="0"/>
    <n v="0"/>
    <n v="0"/>
    <n v="29"/>
    <n v="66"/>
    <n v="0"/>
    <n v="240.85"/>
    <n v="231.7"/>
    <m/>
    <n v="300.89907966262189"/>
    <n v="198.0053374241497"/>
    <n v="0"/>
    <n v="171.00349999999997"/>
    <n v="164.50699999999998"/>
    <n v="0"/>
    <n v="213.63834656046154"/>
    <n v="140.58378957114627"/>
  </r>
  <r>
    <s v="Regular"/>
    <x v="2"/>
    <x v="3"/>
    <x v="3"/>
    <x v="8"/>
    <x v="2"/>
    <x v="0"/>
    <x v="2"/>
    <x v="11"/>
    <n v="0"/>
    <n v="0"/>
    <n v="1.724"/>
    <n v="0.68959999999999999"/>
    <n v="1.724"/>
    <n v="0.68959999999999999"/>
    <n v="0"/>
    <x v="0"/>
    <n v="0"/>
    <n v="0"/>
    <n v="29"/>
    <n v="66"/>
    <n v="0"/>
    <n v="240.85"/>
    <n v="231.7"/>
    <m/>
    <n v="300.89907966262189"/>
    <n v="198.0053374241497"/>
    <n v="0"/>
    <n v="166.09016"/>
    <n v="159.78031999999999"/>
    <n v="0"/>
    <n v="207.50000533534404"/>
    <n v="136.54448068769364"/>
  </r>
  <r>
    <s v="Regular"/>
    <x v="2"/>
    <x v="3"/>
    <x v="3"/>
    <x v="0"/>
    <x v="0"/>
    <x v="0"/>
    <x v="2"/>
    <x v="0"/>
    <n v="0"/>
    <n v="0"/>
    <n v="3126.35"/>
    <n v="3126.35"/>
    <n v="3126.35"/>
    <n v="3126.35"/>
    <n v="2694"/>
    <x v="0"/>
    <n v="0"/>
    <n v="0"/>
    <n v="29"/>
    <n v="66"/>
    <n v="0"/>
    <n v="240.85"/>
    <n v="231.7"/>
    <m/>
    <n v="300.89907966262189"/>
    <n v="198.0053374241497"/>
    <n v="0"/>
    <n v="752981.39749999996"/>
    <n v="724375.29499999993"/>
    <n v="0"/>
    <n v="940715.83770323789"/>
    <n v="619033.98665599036"/>
  </r>
  <r>
    <s v="Refaturamento - Regular"/>
    <x v="2"/>
    <x v="3"/>
    <x v="3"/>
    <x v="0"/>
    <x v="0"/>
    <x v="0"/>
    <x v="2"/>
    <x v="0"/>
    <n v="0"/>
    <n v="0"/>
    <n v="-8.8789999999999996"/>
    <n v="-8.8789999999999996"/>
    <n v="-8.8789999999999996"/>
    <n v="-8.8789999999999996"/>
    <n v="0"/>
    <x v="0"/>
    <n v="0"/>
    <n v="0"/>
    <n v="29"/>
    <n v="66"/>
    <n v="0"/>
    <n v="240.85"/>
    <n v="231.7"/>
    <m/>
    <n v="300.89907966262189"/>
    <n v="198.0053374241497"/>
    <n v="0"/>
    <n v="-2138.5071499999999"/>
    <n v="-2057.2642999999998"/>
    <n v="0"/>
    <n v="-2671.6829283244197"/>
    <n v="-1758.0893909890251"/>
  </r>
  <r>
    <s v="Sistema de Compensação"/>
    <x v="2"/>
    <x v="3"/>
    <x v="3"/>
    <x v="0"/>
    <x v="0"/>
    <x v="0"/>
    <x v="2"/>
    <x v="0"/>
    <n v="0"/>
    <n v="0"/>
    <n v="37.948"/>
    <n v="37.948"/>
    <n v="37.948"/>
    <n v="37.948"/>
    <n v="66"/>
    <x v="0"/>
    <n v="0"/>
    <n v="0"/>
    <n v="29"/>
    <n v="66"/>
    <n v="0"/>
    <n v="240.85"/>
    <n v="231.7"/>
    <m/>
    <n v="300.89907966262189"/>
    <n v="198.0053374241497"/>
    <n v="0"/>
    <n v="9139.7757999999994"/>
    <n v="8792.5515999999989"/>
    <n v="0"/>
    <n v="11418.518275037175"/>
    <n v="7513.9065445716333"/>
  </r>
  <r>
    <s v="Regular"/>
    <x v="2"/>
    <x v="3"/>
    <x v="3"/>
    <x v="0"/>
    <x v="0"/>
    <x v="0"/>
    <x v="2"/>
    <x v="1"/>
    <n v="0"/>
    <n v="0"/>
    <n v="2842.0070000000001"/>
    <n v="2842.0070000000001"/>
    <n v="2842.0070000000001"/>
    <n v="2842.0070000000001"/>
    <n v="2664"/>
    <x v="0"/>
    <n v="0"/>
    <n v="0"/>
    <n v="29"/>
    <n v="66"/>
    <n v="0"/>
    <n v="240.85"/>
    <n v="231.7"/>
    <m/>
    <n v="300.89907966262189"/>
    <n v="198.0053374241497"/>
    <n v="0"/>
    <n v="684497.38595000003"/>
    <n v="658493.02189999993"/>
    <n v="0"/>
    <n v="855157.29069472908"/>
    <n v="562732.55499679549"/>
  </r>
  <r>
    <s v="Sistema de Compensação"/>
    <x v="2"/>
    <x v="3"/>
    <x v="3"/>
    <x v="0"/>
    <x v="0"/>
    <x v="0"/>
    <x v="2"/>
    <x v="1"/>
    <n v="0"/>
    <n v="0"/>
    <n v="71.721999999999994"/>
    <n v="71.721999999999994"/>
    <n v="71.721999999999994"/>
    <n v="71.721999999999994"/>
    <n v="72"/>
    <x v="0"/>
    <n v="0"/>
    <n v="0"/>
    <n v="29"/>
    <n v="66"/>
    <n v="0"/>
    <n v="240.85"/>
    <n v="231.7"/>
    <m/>
    <n v="300.89907966262189"/>
    <n v="198.0053374241497"/>
    <n v="0"/>
    <n v="17274.243699999999"/>
    <n v="16617.987399999998"/>
    <n v="0"/>
    <n v="21581.083791562563"/>
    <n v="14201.338810734864"/>
  </r>
  <r>
    <s v="Regular"/>
    <x v="2"/>
    <x v="3"/>
    <x v="3"/>
    <x v="0"/>
    <x v="0"/>
    <x v="0"/>
    <x v="2"/>
    <x v="2"/>
    <n v="0"/>
    <n v="0"/>
    <n v="2702.8150000000001"/>
    <n v="2702.8150000000001"/>
    <n v="2702.8150000000001"/>
    <n v="2702.8150000000001"/>
    <n v="2654"/>
    <x v="0"/>
    <n v="0"/>
    <n v="0"/>
    <n v="29"/>
    <n v="66"/>
    <n v="0"/>
    <n v="240.85"/>
    <n v="231.7"/>
    <m/>
    <n v="300.89907966262189"/>
    <n v="198.0053374241497"/>
    <n v="0"/>
    <n v="650972.99274999998"/>
    <n v="626242.23549999995"/>
    <n v="0"/>
    <n v="813274.54599832941"/>
    <n v="535171.79607005324"/>
  </r>
  <r>
    <s v="Refaturamento - Regular"/>
    <x v="2"/>
    <x v="3"/>
    <x v="3"/>
    <x v="0"/>
    <x v="0"/>
    <x v="0"/>
    <x v="2"/>
    <x v="2"/>
    <n v="0"/>
    <n v="0"/>
    <n v="-26.428999999999998"/>
    <n v="-26.428999999999998"/>
    <n v="-26.428999999999998"/>
    <n v="-26.428999999999998"/>
    <n v="0"/>
    <x v="0"/>
    <n v="0"/>
    <n v="0"/>
    <n v="29"/>
    <n v="66"/>
    <n v="0"/>
    <n v="240.85"/>
    <n v="231.7"/>
    <m/>
    <n v="300.89907966262189"/>
    <n v="198.0053374241497"/>
    <n v="0"/>
    <n v="-6365.4246499999999"/>
    <n v="-6123.5992999999989"/>
    <n v="0"/>
    <n v="-7952.4617764034338"/>
    <n v="-5233.0830627828518"/>
  </r>
  <r>
    <s v="Sistema de Compensação"/>
    <x v="2"/>
    <x v="3"/>
    <x v="3"/>
    <x v="0"/>
    <x v="0"/>
    <x v="0"/>
    <x v="2"/>
    <x v="2"/>
    <n v="0"/>
    <n v="0"/>
    <n v="68.347999999999999"/>
    <n v="68.347999999999999"/>
    <n v="68.347999999999999"/>
    <n v="68.347999999999999"/>
    <n v="77"/>
    <x v="0"/>
    <n v="0"/>
    <n v="0"/>
    <n v="29"/>
    <n v="66"/>
    <n v="0"/>
    <n v="240.85"/>
    <n v="231.7"/>
    <m/>
    <n v="300.89907966262189"/>
    <n v="198.0053374241497"/>
    <n v="0"/>
    <n v="16461.6158"/>
    <n v="15836.231599999999"/>
    <n v="0"/>
    <n v="20565.850296780882"/>
    <n v="13533.268802265784"/>
  </r>
  <r>
    <s v="Regular"/>
    <x v="2"/>
    <x v="3"/>
    <x v="3"/>
    <x v="0"/>
    <x v="0"/>
    <x v="0"/>
    <x v="2"/>
    <x v="3"/>
    <n v="0"/>
    <n v="0"/>
    <n v="2804.4450000000002"/>
    <n v="2804.4450000000002"/>
    <n v="2804.4450000000002"/>
    <n v="2804.4450000000002"/>
    <n v="2642"/>
    <x v="0"/>
    <n v="0"/>
    <n v="0"/>
    <n v="29"/>
    <n v="66"/>
    <n v="0"/>
    <n v="240.85"/>
    <n v="231.7"/>
    <m/>
    <n v="300.89907966262189"/>
    <n v="198.0053374241497"/>
    <n v="0"/>
    <n v="675450.57825000002"/>
    <n v="649789.90650000004"/>
    <n v="0"/>
    <n v="843854.91946444171"/>
    <n v="555295.07851246954"/>
  </r>
  <r>
    <s v="Sistema de Compensação"/>
    <x v="2"/>
    <x v="3"/>
    <x v="3"/>
    <x v="0"/>
    <x v="0"/>
    <x v="0"/>
    <x v="2"/>
    <x v="3"/>
    <n v="0"/>
    <n v="0"/>
    <n v="63.024000000000001"/>
    <n v="63.024000000000001"/>
    <n v="63.024000000000001"/>
    <n v="63.024000000000001"/>
    <n v="82"/>
    <x v="0"/>
    <n v="0"/>
    <n v="0"/>
    <n v="29"/>
    <n v="66"/>
    <n v="0"/>
    <n v="240.85"/>
    <n v="231.7"/>
    <m/>
    <n v="300.89907966262189"/>
    <n v="198.0053374241497"/>
    <n v="0"/>
    <n v="15179.330400000001"/>
    <n v="14602.6608"/>
    <n v="0"/>
    <n v="18963.863596657084"/>
    <n v="12479.08838581961"/>
  </r>
  <r>
    <s v="Regular"/>
    <x v="2"/>
    <x v="3"/>
    <x v="3"/>
    <x v="0"/>
    <x v="0"/>
    <x v="0"/>
    <x v="2"/>
    <x v="4"/>
    <n v="0"/>
    <n v="0"/>
    <n v="3273.73"/>
    <n v="3273.73"/>
    <n v="3273.73"/>
    <n v="3273.73"/>
    <n v="2629"/>
    <x v="0"/>
    <n v="0"/>
    <n v="0"/>
    <n v="29"/>
    <n v="66"/>
    <n v="0"/>
    <n v="240.85"/>
    <n v="231.7"/>
    <m/>
    <n v="300.89907966262189"/>
    <n v="198.0053374241497"/>
    <n v="0"/>
    <n v="788477.87049999996"/>
    <n v="758523.24099999992"/>
    <n v="0"/>
    <n v="985062.3440639152"/>
    <n v="648216.01328556158"/>
  </r>
  <r>
    <s v="Sistema de Compensação"/>
    <x v="2"/>
    <x v="3"/>
    <x v="3"/>
    <x v="0"/>
    <x v="0"/>
    <x v="0"/>
    <x v="2"/>
    <x v="4"/>
    <n v="0"/>
    <n v="0"/>
    <n v="65.180999999999997"/>
    <n v="65.180999999999997"/>
    <n v="65.180999999999997"/>
    <n v="65.180999999999997"/>
    <n v="80"/>
    <x v="0"/>
    <n v="0"/>
    <n v="0"/>
    <n v="29"/>
    <n v="66"/>
    <n v="0"/>
    <n v="240.85"/>
    <n v="231.7"/>
    <m/>
    <n v="300.89907966262189"/>
    <n v="198.0053374241497"/>
    <n v="0"/>
    <n v="15698.843849999999"/>
    <n v="15102.437699999999"/>
    <n v="0"/>
    <n v="19612.902911489356"/>
    <n v="12906.185898643502"/>
  </r>
  <r>
    <s v="Regular"/>
    <x v="2"/>
    <x v="3"/>
    <x v="3"/>
    <x v="0"/>
    <x v="0"/>
    <x v="0"/>
    <x v="2"/>
    <x v="5"/>
    <n v="0"/>
    <n v="0"/>
    <n v="3192.11"/>
    <n v="3192.11"/>
    <n v="3192.11"/>
    <n v="3192.11"/>
    <n v="2606"/>
    <x v="0"/>
    <n v="0"/>
    <n v="0"/>
    <n v="29"/>
    <n v="66"/>
    <n v="0"/>
    <n v="240.85"/>
    <n v="231.7"/>
    <m/>
    <n v="300.89907966262189"/>
    <n v="198.0053374241497"/>
    <n v="0"/>
    <n v="768819.69350000005"/>
    <n v="739611.88699999999"/>
    <n v="0"/>
    <n v="960502.96118185204"/>
    <n v="632054.81764500251"/>
  </r>
  <r>
    <s v="Sistema de Compensação"/>
    <x v="2"/>
    <x v="3"/>
    <x v="3"/>
    <x v="0"/>
    <x v="0"/>
    <x v="0"/>
    <x v="2"/>
    <x v="5"/>
    <n v="0"/>
    <n v="0"/>
    <n v="77.048000000000002"/>
    <n v="77.048000000000002"/>
    <n v="77.048000000000002"/>
    <n v="77.048000000000002"/>
    <n v="78"/>
    <x v="0"/>
    <n v="0"/>
    <n v="0"/>
    <n v="29"/>
    <n v="66"/>
    <n v="0"/>
    <n v="240.85"/>
    <n v="231.7"/>
    <m/>
    <n v="300.89907966262189"/>
    <n v="198.0053374241497"/>
    <n v="0"/>
    <n v="18557.0108"/>
    <n v="17852.0216"/>
    <n v="0"/>
    <n v="23183.67228984569"/>
    <n v="15255.915237855887"/>
  </r>
  <r>
    <s v="Regular"/>
    <x v="2"/>
    <x v="3"/>
    <x v="3"/>
    <x v="0"/>
    <x v="0"/>
    <x v="0"/>
    <x v="2"/>
    <x v="6"/>
    <n v="0"/>
    <n v="0"/>
    <n v="2736.4780000000001"/>
    <n v="2736.4780000000001"/>
    <n v="2736.4780000000001"/>
    <n v="2736.4780000000001"/>
    <n v="2591"/>
    <x v="0"/>
    <n v="0"/>
    <n v="0"/>
    <n v="29"/>
    <n v="66"/>
    <n v="0"/>
    <n v="240.85"/>
    <n v="231.7"/>
    <m/>
    <n v="300.89907966262189"/>
    <n v="198.0053374241497"/>
    <n v="0"/>
    <n v="659080.72629999998"/>
    <n v="634041.95259999996"/>
    <n v="0"/>
    <n v="823403.71171701222"/>
    <n v="541837.24974376231"/>
  </r>
  <r>
    <s v="Refaturamento - Regular"/>
    <x v="2"/>
    <x v="3"/>
    <x v="3"/>
    <x v="0"/>
    <x v="0"/>
    <x v="0"/>
    <x v="2"/>
    <x v="6"/>
    <n v="0"/>
    <n v="0"/>
    <n v="-9.3810000000000002"/>
    <n v="-9.3810000000000002"/>
    <n v="-9.3810000000000002"/>
    <n v="-9.3810000000000002"/>
    <n v="0"/>
    <x v="0"/>
    <n v="0"/>
    <n v="0"/>
    <n v="29"/>
    <n v="66"/>
    <n v="0"/>
    <n v="240.85"/>
    <n v="231.7"/>
    <m/>
    <n v="300.89907966262189"/>
    <n v="198.0053374241497"/>
    <n v="0"/>
    <n v="-2259.4138499999999"/>
    <n v="-2173.5776999999998"/>
    <n v="0"/>
    <n v="-2822.7342663150562"/>
    <n v="-1857.4880703759484"/>
  </r>
  <r>
    <s v="Sistema de Compensação"/>
    <x v="2"/>
    <x v="3"/>
    <x v="3"/>
    <x v="0"/>
    <x v="0"/>
    <x v="0"/>
    <x v="2"/>
    <x v="6"/>
    <n v="0"/>
    <n v="0"/>
    <n v="90.256"/>
    <n v="90.256"/>
    <n v="90.256"/>
    <n v="90.256"/>
    <n v="78"/>
    <x v="0"/>
    <n v="0"/>
    <n v="0"/>
    <n v="29"/>
    <n v="66"/>
    <n v="0"/>
    <n v="240.85"/>
    <n v="231.7"/>
    <m/>
    <n v="300.89907966262189"/>
    <n v="198.0053374241497"/>
    <n v="0"/>
    <n v="21738.157599999999"/>
    <n v="20912.315199999997"/>
    <n v="0"/>
    <n v="27157.947334029603"/>
    <n v="17871.169734554056"/>
  </r>
  <r>
    <s v="Regular"/>
    <x v="2"/>
    <x v="3"/>
    <x v="3"/>
    <x v="0"/>
    <x v="0"/>
    <x v="0"/>
    <x v="2"/>
    <x v="7"/>
    <n v="0"/>
    <n v="0"/>
    <n v="2746.1570000000002"/>
    <n v="2746.1570000000002"/>
    <n v="2746.1570000000002"/>
    <n v="2746.1570000000002"/>
    <n v="2559"/>
    <x v="0"/>
    <n v="0"/>
    <n v="0"/>
    <n v="29"/>
    <n v="66"/>
    <n v="0"/>
    <n v="240.85"/>
    <n v="231.7"/>
    <m/>
    <n v="300.89907966262189"/>
    <n v="198.0053374241497"/>
    <n v="0"/>
    <n v="661411.91344999999"/>
    <n v="636284.57689999999"/>
    <n v="0"/>
    <n v="826316.11390906677"/>
    <n v="543753.74340469076"/>
  </r>
  <r>
    <s v="Refaturamento - Regular"/>
    <x v="2"/>
    <x v="3"/>
    <x v="3"/>
    <x v="0"/>
    <x v="0"/>
    <x v="0"/>
    <x v="2"/>
    <x v="7"/>
    <n v="0"/>
    <n v="0"/>
    <n v="-0.69499999999999995"/>
    <n v="-0.69499999999999995"/>
    <n v="-0.69499999999999995"/>
    <n v="-0.69499999999999995"/>
    <n v="0"/>
    <x v="0"/>
    <n v="0"/>
    <n v="0"/>
    <n v="29"/>
    <n v="66"/>
    <n v="0"/>
    <n v="240.85"/>
    <n v="231.7"/>
    <m/>
    <n v="300.89907966262189"/>
    <n v="198.0053374241497"/>
    <n v="0"/>
    <n v="-167.39075"/>
    <n v="-161.03149999999999"/>
    <n v="0"/>
    <n v="-209.12486036552221"/>
    <n v="-137.61370950978403"/>
  </r>
  <r>
    <s v="Sistema de Compensação"/>
    <x v="2"/>
    <x v="3"/>
    <x v="3"/>
    <x v="0"/>
    <x v="0"/>
    <x v="0"/>
    <x v="2"/>
    <x v="7"/>
    <n v="0"/>
    <n v="0"/>
    <n v="60.594000000000001"/>
    <n v="60.594000000000001"/>
    <n v="60.594000000000001"/>
    <n v="60.594000000000001"/>
    <n v="85"/>
    <x v="0"/>
    <n v="0"/>
    <n v="0"/>
    <n v="29"/>
    <n v="66"/>
    <n v="0"/>
    <n v="240.85"/>
    <n v="231.7"/>
    <m/>
    <n v="300.89907966262189"/>
    <n v="198.0053374241497"/>
    <n v="0"/>
    <n v="14594.064899999999"/>
    <n v="14039.629799999999"/>
    <n v="0"/>
    <n v="18232.678833076912"/>
    <n v="11997.935415878927"/>
  </r>
  <r>
    <s v="Sistema de Compensação"/>
    <x v="2"/>
    <x v="3"/>
    <x v="3"/>
    <x v="0"/>
    <x v="0"/>
    <x v="0"/>
    <x v="2"/>
    <x v="7"/>
    <n v="0"/>
    <n v="0"/>
    <n v="0.1"/>
    <n v="0.1"/>
    <n v="0.1"/>
    <n v="0.1"/>
    <n v="1"/>
    <x v="0"/>
    <n v="0"/>
    <n v="0"/>
    <n v="29"/>
    <n v="66"/>
    <n v="0"/>
    <n v="240.85"/>
    <n v="231.7"/>
    <m/>
    <n v="300.89907966262189"/>
    <n v="198.0053374241497"/>
    <n v="0"/>
    <n v="24.085000000000001"/>
    <n v="23.17"/>
    <n v="0"/>
    <n v="30.089907966262189"/>
    <n v="19.80053374241497"/>
  </r>
  <r>
    <s v="Regular"/>
    <x v="2"/>
    <x v="3"/>
    <x v="3"/>
    <x v="0"/>
    <x v="0"/>
    <x v="0"/>
    <x v="2"/>
    <x v="8"/>
    <n v="0"/>
    <n v="0"/>
    <n v="2649.5590000000002"/>
    <n v="2649.5590000000002"/>
    <n v="2649.5590000000002"/>
    <n v="2649.5590000000002"/>
    <n v="2542"/>
    <x v="0"/>
    <n v="0"/>
    <n v="0"/>
    <n v="29"/>
    <n v="66"/>
    <n v="0"/>
    <n v="240.85"/>
    <n v="231.7"/>
    <m/>
    <n v="300.89907966262189"/>
    <n v="198.0053374241497"/>
    <n v="0"/>
    <n v="638146.28515000001"/>
    <n v="613902.82030000002"/>
    <n v="0"/>
    <n v="797249.86461181683"/>
    <n v="524626.82382019272"/>
  </r>
  <r>
    <s v="Sistema de Compensação"/>
    <x v="2"/>
    <x v="3"/>
    <x v="3"/>
    <x v="0"/>
    <x v="0"/>
    <x v="0"/>
    <x v="2"/>
    <x v="8"/>
    <n v="0"/>
    <n v="0"/>
    <n v="100.426"/>
    <n v="100.426"/>
    <n v="100.426"/>
    <n v="100.426"/>
    <n v="89"/>
    <x v="0"/>
    <n v="0"/>
    <n v="0"/>
    <n v="29"/>
    <n v="66"/>
    <n v="0"/>
    <n v="240.85"/>
    <n v="231.7"/>
    <m/>
    <n v="300.89907966262189"/>
    <n v="198.0053374241497"/>
    <n v="0"/>
    <n v="24187.6021"/>
    <n v="23268.7042"/>
    <n v="0"/>
    <n v="30218.090974198465"/>
    <n v="19884.884016157659"/>
  </r>
  <r>
    <s v="Regular"/>
    <x v="2"/>
    <x v="3"/>
    <x v="3"/>
    <x v="0"/>
    <x v="0"/>
    <x v="0"/>
    <x v="2"/>
    <x v="9"/>
    <n v="0"/>
    <n v="0"/>
    <n v="2711.0680000000002"/>
    <n v="2711.0680000000002"/>
    <n v="2711.0680000000002"/>
    <n v="2711.0680000000002"/>
    <n v="2533"/>
    <x v="0"/>
    <n v="0"/>
    <n v="0"/>
    <n v="29"/>
    <n v="66"/>
    <n v="0"/>
    <n v="240.85"/>
    <n v="231.7"/>
    <m/>
    <n v="300.89907966262189"/>
    <n v="198.0053374241497"/>
    <n v="0"/>
    <n v="652960.72779999999"/>
    <n v="628154.45559999999"/>
    <n v="0"/>
    <n v="815757.8661027851"/>
    <n v="536805.93411981477"/>
  </r>
  <r>
    <s v="Refaturamento - Regular"/>
    <x v="2"/>
    <x v="3"/>
    <x v="3"/>
    <x v="0"/>
    <x v="0"/>
    <x v="0"/>
    <x v="2"/>
    <x v="9"/>
    <n v="0"/>
    <n v="0"/>
    <n v="-8.1590000000000007"/>
    <n v="-8.1590000000000007"/>
    <n v="-8.1590000000000007"/>
    <n v="-8.1590000000000007"/>
    <n v="0"/>
    <x v="0"/>
    <n v="0"/>
    <n v="0"/>
    <n v="29"/>
    <n v="66"/>
    <n v="0"/>
    <n v="240.85"/>
    <n v="231.7"/>
    <m/>
    <n v="300.89907966262189"/>
    <n v="198.0053374241497"/>
    <n v="0"/>
    <n v="-1965.0951500000001"/>
    <n v="-1890.4403"/>
    <n v="0"/>
    <n v="-2455.0355909673322"/>
    <n v="-1615.5255480436376"/>
  </r>
  <r>
    <s v="Sistema de Compensação"/>
    <x v="2"/>
    <x v="3"/>
    <x v="3"/>
    <x v="0"/>
    <x v="0"/>
    <x v="0"/>
    <x v="2"/>
    <x v="9"/>
    <n v="0"/>
    <n v="0"/>
    <n v="85.2"/>
    <n v="85.2"/>
    <n v="85.2"/>
    <n v="85.2"/>
    <n v="88"/>
    <x v="0"/>
    <n v="0"/>
    <n v="0"/>
    <n v="29"/>
    <n v="66"/>
    <n v="0"/>
    <n v="240.85"/>
    <n v="231.7"/>
    <m/>
    <n v="300.89907966262189"/>
    <n v="198.0053374241497"/>
    <n v="0"/>
    <n v="20520.420000000002"/>
    <n v="19740.84"/>
    <n v="0"/>
    <n v="25636.601587255387"/>
    <n v="16870.054748537554"/>
  </r>
  <r>
    <s v="Regular"/>
    <x v="2"/>
    <x v="3"/>
    <x v="3"/>
    <x v="0"/>
    <x v="0"/>
    <x v="0"/>
    <x v="2"/>
    <x v="10"/>
    <n v="0"/>
    <n v="0"/>
    <n v="3048.9229999999998"/>
    <n v="3048.9229999999998"/>
    <n v="3048.9229999999998"/>
    <n v="3048.9229999999998"/>
    <n v="2484"/>
    <x v="0"/>
    <n v="0"/>
    <n v="0"/>
    <n v="29"/>
    <n v="66"/>
    <n v="0"/>
    <n v="240.85"/>
    <n v="231.7"/>
    <m/>
    <n v="300.89907966262189"/>
    <n v="198.0053374241497"/>
    <n v="0"/>
    <n v="734333.10454999993"/>
    <n v="706435.45909999986"/>
    <n v="0"/>
    <n v="917418.12466219999"/>
    <n v="603703.02739525074"/>
  </r>
  <r>
    <s v="Refaturamento - Regular"/>
    <x v="2"/>
    <x v="3"/>
    <x v="3"/>
    <x v="0"/>
    <x v="0"/>
    <x v="0"/>
    <x v="2"/>
    <x v="10"/>
    <n v="0"/>
    <n v="0"/>
    <n v="0.52500000000000002"/>
    <n v="0.52500000000000002"/>
    <n v="0.52500000000000002"/>
    <n v="0.52500000000000002"/>
    <n v="0"/>
    <x v="0"/>
    <n v="0"/>
    <n v="0"/>
    <n v="29"/>
    <n v="66"/>
    <n v="0"/>
    <n v="240.85"/>
    <n v="231.7"/>
    <m/>
    <n v="300.89907966262189"/>
    <n v="198.0053374241497"/>
    <n v="0"/>
    <n v="126.44625000000001"/>
    <n v="121.6425"/>
    <n v="0"/>
    <n v="157.9720168228765"/>
    <n v="103.9528021476786"/>
  </r>
  <r>
    <s v="Sistema de Compensação"/>
    <x v="2"/>
    <x v="3"/>
    <x v="3"/>
    <x v="0"/>
    <x v="0"/>
    <x v="0"/>
    <x v="2"/>
    <x v="10"/>
    <n v="0"/>
    <n v="0"/>
    <n v="140.86600000000001"/>
    <n v="140.86600000000001"/>
    <n v="140.86600000000001"/>
    <n v="140.86600000000001"/>
    <n v="100"/>
    <x v="0"/>
    <n v="0"/>
    <n v="0"/>
    <n v="29"/>
    <n v="66"/>
    <n v="0"/>
    <n v="240.85"/>
    <n v="231.7"/>
    <m/>
    <n v="300.89907966262189"/>
    <n v="198.0053374241497"/>
    <n v="0"/>
    <n v="33927.576100000006"/>
    <n v="32638.6522"/>
    <n v="0"/>
    <n v="42386.449755754897"/>
    <n v="27892.219861590274"/>
  </r>
  <r>
    <s v="Regular"/>
    <x v="2"/>
    <x v="3"/>
    <x v="3"/>
    <x v="0"/>
    <x v="0"/>
    <x v="0"/>
    <x v="2"/>
    <x v="11"/>
    <n v="0"/>
    <n v="0"/>
    <n v="2867.6010000000001"/>
    <n v="2867.6010000000001"/>
    <n v="2867.6010000000001"/>
    <n v="2867.6010000000001"/>
    <n v="2451"/>
    <x v="0"/>
    <n v="0"/>
    <n v="0"/>
    <n v="29"/>
    <n v="66"/>
    <n v="0"/>
    <n v="240.85"/>
    <n v="231.7"/>
    <m/>
    <n v="300.89907966262189"/>
    <n v="198.0053374241497"/>
    <n v="0"/>
    <n v="690661.70085000002"/>
    <n v="664423.15170000005"/>
    <n v="0"/>
    <n v="862858.50173961418"/>
    <n v="567800.30360282911"/>
  </r>
  <r>
    <s v="Regular"/>
    <x v="3"/>
    <x v="2"/>
    <x v="0"/>
    <x v="0"/>
    <x v="0"/>
    <x v="0"/>
    <x v="0"/>
    <x v="0"/>
    <n v="0"/>
    <n v="0"/>
    <n v="1.724"/>
    <n v="1.724"/>
    <n v="1.724"/>
    <n v="1.724"/>
    <n v="0"/>
    <x v="0"/>
    <n v="0"/>
    <n v="0"/>
    <n v="43"/>
    <n v="80"/>
    <n v="0"/>
    <n v="200.63"/>
    <n v="263.29000000000002"/>
    <m/>
    <n v="246.1938177787251"/>
    <n v="210.64397598313801"/>
    <n v="0"/>
    <n v="345.88612000000001"/>
    <n v="453.91196000000002"/>
    <n v="0"/>
    <n v="424.43814185052207"/>
    <n v="363.15021459492993"/>
  </r>
  <r>
    <s v="Regular"/>
    <x v="3"/>
    <x v="2"/>
    <x v="0"/>
    <x v="0"/>
    <x v="0"/>
    <x v="0"/>
    <x v="0"/>
    <x v="1"/>
    <n v="0"/>
    <n v="0"/>
    <n v="1.5469999999999999"/>
    <n v="1.5469999999999999"/>
    <n v="1.5469999999999999"/>
    <n v="1.5469999999999999"/>
    <n v="0"/>
    <x v="0"/>
    <n v="0"/>
    <n v="0"/>
    <n v="43"/>
    <n v="80"/>
    <n v="0"/>
    <n v="200.63"/>
    <n v="263.29000000000002"/>
    <m/>
    <n v="246.1938177787251"/>
    <n v="210.64397598313801"/>
    <n v="0"/>
    <n v="310.37460999999996"/>
    <n v="407.30963000000003"/>
    <n v="0"/>
    <n v="380.86183610368772"/>
    <n v="325.86623084591446"/>
  </r>
  <r>
    <s v="Regular"/>
    <x v="3"/>
    <x v="2"/>
    <x v="0"/>
    <x v="0"/>
    <x v="0"/>
    <x v="0"/>
    <x v="0"/>
    <x v="2"/>
    <n v="0"/>
    <n v="0"/>
    <n v="1.603"/>
    <n v="1.603"/>
    <n v="1.603"/>
    <n v="1.603"/>
    <n v="0"/>
    <x v="0"/>
    <n v="0"/>
    <n v="0"/>
    <n v="43"/>
    <n v="80"/>
    <n v="0"/>
    <n v="200.63"/>
    <n v="263.29000000000002"/>
    <m/>
    <n v="246.1938177787251"/>
    <n v="210.64397598313801"/>
    <n v="0"/>
    <n v="321.60989000000001"/>
    <n v="422.05387000000002"/>
    <n v="0"/>
    <n v="394.64868989929636"/>
    <n v="337.66229350097024"/>
  </r>
  <r>
    <s v="Regular"/>
    <x v="3"/>
    <x v="2"/>
    <x v="0"/>
    <x v="0"/>
    <x v="0"/>
    <x v="0"/>
    <x v="0"/>
    <x v="3"/>
    <n v="0"/>
    <n v="0"/>
    <n v="1.3779999999999999"/>
    <n v="1.3779999999999999"/>
    <n v="1.3779999999999999"/>
    <n v="1.3779999999999999"/>
    <n v="0"/>
    <x v="0"/>
    <n v="0"/>
    <n v="0"/>
    <n v="43"/>
    <n v="80"/>
    <n v="0"/>
    <n v="200.63"/>
    <n v="263.29000000000002"/>
    <m/>
    <n v="246.1938177787251"/>
    <n v="210.64397598313801"/>
    <n v="0"/>
    <n v="276.46813999999995"/>
    <n v="362.81362000000001"/>
    <n v="0"/>
    <n v="339.25508089908317"/>
    <n v="290.26739890476415"/>
  </r>
  <r>
    <s v="Regular"/>
    <x v="3"/>
    <x v="2"/>
    <x v="0"/>
    <x v="0"/>
    <x v="0"/>
    <x v="0"/>
    <x v="0"/>
    <x v="4"/>
    <n v="0"/>
    <n v="0"/>
    <n v="1.526"/>
    <n v="1.526"/>
    <n v="1.526"/>
    <n v="1.526"/>
    <n v="0"/>
    <x v="0"/>
    <n v="0"/>
    <n v="0"/>
    <n v="43"/>
    <n v="80"/>
    <n v="0"/>
    <n v="200.63"/>
    <n v="263.29000000000002"/>
    <m/>
    <n v="246.1938177787251"/>
    <n v="210.64397598313801"/>
    <n v="0"/>
    <n v="306.16138000000001"/>
    <n v="401.78054000000003"/>
    <n v="0"/>
    <n v="375.6917659303345"/>
    <n v="321.44270735026862"/>
  </r>
  <r>
    <s v="Regular"/>
    <x v="3"/>
    <x v="2"/>
    <x v="0"/>
    <x v="0"/>
    <x v="0"/>
    <x v="0"/>
    <x v="0"/>
    <x v="5"/>
    <n v="0"/>
    <n v="0"/>
    <n v="1.534"/>
    <n v="1.534"/>
    <n v="1.534"/>
    <n v="1.534"/>
    <n v="0"/>
    <x v="0"/>
    <n v="0"/>
    <n v="0"/>
    <n v="43"/>
    <n v="80"/>
    <n v="0"/>
    <n v="200.63"/>
    <n v="263.29000000000002"/>
    <m/>
    <n v="246.1938177787251"/>
    <n v="210.64397598313801"/>
    <n v="0"/>
    <n v="307.76641999999998"/>
    <n v="403.88686000000001"/>
    <n v="0"/>
    <n v="377.66131647256429"/>
    <n v="323.12785915813373"/>
  </r>
  <r>
    <s v="Regular"/>
    <x v="3"/>
    <x v="2"/>
    <x v="0"/>
    <x v="0"/>
    <x v="0"/>
    <x v="0"/>
    <x v="0"/>
    <x v="6"/>
    <n v="0"/>
    <n v="0"/>
    <n v="1.647"/>
    <n v="1.647"/>
    <n v="1.647"/>
    <n v="1.647"/>
    <n v="0"/>
    <x v="0"/>
    <n v="0"/>
    <n v="0"/>
    <n v="43"/>
    <n v="80"/>
    <n v="0"/>
    <n v="200.63"/>
    <n v="263.29000000000002"/>
    <m/>
    <n v="246.1938177787251"/>
    <n v="210.64397598313801"/>
    <n v="0"/>
    <n v="330.43761000000001"/>
    <n v="433.63863000000003"/>
    <n v="0"/>
    <n v="405.48121788156027"/>
    <n v="346.93062844422832"/>
  </r>
  <r>
    <s v="Regular"/>
    <x v="3"/>
    <x v="2"/>
    <x v="0"/>
    <x v="0"/>
    <x v="0"/>
    <x v="0"/>
    <x v="0"/>
    <x v="7"/>
    <n v="0"/>
    <n v="0"/>
    <n v="1.4419999999999999"/>
    <n v="1.4419999999999999"/>
    <n v="1.4419999999999999"/>
    <n v="1.4419999999999999"/>
    <n v="0"/>
    <x v="0"/>
    <n v="0"/>
    <n v="0"/>
    <n v="43"/>
    <n v="80"/>
    <n v="0"/>
    <n v="200.63"/>
    <n v="263.29000000000002"/>
    <m/>
    <n v="246.1938177787251"/>
    <n v="210.64397598313801"/>
    <n v="0"/>
    <n v="289.30845999999997"/>
    <n v="379.66417999999999"/>
    <n v="0"/>
    <n v="355.0114852369216"/>
    <n v="303.74861336768498"/>
  </r>
  <r>
    <s v="Regular"/>
    <x v="3"/>
    <x v="2"/>
    <x v="0"/>
    <x v="0"/>
    <x v="0"/>
    <x v="0"/>
    <x v="0"/>
    <x v="8"/>
    <n v="0"/>
    <n v="0"/>
    <n v="1.373"/>
    <n v="1.373"/>
    <n v="1.373"/>
    <n v="1.373"/>
    <n v="0"/>
    <x v="0"/>
    <n v="0"/>
    <n v="0"/>
    <n v="43"/>
    <n v="80"/>
    <n v="0"/>
    <n v="200.63"/>
    <n v="263.29000000000002"/>
    <m/>
    <n v="246.1938177787251"/>
    <n v="210.64397598313801"/>
    <n v="0"/>
    <n v="275.46499"/>
    <n v="361.49717000000004"/>
    <n v="0"/>
    <n v="338.02411181018959"/>
    <n v="289.21417902484848"/>
  </r>
  <r>
    <s v="Regular"/>
    <x v="3"/>
    <x v="2"/>
    <x v="0"/>
    <x v="0"/>
    <x v="0"/>
    <x v="0"/>
    <x v="0"/>
    <x v="9"/>
    <n v="0"/>
    <n v="0"/>
    <n v="1.794"/>
    <n v="1.794"/>
    <n v="1.794"/>
    <n v="1.794"/>
    <n v="0"/>
    <x v="0"/>
    <n v="0"/>
    <n v="0"/>
    <n v="43"/>
    <n v="80"/>
    <n v="0"/>
    <n v="200.63"/>
    <n v="263.29000000000002"/>
    <m/>
    <n v="246.1938177787251"/>
    <n v="210.64397598313801"/>
    <n v="0"/>
    <n v="359.93022000000002"/>
    <n v="472.34226000000007"/>
    <n v="0"/>
    <n v="441.67170909503284"/>
    <n v="377.89529291374959"/>
  </r>
  <r>
    <s v="Regular"/>
    <x v="3"/>
    <x v="2"/>
    <x v="0"/>
    <x v="0"/>
    <x v="0"/>
    <x v="0"/>
    <x v="0"/>
    <x v="10"/>
    <n v="0"/>
    <n v="0"/>
    <n v="2.0720000000000001"/>
    <n v="2.0720000000000001"/>
    <n v="2.0720000000000001"/>
    <n v="2.0720000000000001"/>
    <n v="0"/>
    <x v="0"/>
    <n v="0"/>
    <n v="0"/>
    <n v="43"/>
    <n v="80"/>
    <n v="0"/>
    <n v="200.63"/>
    <n v="263.29000000000002"/>
    <m/>
    <n v="246.1938177787251"/>
    <n v="210.64397598313801"/>
    <n v="0"/>
    <n v="415.70535999999998"/>
    <n v="545.53688000000011"/>
    <n v="0"/>
    <n v="510.11359043751844"/>
    <n v="436.45431823706195"/>
  </r>
  <r>
    <s v="Regular"/>
    <x v="3"/>
    <x v="2"/>
    <x v="0"/>
    <x v="0"/>
    <x v="0"/>
    <x v="0"/>
    <x v="0"/>
    <x v="11"/>
    <n v="0"/>
    <n v="0"/>
    <n v="1.32"/>
    <n v="1.32"/>
    <n v="1.32"/>
    <n v="1.32"/>
    <n v="0"/>
    <x v="0"/>
    <n v="0"/>
    <n v="0"/>
    <n v="43"/>
    <n v="80"/>
    <n v="0"/>
    <n v="200.63"/>
    <n v="263.29000000000002"/>
    <m/>
    <n v="246.1938177787251"/>
    <n v="210.64397598313801"/>
    <n v="0"/>
    <n v="264.83159999999998"/>
    <n v="347.54280000000006"/>
    <n v="0"/>
    <n v="324.97583946791713"/>
    <n v="278.05004829774219"/>
  </r>
  <r>
    <s v="Regular"/>
    <x v="3"/>
    <x v="2"/>
    <x v="0"/>
    <x v="0"/>
    <x v="0"/>
    <x v="0"/>
    <x v="3"/>
    <x v="0"/>
    <n v="0"/>
    <n v="0"/>
    <n v="0.10199999999999999"/>
    <n v="0.10199999999999999"/>
    <n v="0.10199999999999999"/>
    <n v="0.10199999999999999"/>
    <n v="0"/>
    <x v="0"/>
    <n v="0"/>
    <n v="0"/>
    <n v="42"/>
    <n v="79"/>
    <n v="0"/>
    <n v="439.05"/>
    <n v="263.29000000000002"/>
    <m/>
    <n v="487.37844461484588"/>
    <n v="210.64397598313801"/>
    <n v="0"/>
    <n v="44.783099999999997"/>
    <n v="26.85558"/>
    <n v="0"/>
    <n v="49.712601350714273"/>
    <n v="21.485685550280074"/>
  </r>
  <r>
    <s v="Regular"/>
    <x v="3"/>
    <x v="2"/>
    <x v="0"/>
    <x v="0"/>
    <x v="0"/>
    <x v="0"/>
    <x v="3"/>
    <x v="1"/>
    <n v="0"/>
    <n v="0"/>
    <n v="8.3000000000000004E-2"/>
    <n v="8.3000000000000004E-2"/>
    <n v="8.3000000000000004E-2"/>
    <n v="8.3000000000000004E-2"/>
    <n v="0"/>
    <x v="0"/>
    <n v="0"/>
    <n v="0"/>
    <n v="42"/>
    <n v="79"/>
    <n v="0"/>
    <n v="439.05"/>
    <n v="263.29000000000002"/>
    <m/>
    <n v="487.37844461484588"/>
    <n v="210.64397598313801"/>
    <n v="0"/>
    <n v="36.44115"/>
    <n v="21.853070000000002"/>
    <n v="0"/>
    <n v="40.452410903032209"/>
    <n v="17.483450006600457"/>
  </r>
  <r>
    <s v="Regular"/>
    <x v="3"/>
    <x v="2"/>
    <x v="0"/>
    <x v="0"/>
    <x v="0"/>
    <x v="0"/>
    <x v="3"/>
    <x v="2"/>
    <n v="0"/>
    <n v="0"/>
    <n v="0.10100000000000001"/>
    <n v="0.10100000000000001"/>
    <n v="0.10100000000000001"/>
    <n v="0.10100000000000001"/>
    <n v="0"/>
    <x v="0"/>
    <n v="0"/>
    <n v="0"/>
    <n v="42"/>
    <n v="79"/>
    <n v="0"/>
    <n v="439.05"/>
    <n v="263.29000000000002"/>
    <m/>
    <n v="487.37844461484588"/>
    <n v="210.64397598313801"/>
    <n v="0"/>
    <n v="44.344050000000003"/>
    <n v="26.592290000000006"/>
    <n v="0"/>
    <n v="49.22522290609944"/>
    <n v="21.275041574296939"/>
  </r>
  <r>
    <s v="Regular"/>
    <x v="3"/>
    <x v="2"/>
    <x v="0"/>
    <x v="0"/>
    <x v="0"/>
    <x v="0"/>
    <x v="3"/>
    <x v="3"/>
    <n v="0"/>
    <n v="0"/>
    <n v="7.0999999999999994E-2"/>
    <n v="7.0999999999999994E-2"/>
    <n v="7.0999999999999994E-2"/>
    <n v="7.0999999999999994E-2"/>
    <n v="0"/>
    <x v="0"/>
    <n v="0"/>
    <n v="0"/>
    <n v="42"/>
    <n v="79"/>
    <n v="0"/>
    <n v="439.05"/>
    <n v="263.29000000000002"/>
    <m/>
    <n v="487.37844461484588"/>
    <n v="210.64397598313801"/>
    <n v="0"/>
    <n v="31.172549999999998"/>
    <n v="18.69359"/>
    <n v="0"/>
    <n v="34.603869567654051"/>
    <n v="14.955722294802797"/>
  </r>
  <r>
    <s v="Regular"/>
    <x v="3"/>
    <x v="2"/>
    <x v="0"/>
    <x v="0"/>
    <x v="0"/>
    <x v="0"/>
    <x v="3"/>
    <x v="4"/>
    <n v="0"/>
    <n v="0"/>
    <n v="0.108"/>
    <n v="0.108"/>
    <n v="0.108"/>
    <n v="0.108"/>
    <n v="0"/>
    <x v="0"/>
    <n v="0"/>
    <n v="0"/>
    <n v="42"/>
    <n v="79"/>
    <n v="0"/>
    <n v="439.05"/>
    <n v="263.29000000000002"/>
    <m/>
    <n v="487.37844461484588"/>
    <n v="210.64397598313801"/>
    <n v="0"/>
    <n v="47.417400000000001"/>
    <n v="28.435320000000001"/>
    <n v="0"/>
    <n v="52.636872018403352"/>
    <n v="22.749549406178904"/>
  </r>
  <r>
    <s v="Regular"/>
    <x v="3"/>
    <x v="2"/>
    <x v="0"/>
    <x v="0"/>
    <x v="0"/>
    <x v="0"/>
    <x v="3"/>
    <x v="5"/>
    <n v="0"/>
    <n v="0"/>
    <n v="9.6000000000000002E-2"/>
    <n v="9.6000000000000002E-2"/>
    <n v="9.6000000000000002E-2"/>
    <n v="9.6000000000000002E-2"/>
    <n v="0"/>
    <x v="0"/>
    <n v="0"/>
    <n v="0"/>
    <n v="42"/>
    <n v="79"/>
    <n v="0"/>
    <n v="439.05"/>
    <n v="263.29000000000002"/>
    <m/>
    <n v="487.37844461484588"/>
    <n v="210.64397598313801"/>
    <n v="0"/>
    <n v="42.148800000000001"/>
    <n v="25.275840000000002"/>
    <n v="0"/>
    <n v="46.788330683025208"/>
    <n v="20.221821694381248"/>
  </r>
  <r>
    <s v="Regular"/>
    <x v="3"/>
    <x v="2"/>
    <x v="0"/>
    <x v="0"/>
    <x v="0"/>
    <x v="0"/>
    <x v="3"/>
    <x v="6"/>
    <n v="0"/>
    <n v="0"/>
    <n v="0.114"/>
    <n v="0.114"/>
    <n v="0.114"/>
    <n v="0.114"/>
    <n v="0"/>
    <x v="0"/>
    <n v="0"/>
    <n v="0"/>
    <n v="42"/>
    <n v="79"/>
    <n v="0"/>
    <n v="439.05"/>
    <n v="263.29000000000002"/>
    <m/>
    <n v="487.37844461484588"/>
    <n v="210.64397598313801"/>
    <n v="0"/>
    <n v="50.051700000000004"/>
    <n v="30.015060000000002"/>
    <n v="0"/>
    <n v="55.561142686092431"/>
    <n v="24.013413262077734"/>
  </r>
  <r>
    <s v="Regular"/>
    <x v="3"/>
    <x v="2"/>
    <x v="0"/>
    <x v="0"/>
    <x v="0"/>
    <x v="0"/>
    <x v="3"/>
    <x v="7"/>
    <n v="0"/>
    <n v="0"/>
    <n v="9.2999999999999999E-2"/>
    <n v="9.2999999999999999E-2"/>
    <n v="9.2999999999999999E-2"/>
    <n v="9.2999999999999999E-2"/>
    <n v="0"/>
    <x v="0"/>
    <n v="0"/>
    <n v="0"/>
    <n v="42"/>
    <n v="79"/>
    <n v="0"/>
    <n v="439.05"/>
    <n v="263.29000000000002"/>
    <m/>
    <n v="487.37844461484588"/>
    <n v="210.64397598313801"/>
    <n v="0"/>
    <n v="40.831650000000003"/>
    <n v="24.485970000000002"/>
    <n v="0"/>
    <n v="45.326195349180665"/>
    <n v="19.589889766431835"/>
  </r>
  <r>
    <s v="Regular"/>
    <x v="3"/>
    <x v="2"/>
    <x v="0"/>
    <x v="0"/>
    <x v="0"/>
    <x v="0"/>
    <x v="3"/>
    <x v="8"/>
    <n v="0"/>
    <n v="0"/>
    <n v="8.7999999999999995E-2"/>
    <n v="8.7999999999999995E-2"/>
    <n v="8.7999999999999995E-2"/>
    <n v="8.7999999999999995E-2"/>
    <n v="0"/>
    <x v="0"/>
    <n v="0"/>
    <n v="0"/>
    <n v="42"/>
    <n v="79"/>
    <n v="0"/>
    <n v="439.05"/>
    <n v="263.29000000000002"/>
    <m/>
    <n v="487.37844461484588"/>
    <n v="210.64397598313801"/>
    <n v="0"/>
    <n v="38.636400000000002"/>
    <n v="23.169520000000002"/>
    <n v="0"/>
    <n v="42.889303126106434"/>
    <n v="18.536669886516144"/>
  </r>
  <r>
    <s v="Regular"/>
    <x v="3"/>
    <x v="2"/>
    <x v="0"/>
    <x v="0"/>
    <x v="0"/>
    <x v="0"/>
    <x v="3"/>
    <x v="9"/>
    <n v="0"/>
    <n v="0"/>
    <n v="0.13200000000000001"/>
    <n v="0.13200000000000001"/>
    <n v="0.13200000000000001"/>
    <n v="0.13200000000000001"/>
    <n v="0"/>
    <x v="0"/>
    <n v="0"/>
    <n v="0"/>
    <n v="42"/>
    <n v="79"/>
    <n v="0"/>
    <n v="439.05"/>
    <n v="263.29000000000002"/>
    <m/>
    <n v="487.37844461484588"/>
    <n v="210.64397598313801"/>
    <n v="0"/>
    <n v="57.954600000000006"/>
    <n v="34.754280000000001"/>
    <n v="0"/>
    <n v="64.333954689159654"/>
    <n v="27.805004829774219"/>
  </r>
  <r>
    <s v="Regular"/>
    <x v="3"/>
    <x v="2"/>
    <x v="0"/>
    <x v="0"/>
    <x v="0"/>
    <x v="0"/>
    <x v="3"/>
    <x v="10"/>
    <n v="0"/>
    <n v="0"/>
    <n v="0.15"/>
    <n v="0.15"/>
    <n v="0.15"/>
    <n v="0.15"/>
    <n v="0"/>
    <x v="0"/>
    <n v="0"/>
    <n v="0"/>
    <n v="42"/>
    <n v="79"/>
    <n v="0"/>
    <n v="439.05"/>
    <n v="263.29000000000002"/>
    <m/>
    <n v="487.37844461484588"/>
    <n v="210.64397598313801"/>
    <n v="0"/>
    <n v="65.857500000000002"/>
    <n v="39.493500000000004"/>
    <n v="0"/>
    <n v="73.106766692226884"/>
    <n v="31.596596397470698"/>
  </r>
  <r>
    <s v="Regular"/>
    <x v="3"/>
    <x v="2"/>
    <x v="0"/>
    <x v="0"/>
    <x v="0"/>
    <x v="0"/>
    <x v="3"/>
    <x v="11"/>
    <n v="0"/>
    <n v="0"/>
    <n v="9.1999999999999998E-2"/>
    <n v="9.1999999999999998E-2"/>
    <n v="9.1999999999999998E-2"/>
    <n v="9.1999999999999998E-2"/>
    <n v="0"/>
    <x v="0"/>
    <n v="0"/>
    <n v="0"/>
    <n v="42"/>
    <n v="79"/>
    <n v="0"/>
    <n v="439.05"/>
    <n v="263.29000000000002"/>
    <m/>
    <n v="487.37844461484588"/>
    <n v="210.64397598313801"/>
    <n v="0"/>
    <n v="40.392600000000002"/>
    <n v="24.22268"/>
    <n v="0"/>
    <n v="44.838816904565817"/>
    <n v="19.379245790448696"/>
  </r>
  <r>
    <s v="Regular"/>
    <x v="3"/>
    <x v="2"/>
    <x v="0"/>
    <x v="0"/>
    <x v="0"/>
    <x v="0"/>
    <x v="1"/>
    <x v="0"/>
    <n v="0"/>
    <n v="0"/>
    <n v="0.06"/>
    <n v="0.06"/>
    <n v="0.06"/>
    <n v="0.06"/>
    <n v="0"/>
    <x v="0"/>
    <n v="0"/>
    <n v="0"/>
    <n v="41"/>
    <n v="78"/>
    <n v="0"/>
    <n v="677.47"/>
    <n v="263.29000000000002"/>
    <m/>
    <n v="728.56310689239194"/>
    <n v="210.64397598313801"/>
    <n v="0"/>
    <n v="40.648200000000003"/>
    <n v="15.797400000000001"/>
    <n v="0"/>
    <n v="43.713786413543517"/>
    <n v="12.63863855898828"/>
  </r>
  <r>
    <s v="Regular"/>
    <x v="3"/>
    <x v="2"/>
    <x v="0"/>
    <x v="0"/>
    <x v="0"/>
    <x v="0"/>
    <x v="1"/>
    <x v="1"/>
    <n v="0"/>
    <n v="0"/>
    <n v="0.14299999999999999"/>
    <n v="0.14299999999999999"/>
    <n v="0.14299999999999999"/>
    <n v="0.14299999999999999"/>
    <n v="0"/>
    <x v="0"/>
    <n v="0"/>
    <n v="0"/>
    <n v="41"/>
    <n v="78"/>
    <n v="0"/>
    <n v="677.47"/>
    <n v="263.29000000000002"/>
    <m/>
    <n v="728.56310689239194"/>
    <n v="210.64397598313801"/>
    <n v="0"/>
    <n v="96.878209999999996"/>
    <n v="37.650469999999999"/>
    <n v="0"/>
    <n v="104.18452428561204"/>
    <n v="30.122088565588733"/>
  </r>
  <r>
    <s v="Regular"/>
    <x v="3"/>
    <x v="2"/>
    <x v="0"/>
    <x v="0"/>
    <x v="0"/>
    <x v="0"/>
    <x v="1"/>
    <x v="2"/>
    <n v="0"/>
    <n v="0"/>
    <n v="4.2000000000000003E-2"/>
    <n v="4.2000000000000003E-2"/>
    <n v="4.2000000000000003E-2"/>
    <n v="4.2000000000000003E-2"/>
    <n v="0"/>
    <x v="0"/>
    <n v="0"/>
    <n v="0"/>
    <n v="41"/>
    <n v="78"/>
    <n v="0"/>
    <n v="677.47"/>
    <n v="263.29000000000002"/>
    <m/>
    <n v="728.56310689239194"/>
    <n v="210.64397598313801"/>
    <n v="0"/>
    <n v="28.453740000000003"/>
    <n v="11.058180000000002"/>
    <n v="0"/>
    <n v="30.599650489480464"/>
    <n v="8.8470469912917959"/>
  </r>
  <r>
    <s v="Regular"/>
    <x v="3"/>
    <x v="2"/>
    <x v="0"/>
    <x v="0"/>
    <x v="0"/>
    <x v="0"/>
    <x v="1"/>
    <x v="3"/>
    <n v="0"/>
    <n v="0"/>
    <n v="4.5999999999999999E-2"/>
    <n v="4.5999999999999999E-2"/>
    <n v="4.5999999999999999E-2"/>
    <n v="4.5999999999999999E-2"/>
    <n v="0"/>
    <x v="0"/>
    <n v="0"/>
    <n v="0"/>
    <n v="41"/>
    <n v="78"/>
    <n v="0"/>
    <n v="677.47"/>
    <n v="263.29000000000002"/>
    <m/>
    <n v="728.56310689239194"/>
    <n v="210.64397598313801"/>
    <n v="0"/>
    <n v="31.163620000000002"/>
    <n v="12.11134"/>
    <n v="0"/>
    <n v="33.513902917050032"/>
    <n v="9.6896228952243479"/>
  </r>
  <r>
    <s v="Regular"/>
    <x v="3"/>
    <x v="2"/>
    <x v="0"/>
    <x v="0"/>
    <x v="0"/>
    <x v="0"/>
    <x v="1"/>
    <x v="4"/>
    <n v="0"/>
    <n v="0"/>
    <n v="100.008"/>
    <n v="100.008"/>
    <n v="100.008"/>
    <n v="100.008"/>
    <n v="0"/>
    <x v="0"/>
    <n v="0"/>
    <n v="0"/>
    <n v="41"/>
    <n v="78"/>
    <n v="0"/>
    <n v="677.47"/>
    <n v="263.29000000000002"/>
    <m/>
    <n v="728.56310689239194"/>
    <n v="210.64397598313801"/>
    <n v="0"/>
    <n v="67752.419760000004"/>
    <n v="26331.106320000003"/>
    <n v="0"/>
    <n v="72862.139194094329"/>
    <n v="21066.082750121666"/>
  </r>
  <r>
    <s v="Refaturamento - Regular"/>
    <x v="3"/>
    <x v="2"/>
    <x v="0"/>
    <x v="0"/>
    <x v="0"/>
    <x v="0"/>
    <x v="1"/>
    <x v="4"/>
    <n v="0"/>
    <n v="0"/>
    <n v="-99.962999999999994"/>
    <n v="-99.962999999999994"/>
    <n v="-99.962999999999994"/>
    <n v="-99.962999999999994"/>
    <n v="0"/>
    <x v="0"/>
    <n v="0"/>
    <n v="0"/>
    <n v="41"/>
    <n v="78"/>
    <n v="0"/>
    <n v="677.47"/>
    <n v="263.29000000000002"/>
    <m/>
    <n v="728.56310689239194"/>
    <n v="210.64397598313801"/>
    <n v="0"/>
    <n v="-67721.933609999993"/>
    <n v="-26319.258270000002"/>
    <n v="0"/>
    <n v="-72829.353854284171"/>
    <n v="-21056.603771202423"/>
  </r>
  <r>
    <s v="Regular"/>
    <x v="3"/>
    <x v="2"/>
    <x v="0"/>
    <x v="0"/>
    <x v="0"/>
    <x v="0"/>
    <x v="1"/>
    <x v="5"/>
    <n v="0"/>
    <n v="0"/>
    <n v="6.0999999999999999E-2"/>
    <n v="6.0999999999999999E-2"/>
    <n v="6.0999999999999999E-2"/>
    <n v="6.0999999999999999E-2"/>
    <n v="0"/>
    <x v="0"/>
    <n v="0"/>
    <n v="0"/>
    <n v="41"/>
    <n v="78"/>
    <n v="0"/>
    <n v="677.47"/>
    <n v="263.29000000000002"/>
    <m/>
    <n v="728.56310689239194"/>
    <n v="210.64397598313801"/>
    <n v="0"/>
    <n v="41.325670000000002"/>
    <n v="16.060690000000001"/>
    <n v="0"/>
    <n v="44.442349520435904"/>
    <n v="12.849282534971419"/>
  </r>
  <r>
    <s v="Regular"/>
    <x v="3"/>
    <x v="2"/>
    <x v="0"/>
    <x v="0"/>
    <x v="0"/>
    <x v="0"/>
    <x v="1"/>
    <x v="6"/>
    <n v="0"/>
    <n v="0"/>
    <n v="6.5000000000000002E-2"/>
    <n v="6.5000000000000002E-2"/>
    <n v="6.5000000000000002E-2"/>
    <n v="6.5000000000000002E-2"/>
    <n v="0"/>
    <x v="0"/>
    <n v="0"/>
    <n v="0"/>
    <n v="41"/>
    <n v="78"/>
    <n v="0"/>
    <n v="677.47"/>
    <n v="263.29000000000002"/>
    <m/>
    <n v="728.56310689239194"/>
    <n v="210.64397598313801"/>
    <n v="0"/>
    <n v="44.035550000000001"/>
    <n v="17.113850000000003"/>
    <n v="0"/>
    <n v="47.356601948005476"/>
    <n v="13.691858438903971"/>
  </r>
  <r>
    <s v="Regular"/>
    <x v="3"/>
    <x v="2"/>
    <x v="0"/>
    <x v="0"/>
    <x v="0"/>
    <x v="0"/>
    <x v="1"/>
    <x v="7"/>
    <n v="0"/>
    <n v="0"/>
    <n v="6.4000000000000001E-2"/>
    <n v="6.4000000000000001E-2"/>
    <n v="6.4000000000000001E-2"/>
    <n v="6.4000000000000001E-2"/>
    <n v="0"/>
    <x v="0"/>
    <n v="0"/>
    <n v="0"/>
    <n v="41"/>
    <n v="78"/>
    <n v="0"/>
    <n v="677.47"/>
    <n v="263.29000000000002"/>
    <m/>
    <n v="728.56310689239194"/>
    <n v="210.64397598313801"/>
    <n v="0"/>
    <n v="43.358080000000001"/>
    <n v="16.850560000000002"/>
    <n v="0"/>
    <n v="46.628038841113089"/>
    <n v="13.481214462920832"/>
  </r>
  <r>
    <s v="Regular"/>
    <x v="3"/>
    <x v="2"/>
    <x v="0"/>
    <x v="0"/>
    <x v="0"/>
    <x v="0"/>
    <x v="1"/>
    <x v="8"/>
    <n v="0"/>
    <n v="0"/>
    <n v="5.8999999999999997E-2"/>
    <n v="5.8999999999999997E-2"/>
    <n v="5.8999999999999997E-2"/>
    <n v="5.8999999999999997E-2"/>
    <n v="0"/>
    <x v="0"/>
    <n v="0"/>
    <n v="0"/>
    <n v="41"/>
    <n v="78"/>
    <n v="0"/>
    <n v="677.47"/>
    <n v="263.29000000000002"/>
    <m/>
    <n v="728.56310689239194"/>
    <n v="210.64397598313801"/>
    <n v="0"/>
    <n v="39.970729999999996"/>
    <n v="15.53411"/>
    <n v="0"/>
    <n v="42.985223306651122"/>
    <n v="12.427994583005141"/>
  </r>
  <r>
    <s v="Regular"/>
    <x v="3"/>
    <x v="2"/>
    <x v="0"/>
    <x v="0"/>
    <x v="0"/>
    <x v="0"/>
    <x v="1"/>
    <x v="9"/>
    <n v="0"/>
    <n v="0"/>
    <n v="7.1999999999999995E-2"/>
    <n v="7.1999999999999995E-2"/>
    <n v="7.1999999999999995E-2"/>
    <n v="7.1999999999999995E-2"/>
    <n v="0"/>
    <x v="0"/>
    <n v="0"/>
    <n v="0"/>
    <n v="41"/>
    <n v="78"/>
    <n v="0"/>
    <n v="677.47"/>
    <n v="263.29000000000002"/>
    <m/>
    <n v="728.56310689239194"/>
    <n v="210.64397598313801"/>
    <n v="0"/>
    <n v="48.777839999999998"/>
    <n v="18.956880000000002"/>
    <n v="0"/>
    <n v="52.456543696252218"/>
    <n v="15.166366270785936"/>
  </r>
  <r>
    <s v="Regular"/>
    <x v="3"/>
    <x v="2"/>
    <x v="0"/>
    <x v="0"/>
    <x v="0"/>
    <x v="0"/>
    <x v="1"/>
    <x v="10"/>
    <n v="0"/>
    <n v="0"/>
    <n v="9.5000000000000001E-2"/>
    <n v="9.5000000000000001E-2"/>
    <n v="9.5000000000000001E-2"/>
    <n v="9.5000000000000001E-2"/>
    <n v="0"/>
    <x v="0"/>
    <n v="0"/>
    <n v="0"/>
    <n v="41"/>
    <n v="78"/>
    <n v="0"/>
    <n v="677.47"/>
    <n v="263.29000000000002"/>
    <m/>
    <n v="728.56310689239194"/>
    <n v="210.64397598313801"/>
    <n v="0"/>
    <n v="64.359650000000002"/>
    <n v="25.012550000000001"/>
    <n v="0"/>
    <n v="69.213495154777235"/>
    <n v="20.011177718398113"/>
  </r>
  <r>
    <s v="Regular"/>
    <x v="3"/>
    <x v="2"/>
    <x v="0"/>
    <x v="0"/>
    <x v="0"/>
    <x v="0"/>
    <x v="1"/>
    <x v="11"/>
    <n v="0"/>
    <n v="0"/>
    <n v="5.2999999999999999E-2"/>
    <n v="5.2999999999999999E-2"/>
    <n v="5.2999999999999999E-2"/>
    <n v="5.2999999999999999E-2"/>
    <n v="0"/>
    <x v="0"/>
    <n v="0"/>
    <n v="0"/>
    <n v="41"/>
    <n v="78"/>
    <n v="0"/>
    <n v="677.47"/>
    <n v="263.29000000000002"/>
    <m/>
    <n v="728.56310689239194"/>
    <n v="210.64397598313801"/>
    <n v="0"/>
    <n v="35.905909999999999"/>
    <n v="13.954370000000001"/>
    <n v="0"/>
    <n v="38.613844665296774"/>
    <n v="11.164130727106315"/>
  </r>
  <r>
    <s v="Regular"/>
    <x v="3"/>
    <x v="3"/>
    <x v="0"/>
    <x v="0"/>
    <x v="0"/>
    <x v="0"/>
    <x v="2"/>
    <x v="0"/>
    <n v="0"/>
    <n v="0"/>
    <n v="902.12599999999998"/>
    <n v="902.12599999999998"/>
    <n v="902.12599999999998"/>
    <n v="902.12599999999998"/>
    <n v="1048"/>
    <x v="0"/>
    <n v="0"/>
    <n v="0"/>
    <n v="44"/>
    <n v="81"/>
    <n v="0"/>
    <n v="273.69"/>
    <n v="263.29000000000002"/>
    <m/>
    <n v="320.1054038964063"/>
    <n v="210.64397598313801"/>
    <n v="0"/>
    <n v="246902.86494"/>
    <n v="237520.75454000002"/>
    <n v="0"/>
    <n v="288775.40759544942"/>
    <n v="190027.40747776435"/>
  </r>
  <r>
    <s v="Sistema de Compensação"/>
    <x v="3"/>
    <x v="3"/>
    <x v="0"/>
    <x v="0"/>
    <x v="0"/>
    <x v="0"/>
    <x v="2"/>
    <x v="0"/>
    <n v="0"/>
    <n v="0"/>
    <n v="38.594000000000001"/>
    <n v="38.594000000000001"/>
    <n v="38.594000000000001"/>
    <n v="38.594000000000001"/>
    <n v="78"/>
    <x v="0"/>
    <n v="0"/>
    <n v="0"/>
    <n v="44"/>
    <n v="81"/>
    <n v="0"/>
    <n v="273.69"/>
    <n v="263.29000000000002"/>
    <m/>
    <n v="320.1054038964063"/>
    <n v="210.64397598313801"/>
    <n v="0"/>
    <n v="10562.791859999999"/>
    <n v="10161.414260000001"/>
    <n v="0"/>
    <n v="12354.147957977904"/>
    <n v="8129.5936090932282"/>
  </r>
  <r>
    <s v="Regular"/>
    <x v="3"/>
    <x v="3"/>
    <x v="0"/>
    <x v="0"/>
    <x v="0"/>
    <x v="0"/>
    <x v="2"/>
    <x v="1"/>
    <n v="0"/>
    <n v="0"/>
    <n v="909.96299999999997"/>
    <n v="909.96299999999997"/>
    <n v="909.96299999999997"/>
    <n v="909.96299999999997"/>
    <n v="1049"/>
    <x v="0"/>
    <n v="0"/>
    <n v="0"/>
    <n v="44"/>
    <n v="81"/>
    <n v="0"/>
    <n v="273.69"/>
    <n v="263.29000000000002"/>
    <m/>
    <n v="320.1054038964063"/>
    <n v="210.64397598313801"/>
    <n v="0"/>
    <n v="249047.77346999999"/>
    <n v="239584.15827000001"/>
    <n v="0"/>
    <n v="291284.07364578557"/>
    <n v="191678.2243175442"/>
  </r>
  <r>
    <s v="Sistema de Compensação"/>
    <x v="3"/>
    <x v="3"/>
    <x v="0"/>
    <x v="0"/>
    <x v="0"/>
    <x v="0"/>
    <x v="2"/>
    <x v="1"/>
    <n v="0"/>
    <n v="0"/>
    <n v="52.569000000000003"/>
    <n v="52.569000000000003"/>
    <n v="52.569000000000003"/>
    <n v="52.569000000000003"/>
    <n v="77"/>
    <x v="0"/>
    <n v="0"/>
    <n v="0"/>
    <n v="44"/>
    <n v="81"/>
    <n v="0"/>
    <n v="273.69"/>
    <n v="263.29000000000002"/>
    <m/>
    <n v="320.1054038964063"/>
    <n v="210.64397598313801"/>
    <n v="0"/>
    <n v="14387.609610000001"/>
    <n v="13840.892010000001"/>
    <n v="0"/>
    <n v="16827.620977430182"/>
    <n v="11073.343173457582"/>
  </r>
  <r>
    <s v="Regular"/>
    <x v="3"/>
    <x v="3"/>
    <x v="0"/>
    <x v="0"/>
    <x v="0"/>
    <x v="0"/>
    <x v="2"/>
    <x v="2"/>
    <n v="0"/>
    <n v="0"/>
    <n v="878.39"/>
    <n v="878.39"/>
    <n v="878.39"/>
    <n v="878.39"/>
    <n v="1051"/>
    <x v="0"/>
    <n v="0"/>
    <n v="0"/>
    <n v="44"/>
    <n v="81"/>
    <n v="0"/>
    <n v="273.69"/>
    <n v="263.29000000000002"/>
    <m/>
    <n v="320.1054038964063"/>
    <n v="210.64397598313801"/>
    <n v="0"/>
    <n v="240406.55909999998"/>
    <n v="231271.30310000002"/>
    <n v="0"/>
    <n v="281177.38572856435"/>
    <n v="185027.56206382858"/>
  </r>
  <r>
    <s v="Sistema de Compensação"/>
    <x v="3"/>
    <x v="3"/>
    <x v="0"/>
    <x v="0"/>
    <x v="0"/>
    <x v="0"/>
    <x v="2"/>
    <x v="2"/>
    <n v="0"/>
    <n v="0"/>
    <n v="45.752000000000002"/>
    <n v="45.752000000000002"/>
    <n v="45.752000000000002"/>
    <n v="45.752000000000002"/>
    <n v="78"/>
    <x v="0"/>
    <n v="0"/>
    <n v="0"/>
    <n v="44"/>
    <n v="81"/>
    <n v="0"/>
    <n v="273.69"/>
    <n v="263.29000000000002"/>
    <m/>
    <n v="320.1054038964063"/>
    <n v="210.64397598313801"/>
    <n v="0"/>
    <n v="12521.864880000001"/>
    <n v="12046.044080000001"/>
    <n v="0"/>
    <n v="14645.462439068382"/>
    <n v="9637.3831891805312"/>
  </r>
  <r>
    <s v="Regular"/>
    <x v="3"/>
    <x v="3"/>
    <x v="0"/>
    <x v="0"/>
    <x v="0"/>
    <x v="0"/>
    <x v="2"/>
    <x v="3"/>
    <n v="0"/>
    <n v="0"/>
    <n v="952.27800000000002"/>
    <n v="952.27800000000002"/>
    <n v="952.27800000000002"/>
    <n v="952.27800000000002"/>
    <n v="1050"/>
    <x v="0"/>
    <n v="0"/>
    <n v="0"/>
    <n v="44"/>
    <n v="81"/>
    <n v="0"/>
    <n v="273.69"/>
    <n v="263.29000000000002"/>
    <m/>
    <n v="320.1054038964063"/>
    <n v="210.64397598313801"/>
    <n v="0"/>
    <n v="260628.96582000001"/>
    <n v="250725.27462000001"/>
    <n v="0"/>
    <n v="304829.33381166199"/>
    <n v="200591.62416127071"/>
  </r>
  <r>
    <s v="Sistema de Compensação"/>
    <x v="3"/>
    <x v="3"/>
    <x v="0"/>
    <x v="0"/>
    <x v="0"/>
    <x v="0"/>
    <x v="2"/>
    <x v="3"/>
    <n v="0"/>
    <n v="0"/>
    <n v="40.167999999999999"/>
    <n v="40.167999999999999"/>
    <n v="40.167999999999999"/>
    <n v="40.167999999999999"/>
    <n v="79"/>
    <x v="0"/>
    <n v="0"/>
    <n v="0"/>
    <n v="44"/>
    <n v="81"/>
    <n v="0"/>
    <n v="273.69"/>
    <n v="263.29000000000002"/>
    <m/>
    <n v="320.1054038964063"/>
    <n v="210.64397598313801"/>
    <n v="0"/>
    <n v="10993.57992"/>
    <n v="10575.83272"/>
    <n v="0"/>
    <n v="12857.993863710848"/>
    <n v="8461.1472272906867"/>
  </r>
  <r>
    <s v="Regular"/>
    <x v="3"/>
    <x v="3"/>
    <x v="0"/>
    <x v="0"/>
    <x v="0"/>
    <x v="0"/>
    <x v="2"/>
    <x v="4"/>
    <n v="0"/>
    <n v="0"/>
    <n v="1089.5509999999999"/>
    <n v="1089.5509999999999"/>
    <n v="1089.5509999999999"/>
    <n v="1089.5509999999999"/>
    <n v="1053"/>
    <x v="0"/>
    <n v="0"/>
    <n v="0"/>
    <n v="44"/>
    <n v="81"/>
    <n v="0"/>
    <n v="273.69"/>
    <n v="263.29000000000002"/>
    <m/>
    <n v="320.1054038964063"/>
    <n v="210.64397598313801"/>
    <n v="0"/>
    <n v="298199.21318999998"/>
    <n v="286867.88279"/>
    <n v="0"/>
    <n v="348771.16292073333"/>
    <n v="229507.35467640398"/>
  </r>
  <r>
    <s v="Sistema de Compensação"/>
    <x v="3"/>
    <x v="3"/>
    <x v="0"/>
    <x v="0"/>
    <x v="0"/>
    <x v="0"/>
    <x v="2"/>
    <x v="4"/>
    <n v="0"/>
    <n v="0"/>
    <n v="45.203000000000003"/>
    <n v="45.203000000000003"/>
    <n v="45.203000000000003"/>
    <n v="45.203000000000003"/>
    <n v="80"/>
    <x v="0"/>
    <n v="0"/>
    <n v="0"/>
    <n v="44"/>
    <n v="81"/>
    <n v="0"/>
    <n v="273.69"/>
    <n v="263.29000000000002"/>
    <m/>
    <n v="320.1054038964063"/>
    <n v="210.64397598313801"/>
    <n v="0"/>
    <n v="12371.60907"/>
    <n v="11901.497870000001"/>
    <n v="0"/>
    <n v="14469.724572329254"/>
    <n v="9521.7396463657878"/>
  </r>
  <r>
    <s v="Regular"/>
    <x v="3"/>
    <x v="3"/>
    <x v="0"/>
    <x v="0"/>
    <x v="0"/>
    <x v="0"/>
    <x v="2"/>
    <x v="5"/>
    <n v="0"/>
    <n v="0"/>
    <n v="1142.2860000000001"/>
    <n v="1142.2860000000001"/>
    <n v="1142.2860000000001"/>
    <n v="1142.2860000000001"/>
    <n v="1056"/>
    <x v="0"/>
    <n v="0"/>
    <n v="0"/>
    <n v="44"/>
    <n v="81"/>
    <n v="0"/>
    <n v="273.69"/>
    <n v="263.29000000000002"/>
    <m/>
    <n v="320.1054038964063"/>
    <n v="210.64397598313801"/>
    <n v="0"/>
    <n v="312632.25534000003"/>
    <n v="300752.48094000004"/>
    <n v="0"/>
    <n v="365651.92139521037"/>
    <n v="240615.66474987479"/>
  </r>
  <r>
    <s v="Sistema de Compensação"/>
    <x v="3"/>
    <x v="3"/>
    <x v="0"/>
    <x v="0"/>
    <x v="0"/>
    <x v="0"/>
    <x v="2"/>
    <x v="5"/>
    <n v="0"/>
    <n v="0"/>
    <n v="52.01"/>
    <n v="52.01"/>
    <n v="52.01"/>
    <n v="52.01"/>
    <n v="80"/>
    <x v="0"/>
    <n v="0"/>
    <n v="0"/>
    <n v="44"/>
    <n v="81"/>
    <n v="0"/>
    <n v="273.69"/>
    <n v="263.29000000000002"/>
    <m/>
    <n v="320.1054038964063"/>
    <n v="210.64397598313801"/>
    <n v="0"/>
    <n v="14234.616899999999"/>
    <n v="13693.7129"/>
    <n v="0"/>
    <n v="16648.682056652091"/>
    <n v="10955.593190883008"/>
  </r>
  <r>
    <s v="Regular"/>
    <x v="3"/>
    <x v="3"/>
    <x v="0"/>
    <x v="0"/>
    <x v="0"/>
    <x v="0"/>
    <x v="2"/>
    <x v="6"/>
    <n v="0"/>
    <n v="0"/>
    <n v="1120.029"/>
    <n v="1120.029"/>
    <n v="1120.029"/>
    <n v="1120.029"/>
    <n v="1057"/>
    <x v="0"/>
    <n v="0"/>
    <n v="0"/>
    <n v="44"/>
    <n v="81"/>
    <n v="0"/>
    <n v="273.69"/>
    <n v="263.29000000000002"/>
    <m/>
    <n v="320.1054038964063"/>
    <n v="210.64397598313801"/>
    <n v="0"/>
    <n v="306540.73700999998"/>
    <n v="294892.43541000003"/>
    <n v="0"/>
    <n v="358527.33542068803"/>
    <n v="235927.36177641808"/>
  </r>
  <r>
    <s v="Sistema de Compensação"/>
    <x v="3"/>
    <x v="3"/>
    <x v="0"/>
    <x v="0"/>
    <x v="0"/>
    <x v="0"/>
    <x v="2"/>
    <x v="6"/>
    <n v="0"/>
    <n v="0"/>
    <n v="41.081000000000003"/>
    <n v="41.081000000000003"/>
    <n v="41.081000000000003"/>
    <n v="41.081000000000003"/>
    <n v="84"/>
    <x v="0"/>
    <n v="0"/>
    <n v="0"/>
    <n v="44"/>
    <n v="81"/>
    <n v="0"/>
    <n v="273.69"/>
    <n v="263.29000000000002"/>
    <m/>
    <n v="320.1054038964063"/>
    <n v="210.64397598313801"/>
    <n v="0"/>
    <n v="11243.45889"/>
    <n v="10816.216490000003"/>
    <n v="0"/>
    <n v="13150.250097468268"/>
    <n v="8653.4651773632922"/>
  </r>
  <r>
    <s v="Regular"/>
    <x v="3"/>
    <x v="3"/>
    <x v="0"/>
    <x v="0"/>
    <x v="0"/>
    <x v="0"/>
    <x v="2"/>
    <x v="7"/>
    <n v="0"/>
    <n v="0"/>
    <n v="1102.1210000000001"/>
    <n v="1102.1210000000001"/>
    <n v="1102.1210000000001"/>
    <n v="1102.1210000000001"/>
    <n v="1059"/>
    <x v="0"/>
    <n v="0"/>
    <n v="0"/>
    <n v="44"/>
    <n v="81"/>
    <n v="0"/>
    <n v="273.69"/>
    <n v="263.29000000000002"/>
    <m/>
    <n v="320.1054038964063"/>
    <n v="210.64397598313801"/>
    <n v="0"/>
    <n v="301639.49649000005"/>
    <n v="290177.43809000007"/>
    <n v="0"/>
    <n v="352794.88784771122"/>
    <n v="232155.14945451205"/>
  </r>
  <r>
    <s v="Sistema de Compensação"/>
    <x v="3"/>
    <x v="3"/>
    <x v="0"/>
    <x v="0"/>
    <x v="0"/>
    <x v="0"/>
    <x v="2"/>
    <x v="7"/>
    <n v="0"/>
    <n v="0"/>
    <n v="40.497999999999998"/>
    <n v="40.497999999999998"/>
    <n v="40.497999999999998"/>
    <n v="40.497999999999998"/>
    <n v="82"/>
    <x v="0"/>
    <n v="0"/>
    <n v="0"/>
    <n v="44"/>
    <n v="81"/>
    <n v="0"/>
    <n v="273.69"/>
    <n v="263.29000000000002"/>
    <m/>
    <n v="320.1054038964063"/>
    <n v="210.64397598313801"/>
    <n v="0"/>
    <n v="11083.89762"/>
    <n v="10662.718420000001"/>
    <n v="0"/>
    <n v="12963.628646996662"/>
    <n v="8530.6597393651227"/>
  </r>
  <r>
    <s v="Regular"/>
    <x v="3"/>
    <x v="3"/>
    <x v="0"/>
    <x v="0"/>
    <x v="0"/>
    <x v="0"/>
    <x v="2"/>
    <x v="8"/>
    <n v="0"/>
    <n v="0"/>
    <n v="1089.5229999999999"/>
    <n v="1089.5229999999999"/>
    <n v="1089.5229999999999"/>
    <n v="1089.5229999999999"/>
    <n v="1056"/>
    <x v="0"/>
    <n v="0"/>
    <n v="0"/>
    <n v="44"/>
    <n v="81"/>
    <n v="0"/>
    <n v="273.69"/>
    <n v="263.29000000000002"/>
    <m/>
    <n v="320.1054038964063"/>
    <n v="210.64397598313801"/>
    <n v="0"/>
    <n v="298191.54986999999"/>
    <n v="286860.51066999999"/>
    <n v="0"/>
    <n v="348762.19996942423"/>
    <n v="229501.45664507645"/>
  </r>
  <r>
    <s v="Sistema de Compensação"/>
    <x v="3"/>
    <x v="3"/>
    <x v="0"/>
    <x v="0"/>
    <x v="0"/>
    <x v="0"/>
    <x v="2"/>
    <x v="8"/>
    <n v="0"/>
    <n v="0"/>
    <n v="44.49"/>
    <n v="44.49"/>
    <n v="44.49"/>
    <n v="44.49"/>
    <n v="83"/>
    <x v="0"/>
    <n v="0"/>
    <n v="0"/>
    <n v="44"/>
    <n v="81"/>
    <n v="0"/>
    <n v="273.69"/>
    <n v="263.29000000000002"/>
    <m/>
    <n v="320.1054038964063"/>
    <n v="210.64397598313801"/>
    <n v="0"/>
    <n v="12176.4681"/>
    <n v="11713.772100000002"/>
    <n v="0"/>
    <n v="14241.489419351117"/>
    <n v="9371.5504914898102"/>
  </r>
  <r>
    <s v="Regular"/>
    <x v="3"/>
    <x v="3"/>
    <x v="0"/>
    <x v="0"/>
    <x v="0"/>
    <x v="0"/>
    <x v="2"/>
    <x v="9"/>
    <n v="0"/>
    <n v="0"/>
    <n v="1139.3879999999999"/>
    <n v="1139.3879999999999"/>
    <n v="1139.3879999999999"/>
    <n v="1139.3879999999999"/>
    <n v="1050"/>
    <x v="0"/>
    <n v="0"/>
    <n v="0"/>
    <n v="44"/>
    <n v="81"/>
    <n v="0"/>
    <n v="273.69"/>
    <n v="263.29000000000002"/>
    <m/>
    <n v="320.1054038964063"/>
    <n v="210.64397598313801"/>
    <n v="0"/>
    <n v="311839.10171999998"/>
    <n v="299989.46652000002"/>
    <n v="0"/>
    <n v="364724.25593471853"/>
    <n v="240005.21850747563"/>
  </r>
  <r>
    <s v="Sistema de Compensação"/>
    <x v="3"/>
    <x v="3"/>
    <x v="0"/>
    <x v="0"/>
    <x v="0"/>
    <x v="0"/>
    <x v="2"/>
    <x v="9"/>
    <n v="0"/>
    <n v="0"/>
    <n v="52.466000000000001"/>
    <n v="52.466000000000001"/>
    <n v="52.466000000000001"/>
    <n v="52.466000000000001"/>
    <n v="84"/>
    <x v="0"/>
    <n v="0"/>
    <n v="0"/>
    <n v="44"/>
    <n v="81"/>
    <n v="0"/>
    <n v="273.69"/>
    <n v="263.29000000000002"/>
    <m/>
    <n v="320.1054038964063"/>
    <n v="210.64397598313801"/>
    <n v="0"/>
    <n v="14359.419540000001"/>
    <n v="13813.773140000001"/>
    <n v="0"/>
    <n v="16794.650120828854"/>
    <n v="11051.646843931319"/>
  </r>
  <r>
    <s v="Regular"/>
    <x v="3"/>
    <x v="3"/>
    <x v="0"/>
    <x v="0"/>
    <x v="0"/>
    <x v="0"/>
    <x v="2"/>
    <x v="10"/>
    <n v="0"/>
    <n v="0"/>
    <n v="1257.308"/>
    <n v="1257.308"/>
    <n v="1257.308"/>
    <n v="1257.308"/>
    <n v="1047"/>
    <x v="0"/>
    <n v="0"/>
    <n v="0"/>
    <n v="44"/>
    <n v="81"/>
    <n v="0"/>
    <n v="273.69"/>
    <n v="263.29000000000002"/>
    <m/>
    <n v="320.1054038964063"/>
    <n v="210.64397598313801"/>
    <n v="0"/>
    <n v="344112.62651999999"/>
    <n v="331036.62332000001"/>
    <n v="0"/>
    <n v="402471.0851621828"/>
    <n v="264844.35615540727"/>
  </r>
  <r>
    <s v="Sistema de Compensação"/>
    <x v="3"/>
    <x v="3"/>
    <x v="0"/>
    <x v="0"/>
    <x v="0"/>
    <x v="0"/>
    <x v="2"/>
    <x v="10"/>
    <n v="0"/>
    <n v="0"/>
    <n v="59.981000000000002"/>
    <n v="59.981000000000002"/>
    <n v="59.981000000000002"/>
    <n v="59.981000000000002"/>
    <n v="91"/>
    <x v="0"/>
    <n v="0"/>
    <n v="0"/>
    <n v="44"/>
    <n v="81"/>
    <n v="0"/>
    <n v="273.69"/>
    <n v="263.29000000000002"/>
    <m/>
    <n v="320.1054038964063"/>
    <n v="210.64397598313801"/>
    <n v="0"/>
    <n v="16416.19989"/>
    <n v="15792.397490000001"/>
    <n v="0"/>
    <n v="19200.242231110347"/>
    <n v="12634.636323444602"/>
  </r>
  <r>
    <s v="Regular"/>
    <x v="3"/>
    <x v="3"/>
    <x v="0"/>
    <x v="0"/>
    <x v="0"/>
    <x v="0"/>
    <x v="2"/>
    <x v="11"/>
    <n v="0"/>
    <n v="0"/>
    <n v="1256.636"/>
    <n v="1256.636"/>
    <n v="1256.636"/>
    <n v="1256.636"/>
    <n v="1055"/>
    <x v="0"/>
    <n v="0"/>
    <n v="0"/>
    <n v="44"/>
    <n v="81"/>
    <n v="0"/>
    <n v="273.69"/>
    <n v="263.29000000000002"/>
    <m/>
    <n v="320.1054038964063"/>
    <n v="210.64397598313801"/>
    <n v="0"/>
    <n v="343928.70684"/>
    <n v="330859.69244000001"/>
    <n v="0"/>
    <n v="402255.97433076444"/>
    <n v="264702.80340354663"/>
  </r>
  <r>
    <s v="Regular"/>
    <x v="3"/>
    <x v="3"/>
    <x v="5"/>
    <x v="0"/>
    <x v="0"/>
    <x v="0"/>
    <x v="2"/>
    <x v="0"/>
    <n v="0"/>
    <n v="0"/>
    <n v="14.512"/>
    <n v="14.512"/>
    <n v="14.512"/>
    <n v="14.512"/>
    <n v="7"/>
    <x v="0"/>
    <n v="0"/>
    <n v="0"/>
    <n v="44"/>
    <n v="81"/>
    <n v="0"/>
    <n v="273.69"/>
    <n v="263.29000000000002"/>
    <m/>
    <n v="320.1054038964063"/>
    <n v="210.64397598313801"/>
    <n v="0"/>
    <n v="3971.78928"/>
    <n v="3820.8644800000006"/>
    <n v="0"/>
    <n v="4645.3696213446483"/>
    <n v="3056.8653794672987"/>
  </r>
  <r>
    <s v="Regular"/>
    <x v="3"/>
    <x v="3"/>
    <x v="5"/>
    <x v="0"/>
    <x v="0"/>
    <x v="0"/>
    <x v="2"/>
    <x v="1"/>
    <n v="0"/>
    <n v="0"/>
    <n v="15.015000000000001"/>
    <n v="15.015000000000001"/>
    <n v="15.015000000000001"/>
    <n v="15.015000000000001"/>
    <n v="7"/>
    <x v="0"/>
    <n v="0"/>
    <n v="0"/>
    <n v="44"/>
    <n v="81"/>
    <n v="0"/>
    <n v="273.69"/>
    <n v="263.29000000000002"/>
    <m/>
    <n v="320.1054038964063"/>
    <n v="210.64397598313801"/>
    <n v="0"/>
    <n v="4109.4553500000002"/>
    <n v="3953.2993500000002"/>
    <n v="0"/>
    <n v="4806.3826395045407"/>
    <n v="3162.8192993868174"/>
  </r>
  <r>
    <s v="Regular"/>
    <x v="3"/>
    <x v="3"/>
    <x v="5"/>
    <x v="0"/>
    <x v="0"/>
    <x v="0"/>
    <x v="2"/>
    <x v="2"/>
    <n v="0"/>
    <n v="0"/>
    <n v="12.273999999999999"/>
    <n v="12.273999999999999"/>
    <n v="12.273999999999999"/>
    <n v="12.273999999999999"/>
    <n v="7"/>
    <x v="0"/>
    <n v="0"/>
    <n v="0"/>
    <n v="44"/>
    <n v="81"/>
    <n v="0"/>
    <n v="273.69"/>
    <n v="263.29000000000002"/>
    <m/>
    <n v="320.1054038964063"/>
    <n v="210.64397598313801"/>
    <n v="0"/>
    <n v="3359.2710599999996"/>
    <n v="3231.6214599999998"/>
    <n v="0"/>
    <n v="3928.9737274244908"/>
    <n v="2585.4441612170358"/>
  </r>
  <r>
    <s v="Regular"/>
    <x v="3"/>
    <x v="3"/>
    <x v="5"/>
    <x v="0"/>
    <x v="0"/>
    <x v="0"/>
    <x v="2"/>
    <x v="3"/>
    <n v="0"/>
    <n v="0"/>
    <n v="11.89"/>
    <n v="11.89"/>
    <n v="11.89"/>
    <n v="11.89"/>
    <n v="7"/>
    <x v="0"/>
    <n v="0"/>
    <n v="0"/>
    <n v="44"/>
    <n v="81"/>
    <n v="0"/>
    <n v="273.69"/>
    <n v="263.29000000000002"/>
    <m/>
    <n v="320.1054038964063"/>
    <n v="210.64397598313801"/>
    <n v="0"/>
    <n v="3254.1741000000002"/>
    <n v="3130.5181000000002"/>
    <n v="0"/>
    <n v="3806.0532523282709"/>
    <n v="2504.5568744395109"/>
  </r>
  <r>
    <s v="Regular"/>
    <x v="3"/>
    <x v="3"/>
    <x v="5"/>
    <x v="0"/>
    <x v="0"/>
    <x v="0"/>
    <x v="2"/>
    <x v="4"/>
    <n v="0"/>
    <n v="0"/>
    <n v="16.198"/>
    <n v="16.198"/>
    <n v="16.198"/>
    <n v="16.198"/>
    <n v="7"/>
    <x v="0"/>
    <n v="0"/>
    <n v="0"/>
    <n v="44"/>
    <n v="81"/>
    <n v="0"/>
    <n v="273.69"/>
    <n v="263.29000000000002"/>
    <m/>
    <n v="320.1054038964063"/>
    <n v="210.64397598313801"/>
    <n v="0"/>
    <n v="4433.2306200000003"/>
    <n v="4264.77142"/>
    <n v="0"/>
    <n v="5185.067332313989"/>
    <n v="3412.0111229748695"/>
  </r>
  <r>
    <s v="Regular"/>
    <x v="3"/>
    <x v="3"/>
    <x v="5"/>
    <x v="0"/>
    <x v="0"/>
    <x v="0"/>
    <x v="2"/>
    <x v="5"/>
    <n v="0"/>
    <n v="0"/>
    <n v="12.519"/>
    <n v="12.519"/>
    <n v="12.519"/>
    <n v="12.519"/>
    <n v="7"/>
    <x v="0"/>
    <n v="0"/>
    <n v="0"/>
    <n v="44"/>
    <n v="81"/>
    <n v="0"/>
    <n v="273.69"/>
    <n v="263.29000000000002"/>
    <m/>
    <n v="320.1054038964063"/>
    <n v="210.64397598313801"/>
    <n v="0"/>
    <n v="3426.3251100000002"/>
    <n v="3296.1275100000003"/>
    <n v="0"/>
    <n v="4007.3995513791106"/>
    <n v="2637.0519353329046"/>
  </r>
  <r>
    <s v="Regular"/>
    <x v="3"/>
    <x v="3"/>
    <x v="5"/>
    <x v="0"/>
    <x v="0"/>
    <x v="0"/>
    <x v="2"/>
    <x v="6"/>
    <n v="0"/>
    <n v="0"/>
    <n v="13.663"/>
    <n v="13.663"/>
    <n v="13.663"/>
    <n v="13.663"/>
    <n v="7"/>
    <x v="0"/>
    <n v="0"/>
    <n v="0"/>
    <n v="44"/>
    <n v="81"/>
    <n v="0"/>
    <n v="273.69"/>
    <n v="263.29000000000002"/>
    <m/>
    <n v="320.1054038964063"/>
    <n v="210.64397598313801"/>
    <n v="0"/>
    <n v="3739.4264699999999"/>
    <n v="3597.3312700000001"/>
    <n v="0"/>
    <n v="4373.6001334365992"/>
    <n v="2878.0286438576145"/>
  </r>
  <r>
    <s v="Regular"/>
    <x v="3"/>
    <x v="3"/>
    <x v="5"/>
    <x v="0"/>
    <x v="0"/>
    <x v="0"/>
    <x v="2"/>
    <x v="7"/>
    <n v="0"/>
    <n v="0"/>
    <n v="14.968"/>
    <n v="14.968"/>
    <n v="14.968"/>
    <n v="14.968"/>
    <n v="7"/>
    <x v="0"/>
    <n v="0"/>
    <n v="0"/>
    <n v="44"/>
    <n v="81"/>
    <n v="0"/>
    <n v="273.69"/>
    <n v="263.29000000000002"/>
    <m/>
    <n v="320.1054038964063"/>
    <n v="210.64397598313801"/>
    <n v="0"/>
    <n v="4096.5919199999998"/>
    <n v="3940.9247200000004"/>
    <n v="0"/>
    <n v="4791.3376855214092"/>
    <n v="3152.9190325156096"/>
  </r>
  <r>
    <s v="Regular"/>
    <x v="3"/>
    <x v="3"/>
    <x v="5"/>
    <x v="0"/>
    <x v="0"/>
    <x v="0"/>
    <x v="2"/>
    <x v="8"/>
    <n v="0"/>
    <n v="0"/>
    <n v="13.377000000000001"/>
    <n v="13.377000000000001"/>
    <n v="13.377000000000001"/>
    <n v="13.377000000000001"/>
    <n v="7"/>
    <x v="0"/>
    <n v="0"/>
    <n v="0"/>
    <n v="44"/>
    <n v="81"/>
    <n v="0"/>
    <n v="273.69"/>
    <n v="263.29000000000002"/>
    <m/>
    <n v="320.1054038964063"/>
    <n v="210.64397598313801"/>
    <n v="0"/>
    <n v="3661.1511300000002"/>
    <n v="3522.0303300000005"/>
    <n v="0"/>
    <n v="4282.049987922227"/>
    <n v="2817.7844667264371"/>
  </r>
  <r>
    <s v="Regular"/>
    <x v="3"/>
    <x v="3"/>
    <x v="5"/>
    <x v="0"/>
    <x v="0"/>
    <x v="0"/>
    <x v="2"/>
    <x v="9"/>
    <n v="0"/>
    <n v="0"/>
    <n v="13.865"/>
    <n v="13.865"/>
    <n v="13.865"/>
    <n v="13.865"/>
    <n v="7"/>
    <x v="0"/>
    <n v="0"/>
    <n v="0"/>
    <n v="44"/>
    <n v="81"/>
    <n v="0"/>
    <n v="273.69"/>
    <n v="263.29000000000002"/>
    <m/>
    <n v="320.1054038964063"/>
    <n v="210.64397598313801"/>
    <n v="0"/>
    <n v="3794.7118500000001"/>
    <n v="3650.5158500000002"/>
    <n v="0"/>
    <n v="4438.2614250236738"/>
    <n v="2920.5787270062083"/>
  </r>
  <r>
    <s v="Regular"/>
    <x v="3"/>
    <x v="3"/>
    <x v="5"/>
    <x v="0"/>
    <x v="0"/>
    <x v="0"/>
    <x v="2"/>
    <x v="10"/>
    <n v="0"/>
    <n v="0"/>
    <n v="17.029"/>
    <n v="17.029"/>
    <n v="17.029"/>
    <n v="17.029"/>
    <n v="7"/>
    <x v="0"/>
    <n v="0"/>
    <n v="0"/>
    <n v="44"/>
    <n v="81"/>
    <n v="0"/>
    <n v="273.69"/>
    <n v="263.29000000000002"/>
    <m/>
    <n v="320.1054038964063"/>
    <n v="210.64397598313801"/>
    <n v="0"/>
    <n v="4660.6670100000001"/>
    <n v="4483.5654100000002"/>
    <n v="0"/>
    <n v="5451.0749229519033"/>
    <n v="3587.056267016857"/>
  </r>
  <r>
    <s v="Regular"/>
    <x v="3"/>
    <x v="3"/>
    <x v="5"/>
    <x v="0"/>
    <x v="0"/>
    <x v="0"/>
    <x v="2"/>
    <x v="11"/>
    <n v="0"/>
    <n v="0"/>
    <n v="14.18"/>
    <n v="14.18"/>
    <n v="14.18"/>
    <n v="14.18"/>
    <n v="7"/>
    <x v="0"/>
    <n v="0"/>
    <n v="0"/>
    <n v="44"/>
    <n v="81"/>
    <n v="0"/>
    <n v="273.69"/>
    <n v="263.29000000000002"/>
    <m/>
    <n v="320.1054038964063"/>
    <n v="210.64397598313801"/>
    <n v="0"/>
    <n v="3880.9241999999999"/>
    <n v="3733.4522000000002"/>
    <n v="0"/>
    <n v="4539.0946272510409"/>
    <n v="2986.9315794408967"/>
  </r>
  <r>
    <s v="Regular"/>
    <x v="3"/>
    <x v="3"/>
    <x v="1"/>
    <x v="0"/>
    <x v="0"/>
    <x v="0"/>
    <x v="2"/>
    <x v="0"/>
    <n v="0"/>
    <n v="0"/>
    <n v="87.825000000000003"/>
    <n v="87.825000000000003"/>
    <n v="87.825000000000003"/>
    <n v="87.825000000000003"/>
    <n v="39"/>
    <x v="0"/>
    <n v="0"/>
    <n v="0"/>
    <n v="44"/>
    <n v="81"/>
    <n v="0"/>
    <n v="273.69"/>
    <n v="263.29000000000002"/>
    <m/>
    <n v="320.1054038964063"/>
    <n v="210.64397598313801"/>
    <n v="0"/>
    <n v="24036.824250000001"/>
    <n v="23123.444250000004"/>
    <n v="0"/>
    <n v="28113.257097201884"/>
    <n v="18499.807190719097"/>
  </r>
  <r>
    <s v="Sistema de Compensação"/>
    <x v="3"/>
    <x v="3"/>
    <x v="1"/>
    <x v="0"/>
    <x v="0"/>
    <x v="0"/>
    <x v="2"/>
    <x v="0"/>
    <n v="0"/>
    <n v="0"/>
    <n v="0.1"/>
    <n v="0.1"/>
    <n v="0.1"/>
    <n v="0.1"/>
    <n v="1"/>
    <x v="0"/>
    <n v="0"/>
    <n v="0"/>
    <n v="44"/>
    <n v="81"/>
    <n v="0"/>
    <n v="273.69"/>
    <n v="263.29000000000002"/>
    <m/>
    <n v="320.1054038964063"/>
    <n v="210.64397598313801"/>
    <n v="0"/>
    <n v="27.369"/>
    <n v="26.329000000000004"/>
    <n v="0"/>
    <n v="32.010540389640632"/>
    <n v="21.064397598313803"/>
  </r>
  <r>
    <s v="Regular"/>
    <x v="3"/>
    <x v="3"/>
    <x v="1"/>
    <x v="0"/>
    <x v="0"/>
    <x v="0"/>
    <x v="2"/>
    <x v="1"/>
    <n v="0"/>
    <n v="0"/>
    <n v="85.387"/>
    <n v="85.387"/>
    <n v="85.387"/>
    <n v="85.387"/>
    <n v="39"/>
    <x v="0"/>
    <n v="0"/>
    <n v="0"/>
    <n v="44"/>
    <n v="81"/>
    <n v="0"/>
    <n v="273.69"/>
    <n v="263.29000000000002"/>
    <m/>
    <n v="320.1054038964063"/>
    <n v="210.64397598313801"/>
    <n v="0"/>
    <n v="23369.568029999999"/>
    <n v="22481.543230000003"/>
    <n v="0"/>
    <n v="27332.840122502446"/>
    <n v="17986.257177272204"/>
  </r>
  <r>
    <s v="Sistema de Compensação"/>
    <x v="3"/>
    <x v="3"/>
    <x v="1"/>
    <x v="0"/>
    <x v="0"/>
    <x v="0"/>
    <x v="2"/>
    <x v="1"/>
    <n v="0"/>
    <n v="0"/>
    <n v="0.1"/>
    <n v="0.1"/>
    <n v="0.1"/>
    <n v="0.1"/>
    <n v="1"/>
    <x v="0"/>
    <n v="0"/>
    <n v="0"/>
    <n v="44"/>
    <n v="81"/>
    <n v="0"/>
    <n v="273.69"/>
    <n v="263.29000000000002"/>
    <m/>
    <n v="320.1054038964063"/>
    <n v="210.64397598313801"/>
    <n v="0"/>
    <n v="27.369"/>
    <n v="26.329000000000004"/>
    <n v="0"/>
    <n v="32.010540389640632"/>
    <n v="21.064397598313803"/>
  </r>
  <r>
    <s v="Regular"/>
    <x v="3"/>
    <x v="3"/>
    <x v="1"/>
    <x v="0"/>
    <x v="0"/>
    <x v="0"/>
    <x v="2"/>
    <x v="2"/>
    <n v="0"/>
    <n v="0"/>
    <n v="83.837000000000003"/>
    <n v="83.837000000000003"/>
    <n v="83.837000000000003"/>
    <n v="83.837000000000003"/>
    <n v="38"/>
    <x v="0"/>
    <n v="0"/>
    <n v="0"/>
    <n v="44"/>
    <n v="81"/>
    <n v="0"/>
    <n v="273.69"/>
    <n v="263.29000000000002"/>
    <m/>
    <n v="320.1054038964063"/>
    <n v="210.64397598313801"/>
    <n v="0"/>
    <n v="22945.348529999999"/>
    <n v="22073.443730000003"/>
    <n v="0"/>
    <n v="26836.676746463017"/>
    <n v="17659.759014498341"/>
  </r>
  <r>
    <s v="Sistema de Compensação"/>
    <x v="3"/>
    <x v="3"/>
    <x v="1"/>
    <x v="0"/>
    <x v="0"/>
    <x v="0"/>
    <x v="2"/>
    <x v="2"/>
    <n v="0"/>
    <n v="0"/>
    <n v="0.1"/>
    <n v="0.1"/>
    <n v="0.1"/>
    <n v="0.1"/>
    <n v="1"/>
    <x v="0"/>
    <n v="0"/>
    <n v="0"/>
    <n v="44"/>
    <n v="81"/>
    <n v="0"/>
    <n v="273.69"/>
    <n v="263.29000000000002"/>
    <m/>
    <n v="320.1054038964063"/>
    <n v="210.64397598313801"/>
    <n v="0"/>
    <n v="27.369"/>
    <n v="26.329000000000004"/>
    <n v="0"/>
    <n v="32.010540389640632"/>
    <n v="21.064397598313803"/>
  </r>
  <r>
    <s v="Regular"/>
    <x v="3"/>
    <x v="3"/>
    <x v="1"/>
    <x v="0"/>
    <x v="0"/>
    <x v="0"/>
    <x v="2"/>
    <x v="3"/>
    <n v="0"/>
    <n v="0"/>
    <n v="89.876999999999995"/>
    <n v="89.876999999999995"/>
    <n v="89.876999999999995"/>
    <n v="89.876999999999995"/>
    <n v="38"/>
    <x v="0"/>
    <n v="0"/>
    <n v="0"/>
    <n v="44"/>
    <n v="81"/>
    <n v="0"/>
    <n v="273.69"/>
    <n v="263.29000000000002"/>
    <m/>
    <n v="320.1054038964063"/>
    <n v="210.64397598313801"/>
    <n v="0"/>
    <n v="24598.436129999998"/>
    <n v="23663.715329999999"/>
    <n v="0"/>
    <n v="28770.113385997309"/>
    <n v="18932.048629436493"/>
  </r>
  <r>
    <s v="Sistema de Compensação"/>
    <x v="3"/>
    <x v="3"/>
    <x v="1"/>
    <x v="0"/>
    <x v="0"/>
    <x v="0"/>
    <x v="2"/>
    <x v="3"/>
    <n v="0"/>
    <n v="0"/>
    <n v="0.1"/>
    <n v="0.1"/>
    <n v="0.1"/>
    <n v="0.1"/>
    <n v="1"/>
    <x v="0"/>
    <n v="0"/>
    <n v="0"/>
    <n v="44"/>
    <n v="81"/>
    <n v="0"/>
    <n v="273.69"/>
    <n v="263.29000000000002"/>
    <m/>
    <n v="320.1054038964063"/>
    <n v="210.64397598313801"/>
    <n v="0"/>
    <n v="27.369"/>
    <n v="26.329000000000004"/>
    <n v="0"/>
    <n v="32.010540389640632"/>
    <n v="21.064397598313803"/>
  </r>
  <r>
    <s v="Regular"/>
    <x v="3"/>
    <x v="3"/>
    <x v="1"/>
    <x v="0"/>
    <x v="0"/>
    <x v="0"/>
    <x v="2"/>
    <x v="4"/>
    <n v="0"/>
    <n v="0"/>
    <n v="98.241"/>
    <n v="98.241"/>
    <n v="98.241"/>
    <n v="98.241"/>
    <n v="38"/>
    <x v="0"/>
    <n v="0"/>
    <n v="0"/>
    <n v="44"/>
    <n v="81"/>
    <n v="0"/>
    <n v="273.69"/>
    <n v="263.29000000000002"/>
    <m/>
    <n v="320.1054038964063"/>
    <n v="210.64397598313801"/>
    <n v="0"/>
    <n v="26887.579290000001"/>
    <n v="25865.872890000002"/>
    <n v="0"/>
    <n v="31447.474984186851"/>
    <n v="20693.874844559461"/>
  </r>
  <r>
    <s v="Sistema de Compensação"/>
    <x v="3"/>
    <x v="3"/>
    <x v="1"/>
    <x v="0"/>
    <x v="0"/>
    <x v="0"/>
    <x v="2"/>
    <x v="4"/>
    <n v="0"/>
    <n v="0"/>
    <n v="0.1"/>
    <n v="0.1"/>
    <n v="0.1"/>
    <n v="0.1"/>
    <n v="1"/>
    <x v="0"/>
    <n v="0"/>
    <n v="0"/>
    <n v="44"/>
    <n v="81"/>
    <n v="0"/>
    <n v="273.69"/>
    <n v="263.29000000000002"/>
    <m/>
    <n v="320.1054038964063"/>
    <n v="210.64397598313801"/>
    <n v="0"/>
    <n v="27.369"/>
    <n v="26.329000000000004"/>
    <n v="0"/>
    <n v="32.010540389640632"/>
    <n v="21.064397598313803"/>
  </r>
  <r>
    <s v="Regular"/>
    <x v="3"/>
    <x v="3"/>
    <x v="1"/>
    <x v="0"/>
    <x v="0"/>
    <x v="0"/>
    <x v="2"/>
    <x v="5"/>
    <n v="0"/>
    <n v="0"/>
    <n v="108.854"/>
    <n v="108.854"/>
    <n v="108.854"/>
    <n v="108.854"/>
    <n v="42"/>
    <x v="0"/>
    <n v="0"/>
    <n v="0"/>
    <n v="44"/>
    <n v="81"/>
    <n v="0"/>
    <n v="273.69"/>
    <n v="263.29000000000002"/>
    <m/>
    <n v="320.1054038964063"/>
    <n v="210.64397598313801"/>
    <n v="0"/>
    <n v="29792.251260000001"/>
    <n v="28660.169660000003"/>
    <n v="0"/>
    <n v="34844.753635739413"/>
    <n v="22929.439361668505"/>
  </r>
  <r>
    <s v="Sistema de Compensação"/>
    <x v="3"/>
    <x v="3"/>
    <x v="1"/>
    <x v="0"/>
    <x v="0"/>
    <x v="0"/>
    <x v="2"/>
    <x v="5"/>
    <n v="0"/>
    <n v="0"/>
    <n v="0.3"/>
    <n v="0.3"/>
    <n v="0.3"/>
    <n v="0.3"/>
    <n v="3"/>
    <x v="0"/>
    <n v="0"/>
    <n v="0"/>
    <n v="44"/>
    <n v="81"/>
    <n v="0"/>
    <n v="273.69"/>
    <n v="263.29000000000002"/>
    <m/>
    <n v="320.1054038964063"/>
    <n v="210.64397598313801"/>
    <n v="0"/>
    <n v="82.106999999999999"/>
    <n v="78.987000000000009"/>
    <n v="0"/>
    <n v="96.031621168921887"/>
    <n v="63.193192794941396"/>
  </r>
  <r>
    <s v="Regular"/>
    <x v="3"/>
    <x v="3"/>
    <x v="1"/>
    <x v="0"/>
    <x v="0"/>
    <x v="0"/>
    <x v="2"/>
    <x v="6"/>
    <n v="0"/>
    <n v="0"/>
    <n v="110.777"/>
    <n v="110.777"/>
    <n v="110.777"/>
    <n v="110.777"/>
    <n v="41"/>
    <x v="0"/>
    <n v="0"/>
    <n v="0"/>
    <n v="44"/>
    <n v="81"/>
    <n v="0"/>
    <n v="273.69"/>
    <n v="263.29000000000002"/>
    <m/>
    <n v="320.1054038964063"/>
    <n v="210.64397598313801"/>
    <n v="0"/>
    <n v="30318.557130000001"/>
    <n v="29166.476330000001"/>
    <n v="0"/>
    <n v="35460.3163274322"/>
    <n v="23334.507727484081"/>
  </r>
  <r>
    <s v="Sistema de Compensação"/>
    <x v="3"/>
    <x v="3"/>
    <x v="1"/>
    <x v="0"/>
    <x v="0"/>
    <x v="0"/>
    <x v="2"/>
    <x v="6"/>
    <n v="0"/>
    <n v="0"/>
    <n v="0.3"/>
    <n v="0.3"/>
    <n v="0.3"/>
    <n v="0.3"/>
    <n v="3"/>
    <x v="0"/>
    <n v="0"/>
    <n v="0"/>
    <n v="44"/>
    <n v="81"/>
    <n v="0"/>
    <n v="273.69"/>
    <n v="263.29000000000002"/>
    <m/>
    <n v="320.1054038964063"/>
    <n v="210.64397598313801"/>
    <n v="0"/>
    <n v="82.106999999999999"/>
    <n v="78.987000000000009"/>
    <n v="0"/>
    <n v="96.031621168921887"/>
    <n v="63.193192794941396"/>
  </r>
  <r>
    <s v="Regular"/>
    <x v="3"/>
    <x v="3"/>
    <x v="1"/>
    <x v="0"/>
    <x v="0"/>
    <x v="0"/>
    <x v="2"/>
    <x v="7"/>
    <n v="0"/>
    <n v="0"/>
    <n v="108.777"/>
    <n v="108.777"/>
    <n v="108.777"/>
    <n v="108.777"/>
    <n v="40"/>
    <x v="0"/>
    <n v="0"/>
    <n v="0"/>
    <n v="44"/>
    <n v="81"/>
    <n v="0"/>
    <n v="273.69"/>
    <n v="263.29000000000002"/>
    <m/>
    <n v="320.1054038964063"/>
    <n v="210.64397598313801"/>
    <n v="0"/>
    <n v="29771.17713"/>
    <n v="28639.896330000003"/>
    <n v="0"/>
    <n v="34820.105519639386"/>
    <n v="22913.219775517802"/>
  </r>
  <r>
    <s v="Refaturamento - Regular"/>
    <x v="3"/>
    <x v="3"/>
    <x v="1"/>
    <x v="0"/>
    <x v="0"/>
    <x v="0"/>
    <x v="2"/>
    <x v="7"/>
    <n v="0"/>
    <n v="0"/>
    <n v="4.9950000000000001"/>
    <n v="4.9950000000000001"/>
    <n v="4.9950000000000001"/>
    <n v="4.9950000000000001"/>
    <n v="0"/>
    <x v="0"/>
    <n v="0"/>
    <n v="0"/>
    <n v="44"/>
    <n v="81"/>
    <n v="0"/>
    <n v="273.69"/>
    <n v="263.29000000000002"/>
    <m/>
    <n v="320.1054038964063"/>
    <n v="210.64397598313801"/>
    <n v="0"/>
    <n v="1367.0815500000001"/>
    <n v="1315.1335500000002"/>
    <n v="0"/>
    <n v="1598.9264924625495"/>
    <n v="1052.1666600357744"/>
  </r>
  <r>
    <s v="Sistema de Compensação"/>
    <x v="3"/>
    <x v="3"/>
    <x v="1"/>
    <x v="0"/>
    <x v="0"/>
    <x v="0"/>
    <x v="2"/>
    <x v="7"/>
    <n v="0"/>
    <n v="0"/>
    <n v="0.3"/>
    <n v="0.3"/>
    <n v="0.3"/>
    <n v="0.3"/>
    <n v="3"/>
    <x v="0"/>
    <n v="0"/>
    <n v="0"/>
    <n v="44"/>
    <n v="81"/>
    <n v="0"/>
    <n v="273.69"/>
    <n v="263.29000000000002"/>
    <m/>
    <n v="320.1054038964063"/>
    <n v="210.64397598313801"/>
    <n v="0"/>
    <n v="82.106999999999999"/>
    <n v="78.987000000000009"/>
    <n v="0"/>
    <n v="96.031621168921887"/>
    <n v="63.193192794941396"/>
  </r>
  <r>
    <s v="Regular"/>
    <x v="3"/>
    <x v="3"/>
    <x v="1"/>
    <x v="0"/>
    <x v="0"/>
    <x v="0"/>
    <x v="2"/>
    <x v="8"/>
    <n v="0"/>
    <n v="0"/>
    <n v="102.43300000000001"/>
    <n v="102.43300000000001"/>
    <n v="102.43300000000001"/>
    <n v="102.43300000000001"/>
    <n v="40"/>
    <x v="0"/>
    <n v="0"/>
    <n v="0"/>
    <n v="44"/>
    <n v="81"/>
    <n v="0"/>
    <n v="273.69"/>
    <n v="263.29000000000002"/>
    <m/>
    <n v="320.1054038964063"/>
    <n v="210.64397598313801"/>
    <n v="0"/>
    <n v="28034.887770000001"/>
    <n v="26969.584570000003"/>
    <n v="0"/>
    <n v="32789.356837320585"/>
    <n v="21576.894391880778"/>
  </r>
  <r>
    <s v="Sistema de Compensação"/>
    <x v="3"/>
    <x v="3"/>
    <x v="1"/>
    <x v="0"/>
    <x v="0"/>
    <x v="0"/>
    <x v="2"/>
    <x v="8"/>
    <n v="0"/>
    <n v="0"/>
    <n v="0.3"/>
    <n v="0.3"/>
    <n v="0.3"/>
    <n v="0.3"/>
    <n v="3"/>
    <x v="0"/>
    <n v="0"/>
    <n v="0"/>
    <n v="44"/>
    <n v="81"/>
    <n v="0"/>
    <n v="273.69"/>
    <n v="263.29000000000002"/>
    <m/>
    <n v="320.1054038964063"/>
    <n v="210.64397598313801"/>
    <n v="0"/>
    <n v="82.106999999999999"/>
    <n v="78.987000000000009"/>
    <n v="0"/>
    <n v="96.031621168921887"/>
    <n v="63.193192794941396"/>
  </r>
  <r>
    <s v="Regular"/>
    <x v="3"/>
    <x v="3"/>
    <x v="1"/>
    <x v="0"/>
    <x v="0"/>
    <x v="0"/>
    <x v="2"/>
    <x v="9"/>
    <n v="0"/>
    <n v="0"/>
    <n v="118.384"/>
    <n v="118.384"/>
    <n v="118.384"/>
    <n v="118.384"/>
    <n v="40"/>
    <x v="0"/>
    <n v="0"/>
    <n v="0"/>
    <n v="44"/>
    <n v="81"/>
    <n v="0"/>
    <n v="273.69"/>
    <n v="263.29000000000002"/>
    <m/>
    <n v="320.1054038964063"/>
    <n v="210.64397598313801"/>
    <n v="0"/>
    <n v="32400.516960000001"/>
    <n v="31169.323360000002"/>
    <n v="0"/>
    <n v="37895.358134872164"/>
    <n v="24936.876452787808"/>
  </r>
  <r>
    <s v="Sistema de Compensação"/>
    <x v="3"/>
    <x v="3"/>
    <x v="1"/>
    <x v="0"/>
    <x v="0"/>
    <x v="0"/>
    <x v="2"/>
    <x v="9"/>
    <n v="0"/>
    <n v="0"/>
    <n v="0.3"/>
    <n v="0.3"/>
    <n v="0.3"/>
    <n v="0.3"/>
    <n v="3"/>
    <x v="0"/>
    <n v="0"/>
    <n v="0"/>
    <n v="44"/>
    <n v="81"/>
    <n v="0"/>
    <n v="273.69"/>
    <n v="263.29000000000002"/>
    <m/>
    <n v="320.1054038964063"/>
    <n v="210.64397598313801"/>
    <n v="0"/>
    <n v="82.106999999999999"/>
    <n v="78.987000000000009"/>
    <n v="0"/>
    <n v="96.031621168921887"/>
    <n v="63.193192794941396"/>
  </r>
  <r>
    <s v="Regular"/>
    <x v="3"/>
    <x v="3"/>
    <x v="1"/>
    <x v="0"/>
    <x v="0"/>
    <x v="0"/>
    <x v="2"/>
    <x v="10"/>
    <n v="0"/>
    <n v="0"/>
    <n v="118.161"/>
    <n v="118.161"/>
    <n v="118.161"/>
    <n v="118.161"/>
    <n v="38"/>
    <x v="0"/>
    <n v="0"/>
    <n v="0"/>
    <n v="44"/>
    <n v="81"/>
    <n v="0"/>
    <n v="273.69"/>
    <n v="263.29000000000002"/>
    <m/>
    <n v="320.1054038964063"/>
    <n v="210.64397598313801"/>
    <n v="0"/>
    <n v="32339.484090000002"/>
    <n v="31110.609690000001"/>
    <n v="0"/>
    <n v="37823.974629803262"/>
    <n v="24889.90284614357"/>
  </r>
  <r>
    <s v="Sistema de Compensação"/>
    <x v="3"/>
    <x v="3"/>
    <x v="1"/>
    <x v="0"/>
    <x v="0"/>
    <x v="0"/>
    <x v="2"/>
    <x v="10"/>
    <n v="0"/>
    <n v="0"/>
    <n v="0.5"/>
    <n v="0.5"/>
    <n v="0.5"/>
    <n v="0.5"/>
    <n v="5"/>
    <x v="0"/>
    <n v="0"/>
    <n v="0"/>
    <n v="44"/>
    <n v="81"/>
    <n v="0"/>
    <n v="273.69"/>
    <n v="263.29000000000002"/>
    <m/>
    <n v="320.1054038964063"/>
    <n v="210.64397598313801"/>
    <n v="0"/>
    <n v="136.845"/>
    <n v="131.64500000000001"/>
    <n v="0"/>
    <n v="160.05270194820315"/>
    <n v="105.321987991569"/>
  </r>
  <r>
    <s v="Regular"/>
    <x v="3"/>
    <x v="3"/>
    <x v="1"/>
    <x v="0"/>
    <x v="0"/>
    <x v="0"/>
    <x v="2"/>
    <x v="11"/>
    <n v="0"/>
    <n v="0"/>
    <n v="120.07"/>
    <n v="120.07"/>
    <n v="120.07"/>
    <n v="120.07"/>
    <n v="38"/>
    <x v="0"/>
    <n v="0"/>
    <n v="0"/>
    <n v="44"/>
    <n v="81"/>
    <n v="0"/>
    <n v="273.69"/>
    <n v="263.29000000000002"/>
    <m/>
    <n v="320.1054038964063"/>
    <n v="210.64397598313801"/>
    <n v="0"/>
    <n v="32861.958299999998"/>
    <n v="31613.230299999999"/>
    <n v="0"/>
    <n v="38435.055845841503"/>
    <n v="25292.02219629538"/>
  </r>
  <r>
    <s v="Regular"/>
    <x v="3"/>
    <x v="3"/>
    <x v="6"/>
    <x v="0"/>
    <x v="0"/>
    <x v="0"/>
    <x v="2"/>
    <x v="0"/>
    <n v="0"/>
    <n v="0"/>
    <n v="77.429000000000002"/>
    <n v="77.429000000000002"/>
    <n v="77.429000000000002"/>
    <n v="77.429000000000002"/>
    <n v="98"/>
    <x v="0"/>
    <n v="0"/>
    <n v="0"/>
    <n v="44"/>
    <n v="81"/>
    <n v="0"/>
    <n v="273.69"/>
    <n v="263.29000000000002"/>
    <m/>
    <n v="320.1054038964063"/>
    <n v="210.64397598313801"/>
    <n v="0"/>
    <n v="21191.543010000001"/>
    <n v="20386.281410000003"/>
    <n v="0"/>
    <n v="24785.441318294845"/>
    <n v="16309.952416398393"/>
  </r>
  <r>
    <s v="Regular"/>
    <x v="3"/>
    <x v="3"/>
    <x v="6"/>
    <x v="0"/>
    <x v="0"/>
    <x v="0"/>
    <x v="2"/>
    <x v="1"/>
    <n v="0"/>
    <n v="0"/>
    <n v="86.322999999999993"/>
    <n v="86.322999999999993"/>
    <n v="86.322999999999993"/>
    <n v="86.322999999999993"/>
    <n v="98"/>
    <x v="0"/>
    <n v="0"/>
    <n v="0"/>
    <n v="44"/>
    <n v="81"/>
    <n v="0"/>
    <n v="273.69"/>
    <n v="263.29000000000002"/>
    <m/>
    <n v="320.1054038964063"/>
    <n v="210.64397598313801"/>
    <n v="0"/>
    <n v="23625.741869999998"/>
    <n v="22727.982670000001"/>
    <n v="0"/>
    <n v="27632.458780549478"/>
    <n v="18183.41993879242"/>
  </r>
  <r>
    <s v="Regular"/>
    <x v="3"/>
    <x v="3"/>
    <x v="6"/>
    <x v="0"/>
    <x v="0"/>
    <x v="0"/>
    <x v="2"/>
    <x v="2"/>
    <n v="0"/>
    <n v="0"/>
    <n v="84.78"/>
    <n v="84.78"/>
    <n v="84.78"/>
    <n v="84.78"/>
    <n v="98"/>
    <x v="0"/>
    <n v="0"/>
    <n v="0"/>
    <n v="44"/>
    <n v="81"/>
    <n v="0"/>
    <n v="273.69"/>
    <n v="263.29000000000002"/>
    <m/>
    <n v="320.1054038964063"/>
    <n v="210.64397598313801"/>
    <n v="0"/>
    <n v="23203.438200000001"/>
    <n v="22321.726200000001"/>
    <n v="0"/>
    <n v="27138.536142337325"/>
    <n v="17858.396283850441"/>
  </r>
  <r>
    <s v="Regular"/>
    <x v="3"/>
    <x v="3"/>
    <x v="6"/>
    <x v="0"/>
    <x v="0"/>
    <x v="0"/>
    <x v="2"/>
    <x v="3"/>
    <n v="0"/>
    <n v="0"/>
    <n v="94.953999999999994"/>
    <n v="94.953999999999994"/>
    <n v="94.953999999999994"/>
    <n v="94.953999999999994"/>
    <n v="98"/>
    <x v="0"/>
    <n v="0"/>
    <n v="0"/>
    <n v="44"/>
    <n v="81"/>
    <n v="0"/>
    <n v="273.69"/>
    <n v="263.29000000000002"/>
    <m/>
    <n v="320.1054038964063"/>
    <n v="210.64397598313801"/>
    <n v="0"/>
    <n v="25987.960259999996"/>
    <n v="25000.43866"/>
    <n v="0"/>
    <n v="30395.288521579361"/>
    <n v="20001.488095502886"/>
  </r>
  <r>
    <s v="Regular"/>
    <x v="3"/>
    <x v="3"/>
    <x v="6"/>
    <x v="0"/>
    <x v="0"/>
    <x v="0"/>
    <x v="2"/>
    <x v="4"/>
    <n v="0"/>
    <n v="0"/>
    <n v="114.669"/>
    <n v="114.669"/>
    <n v="114.669"/>
    <n v="114.669"/>
    <n v="98"/>
    <x v="0"/>
    <n v="0"/>
    <n v="0"/>
    <n v="44"/>
    <n v="81"/>
    <n v="0"/>
    <n v="273.69"/>
    <n v="263.29000000000002"/>
    <m/>
    <n v="320.1054038964063"/>
    <n v="210.64397598313801"/>
    <n v="0"/>
    <n v="31383.758609999997"/>
    <n v="30191.201010000001"/>
    <n v="0"/>
    <n v="36706.16655939701"/>
    <n v="24154.334082010453"/>
  </r>
  <r>
    <s v="Regular"/>
    <x v="3"/>
    <x v="3"/>
    <x v="6"/>
    <x v="0"/>
    <x v="0"/>
    <x v="0"/>
    <x v="2"/>
    <x v="5"/>
    <n v="0"/>
    <n v="0"/>
    <n v="110.247"/>
    <n v="110.247"/>
    <n v="110.247"/>
    <n v="110.247"/>
    <n v="99"/>
    <x v="0"/>
    <n v="0"/>
    <n v="0"/>
    <n v="44"/>
    <n v="81"/>
    <n v="0"/>
    <n v="273.69"/>
    <n v="263.29000000000002"/>
    <m/>
    <n v="320.1054038964063"/>
    <n v="210.64397598313801"/>
    <n v="0"/>
    <n v="30173.50143"/>
    <n v="29026.932630000003"/>
    <n v="0"/>
    <n v="35290.660463367109"/>
    <n v="23222.866420213017"/>
  </r>
  <r>
    <s v="Regular"/>
    <x v="3"/>
    <x v="3"/>
    <x v="6"/>
    <x v="0"/>
    <x v="0"/>
    <x v="0"/>
    <x v="2"/>
    <x v="6"/>
    <n v="0"/>
    <n v="0"/>
    <n v="119.422"/>
    <n v="119.422"/>
    <n v="119.422"/>
    <n v="119.422"/>
    <n v="100"/>
    <x v="0"/>
    <n v="0"/>
    <n v="0"/>
    <n v="44"/>
    <n v="81"/>
    <n v="0"/>
    <n v="273.69"/>
    <n v="263.29000000000002"/>
    <m/>
    <n v="320.1054038964063"/>
    <n v="210.64397598313801"/>
    <n v="0"/>
    <n v="32684.607179999999"/>
    <n v="31442.61838"/>
    <n v="0"/>
    <n v="38227.627544116629"/>
    <n v="25155.524899858305"/>
  </r>
  <r>
    <s v="Regular"/>
    <x v="3"/>
    <x v="3"/>
    <x v="6"/>
    <x v="0"/>
    <x v="0"/>
    <x v="0"/>
    <x v="2"/>
    <x v="7"/>
    <n v="0"/>
    <n v="0"/>
    <n v="120.28700000000001"/>
    <n v="120.28700000000001"/>
    <n v="120.28700000000001"/>
    <n v="120.28700000000001"/>
    <n v="101"/>
    <x v="0"/>
    <n v="0"/>
    <n v="0"/>
    <n v="44"/>
    <n v="81"/>
    <n v="0"/>
    <n v="273.69"/>
    <n v="263.29000000000002"/>
    <m/>
    <n v="320.1054038964063"/>
    <n v="210.64397598313801"/>
    <n v="0"/>
    <n v="32921.349030000005"/>
    <n v="31670.364230000003"/>
    <n v="0"/>
    <n v="38504.51871848703"/>
    <n v="25337.731939083722"/>
  </r>
  <r>
    <s v="Regular"/>
    <x v="3"/>
    <x v="3"/>
    <x v="6"/>
    <x v="0"/>
    <x v="0"/>
    <x v="0"/>
    <x v="2"/>
    <x v="8"/>
    <n v="0"/>
    <n v="0"/>
    <n v="93.695999999999998"/>
    <n v="93.695999999999998"/>
    <n v="93.695999999999998"/>
    <n v="93.695999999999998"/>
    <n v="101"/>
    <x v="0"/>
    <n v="0"/>
    <n v="0"/>
    <n v="44"/>
    <n v="81"/>
    <n v="0"/>
    <n v="273.69"/>
    <n v="263.29000000000002"/>
    <m/>
    <n v="320.1054038964063"/>
    <n v="210.64397598313801"/>
    <n v="0"/>
    <n v="25643.658240000001"/>
    <n v="24669.219840000002"/>
    <n v="0"/>
    <n v="29992.595923477686"/>
    <n v="19736.497973716097"/>
  </r>
  <r>
    <s v="Refaturamento - Regular"/>
    <x v="3"/>
    <x v="3"/>
    <x v="6"/>
    <x v="0"/>
    <x v="0"/>
    <x v="0"/>
    <x v="2"/>
    <x v="8"/>
    <n v="0"/>
    <n v="0"/>
    <n v="-0.35899999999999999"/>
    <n v="-0.35899999999999999"/>
    <n v="-0.35899999999999999"/>
    <n v="-0.35899999999999999"/>
    <n v="0"/>
    <x v="0"/>
    <n v="0"/>
    <n v="0"/>
    <n v="44"/>
    <n v="81"/>
    <n v="0"/>
    <n v="273.69"/>
    <n v="263.29000000000002"/>
    <m/>
    <n v="320.1054038964063"/>
    <n v="210.64397598313801"/>
    <n v="0"/>
    <n v="-98.254709999999989"/>
    <n v="-94.521110000000007"/>
    <n v="0"/>
    <n v="-114.91783999880985"/>
    <n v="-75.621187377946541"/>
  </r>
  <r>
    <s v="Regular"/>
    <x v="3"/>
    <x v="3"/>
    <x v="6"/>
    <x v="0"/>
    <x v="0"/>
    <x v="0"/>
    <x v="2"/>
    <x v="9"/>
    <n v="0"/>
    <n v="0"/>
    <n v="102.80800000000001"/>
    <n v="102.80800000000001"/>
    <n v="102.80800000000001"/>
    <n v="102.80800000000001"/>
    <n v="100"/>
    <x v="0"/>
    <n v="0"/>
    <n v="0"/>
    <n v="44"/>
    <n v="81"/>
    <n v="0"/>
    <n v="273.69"/>
    <n v="263.29000000000002"/>
    <m/>
    <n v="320.1054038964063"/>
    <n v="210.64397598313801"/>
    <n v="0"/>
    <n v="28137.521520000002"/>
    <n v="27068.318320000002"/>
    <n v="0"/>
    <n v="32909.396363781743"/>
    <n v="21655.885882874452"/>
  </r>
  <r>
    <s v="Regular"/>
    <x v="3"/>
    <x v="3"/>
    <x v="6"/>
    <x v="0"/>
    <x v="0"/>
    <x v="0"/>
    <x v="2"/>
    <x v="10"/>
    <n v="0"/>
    <n v="0"/>
    <n v="138.53200000000001"/>
    <n v="138.53200000000001"/>
    <n v="138.53200000000001"/>
    <n v="138.53200000000001"/>
    <n v="100"/>
    <x v="0"/>
    <n v="0"/>
    <n v="0"/>
    <n v="44"/>
    <n v="81"/>
    <n v="0"/>
    <n v="273.69"/>
    <n v="263.29000000000002"/>
    <m/>
    <n v="320.1054038964063"/>
    <n v="210.64397598313801"/>
    <n v="0"/>
    <n v="37914.823080000002"/>
    <n v="36474.090280000004"/>
    <n v="0"/>
    <n v="44344.84181257696"/>
    <n v="29180.931280896075"/>
  </r>
  <r>
    <s v="Regular"/>
    <x v="3"/>
    <x v="3"/>
    <x v="6"/>
    <x v="0"/>
    <x v="0"/>
    <x v="0"/>
    <x v="2"/>
    <x v="11"/>
    <n v="0"/>
    <n v="0"/>
    <n v="134.03"/>
    <n v="134.03"/>
    <n v="134.03"/>
    <n v="134.03"/>
    <n v="100"/>
    <x v="0"/>
    <n v="0"/>
    <n v="0"/>
    <n v="44"/>
    <n v="81"/>
    <n v="0"/>
    <n v="273.69"/>
    <n v="263.29000000000002"/>
    <m/>
    <n v="320.1054038964063"/>
    <n v="210.64397598313801"/>
    <n v="0"/>
    <n v="36682.670700000002"/>
    <n v="35288.758700000006"/>
    <n v="0"/>
    <n v="42903.727284235334"/>
    <n v="28232.612101019986"/>
  </r>
  <r>
    <s v="Regular"/>
    <x v="3"/>
    <x v="3"/>
    <x v="4"/>
    <x v="3"/>
    <x v="0"/>
    <x v="0"/>
    <x v="2"/>
    <x v="0"/>
    <n v="0"/>
    <n v="0"/>
    <n v="80.828000000000003"/>
    <n v="75.978319999999997"/>
    <n v="80.828000000000003"/>
    <n v="75.978319999999997"/>
    <n v="25"/>
    <x v="0"/>
    <n v="0"/>
    <n v="0"/>
    <n v="44"/>
    <n v="81"/>
    <n v="0"/>
    <n v="273.69"/>
    <n v="263.29000000000002"/>
    <m/>
    <n v="320.1054038964063"/>
    <n v="210.64397598313801"/>
    <n v="0"/>
    <n v="20794.506400799997"/>
    <n v="20004.331872800001"/>
    <n v="0"/>
    <n v="24321.070810970403"/>
    <n v="16004.375413319174"/>
  </r>
  <r>
    <s v="Regular"/>
    <x v="3"/>
    <x v="3"/>
    <x v="4"/>
    <x v="3"/>
    <x v="0"/>
    <x v="0"/>
    <x v="2"/>
    <x v="1"/>
    <n v="0"/>
    <n v="0"/>
    <n v="76.587999999999994"/>
    <n v="71.992719999999991"/>
    <n v="76.587999999999994"/>
    <n v="71.992719999999991"/>
    <n v="26"/>
    <x v="0"/>
    <n v="0"/>
    <n v="0"/>
    <n v="44"/>
    <n v="81"/>
    <n v="0"/>
    <n v="273.69"/>
    <n v="263.29000000000002"/>
    <m/>
    <n v="320.1054038964063"/>
    <n v="210.64397598313801"/>
    <n v="0"/>
    <n v="19703.687536799996"/>
    <n v="18954.963248799999"/>
    <n v="0"/>
    <n v="23045.258713200885"/>
    <n v="15164.832782640777"/>
  </r>
  <r>
    <s v="Regular"/>
    <x v="3"/>
    <x v="3"/>
    <x v="4"/>
    <x v="3"/>
    <x v="0"/>
    <x v="0"/>
    <x v="2"/>
    <x v="2"/>
    <n v="0"/>
    <n v="0"/>
    <n v="74.275000000000006"/>
    <n v="69.8185"/>
    <n v="74.275000000000006"/>
    <n v="69.8185"/>
    <n v="26"/>
    <x v="0"/>
    <n v="0"/>
    <n v="0"/>
    <n v="44"/>
    <n v="81"/>
    <n v="0"/>
    <n v="273.69"/>
    <n v="263.29000000000002"/>
    <m/>
    <n v="320.1054038964063"/>
    <n v="210.64397598313801"/>
    <n v="0"/>
    <n v="19108.625264999999"/>
    <n v="18382.512865000001"/>
    <n v="0"/>
    <n v="22349.279141941242"/>
    <n v="14706.846437178721"/>
  </r>
  <r>
    <s v="Regular"/>
    <x v="3"/>
    <x v="3"/>
    <x v="4"/>
    <x v="3"/>
    <x v="0"/>
    <x v="0"/>
    <x v="2"/>
    <x v="3"/>
    <n v="0"/>
    <n v="0"/>
    <n v="77.135000000000005"/>
    <n v="72.506900000000002"/>
    <n v="77.135000000000005"/>
    <n v="72.506900000000002"/>
    <n v="26"/>
    <x v="0"/>
    <n v="0"/>
    <n v="0"/>
    <n v="44"/>
    <n v="81"/>
    <n v="0"/>
    <n v="273.69"/>
    <n v="263.29000000000002"/>
    <m/>
    <n v="320.1054038964063"/>
    <n v="210.64397598313801"/>
    <n v="0"/>
    <n v="19844.413461"/>
    <n v="19090.341701000001"/>
    <n v="0"/>
    <n v="23209.850509776341"/>
    <n v="15273.141702211789"/>
  </r>
  <r>
    <s v="Regular"/>
    <x v="3"/>
    <x v="3"/>
    <x v="4"/>
    <x v="3"/>
    <x v="0"/>
    <x v="0"/>
    <x v="2"/>
    <x v="4"/>
    <n v="0"/>
    <n v="0"/>
    <n v="90.194999999999993"/>
    <n v="84.783299999999997"/>
    <n v="90.194999999999993"/>
    <n v="84.783299999999997"/>
    <n v="26"/>
    <x v="0"/>
    <n v="0"/>
    <n v="0"/>
    <n v="44"/>
    <n v="81"/>
    <n v="0"/>
    <n v="273.69"/>
    <n v="263.29000000000002"/>
    <m/>
    <n v="320.1054038964063"/>
    <n v="210.64397598313801"/>
    <n v="0"/>
    <n v="23204.341377000001"/>
    <n v="22322.595057000002"/>
    <n v="0"/>
    <n v="27139.592490170184"/>
    <n v="17859.091408971184"/>
  </r>
  <r>
    <s v="Regular"/>
    <x v="3"/>
    <x v="3"/>
    <x v="4"/>
    <x v="3"/>
    <x v="0"/>
    <x v="0"/>
    <x v="2"/>
    <x v="5"/>
    <n v="0"/>
    <n v="0"/>
    <n v="66.856999999999999"/>
    <n v="62.845579999999998"/>
    <n v="66.856999999999999"/>
    <n v="62.845579999999998"/>
    <n v="25"/>
    <x v="0"/>
    <n v="0"/>
    <n v="0"/>
    <n v="44"/>
    <n v="81"/>
    <n v="0"/>
    <n v="273.69"/>
    <n v="263.29000000000002"/>
    <m/>
    <n v="320.1054038964063"/>
    <n v="210.64397598313801"/>
    <n v="0"/>
    <n v="17200.206790199998"/>
    <n v="16546.612758200001"/>
    <n v="0"/>
    <n v="20117.209769003912"/>
    <n v="13238.042844166377"/>
  </r>
  <r>
    <s v="Regular"/>
    <x v="3"/>
    <x v="3"/>
    <x v="4"/>
    <x v="3"/>
    <x v="0"/>
    <x v="0"/>
    <x v="2"/>
    <x v="6"/>
    <n v="0"/>
    <n v="0"/>
    <n v="62.64"/>
    <n v="58.881599999999999"/>
    <n v="62.64"/>
    <n v="58.881599999999999"/>
    <n v="26"/>
    <x v="0"/>
    <n v="0"/>
    <n v="0"/>
    <n v="44"/>
    <n v="81"/>
    <n v="0"/>
    <n v="273.69"/>
    <n v="263.29000000000002"/>
    <m/>
    <n v="320.1054038964063"/>
    <n v="210.64397598313801"/>
    <n v="0"/>
    <n v="16115.305103999999"/>
    <n v="15502.936464"/>
    <n v="0"/>
    <n v="18848.318350066638"/>
    <n v="12403.054336248739"/>
  </r>
  <r>
    <s v="Regular"/>
    <x v="3"/>
    <x v="3"/>
    <x v="4"/>
    <x v="3"/>
    <x v="0"/>
    <x v="0"/>
    <x v="2"/>
    <x v="7"/>
    <n v="0"/>
    <n v="0"/>
    <n v="105.90600000000001"/>
    <n v="99.551640000000006"/>
    <n v="105.90600000000001"/>
    <n v="99.551640000000006"/>
    <n v="27"/>
    <x v="0"/>
    <n v="0"/>
    <n v="0"/>
    <n v="44"/>
    <n v="81"/>
    <n v="0"/>
    <n v="273.69"/>
    <n v="263.29000000000002"/>
    <m/>
    <n v="320.1054038964063"/>
    <n v="210.64397598313801"/>
    <n v="0"/>
    <n v="27246.2883516"/>
    <n v="26210.951295600004"/>
    <n v="0"/>
    <n v="31867.01793074964"/>
    <n v="20969.953265242002"/>
  </r>
  <r>
    <s v="Regular"/>
    <x v="3"/>
    <x v="3"/>
    <x v="4"/>
    <x v="3"/>
    <x v="0"/>
    <x v="0"/>
    <x v="2"/>
    <x v="8"/>
    <n v="0"/>
    <n v="0"/>
    <n v="82.733999999999995"/>
    <n v="77.769959999999998"/>
    <n v="82.733999999999995"/>
    <n v="77.769959999999998"/>
    <n v="26"/>
    <x v="0"/>
    <n v="0"/>
    <n v="0"/>
    <n v="44"/>
    <n v="81"/>
    <n v="0"/>
    <n v="273.69"/>
    <n v="263.29000000000002"/>
    <m/>
    <n v="320.1054038964063"/>
    <n v="210.64397598313801"/>
    <n v="0"/>
    <n v="21284.860352399999"/>
    <n v="20476.052768400001"/>
    <n v="0"/>
    <n v="24894.584456807363"/>
    <n v="16381.773586449603"/>
  </r>
  <r>
    <s v="Regular"/>
    <x v="3"/>
    <x v="3"/>
    <x v="4"/>
    <x v="3"/>
    <x v="0"/>
    <x v="0"/>
    <x v="2"/>
    <x v="9"/>
    <n v="0"/>
    <n v="0"/>
    <n v="76.2"/>
    <n v="71.628"/>
    <n v="76.2"/>
    <n v="71.628"/>
    <n v="26"/>
    <x v="0"/>
    <n v="0"/>
    <n v="0"/>
    <n v="44"/>
    <n v="81"/>
    <n v="0"/>
    <n v="273.69"/>
    <n v="263.29000000000002"/>
    <m/>
    <n v="320.1054038964063"/>
    <n v="210.64397598313801"/>
    <n v="0"/>
    <n v="19603.867320000001"/>
    <n v="18858.936120000002"/>
    <n v="0"/>
    <n v="22928.509870291789"/>
    <n v="15088.006711720209"/>
  </r>
  <r>
    <s v="Regular"/>
    <x v="3"/>
    <x v="3"/>
    <x v="4"/>
    <x v="3"/>
    <x v="0"/>
    <x v="0"/>
    <x v="2"/>
    <x v="10"/>
    <n v="0"/>
    <n v="0"/>
    <n v="84.373000000000005"/>
    <n v="79.31062"/>
    <n v="84.373000000000005"/>
    <n v="79.31062"/>
    <n v="26"/>
    <x v="0"/>
    <n v="0"/>
    <n v="0"/>
    <n v="44"/>
    <n v="81"/>
    <n v="0"/>
    <n v="273.69"/>
    <n v="263.29000000000002"/>
    <m/>
    <n v="320.1054038964063"/>
    <n v="210.64397598313801"/>
    <n v="0"/>
    <n v="21706.523587799998"/>
    <n v="20881.693139800002"/>
    <n v="0"/>
    <n v="25387.758048374399"/>
    <n v="16706.304334487784"/>
  </r>
  <r>
    <s v="Regular"/>
    <x v="3"/>
    <x v="3"/>
    <x v="4"/>
    <x v="3"/>
    <x v="0"/>
    <x v="0"/>
    <x v="2"/>
    <x v="11"/>
    <n v="0"/>
    <n v="0"/>
    <n v="93.983999999999995"/>
    <n v="88.344959999999986"/>
    <n v="93.983999999999995"/>
    <n v="88.344959999999986"/>
    <n v="26"/>
    <x v="0"/>
    <n v="0"/>
    <n v="0"/>
    <n v="44"/>
    <n v="81"/>
    <n v="0"/>
    <n v="273.69"/>
    <n v="263.29000000000002"/>
    <m/>
    <n v="320.1054038964063"/>
    <n v="210.64397598313801"/>
    <n v="0"/>
    <n v="24179.132102399995"/>
    <n v="23260.344518399997"/>
    <n v="0"/>
    <n v="28279.699103011855"/>
    <n v="18609.333632471284"/>
  </r>
  <r>
    <s v="Regular"/>
    <x v="4"/>
    <x v="3"/>
    <x v="7"/>
    <x v="9"/>
    <x v="0"/>
    <x v="0"/>
    <x v="2"/>
    <x v="0"/>
    <n v="0"/>
    <n v="0"/>
    <n v="315.18599999999998"/>
    <n v="315.18599999999998"/>
    <n v="315.18599999999998"/>
    <n v="315.18599999999998"/>
    <n v="47"/>
    <x v="0"/>
    <n v="0"/>
    <n v="0"/>
    <n v="46"/>
    <n v="83"/>
    <n v="0"/>
    <n v="150.53"/>
    <n v="144.81"/>
    <m/>
    <n v="176.05797214302348"/>
    <n v="115.85418679072592"/>
    <n v="0"/>
    <n v="47444.948579999997"/>
    <n v="45642.08466"/>
    <n v="0"/>
    <n v="55491.008007870994"/>
    <n v="36515.61771782174"/>
  </r>
  <r>
    <s v="Regular"/>
    <x v="4"/>
    <x v="3"/>
    <x v="7"/>
    <x v="9"/>
    <x v="0"/>
    <x v="0"/>
    <x v="2"/>
    <x v="1"/>
    <n v="0"/>
    <n v="0"/>
    <n v="313.87900000000002"/>
    <n v="313.87900000000002"/>
    <n v="313.87900000000002"/>
    <n v="313.87900000000002"/>
    <n v="47"/>
    <x v="0"/>
    <n v="0"/>
    <n v="0"/>
    <n v="46"/>
    <n v="83"/>
    <n v="0"/>
    <n v="150.53"/>
    <n v="144.81"/>
    <m/>
    <n v="176.05797214302348"/>
    <n v="115.85418679072592"/>
    <n v="0"/>
    <n v="47248.205870000005"/>
    <n v="45452.817990000003"/>
    <n v="0"/>
    <n v="55260.900238280068"/>
    <n v="36364.196295686263"/>
  </r>
  <r>
    <s v="Regular"/>
    <x v="4"/>
    <x v="3"/>
    <x v="7"/>
    <x v="9"/>
    <x v="0"/>
    <x v="0"/>
    <x v="2"/>
    <x v="2"/>
    <n v="0"/>
    <n v="0"/>
    <n v="318.577"/>
    <n v="318.577"/>
    <n v="318.577"/>
    <n v="318.577"/>
    <n v="47"/>
    <x v="0"/>
    <n v="0"/>
    <n v="0"/>
    <n v="46"/>
    <n v="83"/>
    <n v="0"/>
    <n v="150.53"/>
    <n v="144.81"/>
    <m/>
    <n v="176.05797214302348"/>
    <n v="115.85418679072592"/>
    <n v="0"/>
    <n v="47955.395810000002"/>
    <n v="46133.135370000004"/>
    <n v="0"/>
    <n v="56088.020591407992"/>
    <n v="36908.479265229093"/>
  </r>
  <r>
    <s v="Regular"/>
    <x v="4"/>
    <x v="3"/>
    <x v="7"/>
    <x v="9"/>
    <x v="0"/>
    <x v="0"/>
    <x v="2"/>
    <x v="3"/>
    <n v="0"/>
    <n v="0"/>
    <n v="319.39999999999998"/>
    <n v="319.39999999999998"/>
    <n v="319.39999999999998"/>
    <n v="319.39999999999998"/>
    <n v="48"/>
    <x v="0"/>
    <n v="0"/>
    <n v="0"/>
    <n v="46"/>
    <n v="83"/>
    <n v="0"/>
    <n v="150.53"/>
    <n v="144.81"/>
    <m/>
    <n v="176.05797214302348"/>
    <n v="115.85418679072592"/>
    <n v="0"/>
    <n v="48079.281999999999"/>
    <n v="46252.313999999998"/>
    <n v="0"/>
    <n v="56232.916302481695"/>
    <n v="37003.827260957856"/>
  </r>
  <r>
    <s v="Regular"/>
    <x v="4"/>
    <x v="3"/>
    <x v="7"/>
    <x v="9"/>
    <x v="0"/>
    <x v="0"/>
    <x v="2"/>
    <x v="4"/>
    <n v="0"/>
    <n v="0"/>
    <n v="310.22699999999998"/>
    <n v="310.22699999999998"/>
    <n v="310.22699999999998"/>
    <n v="310.22699999999998"/>
    <n v="48"/>
    <x v="0"/>
    <n v="0"/>
    <n v="0"/>
    <n v="46"/>
    <n v="83"/>
    <n v="0"/>
    <n v="150.53"/>
    <n v="144.81"/>
    <m/>
    <n v="176.05797214302348"/>
    <n v="115.85418679072592"/>
    <n v="0"/>
    <n v="46698.470309999997"/>
    <n v="44923.971869999994"/>
    <n v="0"/>
    <n v="54617.936524013741"/>
    <n v="35941.096805526526"/>
  </r>
  <r>
    <s v="Regular"/>
    <x v="4"/>
    <x v="3"/>
    <x v="7"/>
    <x v="9"/>
    <x v="0"/>
    <x v="0"/>
    <x v="2"/>
    <x v="5"/>
    <n v="0"/>
    <n v="0"/>
    <n v="311.78699999999998"/>
    <n v="311.78699999999998"/>
    <n v="311.78699999999998"/>
    <n v="311.78699999999998"/>
    <n v="48"/>
    <x v="0"/>
    <n v="0"/>
    <n v="0"/>
    <n v="46"/>
    <n v="83"/>
    <n v="0"/>
    <n v="150.53"/>
    <n v="144.81"/>
    <m/>
    <n v="176.05797214302348"/>
    <n v="115.85418679072592"/>
    <n v="0"/>
    <n v="46933.29711"/>
    <n v="45149.875469999999"/>
    <n v="0"/>
    <n v="54892.586960556859"/>
    <n v="36121.829336920062"/>
  </r>
  <r>
    <s v="Regular"/>
    <x v="4"/>
    <x v="3"/>
    <x v="7"/>
    <x v="9"/>
    <x v="0"/>
    <x v="0"/>
    <x v="2"/>
    <x v="6"/>
    <n v="0"/>
    <n v="0"/>
    <n v="302.637"/>
    <n v="302.637"/>
    <n v="302.637"/>
    <n v="302.637"/>
    <n v="48"/>
    <x v="0"/>
    <n v="0"/>
    <n v="0"/>
    <n v="46"/>
    <n v="83"/>
    <n v="0"/>
    <n v="150.53"/>
    <n v="144.81"/>
    <m/>
    <n v="176.05797214302348"/>
    <n v="115.85418679072592"/>
    <n v="0"/>
    <n v="45555.947610000003"/>
    <n v="43824.863969999999"/>
    <n v="0"/>
    <n v="53281.656515448194"/>
    <n v="35061.763527784919"/>
  </r>
  <r>
    <s v="Regular"/>
    <x v="4"/>
    <x v="3"/>
    <x v="7"/>
    <x v="9"/>
    <x v="0"/>
    <x v="0"/>
    <x v="2"/>
    <x v="7"/>
    <n v="0"/>
    <n v="0"/>
    <n v="309.173"/>
    <n v="309.173"/>
    <n v="309.173"/>
    <n v="309.173"/>
    <n v="48"/>
    <x v="0"/>
    <n v="0"/>
    <n v="0"/>
    <n v="46"/>
    <n v="83"/>
    <n v="0"/>
    <n v="150.53"/>
    <n v="144.81"/>
    <m/>
    <n v="176.05797214302348"/>
    <n v="115.85418679072592"/>
    <n v="0"/>
    <n v="46539.811690000002"/>
    <n v="44771.342130000005"/>
    <n v="0"/>
    <n v="54432.371421374999"/>
    <n v="35818.986492649106"/>
  </r>
  <r>
    <s v="Regular"/>
    <x v="4"/>
    <x v="3"/>
    <x v="7"/>
    <x v="9"/>
    <x v="0"/>
    <x v="0"/>
    <x v="2"/>
    <x v="8"/>
    <n v="0"/>
    <n v="0"/>
    <n v="303.60399999999998"/>
    <n v="303.60399999999998"/>
    <n v="303.60399999999998"/>
    <n v="303.60399999999998"/>
    <n v="48"/>
    <x v="0"/>
    <n v="0"/>
    <n v="0"/>
    <n v="46"/>
    <n v="83"/>
    <n v="0"/>
    <n v="150.53"/>
    <n v="144.81"/>
    <m/>
    <n v="176.05797214302348"/>
    <n v="115.85418679072592"/>
    <n v="0"/>
    <n v="45701.510119999999"/>
    <n v="43964.895239999998"/>
    <n v="0"/>
    <n v="53451.904574510496"/>
    <n v="35173.794526411548"/>
  </r>
  <r>
    <s v="Regular"/>
    <x v="4"/>
    <x v="3"/>
    <x v="7"/>
    <x v="9"/>
    <x v="0"/>
    <x v="0"/>
    <x v="2"/>
    <x v="9"/>
    <n v="0"/>
    <n v="0"/>
    <n v="279.94600000000003"/>
    <n v="279.94600000000003"/>
    <n v="279.94600000000003"/>
    <n v="279.94600000000003"/>
    <n v="48"/>
    <x v="0"/>
    <n v="0"/>
    <n v="0"/>
    <n v="46"/>
    <n v="83"/>
    <n v="0"/>
    <n v="150.53"/>
    <n v="144.81"/>
    <m/>
    <n v="176.05797214302348"/>
    <n v="115.85418679072592"/>
    <n v="0"/>
    <n v="42140.271380000006"/>
    <n v="40538.980260000004"/>
    <n v="0"/>
    <n v="49286.725069550856"/>
    <n v="32432.916175316561"/>
  </r>
  <r>
    <s v="Regular"/>
    <x v="4"/>
    <x v="3"/>
    <x v="7"/>
    <x v="9"/>
    <x v="0"/>
    <x v="0"/>
    <x v="2"/>
    <x v="10"/>
    <n v="0"/>
    <n v="0"/>
    <n v="315.32"/>
    <n v="315.32"/>
    <n v="315.32"/>
    <n v="315.32"/>
    <n v="48"/>
    <x v="0"/>
    <n v="0"/>
    <n v="0"/>
    <n v="46"/>
    <n v="83"/>
    <n v="0"/>
    <n v="150.53"/>
    <n v="144.81"/>
    <m/>
    <n v="176.05797214302348"/>
    <n v="115.85418679072592"/>
    <n v="0"/>
    <n v="47465.119599999998"/>
    <n v="45661.489199999996"/>
    <n v="0"/>
    <n v="55514.599776138159"/>
    <n v="36531.142178851696"/>
  </r>
  <r>
    <s v="Regular"/>
    <x v="4"/>
    <x v="3"/>
    <x v="7"/>
    <x v="9"/>
    <x v="0"/>
    <x v="0"/>
    <x v="2"/>
    <x v="11"/>
    <n v="0"/>
    <n v="0"/>
    <n v="309.26"/>
    <n v="309.26"/>
    <n v="309.26"/>
    <n v="309.26"/>
    <n v="48"/>
    <x v="0"/>
    <n v="0"/>
    <n v="0"/>
    <n v="46"/>
    <n v="83"/>
    <n v="0"/>
    <n v="150.53"/>
    <n v="144.81"/>
    <m/>
    <n v="176.05797214302348"/>
    <n v="115.85418679072592"/>
    <n v="0"/>
    <n v="46552.907800000001"/>
    <n v="44783.940600000002"/>
    <n v="0"/>
    <n v="54447.68846495144"/>
    <n v="35829.065806899896"/>
  </r>
  <r>
    <s v="Regular"/>
    <x v="4"/>
    <x v="3"/>
    <x v="7"/>
    <x v="10"/>
    <x v="0"/>
    <x v="0"/>
    <x v="2"/>
    <x v="0"/>
    <n v="0"/>
    <n v="0"/>
    <n v="28.617999999999999"/>
    <n v="28.617999999999999"/>
    <n v="28.617999999999999"/>
    <n v="28.617999999999999"/>
    <n v="4"/>
    <x v="0"/>
    <n v="0"/>
    <n v="0"/>
    <n v="47"/>
    <n v="84"/>
    <n v="0"/>
    <n v="164.22"/>
    <n v="157.97999999999999"/>
    <m/>
    <n v="192.06324233784375"/>
    <n v="126.38638558988279"/>
    <n v="0"/>
    <n v="4699.6479599999993"/>
    <n v="4521.0716399999992"/>
    <n v="0"/>
    <n v="5496.465869224412"/>
    <n v="3616.9255828112655"/>
  </r>
  <r>
    <s v="Regular"/>
    <x v="4"/>
    <x v="3"/>
    <x v="7"/>
    <x v="10"/>
    <x v="0"/>
    <x v="0"/>
    <x v="2"/>
    <x v="1"/>
    <n v="0"/>
    <n v="0"/>
    <n v="27.693999999999999"/>
    <n v="27.693999999999999"/>
    <n v="27.693999999999999"/>
    <n v="27.693999999999999"/>
    <n v="4"/>
    <x v="0"/>
    <n v="0"/>
    <n v="0"/>
    <n v="47"/>
    <n v="84"/>
    <n v="0"/>
    <n v="164.22"/>
    <n v="157.97999999999999"/>
    <m/>
    <n v="192.06324233784375"/>
    <n v="126.38638558988279"/>
    <n v="0"/>
    <n v="4547.9086799999995"/>
    <n v="4375.0981199999997"/>
    <n v="0"/>
    <n v="5318.9994333042441"/>
    <n v="3500.144562526214"/>
  </r>
  <r>
    <s v="Regular"/>
    <x v="4"/>
    <x v="3"/>
    <x v="7"/>
    <x v="10"/>
    <x v="0"/>
    <x v="0"/>
    <x v="2"/>
    <x v="2"/>
    <n v="0"/>
    <n v="0"/>
    <n v="28.617999999999999"/>
    <n v="28.617999999999999"/>
    <n v="28.617999999999999"/>
    <n v="28.617999999999999"/>
    <n v="4"/>
    <x v="0"/>
    <n v="0"/>
    <n v="0"/>
    <n v="47"/>
    <n v="84"/>
    <n v="0"/>
    <n v="164.22"/>
    <n v="157.97999999999999"/>
    <m/>
    <n v="192.06324233784375"/>
    <n v="126.38638558988279"/>
    <n v="0"/>
    <n v="4699.6479599999993"/>
    <n v="4521.0716399999992"/>
    <n v="0"/>
    <n v="5496.465869224412"/>
    <n v="3616.9255828112655"/>
  </r>
  <r>
    <s v="Regular"/>
    <x v="4"/>
    <x v="3"/>
    <x v="7"/>
    <x v="10"/>
    <x v="0"/>
    <x v="0"/>
    <x v="2"/>
    <x v="3"/>
    <n v="0"/>
    <n v="0"/>
    <n v="28.617999999999999"/>
    <n v="28.617999999999999"/>
    <n v="28.617999999999999"/>
    <n v="28.617999999999999"/>
    <n v="4"/>
    <x v="0"/>
    <n v="0"/>
    <n v="0"/>
    <n v="47"/>
    <n v="84"/>
    <n v="0"/>
    <n v="164.22"/>
    <n v="157.97999999999999"/>
    <m/>
    <n v="192.06324233784375"/>
    <n v="126.38638558988279"/>
    <n v="0"/>
    <n v="4699.6479599999993"/>
    <n v="4521.0716399999992"/>
    <n v="0"/>
    <n v="5496.465869224412"/>
    <n v="3616.9255828112655"/>
  </r>
  <r>
    <s v="Regular"/>
    <x v="4"/>
    <x v="3"/>
    <x v="7"/>
    <x v="10"/>
    <x v="0"/>
    <x v="0"/>
    <x v="2"/>
    <x v="4"/>
    <n v="0"/>
    <n v="0"/>
    <n v="27.693999999999999"/>
    <n v="27.693999999999999"/>
    <n v="27.693999999999999"/>
    <n v="27.693999999999999"/>
    <n v="4"/>
    <x v="0"/>
    <n v="0"/>
    <n v="0"/>
    <n v="47"/>
    <n v="84"/>
    <n v="0"/>
    <n v="164.22"/>
    <n v="157.97999999999999"/>
    <m/>
    <n v="192.06324233784375"/>
    <n v="126.38638558988279"/>
    <n v="0"/>
    <n v="4547.9086799999995"/>
    <n v="4375.0981199999997"/>
    <n v="0"/>
    <n v="5318.9994333042441"/>
    <n v="3500.144562526214"/>
  </r>
  <r>
    <s v="Regular"/>
    <x v="4"/>
    <x v="3"/>
    <x v="7"/>
    <x v="10"/>
    <x v="0"/>
    <x v="0"/>
    <x v="2"/>
    <x v="5"/>
    <n v="0"/>
    <n v="0"/>
    <n v="28.617999999999999"/>
    <n v="28.617999999999999"/>
    <n v="28.617999999999999"/>
    <n v="28.617999999999999"/>
    <n v="4"/>
    <x v="0"/>
    <n v="0"/>
    <n v="0"/>
    <n v="47"/>
    <n v="84"/>
    <n v="0"/>
    <n v="164.22"/>
    <n v="157.97999999999999"/>
    <m/>
    <n v="192.06324233784375"/>
    <n v="126.38638558988279"/>
    <n v="0"/>
    <n v="4699.6479599999993"/>
    <n v="4521.0716399999992"/>
    <n v="0"/>
    <n v="5496.465869224412"/>
    <n v="3616.9255828112655"/>
  </r>
  <r>
    <s v="Regular"/>
    <x v="4"/>
    <x v="3"/>
    <x v="7"/>
    <x v="10"/>
    <x v="0"/>
    <x v="0"/>
    <x v="2"/>
    <x v="6"/>
    <n v="0"/>
    <n v="0"/>
    <n v="27.693999999999999"/>
    <n v="27.693999999999999"/>
    <n v="27.693999999999999"/>
    <n v="27.693999999999999"/>
    <n v="4"/>
    <x v="0"/>
    <n v="0"/>
    <n v="0"/>
    <n v="47"/>
    <n v="84"/>
    <n v="0"/>
    <n v="164.22"/>
    <n v="157.97999999999999"/>
    <m/>
    <n v="192.06324233784375"/>
    <n v="126.38638558988279"/>
    <n v="0"/>
    <n v="4547.9086799999995"/>
    <n v="4375.0981199999997"/>
    <n v="0"/>
    <n v="5318.9994333042441"/>
    <n v="3500.144562526214"/>
  </r>
  <r>
    <s v="Regular"/>
    <x v="4"/>
    <x v="3"/>
    <x v="7"/>
    <x v="10"/>
    <x v="0"/>
    <x v="0"/>
    <x v="2"/>
    <x v="7"/>
    <n v="0"/>
    <n v="0"/>
    <n v="28.617999999999999"/>
    <n v="28.617999999999999"/>
    <n v="28.617999999999999"/>
    <n v="28.617999999999999"/>
    <n v="4"/>
    <x v="0"/>
    <n v="0"/>
    <n v="0"/>
    <n v="47"/>
    <n v="84"/>
    <n v="0"/>
    <n v="164.22"/>
    <n v="157.97999999999999"/>
    <m/>
    <n v="192.06324233784375"/>
    <n v="126.38638558988279"/>
    <n v="0"/>
    <n v="4699.6479599999993"/>
    <n v="4521.0716399999992"/>
    <n v="0"/>
    <n v="5496.465869224412"/>
    <n v="3616.9255828112655"/>
  </r>
  <r>
    <s v="Regular"/>
    <x v="4"/>
    <x v="3"/>
    <x v="7"/>
    <x v="10"/>
    <x v="0"/>
    <x v="0"/>
    <x v="2"/>
    <x v="8"/>
    <n v="0"/>
    <n v="0"/>
    <n v="28.617999999999999"/>
    <n v="28.617999999999999"/>
    <n v="28.617999999999999"/>
    <n v="28.617999999999999"/>
    <n v="4"/>
    <x v="0"/>
    <n v="0"/>
    <n v="0"/>
    <n v="47"/>
    <n v="84"/>
    <n v="0"/>
    <n v="164.22"/>
    <n v="157.97999999999999"/>
    <m/>
    <n v="192.06324233784375"/>
    <n v="126.38638558988279"/>
    <n v="0"/>
    <n v="4699.6479599999993"/>
    <n v="4521.0716399999992"/>
    <n v="0"/>
    <n v="5496.465869224412"/>
    <n v="3616.9255828112655"/>
  </r>
  <r>
    <s v="Regular"/>
    <x v="4"/>
    <x v="3"/>
    <x v="7"/>
    <x v="10"/>
    <x v="0"/>
    <x v="0"/>
    <x v="2"/>
    <x v="9"/>
    <n v="0"/>
    <n v="0"/>
    <n v="25.847999999999999"/>
    <n v="25.847999999999999"/>
    <n v="25.847999999999999"/>
    <n v="25.847999999999999"/>
    <n v="4"/>
    <x v="0"/>
    <n v="0"/>
    <n v="0"/>
    <n v="47"/>
    <n v="84"/>
    <n v="0"/>
    <n v="164.22"/>
    <n v="157.97999999999999"/>
    <m/>
    <n v="192.06324233784375"/>
    <n v="126.38638558988279"/>
    <n v="0"/>
    <n v="4244.7585600000002"/>
    <n v="4083.4670399999995"/>
    <n v="0"/>
    <n v="4964.4506879485853"/>
    <n v="3266.8352947272901"/>
  </r>
  <r>
    <s v="Regular"/>
    <x v="4"/>
    <x v="3"/>
    <x v="7"/>
    <x v="10"/>
    <x v="0"/>
    <x v="0"/>
    <x v="2"/>
    <x v="10"/>
    <n v="0"/>
    <n v="0"/>
    <n v="28.617999999999999"/>
    <n v="28.617999999999999"/>
    <n v="28.617999999999999"/>
    <n v="28.617999999999999"/>
    <n v="4"/>
    <x v="0"/>
    <n v="0"/>
    <n v="0"/>
    <n v="47"/>
    <n v="84"/>
    <n v="0"/>
    <n v="164.22"/>
    <n v="157.97999999999999"/>
    <m/>
    <n v="192.06324233784375"/>
    <n v="126.38638558988279"/>
    <n v="0"/>
    <n v="4699.6479599999993"/>
    <n v="4521.0716399999992"/>
    <n v="0"/>
    <n v="5496.465869224412"/>
    <n v="3616.9255828112655"/>
  </r>
  <r>
    <s v="Regular"/>
    <x v="4"/>
    <x v="3"/>
    <x v="7"/>
    <x v="10"/>
    <x v="0"/>
    <x v="0"/>
    <x v="2"/>
    <x v="11"/>
    <n v="0"/>
    <n v="0"/>
    <n v="27.693999999999999"/>
    <n v="27.693999999999999"/>
    <n v="27.693999999999999"/>
    <n v="27.693999999999999"/>
    <n v="4"/>
    <x v="0"/>
    <n v="0"/>
    <n v="0"/>
    <n v="47"/>
    <n v="84"/>
    <n v="0"/>
    <n v="164.22"/>
    <n v="157.97999999999999"/>
    <m/>
    <n v="192.06324233784375"/>
    <n v="126.38638558988279"/>
    <n v="0"/>
    <n v="4547.9086799999995"/>
    <n v="4375.0981199999997"/>
    <n v="0"/>
    <n v="5318.9994333042441"/>
    <n v="3500.1445625262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">
  <r>
    <s v="Regular"/>
    <x v="0"/>
    <x v="0"/>
    <x v="0"/>
    <x v="0"/>
    <x v="0"/>
    <x v="0"/>
    <x v="0"/>
    <x v="0"/>
    <n v="0"/>
    <n v="0"/>
    <n v="2414.2550000000001"/>
    <n v="2414.2550000000001"/>
    <n v="0"/>
    <n v="0"/>
    <n v="0"/>
    <s v="LIVRE"/>
    <n v="0"/>
    <n v="0"/>
    <n v="8"/>
    <n v="0"/>
    <n v="0"/>
    <n v="65.61"/>
    <n v="0"/>
    <m/>
    <n v="100.34646310857573"/>
    <m/>
    <n v="0"/>
    <n v="0"/>
    <n v="0"/>
    <n v="0"/>
    <x v="0"/>
  </r>
  <r>
    <s v="Regular"/>
    <x v="0"/>
    <x v="0"/>
    <x v="0"/>
    <x v="0"/>
    <x v="0"/>
    <x v="0"/>
    <x v="0"/>
    <x v="1"/>
    <n v="0"/>
    <n v="0"/>
    <n v="2776.94"/>
    <n v="2776.94"/>
    <n v="0"/>
    <n v="0"/>
    <n v="0"/>
    <s v="LIVRE"/>
    <n v="0"/>
    <n v="0"/>
    <n v="8"/>
    <n v="0"/>
    <n v="0"/>
    <n v="65.61"/>
    <n v="0"/>
    <m/>
    <n v="100.34646310857573"/>
    <m/>
    <n v="0"/>
    <n v="0"/>
    <n v="0"/>
    <n v="0"/>
    <x v="0"/>
  </r>
  <r>
    <s v="Regular"/>
    <x v="0"/>
    <x v="0"/>
    <x v="0"/>
    <x v="0"/>
    <x v="0"/>
    <x v="0"/>
    <x v="0"/>
    <x v="2"/>
    <n v="0"/>
    <n v="0"/>
    <n v="3072.7150000000001"/>
    <n v="3072.7150000000001"/>
    <n v="0"/>
    <n v="0"/>
    <n v="0"/>
    <s v="LIVRE"/>
    <n v="0"/>
    <n v="0"/>
    <n v="8"/>
    <n v="0"/>
    <n v="0"/>
    <n v="65.61"/>
    <n v="0"/>
    <m/>
    <n v="100.34646310857573"/>
    <m/>
    <n v="0"/>
    <n v="0"/>
    <n v="0"/>
    <n v="0"/>
    <x v="0"/>
  </r>
  <r>
    <s v="Regular"/>
    <x v="0"/>
    <x v="0"/>
    <x v="0"/>
    <x v="0"/>
    <x v="0"/>
    <x v="0"/>
    <x v="0"/>
    <x v="3"/>
    <n v="0"/>
    <n v="0"/>
    <n v="3175.6680000000001"/>
    <n v="3175.6680000000001"/>
    <n v="0"/>
    <n v="0"/>
    <n v="0"/>
    <s v="LIVRE"/>
    <n v="0"/>
    <n v="0"/>
    <n v="8"/>
    <n v="0"/>
    <n v="0"/>
    <n v="65.61"/>
    <n v="0"/>
    <m/>
    <n v="100.34646310857573"/>
    <m/>
    <n v="0"/>
    <n v="0"/>
    <n v="0"/>
    <n v="0"/>
    <x v="0"/>
  </r>
  <r>
    <s v="Regular"/>
    <x v="0"/>
    <x v="0"/>
    <x v="0"/>
    <x v="0"/>
    <x v="0"/>
    <x v="0"/>
    <x v="0"/>
    <x v="4"/>
    <n v="0"/>
    <n v="0"/>
    <n v="3182.2460000000001"/>
    <n v="3182.2460000000001"/>
    <n v="0"/>
    <n v="0"/>
    <n v="0"/>
    <s v="LIVRE"/>
    <n v="0"/>
    <n v="0"/>
    <n v="8"/>
    <n v="0"/>
    <n v="0"/>
    <n v="65.61"/>
    <n v="0"/>
    <m/>
    <n v="100.34646310857573"/>
    <m/>
    <n v="0"/>
    <n v="0"/>
    <n v="0"/>
    <n v="0"/>
    <x v="0"/>
  </r>
  <r>
    <s v="Regular"/>
    <x v="0"/>
    <x v="0"/>
    <x v="0"/>
    <x v="0"/>
    <x v="0"/>
    <x v="0"/>
    <x v="0"/>
    <x v="5"/>
    <n v="0"/>
    <n v="0"/>
    <n v="3193.2080000000001"/>
    <n v="3193.2080000000001"/>
    <n v="0"/>
    <n v="0"/>
    <n v="0"/>
    <s v="LIVRE"/>
    <n v="0"/>
    <n v="0"/>
    <n v="8"/>
    <n v="0"/>
    <n v="0"/>
    <n v="65.61"/>
    <n v="0"/>
    <m/>
    <n v="100.34646310857573"/>
    <m/>
    <n v="0"/>
    <n v="0"/>
    <n v="0"/>
    <n v="0"/>
    <x v="0"/>
  </r>
  <r>
    <s v="Regular"/>
    <x v="0"/>
    <x v="0"/>
    <x v="0"/>
    <x v="0"/>
    <x v="0"/>
    <x v="0"/>
    <x v="0"/>
    <x v="6"/>
    <n v="0"/>
    <n v="0"/>
    <n v="3324.471"/>
    <n v="3324.471"/>
    <n v="0"/>
    <n v="0"/>
    <n v="0"/>
    <s v="LIVRE"/>
    <n v="0"/>
    <n v="0"/>
    <n v="8"/>
    <n v="0"/>
    <n v="0"/>
    <n v="65.61"/>
    <n v="0"/>
    <m/>
    <n v="100.34646310857573"/>
    <m/>
    <n v="0"/>
    <n v="0"/>
    <n v="0"/>
    <n v="0"/>
    <x v="0"/>
  </r>
  <r>
    <s v="Regular"/>
    <x v="0"/>
    <x v="0"/>
    <x v="0"/>
    <x v="0"/>
    <x v="0"/>
    <x v="0"/>
    <x v="0"/>
    <x v="7"/>
    <n v="0"/>
    <n v="0"/>
    <n v="3218.1550000000002"/>
    <n v="3218.1550000000002"/>
    <n v="0"/>
    <n v="0"/>
    <n v="0"/>
    <s v="LIVRE"/>
    <n v="0"/>
    <n v="0"/>
    <n v="8"/>
    <n v="0"/>
    <n v="0"/>
    <n v="65.61"/>
    <n v="0"/>
    <m/>
    <n v="100.34646310857573"/>
    <m/>
    <n v="0"/>
    <n v="0"/>
    <n v="0"/>
    <n v="0"/>
    <x v="0"/>
  </r>
  <r>
    <s v="Regular"/>
    <x v="0"/>
    <x v="0"/>
    <x v="0"/>
    <x v="0"/>
    <x v="0"/>
    <x v="0"/>
    <x v="0"/>
    <x v="8"/>
    <n v="0"/>
    <n v="0"/>
    <n v="3222.1680000000001"/>
    <n v="1611.0840000000001"/>
    <n v="0"/>
    <n v="0"/>
    <n v="0"/>
    <s v="LIVRE"/>
    <n v="0"/>
    <n v="0"/>
    <n v="8"/>
    <n v="0"/>
    <n v="0"/>
    <n v="65.61"/>
    <n v="0"/>
    <m/>
    <n v="100.34646310857573"/>
    <m/>
    <n v="0"/>
    <n v="105703.22124"/>
    <n v="0"/>
    <n v="161666.58117081664"/>
    <x v="0"/>
  </r>
  <r>
    <s v="Regular"/>
    <x v="0"/>
    <x v="0"/>
    <x v="0"/>
    <x v="0"/>
    <x v="0"/>
    <x v="0"/>
    <x v="0"/>
    <x v="9"/>
    <n v="0"/>
    <n v="0"/>
    <n v="3045.0740000000001"/>
    <n v="3045.0740000000001"/>
    <n v="0"/>
    <n v="0"/>
    <n v="0"/>
    <s v="LIVRE"/>
    <n v="0"/>
    <n v="0"/>
    <n v="8"/>
    <n v="0"/>
    <n v="0"/>
    <n v="65.61"/>
    <n v="0"/>
    <m/>
    <n v="100.34646310857573"/>
    <m/>
    <n v="0"/>
    <n v="0"/>
    <n v="0"/>
    <n v="0"/>
    <x v="0"/>
  </r>
  <r>
    <s v="Regular"/>
    <x v="0"/>
    <x v="0"/>
    <x v="0"/>
    <x v="0"/>
    <x v="0"/>
    <x v="0"/>
    <x v="0"/>
    <x v="10"/>
    <n v="0"/>
    <n v="0"/>
    <n v="3725.3910000000001"/>
    <n v="3725.3910000000001"/>
    <n v="0"/>
    <n v="0"/>
    <n v="0"/>
    <s v="LIVRE"/>
    <n v="0"/>
    <n v="0"/>
    <n v="8"/>
    <n v="0"/>
    <n v="0"/>
    <n v="65.61"/>
    <n v="0"/>
    <m/>
    <n v="100.34646310857573"/>
    <m/>
    <n v="0"/>
    <n v="0"/>
    <n v="0"/>
    <n v="0"/>
    <x v="0"/>
  </r>
  <r>
    <s v="PROJETADO"/>
    <x v="0"/>
    <x v="0"/>
    <x v="0"/>
    <x v="0"/>
    <x v="0"/>
    <x v="0"/>
    <x v="0"/>
    <x v="11"/>
    <n v="0"/>
    <n v="0"/>
    <n v="3725.3910000000001"/>
    <n v="3725.3910000000001"/>
    <n v="0"/>
    <n v="0"/>
    <n v="0"/>
    <s v="LIVRE"/>
    <n v="0"/>
    <n v="0"/>
    <n v="8"/>
    <n v="0"/>
    <n v="0"/>
    <n v="65.61"/>
    <n v="0"/>
    <m/>
    <n v="100.34646310857573"/>
    <m/>
    <n v="0"/>
    <n v="0"/>
    <n v="0"/>
    <n v="0"/>
    <x v="0"/>
  </r>
  <r>
    <s v="Regular"/>
    <x v="0"/>
    <x v="0"/>
    <x v="0"/>
    <x v="0"/>
    <x v="0"/>
    <x v="0"/>
    <x v="1"/>
    <x v="0"/>
    <n v="7450"/>
    <n v="3725"/>
    <n v="0"/>
    <n v="0"/>
    <n v="0"/>
    <n v="0"/>
    <n v="3"/>
    <s v="LIVRE"/>
    <n v="0"/>
    <n v="6"/>
    <n v="0"/>
    <n v="0"/>
    <n v="19.32"/>
    <n v="0"/>
    <n v="0"/>
    <n v="16.680041929169654"/>
    <m/>
    <m/>
    <n v="71967"/>
    <n v="0"/>
    <n v="62133.156186156964"/>
    <n v="0"/>
    <x v="0"/>
  </r>
  <r>
    <s v="Regular"/>
    <x v="0"/>
    <x v="0"/>
    <x v="0"/>
    <x v="0"/>
    <x v="0"/>
    <x v="0"/>
    <x v="1"/>
    <x v="1"/>
    <n v="8580"/>
    <n v="4290"/>
    <n v="0"/>
    <n v="0"/>
    <n v="0"/>
    <n v="0"/>
    <n v="4"/>
    <s v="LIVRE"/>
    <n v="0"/>
    <n v="6"/>
    <n v="0"/>
    <n v="0"/>
    <n v="19.32"/>
    <n v="0"/>
    <n v="0"/>
    <n v="16.680041929169654"/>
    <m/>
    <m/>
    <n v="82882.8"/>
    <n v="0"/>
    <n v="71557.379876137813"/>
    <n v="0"/>
    <x v="0"/>
  </r>
  <r>
    <s v="Regular"/>
    <x v="0"/>
    <x v="0"/>
    <x v="0"/>
    <x v="0"/>
    <x v="0"/>
    <x v="0"/>
    <x v="1"/>
    <x v="2"/>
    <n v="9550"/>
    <n v="4775"/>
    <n v="0"/>
    <n v="0"/>
    <n v="0"/>
    <n v="0"/>
    <n v="5"/>
    <s v="LIVRE"/>
    <n v="0"/>
    <n v="6"/>
    <n v="0"/>
    <n v="0"/>
    <n v="19.32"/>
    <n v="0"/>
    <n v="0"/>
    <n v="16.680041929169654"/>
    <m/>
    <m/>
    <n v="92253"/>
    <n v="0"/>
    <n v="79647.200211785093"/>
    <n v="0"/>
    <x v="0"/>
  </r>
  <r>
    <s v="Regular"/>
    <x v="0"/>
    <x v="0"/>
    <x v="0"/>
    <x v="0"/>
    <x v="0"/>
    <x v="0"/>
    <x v="1"/>
    <x v="3"/>
    <n v="9550"/>
    <n v="4775"/>
    <n v="0"/>
    <n v="0"/>
    <n v="0"/>
    <n v="0"/>
    <n v="5"/>
    <s v="LIVRE"/>
    <n v="0"/>
    <n v="6"/>
    <n v="0"/>
    <n v="0"/>
    <n v="19.32"/>
    <n v="0"/>
    <n v="0"/>
    <n v="16.680041929169654"/>
    <m/>
    <m/>
    <n v="92253"/>
    <n v="0"/>
    <n v="79647.200211785093"/>
    <n v="0"/>
    <x v="0"/>
  </r>
  <r>
    <s v="Regular"/>
    <x v="0"/>
    <x v="0"/>
    <x v="0"/>
    <x v="0"/>
    <x v="0"/>
    <x v="0"/>
    <x v="1"/>
    <x v="4"/>
    <n v="9733"/>
    <n v="4866.5"/>
    <n v="0"/>
    <n v="0"/>
    <n v="0"/>
    <n v="0"/>
    <n v="5"/>
    <s v="LIVRE"/>
    <n v="0"/>
    <n v="6"/>
    <n v="0"/>
    <n v="0"/>
    <n v="19.32"/>
    <n v="0"/>
    <n v="0"/>
    <n v="16.680041929169654"/>
    <m/>
    <m/>
    <n v="94020.78"/>
    <n v="0"/>
    <n v="81173.424048304121"/>
    <n v="0"/>
    <x v="0"/>
  </r>
  <r>
    <s v="Regular"/>
    <x v="0"/>
    <x v="0"/>
    <x v="0"/>
    <x v="0"/>
    <x v="0"/>
    <x v="0"/>
    <x v="1"/>
    <x v="5"/>
    <n v="9787"/>
    <n v="4893.5"/>
    <n v="0"/>
    <n v="0"/>
    <n v="0"/>
    <n v="0"/>
    <n v="5"/>
    <s v="LIVRE"/>
    <n v="0"/>
    <n v="6"/>
    <n v="0"/>
    <n v="0"/>
    <n v="19.32"/>
    <n v="0"/>
    <n v="0"/>
    <n v="16.680041929169654"/>
    <m/>
    <m/>
    <n v="94542.42"/>
    <n v="0"/>
    <n v="81623.7851803917"/>
    <n v="0"/>
    <x v="0"/>
  </r>
  <r>
    <s v="Regular"/>
    <x v="0"/>
    <x v="0"/>
    <x v="0"/>
    <x v="0"/>
    <x v="0"/>
    <x v="0"/>
    <x v="1"/>
    <x v="6"/>
    <n v="10337"/>
    <n v="5168.5"/>
    <n v="0"/>
    <n v="0"/>
    <n v="0"/>
    <n v="0"/>
    <n v="6"/>
    <s v="LIVRE"/>
    <n v="0"/>
    <n v="6"/>
    <n v="0"/>
    <n v="0"/>
    <n v="19.32"/>
    <n v="0"/>
    <n v="0"/>
    <n v="16.680041929169654"/>
    <m/>
    <m/>
    <n v="99855.42"/>
    <n v="0"/>
    <n v="86210.796710913361"/>
    <n v="0"/>
    <x v="0"/>
  </r>
  <r>
    <s v="Regular"/>
    <x v="0"/>
    <x v="0"/>
    <x v="0"/>
    <x v="0"/>
    <x v="0"/>
    <x v="0"/>
    <x v="1"/>
    <x v="7"/>
    <n v="10370"/>
    <n v="5185"/>
    <n v="0"/>
    <n v="0"/>
    <n v="0"/>
    <n v="0"/>
    <n v="6"/>
    <s v="LIVRE"/>
    <n v="0"/>
    <n v="6"/>
    <n v="0"/>
    <n v="0"/>
    <n v="19.32"/>
    <n v="0"/>
    <n v="0"/>
    <n v="16.680041929169654"/>
    <m/>
    <m/>
    <n v="100174.2"/>
    <n v="0"/>
    <n v="86486.017402744663"/>
    <n v="0"/>
    <x v="0"/>
  </r>
  <r>
    <s v="Regular"/>
    <x v="0"/>
    <x v="0"/>
    <x v="0"/>
    <x v="0"/>
    <x v="0"/>
    <x v="0"/>
    <x v="1"/>
    <x v="8"/>
    <n v="10222"/>
    <n v="5111"/>
    <n v="0"/>
    <n v="0"/>
    <n v="0"/>
    <n v="0"/>
    <n v="6"/>
    <s v="LIVRE"/>
    <n v="0"/>
    <n v="6"/>
    <n v="0"/>
    <n v="0"/>
    <n v="19.32"/>
    <n v="0"/>
    <n v="0"/>
    <n v="16.680041929169654"/>
    <m/>
    <m/>
    <n v="98744.52"/>
    <n v="0"/>
    <n v="85251.694299986106"/>
    <n v="0"/>
    <x v="0"/>
  </r>
  <r>
    <s v="Regular"/>
    <x v="0"/>
    <x v="0"/>
    <x v="0"/>
    <x v="0"/>
    <x v="0"/>
    <x v="0"/>
    <x v="1"/>
    <x v="9"/>
    <n v="10132"/>
    <n v="5066"/>
    <n v="0"/>
    <n v="0"/>
    <n v="0"/>
    <n v="0"/>
    <n v="6"/>
    <s v="LIVRE"/>
    <n v="0"/>
    <n v="6"/>
    <n v="0"/>
    <n v="0"/>
    <n v="19.32"/>
    <n v="0"/>
    <n v="0"/>
    <n v="16.680041929169654"/>
    <m/>
    <m/>
    <n v="97875.12"/>
    <n v="0"/>
    <n v="84501.092413173465"/>
    <n v="0"/>
    <x v="0"/>
  </r>
  <r>
    <s v="Regular"/>
    <x v="0"/>
    <x v="0"/>
    <x v="0"/>
    <x v="0"/>
    <x v="0"/>
    <x v="0"/>
    <x v="1"/>
    <x v="10"/>
    <n v="10313"/>
    <n v="5156.5"/>
    <n v="0"/>
    <n v="0"/>
    <n v="0"/>
    <n v="0"/>
    <n v="6"/>
    <s v="LIVRE"/>
    <n v="0"/>
    <n v="6"/>
    <n v="0"/>
    <n v="0"/>
    <n v="19.32"/>
    <n v="0"/>
    <n v="0"/>
    <n v="16.680041929169654"/>
    <m/>
    <m/>
    <n v="99623.58"/>
    <n v="0"/>
    <n v="86010.636207763324"/>
    <n v="0"/>
    <x v="0"/>
  </r>
  <r>
    <s v="PROJETADO"/>
    <x v="0"/>
    <x v="0"/>
    <x v="0"/>
    <x v="0"/>
    <x v="0"/>
    <x v="0"/>
    <x v="1"/>
    <x v="11"/>
    <n v="10313"/>
    <n v="5156.5"/>
    <n v="0"/>
    <n v="0"/>
    <n v="0"/>
    <n v="0"/>
    <n v="6"/>
    <s v="LIVRE"/>
    <n v="0"/>
    <n v="6"/>
    <n v="0"/>
    <n v="0"/>
    <n v="19.32"/>
    <n v="0"/>
    <n v="0"/>
    <n v="16.680041929169654"/>
    <m/>
    <m/>
    <n v="99623.58"/>
    <n v="0"/>
    <n v="86010.636207763324"/>
    <n v="0"/>
    <x v="0"/>
  </r>
  <r>
    <s v="Regular"/>
    <x v="0"/>
    <x v="0"/>
    <x v="0"/>
    <x v="0"/>
    <x v="0"/>
    <x v="0"/>
    <x v="2"/>
    <x v="0"/>
    <n v="0"/>
    <n v="0"/>
    <n v="165.279"/>
    <n v="82.639499999999998"/>
    <n v="0"/>
    <n v="0"/>
    <n v="0"/>
    <s v="LIVRE"/>
    <n v="0"/>
    <n v="0"/>
    <n v="7"/>
    <n v="0"/>
    <n v="0"/>
    <n v="948.15"/>
    <n v="0"/>
    <m/>
    <n v="976.42305228824534"/>
    <m/>
    <n v="0"/>
    <n v="78354.641925000004"/>
    <n v="0"/>
    <n v="80691.112829574457"/>
    <x v="0"/>
  </r>
  <r>
    <s v="Regular"/>
    <x v="0"/>
    <x v="0"/>
    <x v="0"/>
    <x v="0"/>
    <x v="0"/>
    <x v="0"/>
    <x v="2"/>
    <x v="1"/>
    <n v="0"/>
    <n v="0"/>
    <n v="201.74299999999999"/>
    <n v="100.8715"/>
    <n v="0"/>
    <n v="0"/>
    <n v="0"/>
    <s v="LIVRE"/>
    <n v="0"/>
    <n v="0"/>
    <n v="7"/>
    <n v="0"/>
    <n v="0"/>
    <n v="948.15"/>
    <n v="0"/>
    <m/>
    <n v="976.42305228824534"/>
    <m/>
    <n v="0"/>
    <n v="95641.312724999996"/>
    <n v="0"/>
    <n v="98493.257918893738"/>
    <x v="0"/>
  </r>
  <r>
    <s v="Regular"/>
    <x v="0"/>
    <x v="0"/>
    <x v="0"/>
    <x v="0"/>
    <x v="0"/>
    <x v="0"/>
    <x v="2"/>
    <x v="2"/>
    <n v="0"/>
    <n v="0"/>
    <n v="244.71199999999999"/>
    <n v="122.35599999999999"/>
    <n v="0"/>
    <n v="0"/>
    <n v="0"/>
    <s v="LIVRE"/>
    <n v="0"/>
    <n v="0"/>
    <n v="7"/>
    <n v="0"/>
    <n v="0"/>
    <n v="948.15"/>
    <n v="0"/>
    <m/>
    <n v="976.42305228824534"/>
    <m/>
    <n v="0"/>
    <n v="116011.84139999999"/>
    <n v="0"/>
    <n v="119471.21898578054"/>
    <x v="0"/>
  </r>
  <r>
    <s v="Regular"/>
    <x v="0"/>
    <x v="0"/>
    <x v="0"/>
    <x v="0"/>
    <x v="0"/>
    <x v="0"/>
    <x v="2"/>
    <x v="3"/>
    <n v="0"/>
    <n v="0"/>
    <n v="259.11500000000001"/>
    <n v="129.5575"/>
    <n v="0"/>
    <n v="0"/>
    <n v="0"/>
    <s v="LIVRE"/>
    <n v="0"/>
    <n v="0"/>
    <n v="7"/>
    <n v="0"/>
    <n v="0"/>
    <n v="948.15"/>
    <n v="0"/>
    <m/>
    <n v="976.42305228824534"/>
    <m/>
    <n v="0"/>
    <n v="122839.943625"/>
    <n v="0"/>
    <n v="126502.92959683435"/>
    <x v="0"/>
  </r>
  <r>
    <s v="Regular"/>
    <x v="0"/>
    <x v="0"/>
    <x v="0"/>
    <x v="0"/>
    <x v="0"/>
    <x v="0"/>
    <x v="2"/>
    <x v="4"/>
    <n v="0"/>
    <n v="0"/>
    <n v="251.54400000000001"/>
    <n v="125.77200000000001"/>
    <n v="0"/>
    <n v="0"/>
    <n v="0"/>
    <s v="LIVRE"/>
    <n v="0"/>
    <n v="0"/>
    <n v="7"/>
    <n v="0"/>
    <n v="0"/>
    <n v="948.15"/>
    <n v="0"/>
    <m/>
    <n v="976.42305228824534"/>
    <m/>
    <n v="0"/>
    <n v="119250.7218"/>
    <n v="0"/>
    <n v="122806.6801323972"/>
    <x v="0"/>
  </r>
  <r>
    <s v="Regular"/>
    <x v="0"/>
    <x v="0"/>
    <x v="0"/>
    <x v="0"/>
    <x v="0"/>
    <x v="0"/>
    <x v="2"/>
    <x v="5"/>
    <n v="0"/>
    <n v="0"/>
    <n v="245.708"/>
    <n v="122.854"/>
    <n v="0"/>
    <n v="0"/>
    <n v="0"/>
    <s v="LIVRE"/>
    <n v="0"/>
    <n v="0"/>
    <n v="7"/>
    <n v="0"/>
    <n v="0"/>
    <n v="948.15"/>
    <n v="0"/>
    <m/>
    <n v="976.42305228824534"/>
    <m/>
    <n v="0"/>
    <n v="116484.02009999999"/>
    <n v="0"/>
    <n v="119957.47766582009"/>
    <x v="0"/>
  </r>
  <r>
    <s v="Regular"/>
    <x v="0"/>
    <x v="0"/>
    <x v="0"/>
    <x v="0"/>
    <x v="0"/>
    <x v="0"/>
    <x v="2"/>
    <x v="6"/>
    <n v="0"/>
    <n v="0"/>
    <n v="267.46600000000001"/>
    <n v="133.733"/>
    <n v="0"/>
    <n v="0"/>
    <n v="0"/>
    <s v="LIVRE"/>
    <n v="0"/>
    <n v="0"/>
    <n v="7"/>
    <n v="0"/>
    <n v="0"/>
    <n v="948.15"/>
    <n v="0"/>
    <m/>
    <n v="976.42305228824534"/>
    <m/>
    <n v="0"/>
    <n v="126798.94395"/>
    <n v="0"/>
    <n v="130579.98405166392"/>
    <x v="0"/>
  </r>
  <r>
    <s v="Regular"/>
    <x v="0"/>
    <x v="0"/>
    <x v="0"/>
    <x v="0"/>
    <x v="0"/>
    <x v="0"/>
    <x v="2"/>
    <x v="7"/>
    <n v="0"/>
    <n v="0"/>
    <n v="252.32900000000001"/>
    <n v="126.1645"/>
    <n v="0"/>
    <n v="0"/>
    <n v="0"/>
    <s v="LIVRE"/>
    <n v="0"/>
    <n v="0"/>
    <n v="7"/>
    <n v="0"/>
    <n v="0"/>
    <n v="948.15"/>
    <n v="0"/>
    <m/>
    <n v="976.42305228824534"/>
    <m/>
    <n v="0"/>
    <n v="119622.870675"/>
    <n v="0"/>
    <n v="123189.92618042033"/>
    <x v="0"/>
  </r>
  <r>
    <s v="Regular"/>
    <x v="0"/>
    <x v="0"/>
    <x v="0"/>
    <x v="0"/>
    <x v="0"/>
    <x v="0"/>
    <x v="2"/>
    <x v="8"/>
    <n v="0"/>
    <n v="0"/>
    <n v="256.38400000000001"/>
    <n v="128.19200000000001"/>
    <n v="0"/>
    <n v="0"/>
    <n v="0"/>
    <s v="LIVRE"/>
    <n v="0"/>
    <n v="0"/>
    <n v="7"/>
    <n v="0"/>
    <n v="0"/>
    <n v="948.15"/>
    <n v="0"/>
    <m/>
    <n v="976.42305228824534"/>
    <m/>
    <n v="0"/>
    <n v="121545.2448"/>
    <n v="0"/>
    <n v="125169.62391893475"/>
    <x v="0"/>
  </r>
  <r>
    <s v="Regular"/>
    <x v="0"/>
    <x v="0"/>
    <x v="0"/>
    <x v="0"/>
    <x v="0"/>
    <x v="0"/>
    <x v="2"/>
    <x v="9"/>
    <n v="0"/>
    <n v="0"/>
    <n v="242.602"/>
    <n v="121.301"/>
    <n v="0"/>
    <n v="0"/>
    <n v="0"/>
    <s v="LIVRE"/>
    <n v="0"/>
    <n v="0"/>
    <n v="7"/>
    <n v="0"/>
    <n v="0"/>
    <n v="948.15"/>
    <n v="0"/>
    <m/>
    <n v="976.42305228824534"/>
    <m/>
    <n v="0"/>
    <n v="115011.54315"/>
    <n v="0"/>
    <n v="118441.09266561645"/>
    <x v="0"/>
  </r>
  <r>
    <s v="Regular"/>
    <x v="0"/>
    <x v="0"/>
    <x v="0"/>
    <x v="0"/>
    <x v="0"/>
    <x v="0"/>
    <x v="2"/>
    <x v="10"/>
    <n v="0"/>
    <n v="0"/>
    <n v="257.65499999999997"/>
    <n v="128.82749999999999"/>
    <n v="0"/>
    <n v="0"/>
    <n v="0"/>
    <s v="LIVRE"/>
    <n v="0"/>
    <n v="0"/>
    <n v="7"/>
    <n v="0"/>
    <n v="0"/>
    <n v="948.15"/>
    <n v="0"/>
    <m/>
    <n v="976.42305228824534"/>
    <m/>
    <n v="0"/>
    <n v="122147.79412499999"/>
    <n v="0"/>
    <n v="125790.14076866391"/>
    <x v="0"/>
  </r>
  <r>
    <s v="PROJETADO"/>
    <x v="0"/>
    <x v="0"/>
    <x v="0"/>
    <x v="0"/>
    <x v="0"/>
    <x v="0"/>
    <x v="2"/>
    <x v="11"/>
    <n v="0"/>
    <n v="0"/>
    <n v="257.65499999999997"/>
    <n v="128.82749999999999"/>
    <n v="0"/>
    <n v="0"/>
    <n v="0"/>
    <s v="LIVRE"/>
    <n v="0"/>
    <n v="0"/>
    <n v="7"/>
    <n v="0"/>
    <n v="0"/>
    <n v="948.15"/>
    <n v="0"/>
    <m/>
    <n v="976.42305228824534"/>
    <m/>
    <n v="0"/>
    <n v="122147.79412499999"/>
    <n v="0"/>
    <n v="125790.14076866391"/>
    <x v="0"/>
  </r>
  <r>
    <s v="Regular"/>
    <x v="0"/>
    <x v="0"/>
    <x v="1"/>
    <x v="1"/>
    <x v="1"/>
    <x v="0"/>
    <x v="0"/>
    <x v="0"/>
    <n v="0"/>
    <n v="0"/>
    <n v="35.371000000000002"/>
    <n v="10.6113"/>
    <n v="35.371000000000002"/>
    <n v="10.6113"/>
    <n v="0"/>
    <s v="CATIVO"/>
    <n v="0"/>
    <n v="0"/>
    <n v="8"/>
    <n v="49"/>
    <n v="0"/>
    <n v="65.61"/>
    <n v="263.29000000000002"/>
    <m/>
    <n v="100.34646310857573"/>
    <n v="210.64397598313801"/>
    <n v="0"/>
    <n v="8143.4653300000018"/>
    <n v="0"/>
    <n v="7700.029974779105"/>
    <x v="1"/>
  </r>
  <r>
    <s v="Regular"/>
    <x v="0"/>
    <x v="0"/>
    <x v="1"/>
    <x v="1"/>
    <x v="1"/>
    <x v="0"/>
    <x v="0"/>
    <x v="1"/>
    <n v="0"/>
    <n v="0"/>
    <n v="6.79"/>
    <n v="2.0369999999999999"/>
    <n v="6.79"/>
    <n v="2.0369999999999999"/>
    <n v="0"/>
    <s v="CATIVO"/>
    <n v="0"/>
    <n v="0"/>
    <n v="8"/>
    <n v="49"/>
    <n v="0"/>
    <n v="65.61"/>
    <n v="263.29000000000002"/>
    <m/>
    <n v="100.34646310857573"/>
    <n v="210.64397598313801"/>
    <n v="0"/>
    <n v="1563.2617"/>
    <n v="0"/>
    <n v="1478.1375570029154"/>
    <x v="1"/>
  </r>
  <r>
    <s v="Regular"/>
    <x v="0"/>
    <x v="0"/>
    <x v="1"/>
    <x v="1"/>
    <x v="1"/>
    <x v="0"/>
    <x v="0"/>
    <x v="2"/>
    <n v="0"/>
    <n v="0"/>
    <n v="16.233000000000001"/>
    <n v="4.8699000000000003"/>
    <n v="16.233000000000001"/>
    <n v="4.8699000000000003"/>
    <n v="0"/>
    <s v="CATIVO"/>
    <n v="0"/>
    <n v="0"/>
    <n v="8"/>
    <n v="49"/>
    <n v="0"/>
    <n v="65.61"/>
    <n v="263.29000000000002"/>
    <m/>
    <n v="100.34646310857573"/>
    <n v="210.64397598313801"/>
    <n v="0"/>
    <n v="3737.32359"/>
    <n v="0"/>
    <n v="3533.8154584430522"/>
    <x v="1"/>
  </r>
  <r>
    <s v="Regular"/>
    <x v="0"/>
    <x v="0"/>
    <x v="1"/>
    <x v="1"/>
    <x v="1"/>
    <x v="0"/>
    <x v="0"/>
    <x v="3"/>
    <n v="0"/>
    <n v="0"/>
    <n v="19.994"/>
    <n v="5.9981999999999998"/>
    <n v="19.994"/>
    <n v="5.9981999999999998"/>
    <n v="0"/>
    <s v="CATIVO"/>
    <n v="0"/>
    <n v="0"/>
    <n v="8"/>
    <n v="49"/>
    <n v="0"/>
    <n v="65.61"/>
    <n v="263.29000000000002"/>
    <m/>
    <n v="100.34646310857573"/>
    <n v="210.64397598313801"/>
    <n v="0"/>
    <n v="4603.2186199999996"/>
    <n v="0"/>
    <n v="4352.5599874398067"/>
    <x v="1"/>
  </r>
  <r>
    <s v="Regular"/>
    <x v="0"/>
    <x v="0"/>
    <x v="1"/>
    <x v="1"/>
    <x v="1"/>
    <x v="0"/>
    <x v="0"/>
    <x v="4"/>
    <n v="0"/>
    <n v="0"/>
    <n v="42.274000000000001"/>
    <n v="12.6822"/>
    <n v="42.274000000000001"/>
    <n v="12.6822"/>
    <n v="0"/>
    <s v="CATIVO"/>
    <n v="0"/>
    <n v="0"/>
    <n v="8"/>
    <n v="49"/>
    <n v="0"/>
    <n v="65.61"/>
    <n v="263.29000000000002"/>
    <m/>
    <n v="100.34646310857573"/>
    <n v="210.64397598313801"/>
    <n v="0"/>
    <n v="9732.7430199999999"/>
    <n v="0"/>
    <n v="9202.7668755141749"/>
    <x v="1"/>
  </r>
  <r>
    <s v="Regular"/>
    <x v="0"/>
    <x v="0"/>
    <x v="1"/>
    <x v="1"/>
    <x v="1"/>
    <x v="0"/>
    <x v="0"/>
    <x v="5"/>
    <n v="0"/>
    <n v="0"/>
    <n v="2.4"/>
    <n v="0.72"/>
    <n v="2.4"/>
    <n v="0.72"/>
    <n v="0"/>
    <s v="CATIVO"/>
    <n v="0"/>
    <n v="0"/>
    <n v="8"/>
    <n v="49"/>
    <n v="0"/>
    <n v="65.61"/>
    <n v="263.29000000000002"/>
    <m/>
    <n v="100.34646310857573"/>
    <n v="210.64397598313801"/>
    <n v="0"/>
    <n v="552.55200000000002"/>
    <n v="0"/>
    <n v="522.46393767407903"/>
    <x v="1"/>
  </r>
  <r>
    <s v="Regular"/>
    <x v="0"/>
    <x v="0"/>
    <x v="1"/>
    <x v="1"/>
    <x v="1"/>
    <x v="0"/>
    <x v="0"/>
    <x v="6"/>
    <n v="0"/>
    <n v="0"/>
    <n v="3.2000000000000001E-2"/>
    <n v="9.5999999999999992E-3"/>
    <n v="3.2000000000000001E-2"/>
    <n v="9.5999999999999992E-3"/>
    <n v="0"/>
    <s v="CATIVO"/>
    <n v="0"/>
    <n v="0"/>
    <n v="8"/>
    <n v="49"/>
    <n v="0"/>
    <n v="65.61"/>
    <n v="263.29000000000002"/>
    <m/>
    <n v="100.34646310857573"/>
    <n v="210.64397598313801"/>
    <n v="0"/>
    <n v="7.3673600000000015"/>
    <n v="0"/>
    <n v="6.9661858356543886"/>
    <x v="1"/>
  </r>
  <r>
    <s v="Regular"/>
    <x v="0"/>
    <x v="0"/>
    <x v="1"/>
    <x v="1"/>
    <x v="1"/>
    <x v="0"/>
    <x v="0"/>
    <x v="7"/>
    <n v="0"/>
    <n v="0"/>
    <n v="6.6000000000000003E-2"/>
    <n v="1.9800000000000002E-2"/>
    <n v="6.6000000000000003E-2"/>
    <n v="1.9800000000000002E-2"/>
    <n v="0"/>
    <s v="CATIVO"/>
    <n v="0"/>
    <n v="0"/>
    <n v="8"/>
    <n v="49"/>
    <n v="0"/>
    <n v="65.61"/>
    <n v="263.29000000000002"/>
    <m/>
    <n v="100.34646310857573"/>
    <n v="210.64397598313801"/>
    <n v="0"/>
    <n v="15.195180000000004"/>
    <n v="0"/>
    <n v="14.367758286037176"/>
    <x v="1"/>
  </r>
  <r>
    <s v="Regular"/>
    <x v="0"/>
    <x v="0"/>
    <x v="1"/>
    <x v="1"/>
    <x v="1"/>
    <x v="0"/>
    <x v="0"/>
    <x v="8"/>
    <n v="0"/>
    <n v="0"/>
    <n v="0.10199999999999999"/>
    <n v="3.0599999999999999E-2"/>
    <n v="0.10199999999999999"/>
    <n v="3.0599999999999999E-2"/>
    <n v="0"/>
    <s v="CATIVO"/>
    <n v="0"/>
    <n v="0"/>
    <n v="8"/>
    <n v="49"/>
    <n v="0"/>
    <n v="65.61"/>
    <n v="263.29000000000002"/>
    <m/>
    <n v="100.34646310857573"/>
    <n v="210.64397598313801"/>
    <n v="0"/>
    <n v="23.483459999999997"/>
    <n v="0"/>
    <n v="22.204717351148361"/>
    <x v="1"/>
  </r>
  <r>
    <s v="Regular"/>
    <x v="0"/>
    <x v="0"/>
    <x v="1"/>
    <x v="1"/>
    <x v="1"/>
    <x v="0"/>
    <x v="0"/>
    <x v="9"/>
    <n v="0"/>
    <n v="0"/>
    <n v="0.25700000000000001"/>
    <n v="7.7100000000000002E-2"/>
    <n v="0.25700000000000001"/>
    <n v="7.7100000000000002E-2"/>
    <n v="0"/>
    <s v="CATIVO"/>
    <n v="0"/>
    <n v="0"/>
    <n v="8"/>
    <n v="49"/>
    <n v="0"/>
    <n v="65.61"/>
    <n v="263.29000000000002"/>
    <m/>
    <n v="100.34646310857573"/>
    <n v="210.64397598313801"/>
    <n v="0"/>
    <n v="59.169110000000003"/>
    <n v="0"/>
    <n v="55.947179992599303"/>
    <x v="1"/>
  </r>
  <r>
    <s v="Regular"/>
    <x v="0"/>
    <x v="0"/>
    <x v="1"/>
    <x v="1"/>
    <x v="1"/>
    <x v="0"/>
    <x v="0"/>
    <x v="10"/>
    <n v="0"/>
    <n v="0"/>
    <n v="3.399"/>
    <n v="1.0197000000000001"/>
    <n v="3.399"/>
    <n v="1.0197000000000001"/>
    <n v="0"/>
    <s v="CATIVO"/>
    <n v="0"/>
    <n v="0"/>
    <n v="8"/>
    <n v="49"/>
    <n v="0"/>
    <n v="65.61"/>
    <n v="263.29000000000002"/>
    <m/>
    <n v="100.34646310857573"/>
    <n v="210.64397598313801"/>
    <n v="0"/>
    <n v="782.55176999999992"/>
    <n v="0"/>
    <n v="739.93955173091445"/>
    <x v="1"/>
  </r>
  <r>
    <s v="Regular"/>
    <x v="0"/>
    <x v="0"/>
    <x v="1"/>
    <x v="1"/>
    <x v="1"/>
    <x v="0"/>
    <x v="0"/>
    <x v="11"/>
    <n v="0"/>
    <n v="0"/>
    <n v="5.7000000000000002E-2"/>
    <n v="1.7100000000000001E-2"/>
    <n v="5.7000000000000002E-2"/>
    <n v="1.7100000000000001E-2"/>
    <n v="0"/>
    <s v="CATIVO"/>
    <n v="0"/>
    <n v="0"/>
    <n v="8"/>
    <n v="49"/>
    <n v="0"/>
    <n v="65.61"/>
    <n v="263.29000000000002"/>
    <m/>
    <n v="100.34646310857573"/>
    <n v="210.64397598313801"/>
    <n v="0"/>
    <n v="13.123110000000002"/>
    <n v="0"/>
    <n v="12.408518519759379"/>
    <x v="1"/>
  </r>
  <r>
    <s v="Regular"/>
    <x v="0"/>
    <x v="0"/>
    <x v="1"/>
    <x v="1"/>
    <x v="2"/>
    <x v="0"/>
    <x v="0"/>
    <x v="0"/>
    <n v="0"/>
    <n v="0"/>
    <n v="81.334000000000003"/>
    <n v="78.080640000000002"/>
    <n v="81.334000000000003"/>
    <n v="78.080640000000002"/>
    <n v="0"/>
    <s v="CATIVO"/>
    <n v="0"/>
    <n v="0"/>
    <n v="8"/>
    <n v="49"/>
    <n v="0"/>
    <n v="65.61"/>
    <n v="263.29000000000002"/>
    <m/>
    <n v="100.34646310857573"/>
    <n v="210.64397598313801"/>
    <n v="0"/>
    <n v="1070.0301040000004"/>
    <n v="0"/>
    <n v="1011.763854923418"/>
    <x v="2"/>
  </r>
  <r>
    <s v="Regular"/>
    <x v="0"/>
    <x v="0"/>
    <x v="1"/>
    <x v="1"/>
    <x v="2"/>
    <x v="0"/>
    <x v="0"/>
    <x v="1"/>
    <n v="0"/>
    <n v="0"/>
    <n v="26.411000000000001"/>
    <n v="25.354559999999999"/>
    <n v="26.411000000000001"/>
    <n v="25.354559999999999"/>
    <n v="0"/>
    <s v="CATIVO"/>
    <n v="0"/>
    <n v="0"/>
    <n v="8"/>
    <n v="49"/>
    <n v="0"/>
    <n v="65.61"/>
    <n v="263.29000000000002"/>
    <m/>
    <n v="100.34646310857573"/>
    <n v="210.64397598313801"/>
    <n v="0"/>
    <n v="347.4631160000007"/>
    <n v="0"/>
    <n v="328.54273947405068"/>
    <x v="2"/>
  </r>
  <r>
    <s v="Regular"/>
    <x v="0"/>
    <x v="0"/>
    <x v="1"/>
    <x v="1"/>
    <x v="2"/>
    <x v="0"/>
    <x v="0"/>
    <x v="2"/>
    <n v="0"/>
    <n v="0"/>
    <n v="42.161000000000001"/>
    <n v="40.474559999999997"/>
    <n v="42.161000000000001"/>
    <n v="40.474559999999997"/>
    <n v="0"/>
    <s v="CATIVO"/>
    <n v="0"/>
    <n v="0"/>
    <n v="8"/>
    <n v="49"/>
    <n v="0"/>
    <n v="65.61"/>
    <n v="263.29000000000002"/>
    <m/>
    <n v="100.34646310857573"/>
    <n v="210.64397598313801"/>
    <n v="0"/>
    <n v="554.6701160000016"/>
    <n v="0"/>
    <n v="524.46671610183114"/>
    <x v="2"/>
  </r>
  <r>
    <s v="Regular"/>
    <x v="0"/>
    <x v="0"/>
    <x v="1"/>
    <x v="1"/>
    <x v="2"/>
    <x v="0"/>
    <x v="0"/>
    <x v="3"/>
    <n v="0"/>
    <n v="0"/>
    <n v="63.097000000000001"/>
    <n v="60.573120000000003"/>
    <n v="63.097000000000001"/>
    <n v="60.573120000000003"/>
    <n v="0"/>
    <s v="CATIVO"/>
    <n v="0"/>
    <n v="0"/>
    <n v="8"/>
    <n v="49"/>
    <n v="0"/>
    <n v="65.61"/>
    <n v="263.29000000000002"/>
    <m/>
    <n v="100.34646310857573"/>
    <n v="210.64397598313801"/>
    <n v="0"/>
    <n v="830.10413199999948"/>
    <n v="0"/>
    <n v="784.90254941479395"/>
    <x v="2"/>
  </r>
  <r>
    <s v="Regular"/>
    <x v="0"/>
    <x v="0"/>
    <x v="1"/>
    <x v="1"/>
    <x v="2"/>
    <x v="0"/>
    <x v="0"/>
    <x v="4"/>
    <n v="0"/>
    <n v="0"/>
    <n v="77.786000000000001"/>
    <n v="74.67456"/>
    <n v="77.786000000000001"/>
    <n v="74.67456"/>
    <n v="0"/>
    <s v="CATIVO"/>
    <n v="0"/>
    <n v="0"/>
    <n v="8"/>
    <n v="49"/>
    <n v="0"/>
    <n v="65.61"/>
    <n v="263.29000000000002"/>
    <m/>
    <n v="100.34646310857573"/>
    <n v="210.64397598313801"/>
    <n v="0"/>
    <n v="1023.3526160000006"/>
    <n v="0"/>
    <n v="967.62809180752242"/>
    <x v="2"/>
  </r>
  <r>
    <s v="Regular"/>
    <x v="0"/>
    <x v="0"/>
    <x v="1"/>
    <x v="1"/>
    <x v="2"/>
    <x v="0"/>
    <x v="0"/>
    <x v="5"/>
    <n v="0"/>
    <n v="0"/>
    <n v="10.853999999999999"/>
    <n v="10.419840000000001"/>
    <n v="10.853999999999999"/>
    <n v="10.419840000000001"/>
    <n v="0"/>
    <s v="CATIVO"/>
    <n v="0"/>
    <n v="0"/>
    <n v="8"/>
    <n v="49"/>
    <n v="0"/>
    <n v="65.61"/>
    <n v="263.29000000000002"/>
    <m/>
    <n v="100.34646310857573"/>
    <n v="210.64397598313801"/>
    <n v="0"/>
    <n v="142.79522399999954"/>
    <n v="0"/>
    <n v="135.01960903605797"/>
    <x v="2"/>
  </r>
  <r>
    <s v="Regular"/>
    <x v="0"/>
    <x v="0"/>
    <x v="1"/>
    <x v="1"/>
    <x v="2"/>
    <x v="0"/>
    <x v="0"/>
    <x v="6"/>
    <n v="0"/>
    <n v="0"/>
    <n v="11.193"/>
    <n v="10.745279999999999"/>
    <n v="11.193"/>
    <n v="10.745279999999999"/>
    <n v="0"/>
    <s v="CATIVO"/>
    <n v="0"/>
    <n v="0"/>
    <n v="8"/>
    <n v="49"/>
    <n v="0"/>
    <n v="65.61"/>
    <n v="263.29000000000002"/>
    <m/>
    <n v="100.34646310857573"/>
    <n v="210.64397598313801"/>
    <n v="0"/>
    <n v="147.25510800000012"/>
    <n v="0"/>
    <n v="139.23663939014219"/>
    <x v="2"/>
  </r>
  <r>
    <s v="Regular"/>
    <x v="0"/>
    <x v="0"/>
    <x v="1"/>
    <x v="1"/>
    <x v="2"/>
    <x v="0"/>
    <x v="0"/>
    <x v="7"/>
    <n v="0"/>
    <n v="0"/>
    <n v="7.9580000000000002"/>
    <n v="7.6396800000000002"/>
    <n v="7.9580000000000002"/>
    <n v="7.6396800000000002"/>
    <n v="0"/>
    <s v="CATIVO"/>
    <n v="0"/>
    <n v="0"/>
    <n v="8"/>
    <n v="49"/>
    <n v="0"/>
    <n v="65.61"/>
    <n v="263.29000000000002"/>
    <m/>
    <n v="100.34646310857573"/>
    <n v="210.64397598313801"/>
    <n v="0"/>
    <n v="104.69544799999998"/>
    <n v="0"/>
    <n v="98.994476571674298"/>
    <x v="2"/>
  </r>
  <r>
    <s v="Regular"/>
    <x v="0"/>
    <x v="0"/>
    <x v="1"/>
    <x v="1"/>
    <x v="2"/>
    <x v="0"/>
    <x v="0"/>
    <x v="8"/>
    <n v="0"/>
    <n v="0"/>
    <n v="6.7270000000000003"/>
    <n v="6.4579199999999997"/>
    <n v="6.7270000000000003"/>
    <n v="6.4579199999999997"/>
    <n v="0"/>
    <s v="CATIVO"/>
    <n v="0"/>
    <n v="0"/>
    <n v="8"/>
    <n v="49"/>
    <n v="0"/>
    <n v="65.61"/>
    <n v="263.29000000000002"/>
    <m/>
    <n v="100.34646310857573"/>
    <n v="210.64397598313801"/>
    <n v="0"/>
    <n v="88.500412000000225"/>
    <n v="0"/>
    <n v="83.681307350798534"/>
    <x v="2"/>
  </r>
  <r>
    <s v="Regular"/>
    <x v="0"/>
    <x v="0"/>
    <x v="1"/>
    <x v="1"/>
    <x v="2"/>
    <x v="0"/>
    <x v="0"/>
    <x v="9"/>
    <n v="0"/>
    <n v="0"/>
    <n v="11.124000000000001"/>
    <n v="10.679040000000001"/>
    <n v="11.124000000000001"/>
    <n v="10.679040000000001"/>
    <n v="0"/>
    <s v="CATIVO"/>
    <n v="0"/>
    <n v="0"/>
    <n v="8"/>
    <n v="49"/>
    <n v="0"/>
    <n v="65.61"/>
    <n v="263.29000000000002"/>
    <m/>
    <n v="100.34646310857573"/>
    <n v="210.64397598313801"/>
    <n v="0"/>
    <n v="146.34734400000002"/>
    <n v="0"/>
    <n v="138.37830577824894"/>
    <x v="2"/>
  </r>
  <r>
    <s v="Regular"/>
    <x v="0"/>
    <x v="0"/>
    <x v="1"/>
    <x v="1"/>
    <x v="2"/>
    <x v="0"/>
    <x v="0"/>
    <x v="10"/>
    <n v="0"/>
    <n v="0"/>
    <n v="18.661999999999999"/>
    <n v="17.915520000000001"/>
    <n v="18.661999999999999"/>
    <n v="17.915520000000001"/>
    <n v="0"/>
    <s v="CATIVO"/>
    <n v="0"/>
    <n v="0"/>
    <n v="8"/>
    <n v="49"/>
    <n v="0"/>
    <n v="65.61"/>
    <n v="263.29000000000002"/>
    <m/>
    <n v="100.34646310857573"/>
    <n v="210.64397598313801"/>
    <n v="0"/>
    <n v="245.51727199999945"/>
    <n v="0"/>
    <n v="232.14814297318193"/>
    <x v="2"/>
  </r>
  <r>
    <s v="Regular"/>
    <x v="0"/>
    <x v="0"/>
    <x v="1"/>
    <x v="1"/>
    <x v="2"/>
    <x v="0"/>
    <x v="0"/>
    <x v="11"/>
    <n v="0"/>
    <n v="0"/>
    <n v="7.1369999999999996"/>
    <n v="6.8515199999999998"/>
    <n v="7.1369999999999996"/>
    <n v="6.8515199999999998"/>
    <n v="0"/>
    <s v="CATIVO"/>
    <n v="0"/>
    <n v="0"/>
    <n v="8"/>
    <n v="49"/>
    <n v="0"/>
    <n v="65.61"/>
    <n v="263.29000000000002"/>
    <m/>
    <n v="100.34646310857573"/>
    <n v="210.64397598313801"/>
    <n v="0"/>
    <n v="93.894371999999919"/>
    <n v="0"/>
    <n v="88.781550551902356"/>
    <x v="2"/>
  </r>
  <r>
    <s v="Regular"/>
    <x v="0"/>
    <x v="0"/>
    <x v="1"/>
    <x v="1"/>
    <x v="2"/>
    <x v="0"/>
    <x v="1"/>
    <x v="0"/>
    <n v="487"/>
    <n v="467.52"/>
    <n v="0"/>
    <n v="0"/>
    <n v="0"/>
    <n v="0"/>
    <n v="5"/>
    <s v="CATIVO"/>
    <n v="0"/>
    <n v="6"/>
    <n v="0"/>
    <n v="0"/>
    <n v="19.32"/>
    <n v="0"/>
    <n v="0"/>
    <n v="16.680041929169654"/>
    <m/>
    <m/>
    <n v="376.35360000000037"/>
    <n v="0"/>
    <n v="324.92721678022519"/>
    <n v="0"/>
    <x v="2"/>
  </r>
  <r>
    <s v="Regular"/>
    <x v="0"/>
    <x v="0"/>
    <x v="1"/>
    <x v="1"/>
    <x v="2"/>
    <x v="0"/>
    <x v="1"/>
    <x v="1"/>
    <n v="385"/>
    <n v="369.6"/>
    <n v="0"/>
    <n v="0"/>
    <n v="0"/>
    <n v="0"/>
    <n v="5"/>
    <s v="CATIVO"/>
    <n v="0"/>
    <n v="6"/>
    <n v="0"/>
    <n v="0"/>
    <n v="19.32"/>
    <n v="0"/>
    <n v="0"/>
    <n v="16.680041929169654"/>
    <m/>
    <m/>
    <n v="297.52799999999957"/>
    <n v="0"/>
    <n v="256.87264570921229"/>
    <n v="0"/>
    <x v="2"/>
  </r>
  <r>
    <s v="Regular"/>
    <x v="0"/>
    <x v="0"/>
    <x v="1"/>
    <x v="1"/>
    <x v="2"/>
    <x v="0"/>
    <x v="1"/>
    <x v="2"/>
    <n v="389"/>
    <n v="373.44"/>
    <n v="0"/>
    <n v="0"/>
    <n v="0"/>
    <n v="0"/>
    <n v="5"/>
    <s v="CATIVO"/>
    <n v="0"/>
    <n v="6"/>
    <n v="0"/>
    <n v="0"/>
    <n v="19.32"/>
    <n v="0"/>
    <n v="0"/>
    <n v="16.680041929169654"/>
    <m/>
    <m/>
    <n v="300.61920000000003"/>
    <n v="0"/>
    <n v="259.54145241787984"/>
    <n v="0"/>
    <x v="2"/>
  </r>
  <r>
    <s v="Regular"/>
    <x v="0"/>
    <x v="0"/>
    <x v="1"/>
    <x v="1"/>
    <x v="2"/>
    <x v="0"/>
    <x v="1"/>
    <x v="3"/>
    <n v="502"/>
    <n v="481.92"/>
    <n v="0"/>
    <n v="0"/>
    <n v="0"/>
    <n v="0"/>
    <n v="5"/>
    <s v="CATIVO"/>
    <n v="0"/>
    <n v="6"/>
    <n v="0"/>
    <n v="0"/>
    <n v="19.32"/>
    <n v="0"/>
    <n v="0"/>
    <n v="16.680041929169654"/>
    <m/>
    <m/>
    <n v="387.94559999999967"/>
    <n v="0"/>
    <n v="334.9352419377264"/>
    <n v="0"/>
    <x v="2"/>
  </r>
  <r>
    <s v="Regular"/>
    <x v="0"/>
    <x v="0"/>
    <x v="1"/>
    <x v="1"/>
    <x v="2"/>
    <x v="0"/>
    <x v="1"/>
    <x v="4"/>
    <n v="496"/>
    <n v="476.16"/>
    <n v="0"/>
    <n v="0"/>
    <n v="0"/>
    <n v="0"/>
    <n v="5"/>
    <s v="CATIVO"/>
    <n v="0"/>
    <n v="6"/>
    <n v="0"/>
    <n v="0"/>
    <n v="19.32"/>
    <n v="0"/>
    <n v="0"/>
    <n v="16.680041929169654"/>
    <m/>
    <m/>
    <n v="383.30879999999951"/>
    <n v="0"/>
    <n v="330.93203187472551"/>
    <n v="0"/>
    <x v="2"/>
  </r>
  <r>
    <s v="Regular"/>
    <x v="0"/>
    <x v="0"/>
    <x v="1"/>
    <x v="1"/>
    <x v="2"/>
    <x v="0"/>
    <x v="1"/>
    <x v="5"/>
    <n v="466"/>
    <n v="447.36"/>
    <n v="0"/>
    <n v="0"/>
    <n v="0"/>
    <n v="0"/>
    <n v="5"/>
    <s v="CATIVO"/>
    <n v="0"/>
    <n v="6"/>
    <n v="0"/>
    <n v="0"/>
    <n v="19.32"/>
    <n v="0"/>
    <n v="0"/>
    <n v="16.680041929169654"/>
    <m/>
    <m/>
    <n v="360.12479999999977"/>
    <n v="0"/>
    <n v="310.91598155972213"/>
    <n v="0"/>
    <x v="2"/>
  </r>
  <r>
    <s v="Regular"/>
    <x v="0"/>
    <x v="0"/>
    <x v="1"/>
    <x v="1"/>
    <x v="2"/>
    <x v="0"/>
    <x v="1"/>
    <x v="6"/>
    <n v="311"/>
    <n v="298.56"/>
    <n v="0"/>
    <n v="0"/>
    <n v="0"/>
    <n v="0"/>
    <n v="4"/>
    <s v="CATIVO"/>
    <n v="0"/>
    <n v="6"/>
    <n v="0"/>
    <n v="0"/>
    <n v="19.32"/>
    <n v="0"/>
    <n v="0"/>
    <n v="16.680041929169654"/>
    <m/>
    <m/>
    <n v="240.34079999999997"/>
    <n v="0"/>
    <n v="207.49972159887045"/>
    <n v="0"/>
    <x v="2"/>
  </r>
  <r>
    <s v="Regular"/>
    <x v="0"/>
    <x v="0"/>
    <x v="1"/>
    <x v="1"/>
    <x v="2"/>
    <x v="0"/>
    <x v="1"/>
    <x v="7"/>
    <n v="307"/>
    <n v="294.72000000000003"/>
    <n v="0"/>
    <n v="0"/>
    <n v="0"/>
    <n v="0"/>
    <n v="4"/>
    <s v="CATIVO"/>
    <n v="0"/>
    <n v="6"/>
    <n v="0"/>
    <n v="0"/>
    <n v="19.32"/>
    <n v="0"/>
    <n v="0"/>
    <n v="16.680041929169654"/>
    <m/>
    <m/>
    <n v="237.24959999999948"/>
    <n v="0"/>
    <n v="204.83091489020291"/>
    <n v="0"/>
    <x v="2"/>
  </r>
  <r>
    <s v="Regular"/>
    <x v="0"/>
    <x v="0"/>
    <x v="1"/>
    <x v="1"/>
    <x v="2"/>
    <x v="0"/>
    <x v="1"/>
    <x v="8"/>
    <n v="403"/>
    <n v="386.88"/>
    <n v="0"/>
    <n v="0"/>
    <n v="0"/>
    <n v="0"/>
    <n v="4"/>
    <s v="CATIVO"/>
    <n v="0"/>
    <n v="6"/>
    <n v="0"/>
    <n v="0"/>
    <n v="19.32"/>
    <n v="0"/>
    <n v="0"/>
    <n v="16.680041929169654"/>
    <m/>
    <m/>
    <n v="311.43840000000012"/>
    <n v="0"/>
    <n v="268.88227589821491"/>
    <n v="0"/>
    <x v="2"/>
  </r>
  <r>
    <s v="Regular"/>
    <x v="0"/>
    <x v="0"/>
    <x v="1"/>
    <x v="1"/>
    <x v="2"/>
    <x v="0"/>
    <x v="1"/>
    <x v="9"/>
    <n v="319"/>
    <n v="306.24"/>
    <n v="0"/>
    <n v="0"/>
    <n v="0"/>
    <n v="0"/>
    <n v="4"/>
    <s v="CATIVO"/>
    <n v="0"/>
    <n v="6"/>
    <n v="0"/>
    <n v="0"/>
    <n v="19.32"/>
    <n v="0"/>
    <n v="0"/>
    <n v="16.680041929169654"/>
    <m/>
    <m/>
    <n v="246.52319999999983"/>
    <n v="0"/>
    <n v="212.83733501620463"/>
    <n v="0"/>
    <x v="2"/>
  </r>
  <r>
    <s v="Regular"/>
    <x v="0"/>
    <x v="0"/>
    <x v="1"/>
    <x v="1"/>
    <x v="2"/>
    <x v="0"/>
    <x v="1"/>
    <x v="10"/>
    <n v="767"/>
    <n v="736.32"/>
    <n v="0"/>
    <n v="0"/>
    <n v="0"/>
    <n v="0"/>
    <n v="4"/>
    <s v="CATIVO"/>
    <n v="0"/>
    <n v="6"/>
    <n v="0"/>
    <n v="0"/>
    <n v="19.32"/>
    <n v="0"/>
    <n v="0"/>
    <n v="16.680041929169654"/>
    <m/>
    <m/>
    <n v="592.73759999999902"/>
    <n v="0"/>
    <n v="511.74368638692414"/>
    <n v="0"/>
    <x v="2"/>
  </r>
  <r>
    <s v="Regular"/>
    <x v="0"/>
    <x v="0"/>
    <x v="1"/>
    <x v="1"/>
    <x v="2"/>
    <x v="0"/>
    <x v="1"/>
    <x v="11"/>
    <n v="367"/>
    <n v="352.32"/>
    <n v="0"/>
    <n v="0"/>
    <n v="0"/>
    <n v="0"/>
    <n v="4"/>
    <s v="CATIVO"/>
    <n v="0"/>
    <n v="6"/>
    <n v="0"/>
    <n v="0"/>
    <n v="19.32"/>
    <n v="0"/>
    <n v="0"/>
    <n v="16.680041929169654"/>
    <m/>
    <m/>
    <n v="283.61760000000015"/>
    <n v="0"/>
    <n v="244.86301552021064"/>
    <n v="0"/>
    <x v="2"/>
  </r>
  <r>
    <s v="Regular"/>
    <x v="0"/>
    <x v="0"/>
    <x v="1"/>
    <x v="1"/>
    <x v="2"/>
    <x v="0"/>
    <x v="2"/>
    <x v="0"/>
    <n v="0"/>
    <n v="0"/>
    <n v="3.048"/>
    <n v="2.9260799999999998"/>
    <n v="3.048"/>
    <n v="2.9260799999999998"/>
    <n v="0"/>
    <s v="CATIVO"/>
    <n v="0"/>
    <n v="0"/>
    <n v="7"/>
    <n v="48"/>
    <n v="0"/>
    <n v="948.15"/>
    <n v="263.29000000000002"/>
    <m/>
    <n v="976.42305228824534"/>
    <n v="210.64397598313801"/>
    <n v="0"/>
    <n v="147.6987648000003"/>
    <n v="0"/>
    <n v="144.72721208684735"/>
    <x v="2"/>
  </r>
  <r>
    <s v="Regular"/>
    <x v="0"/>
    <x v="0"/>
    <x v="1"/>
    <x v="1"/>
    <x v="2"/>
    <x v="0"/>
    <x v="2"/>
    <x v="1"/>
    <n v="0"/>
    <n v="0"/>
    <n v="0.34399999999999997"/>
    <n v="0.33023999999999998"/>
    <n v="0.34399999999999997"/>
    <n v="0.33023999999999998"/>
    <n v="0"/>
    <s v="CATIVO"/>
    <n v="0"/>
    <n v="0"/>
    <n v="7"/>
    <n v="48"/>
    <n v="0"/>
    <n v="948.15"/>
    <n v="263.29000000000002"/>
    <m/>
    <n v="976.42305228824534"/>
    <n v="210.64397598313801"/>
    <n v="0"/>
    <n v="16.669414399999994"/>
    <n v="0"/>
    <n v="16.334042309014229"/>
    <x v="2"/>
  </r>
  <r>
    <s v="Regular"/>
    <x v="0"/>
    <x v="0"/>
    <x v="1"/>
    <x v="1"/>
    <x v="2"/>
    <x v="0"/>
    <x v="2"/>
    <x v="2"/>
    <n v="0"/>
    <n v="0"/>
    <n v="1.044"/>
    <n v="1.00224"/>
    <n v="1.044"/>
    <n v="1.00224"/>
    <n v="0"/>
    <s v="CATIVO"/>
    <n v="0"/>
    <n v="0"/>
    <n v="7"/>
    <n v="48"/>
    <n v="0"/>
    <n v="948.15"/>
    <n v="263.29000000000002"/>
    <m/>
    <n v="976.42305228824534"/>
    <n v="210.64397598313801"/>
    <n v="0"/>
    <n v="50.589734400000026"/>
    <n v="0"/>
    <n v="49.571919100612988"/>
    <x v="2"/>
  </r>
  <r>
    <s v="Regular"/>
    <x v="0"/>
    <x v="0"/>
    <x v="1"/>
    <x v="1"/>
    <x v="2"/>
    <x v="0"/>
    <x v="2"/>
    <x v="3"/>
    <n v="0"/>
    <n v="0"/>
    <n v="1.976"/>
    <n v="1.89696"/>
    <n v="1.976"/>
    <n v="1.89696"/>
    <n v="0"/>
    <s v="CATIVO"/>
    <n v="0"/>
    <n v="0"/>
    <n v="7"/>
    <n v="48"/>
    <n v="0"/>
    <n v="948.15"/>
    <n v="263.29000000000002"/>
    <m/>
    <n v="976.42305228824534"/>
    <n v="210.64397598313801"/>
    <n v="0"/>
    <n v="95.752217600000009"/>
    <n v="0"/>
    <n v="93.825777914570125"/>
    <x v="2"/>
  </r>
  <r>
    <s v="Regular"/>
    <x v="0"/>
    <x v="0"/>
    <x v="1"/>
    <x v="1"/>
    <x v="2"/>
    <x v="0"/>
    <x v="2"/>
    <x v="4"/>
    <n v="0"/>
    <n v="0"/>
    <n v="2.6779999999999999"/>
    <n v="2.5708799999999998"/>
    <n v="2.6779999999999999"/>
    <n v="2.5708799999999998"/>
    <n v="0"/>
    <s v="CATIVO"/>
    <n v="0"/>
    <n v="0"/>
    <n v="7"/>
    <n v="48"/>
    <n v="0"/>
    <n v="948.15"/>
    <n v="263.29000000000002"/>
    <m/>
    <n v="976.42305228824534"/>
    <n v="210.64397598313801"/>
    <n v="0"/>
    <n v="129.76945280000012"/>
    <n v="0"/>
    <n v="127.15862006843071"/>
    <x v="2"/>
  </r>
  <r>
    <s v="Regular"/>
    <x v="0"/>
    <x v="0"/>
    <x v="1"/>
    <x v="1"/>
    <x v="2"/>
    <x v="0"/>
    <x v="2"/>
    <x v="5"/>
    <n v="0"/>
    <n v="0"/>
    <n v="1.6E-2"/>
    <n v="1.536E-2"/>
    <n v="1.6E-2"/>
    <n v="1.536E-2"/>
    <n v="0"/>
    <s v="CATIVO"/>
    <n v="0"/>
    <n v="0"/>
    <n v="7"/>
    <n v="48"/>
    <n v="0"/>
    <n v="948.15"/>
    <n v="263.29000000000002"/>
    <m/>
    <n v="976.42305228824534"/>
    <n v="210.64397598313801"/>
    <n v="0"/>
    <n v="0.77532159999999994"/>
    <n v="0"/>
    <n v="0.75972289809368532"/>
    <x v="2"/>
  </r>
  <r>
    <s v="Regular"/>
    <x v="0"/>
    <x v="0"/>
    <x v="1"/>
    <x v="1"/>
    <x v="2"/>
    <x v="0"/>
    <x v="2"/>
    <x v="6"/>
    <n v="0"/>
    <n v="0"/>
    <n v="1.7999999999999999E-2"/>
    <n v="1.728E-2"/>
    <n v="1.7999999999999999E-2"/>
    <n v="1.728E-2"/>
    <n v="0"/>
    <s v="CATIVO"/>
    <n v="0"/>
    <n v="0"/>
    <n v="7"/>
    <n v="48"/>
    <n v="0"/>
    <n v="948.15"/>
    <n v="263.29000000000002"/>
    <m/>
    <n v="976.42305228824534"/>
    <n v="210.64397598313801"/>
    <n v="0"/>
    <n v="0.87223679999999804"/>
    <n v="0"/>
    <n v="0.85468826035539414"/>
    <x v="2"/>
  </r>
  <r>
    <s v="Regular"/>
    <x v="0"/>
    <x v="0"/>
    <x v="1"/>
    <x v="1"/>
    <x v="2"/>
    <x v="0"/>
    <x v="2"/>
    <x v="7"/>
    <n v="0"/>
    <n v="0"/>
    <n v="0.1"/>
    <n v="9.6000000000000002E-2"/>
    <n v="0.1"/>
    <n v="9.6000000000000002E-2"/>
    <n v="0"/>
    <s v="CATIVO"/>
    <n v="0"/>
    <n v="0"/>
    <n v="7"/>
    <n v="48"/>
    <n v="0"/>
    <n v="948.15"/>
    <n v="263.29000000000002"/>
    <m/>
    <n v="976.42305228824534"/>
    <n v="210.64397598313801"/>
    <n v="0"/>
    <n v="4.8457600000000038"/>
    <n v="0"/>
    <n v="4.7482681130855378"/>
    <x v="2"/>
  </r>
  <r>
    <s v="Regular"/>
    <x v="0"/>
    <x v="0"/>
    <x v="1"/>
    <x v="1"/>
    <x v="2"/>
    <x v="0"/>
    <x v="2"/>
    <x v="8"/>
    <n v="0"/>
    <n v="0"/>
    <n v="0.128"/>
    <n v="0.12288"/>
    <n v="0.128"/>
    <n v="0.12288"/>
    <n v="0"/>
    <s v="CATIVO"/>
    <n v="0"/>
    <n v="0"/>
    <n v="7"/>
    <n v="48"/>
    <n v="0"/>
    <n v="948.15"/>
    <n v="263.29000000000002"/>
    <m/>
    <n v="976.42305228824534"/>
    <n v="210.64397598313801"/>
    <n v="0"/>
    <n v="6.2025727999999996"/>
    <n v="0"/>
    <n v="6.0777831847494825"/>
    <x v="2"/>
  </r>
  <r>
    <s v="Regular"/>
    <x v="0"/>
    <x v="0"/>
    <x v="1"/>
    <x v="1"/>
    <x v="2"/>
    <x v="0"/>
    <x v="2"/>
    <x v="9"/>
    <n v="0"/>
    <n v="0"/>
    <n v="0.19800000000000001"/>
    <n v="0.19008"/>
    <n v="0.19800000000000001"/>
    <n v="0.19008"/>
    <n v="0"/>
    <s v="CATIVO"/>
    <n v="0"/>
    <n v="0"/>
    <n v="7"/>
    <n v="48"/>
    <n v="0"/>
    <n v="948.15"/>
    <n v="263.29000000000002"/>
    <m/>
    <n v="976.42305228824534"/>
    <n v="210.64397598313801"/>
    <n v="0"/>
    <n v="9.5946048000000133"/>
    <n v="0"/>
    <n v="9.4015708639093685"/>
    <x v="2"/>
  </r>
  <r>
    <s v="Regular"/>
    <x v="0"/>
    <x v="0"/>
    <x v="1"/>
    <x v="1"/>
    <x v="2"/>
    <x v="0"/>
    <x v="2"/>
    <x v="10"/>
    <n v="0"/>
    <n v="0"/>
    <n v="0.214"/>
    <n v="0.20544000000000001"/>
    <n v="0.214"/>
    <n v="0.20544000000000001"/>
    <n v="0"/>
    <s v="CATIVO"/>
    <n v="0"/>
    <n v="0"/>
    <n v="7"/>
    <n v="48"/>
    <n v="0"/>
    <n v="948.15"/>
    <n v="263.29000000000002"/>
    <m/>
    <n v="976.42305228824534"/>
    <n v="210.64397598313801"/>
    <n v="0"/>
    <n v="10.369926399999981"/>
    <n v="0"/>
    <n v="10.161293762003023"/>
    <x v="2"/>
  </r>
  <r>
    <s v="Regular"/>
    <x v="0"/>
    <x v="0"/>
    <x v="1"/>
    <x v="1"/>
    <x v="2"/>
    <x v="0"/>
    <x v="2"/>
    <x v="11"/>
    <n v="0"/>
    <n v="0"/>
    <n v="2.7E-2"/>
    <n v="2.5919999999999999E-2"/>
    <n v="2.7E-2"/>
    <n v="2.5919999999999999E-2"/>
    <n v="0"/>
    <s v="CATIVO"/>
    <n v="0"/>
    <n v="0"/>
    <n v="7"/>
    <n v="48"/>
    <n v="0"/>
    <n v="948.15"/>
    <n v="263.29000000000002"/>
    <m/>
    <n v="976.42305228824534"/>
    <n v="210.64397598313801"/>
    <n v="0"/>
    <n v="1.3083552000000012"/>
    <n v="0"/>
    <n v="1.2820323905330953"/>
    <x v="2"/>
  </r>
  <r>
    <s v="Regular"/>
    <x v="0"/>
    <x v="0"/>
    <x v="1"/>
    <x v="0"/>
    <x v="2"/>
    <x v="0"/>
    <x v="0"/>
    <x v="0"/>
    <n v="0"/>
    <n v="0"/>
    <n v="1497.307"/>
    <n v="1437.41472"/>
    <n v="1497.307"/>
    <n v="1437.41472"/>
    <n v="0"/>
    <s v="CATIVO"/>
    <n v="0"/>
    <n v="0"/>
    <n v="8"/>
    <n v="49"/>
    <n v="0"/>
    <n v="65.61"/>
    <n v="263.29000000000002"/>
    <m/>
    <n v="100.34646310857573"/>
    <n v="210.64397598313801"/>
    <n v="0"/>
    <n v="19698.570892000011"/>
    <n v="0"/>
    <n v="18625.926455403875"/>
    <x v="2"/>
  </r>
  <r>
    <s v="Regular"/>
    <x v="0"/>
    <x v="0"/>
    <x v="1"/>
    <x v="0"/>
    <x v="2"/>
    <x v="0"/>
    <x v="0"/>
    <x v="1"/>
    <n v="0"/>
    <n v="0"/>
    <n v="1484.1410000000001"/>
    <n v="1424.7753600000001"/>
    <n v="1484.1410000000001"/>
    <n v="1424.7753600000001"/>
    <n v="0"/>
    <s v="CATIVO"/>
    <n v="0"/>
    <n v="0"/>
    <n v="8"/>
    <n v="49"/>
    <n v="0"/>
    <n v="65.61"/>
    <n v="263.29000000000002"/>
    <m/>
    <n v="100.34646310857573"/>
    <n v="210.64397598313801"/>
    <n v="0"/>
    <n v="19525.358995999995"/>
    <n v="0"/>
    <n v="18462.146450560598"/>
    <x v="2"/>
  </r>
  <r>
    <s v="Regular"/>
    <x v="0"/>
    <x v="0"/>
    <x v="1"/>
    <x v="0"/>
    <x v="2"/>
    <x v="0"/>
    <x v="0"/>
    <x v="2"/>
    <n v="0"/>
    <n v="0"/>
    <n v="1533.3710000000001"/>
    <n v="1472.0361600000001"/>
    <n v="1533.3710000000001"/>
    <n v="1472.0361600000001"/>
    <n v="0"/>
    <s v="CATIVO"/>
    <n v="0"/>
    <n v="0"/>
    <n v="8"/>
    <n v="49"/>
    <n v="0"/>
    <n v="65.61"/>
    <n v="263.29000000000002"/>
    <m/>
    <n v="100.34646310857573"/>
    <n v="210.64397598313801"/>
    <n v="0"/>
    <n v="20173.028875999997"/>
    <n v="0"/>
    <n v="19074.548823220004"/>
    <x v="2"/>
  </r>
  <r>
    <s v="Regular"/>
    <x v="0"/>
    <x v="0"/>
    <x v="1"/>
    <x v="0"/>
    <x v="2"/>
    <x v="0"/>
    <x v="0"/>
    <x v="3"/>
    <n v="0"/>
    <n v="0"/>
    <n v="1605.268"/>
    <n v="1541.05728"/>
    <n v="1605.268"/>
    <n v="1541.05728"/>
    <n v="0"/>
    <s v="CATIVO"/>
    <n v="0"/>
    <n v="0"/>
    <n v="8"/>
    <n v="49"/>
    <n v="0"/>
    <n v="65.61"/>
    <n v="263.29000000000002"/>
    <m/>
    <n v="100.34646310857573"/>
    <n v="210.64397598313801"/>
    <n v="0"/>
    <n v="21118.905808000014"/>
    <n v="0"/>
    <n v="19968.920007195098"/>
    <x v="2"/>
  </r>
  <r>
    <s v="Sistema de Compensação"/>
    <x v="0"/>
    <x v="0"/>
    <x v="1"/>
    <x v="0"/>
    <x v="2"/>
    <x v="0"/>
    <x v="0"/>
    <x v="3"/>
    <n v="0"/>
    <n v="0"/>
    <n v="6.8630000000000004"/>
    <n v="6.5884800000000006"/>
    <n v="6.8630000000000004"/>
    <n v="6.5884800000000006"/>
    <n v="0"/>
    <s v="CATIVO"/>
    <n v="0"/>
    <n v="0"/>
    <n v="8"/>
    <n v="49"/>
    <n v="0"/>
    <n v="65.61"/>
    <n v="263.29000000000002"/>
    <m/>
    <n v="100.34646310857573"/>
    <n v="210.64397598313801"/>
    <n v="0"/>
    <n v="90.289627999999965"/>
    <n v="0"/>
    <n v="85.373095339457223"/>
    <x v="2"/>
  </r>
  <r>
    <s v="Regular"/>
    <x v="0"/>
    <x v="0"/>
    <x v="1"/>
    <x v="0"/>
    <x v="2"/>
    <x v="0"/>
    <x v="0"/>
    <x v="4"/>
    <n v="0"/>
    <n v="0"/>
    <n v="1987.703"/>
    <n v="1908.19488"/>
    <n v="1987.703"/>
    <n v="1908.19488"/>
    <n v="0"/>
    <s v="CATIVO"/>
    <n v="0"/>
    <n v="0"/>
    <n v="8"/>
    <n v="49"/>
    <n v="0"/>
    <n v="65.61"/>
    <n v="263.29000000000002"/>
    <m/>
    <n v="100.34646310857573"/>
    <n v="210.64397598313801"/>
    <n v="0"/>
    <n v="26150.220667999987"/>
    <n v="0"/>
    <n v="24726.265150156658"/>
    <x v="2"/>
  </r>
  <r>
    <s v="Sistema de Compensação"/>
    <x v="0"/>
    <x v="0"/>
    <x v="1"/>
    <x v="0"/>
    <x v="2"/>
    <x v="0"/>
    <x v="0"/>
    <x v="4"/>
    <n v="0"/>
    <n v="0"/>
    <n v="13.683999999999999"/>
    <n v="13.136639999999998"/>
    <n v="13.683999999999999"/>
    <n v="13.136639999999998"/>
    <n v="0"/>
    <s v="CATIVO"/>
    <n v="0"/>
    <n v="0"/>
    <n v="8"/>
    <n v="49"/>
    <n v="0"/>
    <n v="65.61"/>
    <n v="263.29000000000002"/>
    <m/>
    <n v="100.34646310857573"/>
    <n v="210.64397598313801"/>
    <n v="0"/>
    <n v="180.02670400000039"/>
    <n v="0"/>
    <n v="170.2237267412408"/>
    <x v="2"/>
  </r>
  <r>
    <s v="Regular"/>
    <x v="0"/>
    <x v="0"/>
    <x v="1"/>
    <x v="0"/>
    <x v="2"/>
    <x v="0"/>
    <x v="0"/>
    <x v="5"/>
    <n v="0"/>
    <n v="0"/>
    <n v="2111.8159999999998"/>
    <n v="2027.3433600000001"/>
    <n v="2111.8159999999998"/>
    <n v="2027.3433600000001"/>
    <n v="0"/>
    <s v="CATIVO"/>
    <n v="0"/>
    <n v="0"/>
    <n v="8"/>
    <n v="49"/>
    <n v="0"/>
    <n v="65.61"/>
    <n v="263.29000000000002"/>
    <m/>
    <n v="100.34646310857573"/>
    <n v="210.64397598313801"/>
    <n v="0"/>
    <n v="27783.051295999914"/>
    <n v="0"/>
    <n v="26270.183404836178"/>
    <x v="2"/>
  </r>
  <r>
    <s v="Sistema de Compensação"/>
    <x v="0"/>
    <x v="0"/>
    <x v="1"/>
    <x v="0"/>
    <x v="2"/>
    <x v="0"/>
    <x v="0"/>
    <x v="5"/>
    <n v="0"/>
    <n v="0"/>
    <n v="22.838999999999999"/>
    <n v="21.925439999999998"/>
    <n v="22.838999999999999"/>
    <n v="21.925439999999998"/>
    <n v="0"/>
    <s v="CATIVO"/>
    <n v="0"/>
    <n v="0"/>
    <n v="8"/>
    <n v="49"/>
    <n v="0"/>
    <n v="65.61"/>
    <n v="263.29000000000002"/>
    <m/>
    <n v="100.34646310857573"/>
    <n v="210.64397598313801"/>
    <n v="0"/>
    <n v="300.46988400000015"/>
    <n v="0"/>
    <n v="284.1084255366261"/>
    <x v="2"/>
  </r>
  <r>
    <s v="Regular"/>
    <x v="0"/>
    <x v="0"/>
    <x v="1"/>
    <x v="0"/>
    <x v="2"/>
    <x v="0"/>
    <x v="0"/>
    <x v="6"/>
    <n v="0"/>
    <n v="0"/>
    <n v="2204.989"/>
    <n v="2116.78944"/>
    <n v="2204.989"/>
    <n v="2116.78944"/>
    <n v="0"/>
    <s v="CATIVO"/>
    <n v="0"/>
    <n v="0"/>
    <n v="8"/>
    <n v="49"/>
    <n v="0"/>
    <n v="65.61"/>
    <n v="263.29000000000002"/>
    <m/>
    <n v="100.34646310857573"/>
    <n v="210.64397598313801"/>
    <n v="0"/>
    <n v="29008.835284000008"/>
    <n v="0"/>
    <n v="27429.219892095956"/>
    <x v="2"/>
  </r>
  <r>
    <s v="Regular"/>
    <x v="0"/>
    <x v="0"/>
    <x v="1"/>
    <x v="0"/>
    <x v="2"/>
    <x v="0"/>
    <x v="0"/>
    <x v="7"/>
    <n v="0"/>
    <n v="0"/>
    <n v="2329.8919999999998"/>
    <n v="2236.69632"/>
    <n v="2329.8919999999998"/>
    <n v="2236.69632"/>
    <n v="0"/>
    <s v="CATIVO"/>
    <n v="0"/>
    <n v="0"/>
    <n v="8"/>
    <n v="49"/>
    <n v="0"/>
    <n v="65.61"/>
    <n v="263.29000000000002"/>
    <m/>
    <n v="100.34646310857573"/>
    <n v="210.64397598313801"/>
    <n v="0"/>
    <n v="30652.059151999936"/>
    <n v="0"/>
    <n v="28982.965444650785"/>
    <x v="2"/>
  </r>
  <r>
    <s v="Sistema de Compensação"/>
    <x v="0"/>
    <x v="0"/>
    <x v="1"/>
    <x v="0"/>
    <x v="2"/>
    <x v="0"/>
    <x v="0"/>
    <x v="7"/>
    <n v="0"/>
    <n v="0"/>
    <n v="13.545999999999999"/>
    <n v="13.004159999999999"/>
    <n v="13.545999999999999"/>
    <n v="13.004159999999999"/>
    <n v="0"/>
    <s v="CATIVO"/>
    <n v="0"/>
    <n v="0"/>
    <n v="8"/>
    <n v="49"/>
    <n v="0"/>
    <n v="65.61"/>
    <n v="263.29000000000002"/>
    <m/>
    <n v="100.34646310857573"/>
    <n v="210.64397598313801"/>
    <n v="0"/>
    <n v="178.21117600000019"/>
    <n v="0"/>
    <n v="168.50705951745434"/>
    <x v="2"/>
  </r>
  <r>
    <s v="Regular"/>
    <x v="0"/>
    <x v="0"/>
    <x v="1"/>
    <x v="0"/>
    <x v="2"/>
    <x v="0"/>
    <x v="0"/>
    <x v="8"/>
    <n v="0"/>
    <n v="0"/>
    <n v="2430.29"/>
    <n v="2333.0783999999999"/>
    <n v="2430.29"/>
    <n v="2333.0783999999999"/>
    <n v="0"/>
    <s v="CATIVO"/>
    <n v="0"/>
    <n v="0"/>
    <n v="8"/>
    <n v="49"/>
    <n v="0"/>
    <n v="65.61"/>
    <n v="263.29000000000002"/>
    <m/>
    <n v="100.34646310857573"/>
    <n v="210.64397598313801"/>
    <n v="0"/>
    <n v="31972.895240000034"/>
    <n v="0"/>
    <n v="30231.878168808067"/>
    <x v="2"/>
  </r>
  <r>
    <s v="Sistema de Compensação"/>
    <x v="0"/>
    <x v="0"/>
    <x v="1"/>
    <x v="0"/>
    <x v="2"/>
    <x v="0"/>
    <x v="0"/>
    <x v="8"/>
    <n v="0"/>
    <n v="0"/>
    <n v="8.6039999999999992"/>
    <n v="8.2598399999999987"/>
    <n v="8.6039999999999992"/>
    <n v="8.2598399999999987"/>
    <n v="0"/>
    <s v="CATIVO"/>
    <n v="0"/>
    <n v="0"/>
    <n v="8"/>
    <n v="49"/>
    <n v="0"/>
    <n v="65.61"/>
    <n v="263.29000000000002"/>
    <m/>
    <n v="100.34646310857573"/>
    <n v="210.64397598313801"/>
    <n v="0"/>
    <n v="113.19422400000016"/>
    <n v="0"/>
    <n v="107.03046951780433"/>
    <x v="2"/>
  </r>
  <r>
    <s v="Regular"/>
    <x v="0"/>
    <x v="0"/>
    <x v="1"/>
    <x v="0"/>
    <x v="2"/>
    <x v="0"/>
    <x v="0"/>
    <x v="9"/>
    <n v="0"/>
    <n v="0"/>
    <n v="2171.7860000000001"/>
    <n v="2084.9145600000002"/>
    <n v="2171.7860000000001"/>
    <n v="2084.9145600000002"/>
    <n v="0"/>
    <s v="CATIVO"/>
    <n v="0"/>
    <n v="0"/>
    <n v="8"/>
    <n v="49"/>
    <n v="0"/>
    <n v="65.61"/>
    <n v="263.29000000000002"/>
    <m/>
    <n v="100.34646310857573"/>
    <n v="210.64397598313801"/>
    <n v="0"/>
    <n v="28572.016615999968"/>
    <n v="0"/>
    <n v="27016.187270129434"/>
    <x v="2"/>
  </r>
  <r>
    <s v="Regular"/>
    <x v="0"/>
    <x v="0"/>
    <x v="1"/>
    <x v="0"/>
    <x v="2"/>
    <x v="0"/>
    <x v="0"/>
    <x v="10"/>
    <n v="0"/>
    <n v="0"/>
    <n v="2384.8110000000001"/>
    <n v="2289.4185600000001"/>
    <n v="2384.8110000000001"/>
    <n v="2289.4185600000001"/>
    <n v="0"/>
    <s v="CATIVO"/>
    <n v="0"/>
    <n v="0"/>
    <n v="8"/>
    <n v="49"/>
    <n v="0"/>
    <n v="65.61"/>
    <n v="263.29000000000002"/>
    <m/>
    <n v="100.34646310857573"/>
    <n v="210.64397598313801"/>
    <n v="0"/>
    <n v="31374.573516000026"/>
    <n v="0"/>
    <n v="29666.136801629982"/>
    <x v="2"/>
  </r>
  <r>
    <s v="Sistema de Compensação"/>
    <x v="0"/>
    <x v="0"/>
    <x v="1"/>
    <x v="0"/>
    <x v="2"/>
    <x v="0"/>
    <x v="0"/>
    <x v="10"/>
    <n v="0"/>
    <n v="0"/>
    <n v="70.647999999999996"/>
    <n v="67.82208"/>
    <n v="70.647999999999996"/>
    <n v="67.82208"/>
    <n v="0"/>
    <s v="CATIVO"/>
    <n v="0"/>
    <n v="0"/>
    <n v="8"/>
    <n v="49"/>
    <n v="0"/>
    <n v="65.61"/>
    <n v="263.29000000000002"/>
    <m/>
    <n v="100.34646310857573"/>
    <n v="210.64397598313801"/>
    <n v="0"/>
    <n v="929.44508799999892"/>
    <n v="0"/>
    <n v="878.83410163805456"/>
    <x v="2"/>
  </r>
  <r>
    <s v="Regular"/>
    <x v="0"/>
    <x v="0"/>
    <x v="1"/>
    <x v="0"/>
    <x v="2"/>
    <x v="0"/>
    <x v="0"/>
    <x v="11"/>
    <n v="0"/>
    <n v="0"/>
    <n v="1900.2560000000001"/>
    <n v="1824.24576"/>
    <n v="1900.2560000000001"/>
    <n v="1824.24576"/>
    <n v="0"/>
    <s v="CATIVO"/>
    <n v="0"/>
    <n v="0"/>
    <n v="8"/>
    <n v="49"/>
    <n v="0"/>
    <n v="65.61"/>
    <n v="263.29000000000002"/>
    <m/>
    <n v="100.34646310857573"/>
    <n v="210.64397598313801"/>
    <n v="0"/>
    <n v="24999.767936000026"/>
    <n v="0"/>
    <n v="23638.457913066566"/>
    <x v="2"/>
  </r>
  <r>
    <s v="Regular"/>
    <x v="0"/>
    <x v="0"/>
    <x v="1"/>
    <x v="0"/>
    <x v="2"/>
    <x v="0"/>
    <x v="1"/>
    <x v="0"/>
    <n v="6735"/>
    <n v="6465.5999999999995"/>
    <n v="0"/>
    <n v="0"/>
    <n v="0"/>
    <n v="0"/>
    <n v="48"/>
    <s v="CATIVO"/>
    <n v="0"/>
    <n v="6"/>
    <n v="0"/>
    <n v="0"/>
    <n v="19.32"/>
    <n v="0"/>
    <n v="0"/>
    <n v="16.680041929169654"/>
    <m/>
    <m/>
    <n v="5204.8080000000109"/>
    <n v="0"/>
    <n v="4493.6032957183143"/>
    <n v="0"/>
    <x v="2"/>
  </r>
  <r>
    <s v="Sistema de Compensação"/>
    <x v="0"/>
    <x v="0"/>
    <x v="1"/>
    <x v="0"/>
    <x v="2"/>
    <x v="0"/>
    <x v="1"/>
    <x v="0"/>
    <n v="63"/>
    <n v="60.48"/>
    <n v="0"/>
    <n v="0"/>
    <n v="0"/>
    <n v="0"/>
    <n v="1"/>
    <s v="CATIVO"/>
    <n v="0"/>
    <n v="6"/>
    <n v="0"/>
    <n v="0"/>
    <n v="19.32"/>
    <n v="0"/>
    <n v="0"/>
    <n v="16.680041929169654"/>
    <m/>
    <m/>
    <n v="48.686400000000063"/>
    <n v="0"/>
    <n v="42.033705661507582"/>
    <n v="0"/>
    <x v="2"/>
  </r>
  <r>
    <s v="Regular"/>
    <x v="0"/>
    <x v="0"/>
    <x v="1"/>
    <x v="0"/>
    <x v="2"/>
    <x v="0"/>
    <x v="1"/>
    <x v="1"/>
    <n v="6004"/>
    <n v="5763.84"/>
    <n v="0"/>
    <n v="0"/>
    <n v="0"/>
    <n v="0"/>
    <n v="48"/>
    <s v="CATIVO"/>
    <n v="0"/>
    <n v="6"/>
    <n v="0"/>
    <n v="0"/>
    <n v="19.32"/>
    <n v="0"/>
    <n v="0"/>
    <n v="16.680041929169654"/>
    <m/>
    <m/>
    <n v="4639.8911999999973"/>
    <n v="0"/>
    <n v="4005.8788697093819"/>
    <n v="0"/>
    <x v="2"/>
  </r>
  <r>
    <s v="Sistema de Compensação"/>
    <x v="0"/>
    <x v="0"/>
    <x v="1"/>
    <x v="0"/>
    <x v="2"/>
    <x v="0"/>
    <x v="1"/>
    <x v="1"/>
    <n v="117"/>
    <n v="112.32"/>
    <n v="0"/>
    <n v="0"/>
    <n v="0"/>
    <n v="0"/>
    <n v="1"/>
    <s v="CATIVO"/>
    <n v="0"/>
    <n v="6"/>
    <n v="0"/>
    <n v="0"/>
    <n v="19.32"/>
    <n v="0"/>
    <n v="0"/>
    <n v="16.680041929169654"/>
    <m/>
    <m/>
    <n v="90.417600000000135"/>
    <n v="0"/>
    <n v="78.062596228514096"/>
    <n v="0"/>
    <x v="2"/>
  </r>
  <r>
    <s v="Regular"/>
    <x v="0"/>
    <x v="0"/>
    <x v="1"/>
    <x v="0"/>
    <x v="2"/>
    <x v="0"/>
    <x v="1"/>
    <x v="2"/>
    <n v="5704"/>
    <n v="5475.84"/>
    <n v="0"/>
    <n v="0"/>
    <n v="0"/>
    <n v="0"/>
    <n v="48"/>
    <s v="CATIVO"/>
    <n v="0"/>
    <n v="6"/>
    <n v="0"/>
    <n v="0"/>
    <n v="19.32"/>
    <n v="0"/>
    <n v="0"/>
    <n v="16.680041929169654"/>
    <m/>
    <m/>
    <n v="4408.0511999999972"/>
    <n v="0"/>
    <n v="3805.7183665593457"/>
    <n v="0"/>
    <x v="2"/>
  </r>
  <r>
    <s v="Sistema de Compensação"/>
    <x v="0"/>
    <x v="0"/>
    <x v="1"/>
    <x v="0"/>
    <x v="2"/>
    <x v="0"/>
    <x v="1"/>
    <x v="2"/>
    <n v="127"/>
    <n v="121.92"/>
    <n v="0"/>
    <n v="0"/>
    <n v="0"/>
    <n v="0"/>
    <n v="1"/>
    <s v="CATIVO"/>
    <n v="0"/>
    <n v="6"/>
    <n v="0"/>
    <n v="0"/>
    <n v="19.32"/>
    <n v="0"/>
    <n v="0"/>
    <n v="16.680041929169654"/>
    <m/>
    <m/>
    <n v="98.145599999999973"/>
    <n v="0"/>
    <n v="84.73461300018181"/>
    <n v="0"/>
    <x v="2"/>
  </r>
  <r>
    <s v="Regular"/>
    <x v="0"/>
    <x v="0"/>
    <x v="1"/>
    <x v="0"/>
    <x v="2"/>
    <x v="0"/>
    <x v="1"/>
    <x v="3"/>
    <n v="6448"/>
    <n v="6190.08"/>
    <n v="0"/>
    <n v="0"/>
    <n v="0"/>
    <n v="0"/>
    <n v="46"/>
    <s v="CATIVO"/>
    <n v="0"/>
    <n v="6"/>
    <n v="0"/>
    <n v="0"/>
    <n v="19.32"/>
    <n v="0"/>
    <n v="0"/>
    <n v="16.680041929169654"/>
    <m/>
    <m/>
    <n v="4983.0144000000018"/>
    <n v="0"/>
    <n v="4302.1164143714386"/>
    <n v="0"/>
    <x v="2"/>
  </r>
  <r>
    <s v="Sistema de Compensação"/>
    <x v="0"/>
    <x v="0"/>
    <x v="1"/>
    <x v="0"/>
    <x v="2"/>
    <x v="0"/>
    <x v="1"/>
    <x v="3"/>
    <n v="279"/>
    <n v="267.83999999999997"/>
    <n v="0"/>
    <n v="0"/>
    <n v="0"/>
    <n v="0"/>
    <n v="2"/>
    <s v="CATIVO"/>
    <n v="0"/>
    <n v="6"/>
    <n v="0"/>
    <n v="0"/>
    <n v="19.32"/>
    <n v="0"/>
    <n v="0"/>
    <n v="16.680041929169654"/>
    <m/>
    <m/>
    <n v="215.61120000000048"/>
    <n v="0"/>
    <n v="186.14926792953375"/>
    <n v="0"/>
    <x v="2"/>
  </r>
  <r>
    <s v="Regular"/>
    <x v="0"/>
    <x v="0"/>
    <x v="1"/>
    <x v="0"/>
    <x v="2"/>
    <x v="0"/>
    <x v="1"/>
    <x v="4"/>
    <n v="9002"/>
    <n v="8641.92"/>
    <n v="0"/>
    <n v="0"/>
    <n v="0"/>
    <n v="0"/>
    <n v="47"/>
    <s v="CATIVO"/>
    <n v="0"/>
    <n v="6"/>
    <n v="0"/>
    <n v="0"/>
    <n v="19.32"/>
    <n v="0"/>
    <n v="0"/>
    <n v="16.680041929169654"/>
    <m/>
    <m/>
    <n v="6956.7455999999984"/>
    <n v="0"/>
    <n v="6006.1494978554083"/>
    <n v="0"/>
    <x v="2"/>
  </r>
  <r>
    <s v="Sistema de Compensação"/>
    <x v="0"/>
    <x v="0"/>
    <x v="1"/>
    <x v="0"/>
    <x v="2"/>
    <x v="0"/>
    <x v="1"/>
    <x v="4"/>
    <n v="320"/>
    <n v="307.2"/>
    <n v="0"/>
    <n v="0"/>
    <n v="0"/>
    <n v="0"/>
    <n v="3"/>
    <s v="CATIVO"/>
    <n v="0"/>
    <n v="6"/>
    <n v="0"/>
    <n v="0"/>
    <n v="19.32"/>
    <n v="0"/>
    <n v="0"/>
    <n v="16.680041929169654"/>
    <m/>
    <m/>
    <n v="247.29600000000022"/>
    <n v="0"/>
    <n v="213.50453669337176"/>
    <n v="0"/>
    <x v="2"/>
  </r>
  <r>
    <s v="Regular"/>
    <x v="0"/>
    <x v="0"/>
    <x v="1"/>
    <x v="0"/>
    <x v="2"/>
    <x v="0"/>
    <x v="1"/>
    <x v="5"/>
    <n v="8558"/>
    <n v="8215.68"/>
    <n v="0"/>
    <n v="0"/>
    <n v="0"/>
    <n v="0"/>
    <n v="46"/>
    <s v="CATIVO"/>
    <n v="0"/>
    <n v="6"/>
    <n v="0"/>
    <n v="0"/>
    <n v="19.32"/>
    <n v="0"/>
    <n v="0"/>
    <n v="16.680041929169654"/>
    <m/>
    <m/>
    <n v="6613.6223999999947"/>
    <n v="0"/>
    <n v="5709.9119531933511"/>
    <n v="0"/>
    <x v="2"/>
  </r>
  <r>
    <s v="Sistema de Compensação"/>
    <x v="0"/>
    <x v="0"/>
    <x v="1"/>
    <x v="0"/>
    <x v="2"/>
    <x v="0"/>
    <x v="1"/>
    <x v="5"/>
    <n v="209"/>
    <n v="200.64"/>
    <n v="0"/>
    <n v="0"/>
    <n v="0"/>
    <n v="0"/>
    <n v="2"/>
    <s v="CATIVO"/>
    <n v="0"/>
    <n v="6"/>
    <n v="0"/>
    <n v="0"/>
    <n v="19.32"/>
    <n v="0"/>
    <n v="0"/>
    <n v="16.680041929169654"/>
    <m/>
    <m/>
    <n v="161.51520000000028"/>
    <n v="0"/>
    <n v="139.44515052785854"/>
    <n v="0"/>
    <x v="2"/>
  </r>
  <r>
    <s v="Regular"/>
    <x v="0"/>
    <x v="0"/>
    <x v="1"/>
    <x v="0"/>
    <x v="2"/>
    <x v="0"/>
    <x v="1"/>
    <x v="6"/>
    <n v="7866"/>
    <n v="7551.36"/>
    <n v="0"/>
    <n v="0"/>
    <n v="0"/>
    <n v="0"/>
    <n v="47"/>
    <s v="CATIVO"/>
    <n v="0"/>
    <n v="6"/>
    <n v="0"/>
    <n v="0"/>
    <n v="19.32"/>
    <n v="0"/>
    <n v="0"/>
    <n v="16.680041929169654"/>
    <m/>
    <m/>
    <n v="6078.8448000000062"/>
    <n v="0"/>
    <n v="5248.2083925939451"/>
    <n v="0"/>
    <x v="2"/>
  </r>
  <r>
    <s v="Sistema de Compensação"/>
    <x v="0"/>
    <x v="0"/>
    <x v="1"/>
    <x v="0"/>
    <x v="2"/>
    <x v="0"/>
    <x v="1"/>
    <x v="6"/>
    <n v="275"/>
    <n v="264"/>
    <n v="0"/>
    <n v="0"/>
    <n v="0"/>
    <n v="0"/>
    <n v="2"/>
    <s v="CATIVO"/>
    <n v="0"/>
    <n v="6"/>
    <n v="0"/>
    <n v="0"/>
    <n v="19.32"/>
    <n v="0"/>
    <n v="0"/>
    <n v="16.680041929169654"/>
    <m/>
    <m/>
    <n v="212.52"/>
    <n v="0"/>
    <n v="183.4804612208662"/>
    <n v="0"/>
    <x v="2"/>
  </r>
  <r>
    <s v="Regular"/>
    <x v="0"/>
    <x v="0"/>
    <x v="1"/>
    <x v="0"/>
    <x v="2"/>
    <x v="0"/>
    <x v="1"/>
    <x v="7"/>
    <n v="8612"/>
    <n v="8267.52"/>
    <n v="0"/>
    <n v="0"/>
    <n v="0"/>
    <n v="0"/>
    <n v="47"/>
    <s v="CATIVO"/>
    <n v="0"/>
    <n v="6"/>
    <n v="0"/>
    <n v="0"/>
    <n v="19.32"/>
    <n v="0"/>
    <n v="0"/>
    <n v="16.680041929169654"/>
    <m/>
    <m/>
    <n v="6655.3535999999913"/>
    <n v="0"/>
    <n v="5745.9408437603552"/>
    <n v="0"/>
    <x v="2"/>
  </r>
  <r>
    <s v="Sistema de Compensação"/>
    <x v="0"/>
    <x v="0"/>
    <x v="1"/>
    <x v="0"/>
    <x v="2"/>
    <x v="0"/>
    <x v="1"/>
    <x v="7"/>
    <n v="541"/>
    <n v="519.36"/>
    <n v="0"/>
    <n v="0"/>
    <n v="0"/>
    <n v="0"/>
    <n v="2"/>
    <s v="CATIVO"/>
    <n v="0"/>
    <n v="6"/>
    <n v="0"/>
    <n v="0"/>
    <n v="19.32"/>
    <n v="0"/>
    <n v="0"/>
    <n v="16.680041929169654"/>
    <m/>
    <m/>
    <n v="418.08479999999975"/>
    <n v="0"/>
    <n v="360.95610734723107"/>
    <n v="0"/>
    <x v="2"/>
  </r>
  <r>
    <s v="Regular"/>
    <x v="0"/>
    <x v="0"/>
    <x v="1"/>
    <x v="0"/>
    <x v="2"/>
    <x v="0"/>
    <x v="1"/>
    <x v="8"/>
    <n v="8678"/>
    <n v="8330.8799999999992"/>
    <n v="0"/>
    <n v="0"/>
    <n v="0"/>
    <n v="0"/>
    <n v="45"/>
    <s v="CATIVO"/>
    <n v="0"/>
    <n v="6"/>
    <n v="0"/>
    <n v="0"/>
    <n v="19.32"/>
    <n v="0"/>
    <n v="0"/>
    <n v="16.680041929169654"/>
    <m/>
    <m/>
    <n v="6706.3584000000155"/>
    <n v="0"/>
    <n v="5789.976154453384"/>
    <n v="0"/>
    <x v="2"/>
  </r>
  <r>
    <s v="Sistema de Compensação"/>
    <x v="0"/>
    <x v="0"/>
    <x v="1"/>
    <x v="0"/>
    <x v="2"/>
    <x v="0"/>
    <x v="1"/>
    <x v="8"/>
    <n v="268"/>
    <n v="257.27999999999997"/>
    <n v="0"/>
    <n v="0"/>
    <n v="0"/>
    <n v="0"/>
    <n v="2"/>
    <s v="CATIVO"/>
    <n v="0"/>
    <n v="6"/>
    <n v="0"/>
    <n v="0"/>
    <n v="19.32"/>
    <n v="0"/>
    <n v="0"/>
    <n v="16.680041929169654"/>
    <m/>
    <m/>
    <n v="207.11040000000054"/>
    <n v="0"/>
    <n v="178.81004948069915"/>
    <n v="0"/>
    <x v="2"/>
  </r>
  <r>
    <s v="Regular"/>
    <x v="0"/>
    <x v="0"/>
    <x v="1"/>
    <x v="0"/>
    <x v="2"/>
    <x v="0"/>
    <x v="1"/>
    <x v="9"/>
    <n v="7872"/>
    <n v="7557.12"/>
    <n v="0"/>
    <n v="0"/>
    <n v="0"/>
    <n v="0"/>
    <n v="41"/>
    <s v="CATIVO"/>
    <n v="0"/>
    <n v="6"/>
    <n v="0"/>
    <n v="0"/>
    <n v="19.32"/>
    <n v="0"/>
    <n v="0"/>
    <n v="16.680041929169654"/>
    <m/>
    <m/>
    <n v="6083.4816000000019"/>
    <n v="0"/>
    <n v="5252.2116026569429"/>
    <n v="0"/>
    <x v="2"/>
  </r>
  <r>
    <s v="Sistema de Compensação"/>
    <x v="0"/>
    <x v="0"/>
    <x v="1"/>
    <x v="0"/>
    <x v="2"/>
    <x v="0"/>
    <x v="1"/>
    <x v="9"/>
    <n v="271"/>
    <n v="260.15999999999997"/>
    <n v="0"/>
    <n v="0"/>
    <n v="0"/>
    <n v="0"/>
    <n v="2"/>
    <s v="CATIVO"/>
    <n v="0"/>
    <n v="6"/>
    <n v="0"/>
    <n v="0"/>
    <n v="19.32"/>
    <n v="0"/>
    <n v="0"/>
    <n v="16.680041929169654"/>
    <m/>
    <m/>
    <n v="209.42880000000062"/>
    <n v="0"/>
    <n v="180.8116545121996"/>
    <n v="0"/>
    <x v="2"/>
  </r>
  <r>
    <s v="Regular"/>
    <x v="0"/>
    <x v="0"/>
    <x v="1"/>
    <x v="0"/>
    <x v="2"/>
    <x v="0"/>
    <x v="1"/>
    <x v="10"/>
    <n v="7637"/>
    <n v="7331.52"/>
    <n v="0"/>
    <n v="0"/>
    <n v="0"/>
    <n v="0"/>
    <n v="39"/>
    <s v="CATIVO"/>
    <n v="0"/>
    <n v="6"/>
    <n v="0"/>
    <n v="0"/>
    <n v="19.32"/>
    <n v="0"/>
    <n v="0"/>
    <n v="16.680041929169654"/>
    <m/>
    <m/>
    <n v="5901.8735999999917"/>
    <n v="0"/>
    <n v="5095.4192085227387"/>
    <n v="0"/>
    <x v="2"/>
  </r>
  <r>
    <s v="Sistema de Compensação"/>
    <x v="0"/>
    <x v="0"/>
    <x v="1"/>
    <x v="0"/>
    <x v="2"/>
    <x v="0"/>
    <x v="1"/>
    <x v="10"/>
    <n v="669"/>
    <n v="642.24"/>
    <n v="0"/>
    <n v="0"/>
    <n v="0"/>
    <n v="0"/>
    <n v="4"/>
    <s v="CATIVO"/>
    <n v="0"/>
    <n v="6"/>
    <n v="0"/>
    <n v="0"/>
    <n v="19.32"/>
    <n v="0"/>
    <n v="0"/>
    <n v="16.680041929169654"/>
    <m/>
    <m/>
    <n v="517.00319999999988"/>
    <n v="0"/>
    <n v="446.35792202457981"/>
    <n v="0"/>
    <x v="2"/>
  </r>
  <r>
    <s v="Regular"/>
    <x v="0"/>
    <x v="0"/>
    <x v="1"/>
    <x v="0"/>
    <x v="2"/>
    <x v="0"/>
    <x v="1"/>
    <x v="11"/>
    <n v="7118"/>
    <n v="6833.28"/>
    <n v="0"/>
    <n v="0"/>
    <n v="0"/>
    <n v="0"/>
    <n v="39"/>
    <s v="CATIVO"/>
    <n v="0"/>
    <n v="6"/>
    <n v="0"/>
    <n v="0"/>
    <n v="19.32"/>
    <n v="0"/>
    <n v="0"/>
    <n v="16.680041929169654"/>
    <m/>
    <m/>
    <n v="5500.7904000000053"/>
    <n v="0"/>
    <n v="4749.1415380731878"/>
    <n v="0"/>
    <x v="2"/>
  </r>
  <r>
    <s v="Regular"/>
    <x v="0"/>
    <x v="0"/>
    <x v="1"/>
    <x v="0"/>
    <x v="2"/>
    <x v="0"/>
    <x v="2"/>
    <x v="0"/>
    <n v="0"/>
    <n v="0"/>
    <n v="77.981999999999999"/>
    <n v="74.862719999999996"/>
    <n v="77.981999999999999"/>
    <n v="74.862719999999996"/>
    <n v="0"/>
    <s v="CATIVO"/>
    <n v="0"/>
    <n v="0"/>
    <n v="7"/>
    <n v="48"/>
    <n v="0"/>
    <n v="948.15"/>
    <n v="263.29000000000002"/>
    <m/>
    <n v="976.42305228824534"/>
    <n v="210.64397598313801"/>
    <n v="0"/>
    <n v="3778.8205632000045"/>
    <n v="0"/>
    <n v="3702.7944399463645"/>
    <x v="2"/>
  </r>
  <r>
    <s v="Regular"/>
    <x v="0"/>
    <x v="0"/>
    <x v="1"/>
    <x v="0"/>
    <x v="2"/>
    <x v="0"/>
    <x v="2"/>
    <x v="1"/>
    <n v="0"/>
    <n v="0"/>
    <n v="63.808"/>
    <n v="61.255679999999998"/>
    <n v="63.808"/>
    <n v="61.255679999999998"/>
    <n v="0"/>
    <s v="CATIVO"/>
    <n v="0"/>
    <n v="0"/>
    <n v="7"/>
    <n v="48"/>
    <n v="0"/>
    <n v="948.15"/>
    <n v="263.29000000000002"/>
    <m/>
    <n v="976.42305228824534"/>
    <n v="210.64397598313801"/>
    <n v="0"/>
    <n v="3091.9825408000024"/>
    <n v="0"/>
    <n v="3029.7749175976192"/>
    <x v="2"/>
  </r>
  <r>
    <s v="Regular"/>
    <x v="0"/>
    <x v="0"/>
    <x v="1"/>
    <x v="0"/>
    <x v="2"/>
    <x v="0"/>
    <x v="2"/>
    <x v="2"/>
    <n v="0"/>
    <n v="0"/>
    <n v="64.644999999999996"/>
    <n v="62.059199999999997"/>
    <n v="64.644999999999996"/>
    <n v="62.059199999999997"/>
    <n v="0"/>
    <s v="CATIVO"/>
    <n v="0"/>
    <n v="0"/>
    <n v="7"/>
    <n v="48"/>
    <n v="0"/>
    <n v="948.15"/>
    <n v="263.29000000000002"/>
    <m/>
    <n v="976.42305228824534"/>
    <n v="210.64397598313801"/>
    <n v="0"/>
    <n v="3132.5415519999988"/>
    <n v="0"/>
    <n v="3069.5179217041418"/>
    <x v="2"/>
  </r>
  <r>
    <s v="Regular"/>
    <x v="0"/>
    <x v="0"/>
    <x v="1"/>
    <x v="0"/>
    <x v="2"/>
    <x v="0"/>
    <x v="2"/>
    <x v="3"/>
    <n v="0"/>
    <n v="0"/>
    <n v="65.417000000000002"/>
    <n v="62.800319999999999"/>
    <n v="65.417000000000002"/>
    <n v="62.800319999999999"/>
    <n v="0"/>
    <s v="CATIVO"/>
    <n v="0"/>
    <n v="0"/>
    <n v="7"/>
    <n v="48"/>
    <n v="0"/>
    <n v="948.15"/>
    <n v="263.29000000000002"/>
    <m/>
    <n v="976.42305228824534"/>
    <n v="210.64397598313801"/>
    <n v="0"/>
    <n v="3169.950819200003"/>
    <n v="0"/>
    <n v="3106.1745515371663"/>
    <x v="2"/>
  </r>
  <r>
    <s v="Sistema de Compensação"/>
    <x v="0"/>
    <x v="0"/>
    <x v="1"/>
    <x v="0"/>
    <x v="2"/>
    <x v="0"/>
    <x v="2"/>
    <x v="3"/>
    <n v="0"/>
    <n v="0"/>
    <n v="0.44500000000000001"/>
    <n v="0.42719999999999997"/>
    <n v="0.44500000000000001"/>
    <n v="0.42719999999999997"/>
    <n v="0"/>
    <s v="CATIVO"/>
    <n v="0"/>
    <n v="0"/>
    <n v="7"/>
    <n v="48"/>
    <n v="0"/>
    <n v="948.15"/>
    <n v="263.29000000000002"/>
    <m/>
    <n v="976.42305228824534"/>
    <n v="210.64397598313801"/>
    <n v="0"/>
    <n v="21.563632000000045"/>
    <n v="0"/>
    <n v="21.129793103230668"/>
    <x v="2"/>
  </r>
  <r>
    <s v="Regular"/>
    <x v="0"/>
    <x v="0"/>
    <x v="1"/>
    <x v="0"/>
    <x v="2"/>
    <x v="0"/>
    <x v="2"/>
    <x v="4"/>
    <n v="0"/>
    <n v="0"/>
    <n v="73.748000000000005"/>
    <n v="70.798079999999999"/>
    <n v="73.748000000000005"/>
    <n v="70.798079999999999"/>
    <n v="0"/>
    <s v="CATIVO"/>
    <n v="0"/>
    <n v="0"/>
    <n v="7"/>
    <n v="48"/>
    <n v="0"/>
    <n v="948.15"/>
    <n v="263.29000000000002"/>
    <m/>
    <n v="976.42305228824534"/>
    <n v="210.64397598313801"/>
    <n v="0"/>
    <n v="3573.6510848000071"/>
    <n v="0"/>
    <n v="3501.7527680383264"/>
    <x v="2"/>
  </r>
  <r>
    <s v="Sistema de Compensação"/>
    <x v="0"/>
    <x v="0"/>
    <x v="1"/>
    <x v="0"/>
    <x v="2"/>
    <x v="0"/>
    <x v="2"/>
    <x v="4"/>
    <n v="0"/>
    <n v="0"/>
    <n v="4.085"/>
    <n v="3.9215999999999998"/>
    <n v="4.085"/>
    <n v="3.9215999999999998"/>
    <n v="0"/>
    <s v="CATIVO"/>
    <n v="0"/>
    <n v="0"/>
    <n v="7"/>
    <n v="48"/>
    <n v="0"/>
    <n v="948.15"/>
    <n v="263.29000000000002"/>
    <m/>
    <n v="976.42305228824534"/>
    <n v="210.64397598313801"/>
    <n v="0"/>
    <n v="197.94929600000023"/>
    <n v="0"/>
    <n v="193.96675241954426"/>
    <x v="2"/>
  </r>
  <r>
    <s v="Regular"/>
    <x v="0"/>
    <x v="0"/>
    <x v="1"/>
    <x v="0"/>
    <x v="2"/>
    <x v="0"/>
    <x v="2"/>
    <x v="5"/>
    <n v="0"/>
    <n v="0"/>
    <n v="69.872"/>
    <n v="67.077119999999994"/>
    <n v="69.872"/>
    <n v="67.077119999999994"/>
    <n v="0"/>
    <s v="CATIVO"/>
    <n v="0"/>
    <n v="0"/>
    <n v="7"/>
    <n v="48"/>
    <n v="0"/>
    <n v="948.15"/>
    <n v="263.29000000000002"/>
    <m/>
    <n v="976.42305228824534"/>
    <n v="210.64397598313801"/>
    <n v="0"/>
    <n v="3385.8294272000076"/>
    <n v="0"/>
    <n v="3317.7098959751315"/>
    <x v="2"/>
  </r>
  <r>
    <s v="Sistema de Compensação"/>
    <x v="0"/>
    <x v="0"/>
    <x v="1"/>
    <x v="0"/>
    <x v="2"/>
    <x v="0"/>
    <x v="2"/>
    <x v="5"/>
    <n v="0"/>
    <n v="0"/>
    <n v="5.5250000000000004"/>
    <n v="5.3040000000000003"/>
    <n v="5.5250000000000004"/>
    <n v="5.3040000000000003"/>
    <n v="0"/>
    <s v="CATIVO"/>
    <n v="0"/>
    <n v="0"/>
    <n v="7"/>
    <n v="48"/>
    <n v="0"/>
    <n v="948.15"/>
    <n v="263.29000000000002"/>
    <m/>
    <n v="976.42305228824534"/>
    <n v="210.64397598313801"/>
    <n v="0"/>
    <n v="267.72824000000008"/>
    <n v="0"/>
    <n v="262.34181324797584"/>
    <x v="2"/>
  </r>
  <r>
    <s v="Regular"/>
    <x v="0"/>
    <x v="0"/>
    <x v="1"/>
    <x v="0"/>
    <x v="2"/>
    <x v="0"/>
    <x v="2"/>
    <x v="6"/>
    <n v="0"/>
    <n v="0"/>
    <n v="75.876999999999995"/>
    <n v="72.841920000000002"/>
    <n v="75.876999999999995"/>
    <n v="72.841920000000002"/>
    <n v="0"/>
    <s v="CATIVO"/>
    <n v="0"/>
    <n v="0"/>
    <n v="7"/>
    <n v="48"/>
    <n v="0"/>
    <n v="948.15"/>
    <n v="263.29000000000002"/>
    <m/>
    <n v="976.42305228824534"/>
    <n v="210.64397598313801"/>
    <n v="0"/>
    <n v="3676.8173151999922"/>
    <n v="0"/>
    <n v="3602.8433961659025"/>
    <x v="2"/>
  </r>
  <r>
    <s v="Sistema de Compensação"/>
    <x v="0"/>
    <x v="0"/>
    <x v="1"/>
    <x v="0"/>
    <x v="2"/>
    <x v="0"/>
    <x v="2"/>
    <x v="6"/>
    <n v="0"/>
    <n v="0"/>
    <n v="2.8690000000000002"/>
    <n v="2.7542400000000002"/>
    <n v="2.8690000000000002"/>
    <n v="2.7542400000000002"/>
    <n v="0"/>
    <s v="CATIVO"/>
    <n v="0"/>
    <n v="0"/>
    <n v="7"/>
    <n v="48"/>
    <n v="0"/>
    <n v="948.15"/>
    <n v="263.29000000000002"/>
    <m/>
    <n v="976.42305228824534"/>
    <n v="210.64397598313801"/>
    <n v="0"/>
    <n v="139.02485439999995"/>
    <n v="0"/>
    <n v="136.22781216442394"/>
    <x v="2"/>
  </r>
  <r>
    <s v="Regular"/>
    <x v="0"/>
    <x v="0"/>
    <x v="1"/>
    <x v="0"/>
    <x v="2"/>
    <x v="0"/>
    <x v="2"/>
    <x v="7"/>
    <n v="0"/>
    <n v="0"/>
    <n v="96.19"/>
    <n v="92.342399999999998"/>
    <n v="96.19"/>
    <n v="92.342399999999998"/>
    <n v="0"/>
    <s v="CATIVO"/>
    <n v="0"/>
    <n v="0"/>
    <n v="7"/>
    <n v="48"/>
    <n v="0"/>
    <n v="948.15"/>
    <n v="263.29000000000002"/>
    <m/>
    <n v="976.42305228824534"/>
    <n v="210.64397598313801"/>
    <n v="0"/>
    <n v="4661.136544"/>
    <n v="0"/>
    <n v="4567.3590979769742"/>
    <x v="2"/>
  </r>
  <r>
    <s v="Sistema de Compensação"/>
    <x v="0"/>
    <x v="0"/>
    <x v="1"/>
    <x v="0"/>
    <x v="2"/>
    <x v="0"/>
    <x v="2"/>
    <x v="7"/>
    <n v="0"/>
    <n v="0"/>
    <n v="9.3789999999999996"/>
    <n v="9.0038399999999985"/>
    <n v="9.3789999999999996"/>
    <n v="9.0038399999999985"/>
    <n v="0"/>
    <s v="CATIVO"/>
    <n v="0"/>
    <n v="0"/>
    <n v="7"/>
    <n v="48"/>
    <n v="0"/>
    <n v="948.15"/>
    <n v="263.29000000000002"/>
    <m/>
    <n v="976.42305228824534"/>
    <n v="210.64397598313801"/>
    <n v="0"/>
    <n v="454.4838304000013"/>
    <n v="0"/>
    <n v="445.34006632629342"/>
    <x v="2"/>
  </r>
  <r>
    <s v="Regular"/>
    <x v="0"/>
    <x v="0"/>
    <x v="1"/>
    <x v="0"/>
    <x v="2"/>
    <x v="0"/>
    <x v="2"/>
    <x v="8"/>
    <n v="0"/>
    <n v="0"/>
    <n v="105.491"/>
    <n v="101.27136"/>
    <n v="105.491"/>
    <n v="101.27136"/>
    <n v="0"/>
    <s v="CATIVO"/>
    <n v="0"/>
    <n v="0"/>
    <n v="7"/>
    <n v="48"/>
    <n v="0"/>
    <n v="948.15"/>
    <n v="263.29000000000002"/>
    <m/>
    <n v="976.42305228824534"/>
    <n v="210.64397598313801"/>
    <n v="0"/>
    <n v="5111.8406815999979"/>
    <n v="0"/>
    <n v="5008.9955151750582"/>
    <x v="2"/>
  </r>
  <r>
    <s v="Sistema de Compensação"/>
    <x v="0"/>
    <x v="0"/>
    <x v="1"/>
    <x v="0"/>
    <x v="2"/>
    <x v="0"/>
    <x v="2"/>
    <x v="8"/>
    <n v="0"/>
    <n v="0"/>
    <n v="9.3650000000000002"/>
    <n v="8.9903999999999993"/>
    <n v="9.3650000000000002"/>
    <n v="8.9903999999999993"/>
    <n v="0"/>
    <s v="CATIVO"/>
    <n v="0"/>
    <n v="0"/>
    <n v="7"/>
    <n v="48"/>
    <n v="0"/>
    <n v="948.15"/>
    <n v="263.29000000000002"/>
    <m/>
    <n v="976.42305228824534"/>
    <n v="210.64397598313801"/>
    <n v="0"/>
    <n v="453.80542400000115"/>
    <n v="0"/>
    <n v="444.67530879046126"/>
    <x v="2"/>
  </r>
  <r>
    <s v="Regular"/>
    <x v="0"/>
    <x v="0"/>
    <x v="1"/>
    <x v="0"/>
    <x v="2"/>
    <x v="0"/>
    <x v="2"/>
    <x v="9"/>
    <n v="0"/>
    <n v="0"/>
    <n v="108.82"/>
    <n v="104.46720000000001"/>
    <n v="108.82"/>
    <n v="104.46720000000001"/>
    <n v="0"/>
    <s v="CATIVO"/>
    <n v="0"/>
    <n v="0"/>
    <n v="7"/>
    <n v="48"/>
    <n v="0"/>
    <n v="948.15"/>
    <n v="263.29000000000002"/>
    <m/>
    <n v="976.42305228824534"/>
    <n v="210.64397598313801"/>
    <n v="0"/>
    <n v="5273.1560319999853"/>
    <n v="0"/>
    <n v="5167.0653606596625"/>
    <x v="2"/>
  </r>
  <r>
    <s v="Regular"/>
    <x v="0"/>
    <x v="0"/>
    <x v="1"/>
    <x v="0"/>
    <x v="2"/>
    <x v="0"/>
    <x v="2"/>
    <x v="10"/>
    <n v="0"/>
    <n v="0"/>
    <n v="115.779"/>
    <n v="111.14784"/>
    <n v="115.779"/>
    <n v="111.14784"/>
    <n v="0"/>
    <s v="CATIVO"/>
    <n v="0"/>
    <n v="0"/>
    <n v="7"/>
    <n v="48"/>
    <n v="0"/>
    <n v="948.15"/>
    <n v="263.29000000000002"/>
    <m/>
    <n v="976.42305228824534"/>
    <n v="210.64397598313801"/>
    <n v="0"/>
    <n v="5610.3724703999924"/>
    <n v="0"/>
    <n v="5497.497338649292"/>
    <x v="2"/>
  </r>
  <r>
    <s v="Sistema de Compensação"/>
    <x v="0"/>
    <x v="0"/>
    <x v="1"/>
    <x v="0"/>
    <x v="2"/>
    <x v="0"/>
    <x v="2"/>
    <x v="10"/>
    <n v="0"/>
    <n v="0"/>
    <n v="20.672000000000001"/>
    <n v="19.845120000000001"/>
    <n v="20.672000000000001"/>
    <n v="19.845120000000001"/>
    <n v="0"/>
    <s v="CATIVO"/>
    <n v="0"/>
    <n v="0"/>
    <n v="7"/>
    <n v="48"/>
    <n v="0"/>
    <n v="948.15"/>
    <n v="263.29000000000002"/>
    <m/>
    <n v="976.42305228824534"/>
    <n v="210.64397598313801"/>
    <n v="0"/>
    <n v="1001.7155071999989"/>
    <n v="0"/>
    <n v="981.56198433704049"/>
    <x v="2"/>
  </r>
  <r>
    <s v="Regular"/>
    <x v="0"/>
    <x v="0"/>
    <x v="1"/>
    <x v="0"/>
    <x v="2"/>
    <x v="0"/>
    <x v="2"/>
    <x v="11"/>
    <n v="0"/>
    <n v="0"/>
    <n v="83.061000000000007"/>
    <n v="79.738560000000007"/>
    <n v="83.061000000000007"/>
    <n v="79.738560000000007"/>
    <n v="0"/>
    <s v="CATIVO"/>
    <n v="0"/>
    <n v="0"/>
    <n v="7"/>
    <n v="48"/>
    <n v="0"/>
    <n v="948.15"/>
    <n v="263.29000000000002"/>
    <m/>
    <n v="976.42305228824534"/>
    <n v="210.64397598313801"/>
    <n v="0"/>
    <n v="4024.9367136000001"/>
    <n v="0"/>
    <n v="3943.958977409975"/>
    <x v="2"/>
  </r>
  <r>
    <s v="Regular"/>
    <x v="0"/>
    <x v="0"/>
    <x v="2"/>
    <x v="2"/>
    <x v="2"/>
    <x v="0"/>
    <x v="0"/>
    <x v="0"/>
    <n v="0"/>
    <n v="0"/>
    <n v="73.616"/>
    <n v="69.199039999999997"/>
    <n v="73.616"/>
    <n v="69.199039999999997"/>
    <n v="0"/>
    <s v="CATIVO"/>
    <n v="0"/>
    <n v="0"/>
    <n v="8"/>
    <n v="49"/>
    <n v="0"/>
    <n v="65.61"/>
    <n v="263.29000000000002"/>
    <m/>
    <n v="100.34646310857573"/>
    <n v="210.64397598313801"/>
    <n v="0"/>
    <n v="1452.7381440000011"/>
    <n v="0"/>
    <n v="1373.6323298505367"/>
    <x v="3"/>
  </r>
  <r>
    <s v="Regular"/>
    <x v="0"/>
    <x v="0"/>
    <x v="2"/>
    <x v="2"/>
    <x v="2"/>
    <x v="0"/>
    <x v="0"/>
    <x v="1"/>
    <n v="0"/>
    <n v="0"/>
    <n v="85.453000000000003"/>
    <n v="80.325819999999993"/>
    <n v="85.453000000000003"/>
    <n v="80.325819999999993"/>
    <n v="0"/>
    <s v="CATIVO"/>
    <n v="0"/>
    <n v="0"/>
    <n v="8"/>
    <n v="49"/>
    <n v="0"/>
    <n v="65.61"/>
    <n v="263.29000000000002"/>
    <m/>
    <n v="100.34646310857573"/>
    <n v="210.64397598313801"/>
    <n v="0"/>
    <n v="1686.3295020000032"/>
    <n v="0"/>
    <n v="1594.5039595022558"/>
    <x v="3"/>
  </r>
  <r>
    <s v="Regular"/>
    <x v="0"/>
    <x v="0"/>
    <x v="2"/>
    <x v="2"/>
    <x v="2"/>
    <x v="0"/>
    <x v="0"/>
    <x v="2"/>
    <n v="0"/>
    <n v="0"/>
    <n v="87.182000000000002"/>
    <n v="81.951080000000005"/>
    <n v="87.182000000000002"/>
    <n v="81.951080000000005"/>
    <n v="0"/>
    <s v="CATIVO"/>
    <n v="0"/>
    <n v="0"/>
    <n v="8"/>
    <n v="49"/>
    <n v="0"/>
    <n v="65.61"/>
    <n v="263.29000000000002"/>
    <m/>
    <n v="100.34646310857573"/>
    <n v="210.64397598313801"/>
    <n v="0"/>
    <n v="1720.4495879999993"/>
    <n v="0"/>
    <n v="1626.7661076536265"/>
    <x v="3"/>
  </r>
  <r>
    <s v="Regular"/>
    <x v="0"/>
    <x v="0"/>
    <x v="2"/>
    <x v="2"/>
    <x v="2"/>
    <x v="0"/>
    <x v="0"/>
    <x v="3"/>
    <n v="0"/>
    <n v="0"/>
    <n v="82.013999999999996"/>
    <n v="77.093159999999997"/>
    <n v="82.013999999999996"/>
    <n v="77.093159999999997"/>
    <n v="0"/>
    <s v="CATIVO"/>
    <n v="0"/>
    <n v="0"/>
    <n v="8"/>
    <n v="49"/>
    <n v="0"/>
    <n v="65.61"/>
    <n v="263.29000000000002"/>
    <m/>
    <n v="100.34646310857573"/>
    <n v="210.64397598313801"/>
    <n v="0"/>
    <n v="1618.4642759999997"/>
    <n v="0"/>
    <n v="1530.334192300068"/>
    <x v="3"/>
  </r>
  <r>
    <s v="Regular"/>
    <x v="0"/>
    <x v="0"/>
    <x v="2"/>
    <x v="2"/>
    <x v="2"/>
    <x v="0"/>
    <x v="0"/>
    <x v="4"/>
    <n v="0"/>
    <n v="0"/>
    <n v="76.3"/>
    <n v="71.721999999999994"/>
    <n v="76.3"/>
    <n v="71.721999999999994"/>
    <n v="0"/>
    <s v="CATIVO"/>
    <n v="0"/>
    <n v="0"/>
    <n v="8"/>
    <n v="49"/>
    <n v="0"/>
    <n v="65.61"/>
    <n v="263.29000000000002"/>
    <m/>
    <n v="100.34646310857573"/>
    <n v="210.64397598313801"/>
    <n v="0"/>
    <n v="1505.704200000001"/>
    <n v="0"/>
    <n v="1423.7142301618665"/>
    <x v="3"/>
  </r>
  <r>
    <s v="Regular"/>
    <x v="0"/>
    <x v="0"/>
    <x v="2"/>
    <x v="2"/>
    <x v="2"/>
    <x v="0"/>
    <x v="0"/>
    <x v="5"/>
    <n v="0"/>
    <n v="0"/>
    <n v="82.744"/>
    <n v="77.779359999999997"/>
    <n v="82.744"/>
    <n v="77.779359999999997"/>
    <n v="0"/>
    <s v="CATIVO"/>
    <n v="0"/>
    <n v="0"/>
    <n v="8"/>
    <n v="49"/>
    <n v="0"/>
    <n v="65.61"/>
    <n v="263.29000000000002"/>
    <m/>
    <n v="100.34646310857573"/>
    <n v="210.64397598313801"/>
    <n v="0"/>
    <n v="1632.870096000001"/>
    <n v="0"/>
    <n v="1543.9555735322865"/>
    <x v="3"/>
  </r>
  <r>
    <s v="Regular"/>
    <x v="0"/>
    <x v="0"/>
    <x v="2"/>
    <x v="2"/>
    <x v="2"/>
    <x v="0"/>
    <x v="0"/>
    <x v="6"/>
    <n v="0"/>
    <n v="0"/>
    <n v="92.778999999999996"/>
    <n v="87.212259999999986"/>
    <n v="92.778999999999996"/>
    <n v="87.212259999999986"/>
    <n v="0"/>
    <s v="CATIVO"/>
    <n v="0"/>
    <n v="0"/>
    <n v="8"/>
    <n v="49"/>
    <n v="0"/>
    <n v="65.61"/>
    <n v="263.29000000000002"/>
    <m/>
    <n v="100.34646310857573"/>
    <n v="210.64397598313801"/>
    <n v="0"/>
    <n v="1830.9007860000033"/>
    <n v="0"/>
    <n v="1731.2029169094096"/>
    <x v="3"/>
  </r>
  <r>
    <s v="Regular"/>
    <x v="0"/>
    <x v="0"/>
    <x v="2"/>
    <x v="2"/>
    <x v="2"/>
    <x v="0"/>
    <x v="0"/>
    <x v="7"/>
    <n v="0"/>
    <n v="0"/>
    <n v="96.944999999999993"/>
    <n v="91.128299999999982"/>
    <n v="96.944999999999993"/>
    <n v="91.128299999999982"/>
    <n v="0"/>
    <s v="CATIVO"/>
    <n v="0"/>
    <n v="0"/>
    <n v="8"/>
    <n v="49"/>
    <n v="0"/>
    <n v="65.61"/>
    <n v="263.29000000000002"/>
    <m/>
    <n v="100.34646310857573"/>
    <n v="210.64397598313801"/>
    <n v="0"/>
    <n v="1913.1126300000039"/>
    <n v="0"/>
    <n v="1808.9380870647749"/>
    <x v="3"/>
  </r>
  <r>
    <s v="Regular"/>
    <x v="0"/>
    <x v="0"/>
    <x v="2"/>
    <x v="2"/>
    <x v="2"/>
    <x v="0"/>
    <x v="0"/>
    <x v="8"/>
    <n v="0"/>
    <n v="0"/>
    <n v="105.916"/>
    <n v="99.561039999999991"/>
    <n v="105.916"/>
    <n v="99.561039999999991"/>
    <n v="0"/>
    <s v="CATIVO"/>
    <n v="0"/>
    <n v="0"/>
    <n v="8"/>
    <n v="49"/>
    <n v="0"/>
    <n v="65.61"/>
    <n v="263.29000000000002"/>
    <m/>
    <n v="100.34646310857573"/>
    <n v="210.64397598313801"/>
    <n v="0"/>
    <n v="2090.146344000002"/>
    <n v="0"/>
    <n v="1976.3318008102788"/>
    <x v="3"/>
  </r>
  <r>
    <s v="Regular"/>
    <x v="0"/>
    <x v="0"/>
    <x v="2"/>
    <x v="2"/>
    <x v="2"/>
    <x v="0"/>
    <x v="0"/>
    <x v="9"/>
    <n v="0"/>
    <n v="0"/>
    <n v="106.723"/>
    <n v="100.31961999999999"/>
    <n v="106.723"/>
    <n v="100.31961999999999"/>
    <n v="0"/>
    <s v="CATIVO"/>
    <n v="0"/>
    <n v="0"/>
    <n v="8"/>
    <n v="49"/>
    <n v="0"/>
    <n v="65.61"/>
    <n v="263.29000000000002"/>
    <m/>
    <n v="100.34646310857573"/>
    <n v="210.64397598313801"/>
    <n v="0"/>
    <n v="2106.0716820000043"/>
    <n v="0"/>
    <n v="1991.3899578711018"/>
    <x v="3"/>
  </r>
  <r>
    <s v="Regular"/>
    <x v="0"/>
    <x v="0"/>
    <x v="2"/>
    <x v="2"/>
    <x v="2"/>
    <x v="0"/>
    <x v="0"/>
    <x v="10"/>
    <n v="0"/>
    <n v="0"/>
    <n v="120.622"/>
    <n v="113.38467999999999"/>
    <n v="120.622"/>
    <n v="113.38467999999999"/>
    <n v="0"/>
    <s v="CATIVO"/>
    <n v="0"/>
    <n v="0"/>
    <n v="8"/>
    <n v="49"/>
    <n v="0"/>
    <n v="65.61"/>
    <n v="263.29000000000002"/>
    <m/>
    <n v="100.34646310857573"/>
    <n v="210.64397598313801"/>
    <n v="0"/>
    <n v="2380.3545480000039"/>
    <n v="0"/>
    <n v="2250.7373246472453"/>
    <x v="3"/>
  </r>
  <r>
    <s v="Regular"/>
    <x v="0"/>
    <x v="0"/>
    <x v="2"/>
    <x v="2"/>
    <x v="2"/>
    <x v="0"/>
    <x v="0"/>
    <x v="11"/>
    <n v="0"/>
    <n v="0"/>
    <n v="110.827"/>
    <n v="104.17738"/>
    <n v="110.827"/>
    <n v="104.17738"/>
    <n v="0"/>
    <s v="CATIVO"/>
    <n v="0"/>
    <n v="0"/>
    <n v="8"/>
    <n v="49"/>
    <n v="0"/>
    <n v="65.61"/>
    <n v="263.29000000000002"/>
    <m/>
    <n v="100.34646310857573"/>
    <n v="210.64397598313801"/>
    <n v="0"/>
    <n v="2187.0600179999997"/>
    <n v="0"/>
    <n v="2067.9682435930413"/>
    <x v="3"/>
  </r>
  <r>
    <s v="Regular"/>
    <x v="0"/>
    <x v="0"/>
    <x v="2"/>
    <x v="2"/>
    <x v="2"/>
    <x v="0"/>
    <x v="1"/>
    <x v="0"/>
    <n v="259"/>
    <n v="220.15"/>
    <n v="0"/>
    <n v="0"/>
    <n v="0"/>
    <n v="0"/>
    <n v="3"/>
    <s v="CATIVO"/>
    <n v="0"/>
    <n v="6"/>
    <n v="0"/>
    <n v="0"/>
    <n v="19.32"/>
    <n v="0"/>
    <n v="0"/>
    <n v="16.680041929169654"/>
    <m/>
    <m/>
    <n v="750.58199999999988"/>
    <n v="0"/>
    <n v="648.01962894824101"/>
    <n v="0"/>
    <x v="3"/>
  </r>
  <r>
    <s v="Regular"/>
    <x v="0"/>
    <x v="0"/>
    <x v="2"/>
    <x v="2"/>
    <x v="2"/>
    <x v="0"/>
    <x v="1"/>
    <x v="1"/>
    <n v="259"/>
    <n v="220.15"/>
    <n v="0"/>
    <n v="0"/>
    <n v="0"/>
    <n v="0"/>
    <n v="3"/>
    <s v="CATIVO"/>
    <n v="0"/>
    <n v="6"/>
    <n v="0"/>
    <n v="0"/>
    <n v="19.32"/>
    <n v="0"/>
    <n v="0"/>
    <n v="16.680041929169654"/>
    <m/>
    <m/>
    <n v="750.58199999999988"/>
    <n v="0"/>
    <n v="648.01962894824101"/>
    <n v="0"/>
    <x v="3"/>
  </r>
  <r>
    <s v="Regular"/>
    <x v="0"/>
    <x v="0"/>
    <x v="2"/>
    <x v="2"/>
    <x v="2"/>
    <x v="0"/>
    <x v="1"/>
    <x v="2"/>
    <n v="259"/>
    <n v="220.15"/>
    <n v="0"/>
    <n v="0"/>
    <n v="0"/>
    <n v="0"/>
    <n v="3"/>
    <s v="CATIVO"/>
    <n v="0"/>
    <n v="6"/>
    <n v="0"/>
    <n v="0"/>
    <n v="19.32"/>
    <n v="0"/>
    <n v="0"/>
    <n v="16.680041929169654"/>
    <m/>
    <m/>
    <n v="750.58199999999988"/>
    <n v="0"/>
    <n v="648.01962894824101"/>
    <n v="0"/>
    <x v="3"/>
  </r>
  <r>
    <s v="Regular"/>
    <x v="0"/>
    <x v="0"/>
    <x v="2"/>
    <x v="2"/>
    <x v="2"/>
    <x v="0"/>
    <x v="1"/>
    <x v="3"/>
    <n v="259"/>
    <n v="220.15"/>
    <n v="0"/>
    <n v="0"/>
    <n v="0"/>
    <n v="0"/>
    <n v="3"/>
    <s v="CATIVO"/>
    <n v="0"/>
    <n v="6"/>
    <n v="0"/>
    <n v="0"/>
    <n v="19.32"/>
    <n v="0"/>
    <n v="0"/>
    <n v="16.680041929169654"/>
    <m/>
    <m/>
    <n v="750.58199999999988"/>
    <n v="0"/>
    <n v="648.01962894824101"/>
    <n v="0"/>
    <x v="3"/>
  </r>
  <r>
    <s v="Regular"/>
    <x v="0"/>
    <x v="0"/>
    <x v="2"/>
    <x v="2"/>
    <x v="2"/>
    <x v="0"/>
    <x v="1"/>
    <x v="4"/>
    <n v="261"/>
    <n v="221.85"/>
    <n v="0"/>
    <n v="0"/>
    <n v="0"/>
    <n v="0"/>
    <n v="3"/>
    <s v="CATIVO"/>
    <n v="0"/>
    <n v="6"/>
    <n v="0"/>
    <n v="0"/>
    <n v="19.32"/>
    <n v="0"/>
    <n v="0"/>
    <n v="16.680041929169654"/>
    <m/>
    <m/>
    <n v="756.37800000000016"/>
    <n v="0"/>
    <n v="653.02364152699204"/>
    <n v="0"/>
    <x v="3"/>
  </r>
  <r>
    <s v="Regular"/>
    <x v="0"/>
    <x v="0"/>
    <x v="2"/>
    <x v="2"/>
    <x v="2"/>
    <x v="0"/>
    <x v="1"/>
    <x v="5"/>
    <n v="260"/>
    <n v="221"/>
    <n v="0"/>
    <n v="0"/>
    <n v="0"/>
    <n v="0"/>
    <n v="3"/>
    <s v="CATIVO"/>
    <n v="0"/>
    <n v="6"/>
    <n v="0"/>
    <n v="0"/>
    <n v="19.32"/>
    <n v="0"/>
    <n v="0"/>
    <n v="16.680041929169654"/>
    <m/>
    <m/>
    <n v="753.48"/>
    <n v="0"/>
    <n v="650.52163523761647"/>
    <n v="0"/>
    <x v="3"/>
  </r>
  <r>
    <s v="Regular"/>
    <x v="0"/>
    <x v="0"/>
    <x v="2"/>
    <x v="2"/>
    <x v="2"/>
    <x v="0"/>
    <x v="1"/>
    <x v="6"/>
    <n v="259"/>
    <n v="220.15"/>
    <n v="0"/>
    <n v="0"/>
    <n v="0"/>
    <n v="0"/>
    <n v="3"/>
    <s v="CATIVO"/>
    <n v="0"/>
    <n v="6"/>
    <n v="0"/>
    <n v="0"/>
    <n v="19.32"/>
    <n v="0"/>
    <n v="0"/>
    <n v="16.680041929169654"/>
    <m/>
    <m/>
    <n v="750.58199999999988"/>
    <n v="0"/>
    <n v="648.01962894824101"/>
    <n v="0"/>
    <x v="3"/>
  </r>
  <r>
    <s v="Regular"/>
    <x v="0"/>
    <x v="0"/>
    <x v="2"/>
    <x v="2"/>
    <x v="2"/>
    <x v="0"/>
    <x v="1"/>
    <x v="7"/>
    <n v="259"/>
    <n v="220.15"/>
    <n v="0"/>
    <n v="0"/>
    <n v="0"/>
    <n v="0"/>
    <n v="3"/>
    <s v="CATIVO"/>
    <n v="0"/>
    <n v="6"/>
    <n v="0"/>
    <n v="0"/>
    <n v="19.32"/>
    <n v="0"/>
    <n v="0"/>
    <n v="16.680041929169654"/>
    <m/>
    <m/>
    <n v="750.58199999999988"/>
    <n v="0"/>
    <n v="648.01962894824101"/>
    <n v="0"/>
    <x v="3"/>
  </r>
  <r>
    <s v="Regular"/>
    <x v="0"/>
    <x v="0"/>
    <x v="2"/>
    <x v="2"/>
    <x v="2"/>
    <x v="0"/>
    <x v="1"/>
    <x v="8"/>
    <n v="261"/>
    <n v="221.85"/>
    <n v="0"/>
    <n v="0"/>
    <n v="0"/>
    <n v="0"/>
    <n v="3"/>
    <s v="CATIVO"/>
    <n v="0"/>
    <n v="6"/>
    <n v="0"/>
    <n v="0"/>
    <n v="19.32"/>
    <n v="0"/>
    <n v="0"/>
    <n v="16.680041929169654"/>
    <m/>
    <m/>
    <n v="756.37800000000016"/>
    <n v="0"/>
    <n v="653.02364152699204"/>
    <n v="0"/>
    <x v="3"/>
  </r>
  <r>
    <s v="Regular"/>
    <x v="0"/>
    <x v="0"/>
    <x v="2"/>
    <x v="2"/>
    <x v="2"/>
    <x v="0"/>
    <x v="1"/>
    <x v="9"/>
    <n v="264"/>
    <n v="224.4"/>
    <n v="0"/>
    <n v="0"/>
    <n v="0"/>
    <n v="0"/>
    <n v="3"/>
    <s v="CATIVO"/>
    <n v="0"/>
    <n v="6"/>
    <n v="0"/>
    <n v="0"/>
    <n v="19.32"/>
    <n v="0"/>
    <n v="0"/>
    <n v="16.680041929169654"/>
    <m/>
    <m/>
    <n v="765.07199999999989"/>
    <n v="0"/>
    <n v="660.52966039511819"/>
    <n v="0"/>
    <x v="3"/>
  </r>
  <r>
    <s v="Regular"/>
    <x v="0"/>
    <x v="0"/>
    <x v="2"/>
    <x v="2"/>
    <x v="2"/>
    <x v="0"/>
    <x v="1"/>
    <x v="10"/>
    <n v="269"/>
    <n v="228.65"/>
    <n v="0"/>
    <n v="0"/>
    <n v="0"/>
    <n v="0"/>
    <n v="3"/>
    <s v="CATIVO"/>
    <n v="0"/>
    <n v="6"/>
    <n v="0"/>
    <n v="0"/>
    <n v="19.32"/>
    <n v="0"/>
    <n v="0"/>
    <n v="16.680041929169654"/>
    <m/>
    <m/>
    <n v="779.5619999999999"/>
    <n v="0"/>
    <n v="673.03969184199548"/>
    <n v="0"/>
    <x v="3"/>
  </r>
  <r>
    <s v="Regular"/>
    <x v="0"/>
    <x v="0"/>
    <x v="2"/>
    <x v="2"/>
    <x v="2"/>
    <x v="0"/>
    <x v="1"/>
    <x v="11"/>
    <n v="270"/>
    <n v="229.5"/>
    <n v="0"/>
    <n v="0"/>
    <n v="0"/>
    <n v="0"/>
    <n v="3"/>
    <s v="CATIVO"/>
    <n v="0"/>
    <n v="6"/>
    <n v="0"/>
    <n v="0"/>
    <n v="19.32"/>
    <n v="0"/>
    <n v="0"/>
    <n v="16.680041929169654"/>
    <m/>
    <m/>
    <n v="782.46"/>
    <n v="0"/>
    <n v="675.54169813137105"/>
    <n v="0"/>
    <x v="3"/>
  </r>
  <r>
    <s v="Regular"/>
    <x v="0"/>
    <x v="0"/>
    <x v="2"/>
    <x v="2"/>
    <x v="2"/>
    <x v="0"/>
    <x v="2"/>
    <x v="0"/>
    <n v="0"/>
    <n v="0"/>
    <n v="6.8140000000000001"/>
    <n v="6.4051599999999995"/>
    <n v="6.8140000000000001"/>
    <n v="6.4051599999999995"/>
    <n v="0"/>
    <s v="CATIVO"/>
    <n v="0"/>
    <n v="0"/>
    <n v="7"/>
    <n v="48"/>
    <n v="0"/>
    <n v="948.15"/>
    <n v="263.29000000000002"/>
    <m/>
    <n v="976.42305228824534"/>
    <n v="210.64397598313801"/>
    <n v="0"/>
    <n v="495.28512960000063"/>
    <n v="0"/>
    <n v="485.32048383847302"/>
    <x v="3"/>
  </r>
  <r>
    <s v="Regular"/>
    <x v="0"/>
    <x v="0"/>
    <x v="2"/>
    <x v="2"/>
    <x v="2"/>
    <x v="0"/>
    <x v="2"/>
    <x v="1"/>
    <n v="0"/>
    <n v="0"/>
    <n v="7.5190000000000001"/>
    <n v="7.0678599999999996"/>
    <n v="7.5190000000000001"/>
    <n v="7.0678599999999996"/>
    <n v="0"/>
    <s v="CATIVO"/>
    <n v="0"/>
    <n v="0"/>
    <n v="7"/>
    <n v="48"/>
    <n v="0"/>
    <n v="948.15"/>
    <n v="263.29000000000002"/>
    <m/>
    <n v="976.42305228824534"/>
    <n v="210.64397598313801"/>
    <n v="0"/>
    <n v="546.5290416000006"/>
    <n v="0"/>
    <n v="535.53341913435247"/>
    <x v="3"/>
  </r>
  <r>
    <s v="Regular"/>
    <x v="0"/>
    <x v="0"/>
    <x v="2"/>
    <x v="2"/>
    <x v="2"/>
    <x v="0"/>
    <x v="2"/>
    <x v="2"/>
    <n v="0"/>
    <n v="0"/>
    <n v="6.431"/>
    <n v="6.04514"/>
    <n v="6.431"/>
    <n v="6.04514"/>
    <n v="0"/>
    <s v="CATIVO"/>
    <n v="0"/>
    <n v="0"/>
    <n v="7"/>
    <n v="48"/>
    <n v="0"/>
    <n v="948.15"/>
    <n v="263.29000000000002"/>
    <m/>
    <n v="976.42305228824534"/>
    <n v="210.64397598313801"/>
    <n v="0"/>
    <n v="467.44623840000008"/>
    <n v="0"/>
    <n v="458.04168352879611"/>
    <x v="3"/>
  </r>
  <r>
    <s v="Regular"/>
    <x v="0"/>
    <x v="0"/>
    <x v="2"/>
    <x v="2"/>
    <x v="2"/>
    <x v="0"/>
    <x v="2"/>
    <x v="3"/>
    <n v="0"/>
    <n v="0"/>
    <n v="7.1349999999999998"/>
    <n v="6.7069000000000001"/>
    <n v="7.1349999999999998"/>
    <n v="6.7069000000000001"/>
    <n v="0"/>
    <s v="CATIVO"/>
    <n v="0"/>
    <n v="0"/>
    <n v="7"/>
    <n v="48"/>
    <n v="0"/>
    <n v="948.15"/>
    <n v="263.29000000000002"/>
    <m/>
    <n v="976.42305228824534"/>
    <n v="210.64397598313801"/>
    <n v="0"/>
    <n v="518.61746399999959"/>
    <n v="0"/>
    <n v="508.18339480297885"/>
    <x v="3"/>
  </r>
  <r>
    <s v="Regular"/>
    <x v="0"/>
    <x v="0"/>
    <x v="2"/>
    <x v="2"/>
    <x v="2"/>
    <x v="0"/>
    <x v="2"/>
    <x v="4"/>
    <n v="0"/>
    <n v="0"/>
    <n v="8.0429999999999993"/>
    <n v="7.5604199999999997"/>
    <n v="8.0429999999999993"/>
    <n v="7.5604199999999997"/>
    <n v="0"/>
    <s v="CATIVO"/>
    <n v="0"/>
    <n v="0"/>
    <n v="7"/>
    <n v="48"/>
    <n v="0"/>
    <n v="948.15"/>
    <n v="263.29000000000002"/>
    <m/>
    <n v="976.42305228824534"/>
    <n v="210.64397598313801"/>
    <n v="0"/>
    <n v="584.61671519999948"/>
    <n v="0"/>
    <n v="572.85480650320369"/>
    <x v="3"/>
  </r>
  <r>
    <s v="Regular"/>
    <x v="0"/>
    <x v="0"/>
    <x v="2"/>
    <x v="2"/>
    <x v="2"/>
    <x v="0"/>
    <x v="2"/>
    <x v="5"/>
    <n v="0"/>
    <n v="0"/>
    <n v="8.9540000000000006"/>
    <n v="8.41676"/>
    <n v="8.9540000000000006"/>
    <n v="8.41676"/>
    <n v="0"/>
    <s v="CATIVO"/>
    <n v="0"/>
    <n v="0"/>
    <n v="7"/>
    <n v="48"/>
    <n v="0"/>
    <n v="948.15"/>
    <n v="263.29000000000002"/>
    <m/>
    <n v="976.42305228824534"/>
    <n v="210.64397598313801"/>
    <n v="0"/>
    <n v="650.8340256000007"/>
    <n v="0"/>
    <n v="637.73989026851871"/>
    <x v="3"/>
  </r>
  <r>
    <s v="Regular"/>
    <x v="0"/>
    <x v="0"/>
    <x v="2"/>
    <x v="2"/>
    <x v="2"/>
    <x v="0"/>
    <x v="2"/>
    <x v="6"/>
    <n v="0"/>
    <n v="0"/>
    <n v="9.6679999999999993"/>
    <n v="9.0879199999999987"/>
    <n v="9.6679999999999993"/>
    <n v="9.0879199999999987"/>
    <n v="0"/>
    <s v="CATIVO"/>
    <n v="0"/>
    <n v="0"/>
    <n v="7"/>
    <n v="48"/>
    <n v="0"/>
    <n v="948.15"/>
    <n v="263.29000000000002"/>
    <m/>
    <n v="976.42305228824534"/>
    <n v="210.64397598313801"/>
    <n v="0"/>
    <n v="702.73211520000064"/>
    <n v="0"/>
    <n v="688.59384175966477"/>
    <x v="3"/>
  </r>
  <r>
    <s v="Regular"/>
    <x v="0"/>
    <x v="0"/>
    <x v="2"/>
    <x v="2"/>
    <x v="2"/>
    <x v="0"/>
    <x v="2"/>
    <x v="7"/>
    <n v="0"/>
    <n v="0"/>
    <n v="11.029"/>
    <n v="10.36726"/>
    <n v="11.029"/>
    <n v="10.36726"/>
    <n v="0"/>
    <s v="CATIVO"/>
    <n v="0"/>
    <n v="0"/>
    <n v="7"/>
    <n v="48"/>
    <n v="0"/>
    <n v="948.15"/>
    <n v="263.29000000000002"/>
    <m/>
    <n v="976.42305228824534"/>
    <n v="210.64397598313801"/>
    <n v="0"/>
    <n v="801.65830559999995"/>
    <n v="0"/>
    <n v="785.52973528830512"/>
    <x v="3"/>
  </r>
  <r>
    <s v="Regular"/>
    <x v="0"/>
    <x v="0"/>
    <x v="2"/>
    <x v="2"/>
    <x v="2"/>
    <x v="0"/>
    <x v="2"/>
    <x v="8"/>
    <n v="0"/>
    <n v="0"/>
    <n v="10.352"/>
    <n v="9.7308799999999991"/>
    <n v="10.352"/>
    <n v="9.7308799999999991"/>
    <n v="0"/>
    <s v="CATIVO"/>
    <n v="0"/>
    <n v="0"/>
    <n v="7"/>
    <n v="48"/>
    <n v="0"/>
    <n v="948.15"/>
    <n v="263.29000000000002"/>
    <m/>
    <n v="976.42305228824534"/>
    <n v="210.64397598313801"/>
    <n v="0"/>
    <n v="752.44961280000155"/>
    <n v="0"/>
    <n v="737.31107259992314"/>
    <x v="3"/>
  </r>
  <r>
    <s v="Regular"/>
    <x v="0"/>
    <x v="0"/>
    <x v="2"/>
    <x v="2"/>
    <x v="2"/>
    <x v="0"/>
    <x v="2"/>
    <x v="9"/>
    <n v="0"/>
    <n v="0"/>
    <n v="10.896000000000001"/>
    <n v="10.242240000000001"/>
    <n v="10.896000000000001"/>
    <n v="10.242240000000001"/>
    <n v="0"/>
    <s v="CATIVO"/>
    <n v="0"/>
    <n v="0"/>
    <n v="7"/>
    <n v="48"/>
    <n v="0"/>
    <n v="948.15"/>
    <n v="263.29000000000002"/>
    <m/>
    <n v="976.42305228824534"/>
    <n v="210.64397598313801"/>
    <n v="0"/>
    <n v="791.99101440000015"/>
    <n v="0"/>
    <n v="776.05694040269964"/>
    <x v="3"/>
  </r>
  <r>
    <s v="Regular"/>
    <x v="0"/>
    <x v="0"/>
    <x v="2"/>
    <x v="2"/>
    <x v="2"/>
    <x v="0"/>
    <x v="2"/>
    <x v="10"/>
    <n v="0"/>
    <n v="0"/>
    <n v="10.621"/>
    <n v="9.9837399999999992"/>
    <n v="10.621"/>
    <n v="9.9837399999999992"/>
    <n v="0"/>
    <s v="CATIVO"/>
    <n v="0"/>
    <n v="0"/>
    <n v="7"/>
    <n v="48"/>
    <n v="0"/>
    <n v="948.15"/>
    <n v="263.29000000000002"/>
    <m/>
    <n v="976.42305228824534"/>
    <n v="210.64397598313801"/>
    <n v="0"/>
    <n v="772.00225440000145"/>
    <n v="0"/>
    <n v="756.4703344362232"/>
    <x v="3"/>
  </r>
  <r>
    <s v="Regular"/>
    <x v="0"/>
    <x v="0"/>
    <x v="2"/>
    <x v="2"/>
    <x v="2"/>
    <x v="0"/>
    <x v="2"/>
    <x v="11"/>
    <n v="0"/>
    <n v="0"/>
    <n v="10.084"/>
    <n v="9.4789599999999989"/>
    <n v="10.084"/>
    <n v="9.4789599999999989"/>
    <n v="0"/>
    <s v="CATIVO"/>
    <n v="0"/>
    <n v="0"/>
    <n v="7"/>
    <n v="48"/>
    <n v="0"/>
    <n v="948.15"/>
    <n v="263.29000000000002"/>
    <m/>
    <n v="976.42305228824534"/>
    <n v="210.64397598313801"/>
    <n v="0"/>
    <n v="732.96965760000091"/>
    <n v="0"/>
    <n v="718.22303478531865"/>
    <x v="3"/>
  </r>
  <r>
    <s v="Regular"/>
    <x v="1"/>
    <x v="1"/>
    <x v="3"/>
    <x v="3"/>
    <x v="2"/>
    <x v="0"/>
    <x v="1"/>
    <x v="0"/>
    <n v="0"/>
    <n v="0"/>
    <n v="1855.4870000000001"/>
    <n v="1855.4870000000001"/>
    <n v="1855.4870000000001"/>
    <n v="1855.4870000000001"/>
    <n v="10624"/>
    <s v="CATIVO"/>
    <n v="0"/>
    <n v="0"/>
    <n v="16"/>
    <n v="53"/>
    <n v="0"/>
    <n v="273.69"/>
    <n v="263.29000000000002"/>
    <m/>
    <n v="320.1054038964063"/>
    <n v="210.64397598313801"/>
    <n v="0"/>
    <n v="0"/>
    <n v="0"/>
    <n v="0"/>
    <x v="4"/>
  </r>
  <r>
    <s v="Regular"/>
    <x v="1"/>
    <x v="1"/>
    <x v="3"/>
    <x v="4"/>
    <x v="2"/>
    <x v="0"/>
    <x v="1"/>
    <x v="0"/>
    <n v="0"/>
    <n v="0"/>
    <n v="14.34"/>
    <n v="14.34"/>
    <n v="14.34"/>
    <n v="14.34"/>
    <n v="0"/>
    <s v="CATIVO"/>
    <n v="0"/>
    <n v="0"/>
    <n v="17"/>
    <n v="54"/>
    <n v="0"/>
    <n v="72.489999999999995"/>
    <n v="92.15"/>
    <m/>
    <n v="74.641108889990974"/>
    <n v="73.725391594098298"/>
    <n v="0"/>
    <n v="4384.5983999999999"/>
    <n v="0"/>
    <n v="3951.2118600348467"/>
    <x v="5"/>
  </r>
  <r>
    <s v="Regular"/>
    <x v="1"/>
    <x v="1"/>
    <x v="3"/>
    <x v="4"/>
    <x v="2"/>
    <x v="0"/>
    <x v="1"/>
    <x v="1"/>
    <n v="0"/>
    <n v="0"/>
    <n v="14.58"/>
    <n v="14.58"/>
    <n v="14.58"/>
    <n v="14.58"/>
    <n v="0"/>
    <s v="CATIVO"/>
    <n v="0"/>
    <n v="0"/>
    <n v="17"/>
    <n v="54"/>
    <n v="0"/>
    <n v="72.489999999999995"/>
    <n v="92.15"/>
    <m/>
    <n v="74.641108889990974"/>
    <n v="73.725391594098298"/>
    <n v="0"/>
    <n v="4457.9808000000003"/>
    <n v="0"/>
    <n v="4017.340928822041"/>
    <x v="5"/>
  </r>
  <r>
    <s v="Regular"/>
    <x v="1"/>
    <x v="1"/>
    <x v="3"/>
    <x v="4"/>
    <x v="2"/>
    <x v="0"/>
    <x v="1"/>
    <x v="2"/>
    <n v="0"/>
    <n v="0"/>
    <n v="14.73"/>
    <n v="14.73"/>
    <n v="14.73"/>
    <n v="14.73"/>
    <n v="0"/>
    <s v="CATIVO"/>
    <n v="0"/>
    <n v="0"/>
    <n v="17"/>
    <n v="54"/>
    <n v="0"/>
    <n v="72.489999999999995"/>
    <n v="92.15"/>
    <m/>
    <n v="74.641108889990974"/>
    <n v="73.725391594098298"/>
    <n v="0"/>
    <n v="4503.8447999999999"/>
    <n v="0"/>
    <n v="4058.671596814037"/>
    <x v="5"/>
  </r>
  <r>
    <s v="Regular"/>
    <x v="1"/>
    <x v="1"/>
    <x v="3"/>
    <x v="4"/>
    <x v="2"/>
    <x v="0"/>
    <x v="1"/>
    <x v="3"/>
    <n v="0"/>
    <n v="0"/>
    <n v="14.85"/>
    <n v="14.85"/>
    <n v="14.85"/>
    <n v="14.85"/>
    <n v="0"/>
    <s v="CATIVO"/>
    <n v="0"/>
    <n v="0"/>
    <n v="17"/>
    <n v="54"/>
    <n v="0"/>
    <n v="72.489999999999995"/>
    <n v="92.15"/>
    <m/>
    <n v="74.641108889990974"/>
    <n v="73.725391594098298"/>
    <n v="0"/>
    <n v="4540.5360000000001"/>
    <n v="0"/>
    <n v="4091.7361312076341"/>
    <x v="5"/>
  </r>
  <r>
    <s v="Regular"/>
    <x v="1"/>
    <x v="1"/>
    <x v="3"/>
    <x v="4"/>
    <x v="2"/>
    <x v="0"/>
    <x v="1"/>
    <x v="4"/>
    <n v="0"/>
    <n v="0"/>
    <n v="14.85"/>
    <n v="14.85"/>
    <n v="14.85"/>
    <n v="14.85"/>
    <n v="0"/>
    <s v="CATIVO"/>
    <n v="0"/>
    <n v="0"/>
    <n v="17"/>
    <n v="54"/>
    <n v="0"/>
    <n v="72.489999999999995"/>
    <n v="92.15"/>
    <m/>
    <n v="74.641108889990974"/>
    <n v="73.725391594098298"/>
    <n v="0"/>
    <n v="4540.5360000000001"/>
    <n v="0"/>
    <n v="4091.7361312076341"/>
    <x v="5"/>
  </r>
  <r>
    <s v="Regular"/>
    <x v="1"/>
    <x v="1"/>
    <x v="3"/>
    <x v="4"/>
    <x v="2"/>
    <x v="0"/>
    <x v="1"/>
    <x v="5"/>
    <n v="0"/>
    <n v="0"/>
    <n v="14.94"/>
    <n v="14.94"/>
    <n v="14.94"/>
    <n v="14.94"/>
    <n v="0"/>
    <s v="CATIVO"/>
    <n v="0"/>
    <n v="0"/>
    <n v="17"/>
    <n v="54"/>
    <n v="0"/>
    <n v="72.489999999999995"/>
    <n v="92.15"/>
    <m/>
    <n v="74.641108889990974"/>
    <n v="73.725391594098298"/>
    <n v="0"/>
    <n v="4568.0544"/>
    <n v="0"/>
    <n v="4116.5345320028318"/>
    <x v="5"/>
  </r>
  <r>
    <s v="Regular"/>
    <x v="1"/>
    <x v="1"/>
    <x v="3"/>
    <x v="4"/>
    <x v="2"/>
    <x v="0"/>
    <x v="1"/>
    <x v="6"/>
    <n v="0"/>
    <n v="0"/>
    <n v="15.06"/>
    <n v="15.06"/>
    <n v="15.06"/>
    <n v="15.06"/>
    <n v="1"/>
    <s v="CATIVO"/>
    <n v="0"/>
    <n v="0"/>
    <n v="17"/>
    <n v="54"/>
    <n v="0"/>
    <n v="72.489999999999995"/>
    <n v="92.15"/>
    <m/>
    <n v="74.641108889990974"/>
    <n v="73.725391594098298"/>
    <n v="0"/>
    <n v="4604.7456000000002"/>
    <n v="0"/>
    <n v="4149.5990663964294"/>
    <x v="5"/>
  </r>
  <r>
    <s v="Regular"/>
    <x v="1"/>
    <x v="1"/>
    <x v="3"/>
    <x v="4"/>
    <x v="2"/>
    <x v="0"/>
    <x v="1"/>
    <x v="7"/>
    <n v="0"/>
    <n v="0"/>
    <n v="15.42"/>
    <n v="15.42"/>
    <n v="15.42"/>
    <n v="15.42"/>
    <n v="1"/>
    <s v="CATIVO"/>
    <n v="0"/>
    <n v="0"/>
    <n v="17"/>
    <n v="54"/>
    <n v="0"/>
    <n v="72.489999999999995"/>
    <n v="92.15"/>
    <m/>
    <n v="74.641108889990974"/>
    <n v="73.725391594098298"/>
    <n v="0"/>
    <n v="4714.8191999999999"/>
    <n v="0"/>
    <n v="4248.7926695772203"/>
    <x v="5"/>
  </r>
  <r>
    <s v="Regular"/>
    <x v="1"/>
    <x v="1"/>
    <x v="3"/>
    <x v="4"/>
    <x v="2"/>
    <x v="0"/>
    <x v="1"/>
    <x v="8"/>
    <n v="0"/>
    <n v="0"/>
    <n v="15.72"/>
    <n v="15.72"/>
    <n v="15.72"/>
    <n v="15.72"/>
    <n v="0"/>
    <s v="CATIVO"/>
    <n v="0"/>
    <n v="0"/>
    <n v="17"/>
    <n v="54"/>
    <n v="0"/>
    <n v="72.489999999999995"/>
    <n v="92.15"/>
    <m/>
    <n v="74.641108889990974"/>
    <n v="73.725391594098298"/>
    <n v="0"/>
    <n v="4806.5472"/>
    <n v="0"/>
    <n v="4331.4540055612133"/>
    <x v="5"/>
  </r>
  <r>
    <s v="Regular"/>
    <x v="1"/>
    <x v="1"/>
    <x v="3"/>
    <x v="4"/>
    <x v="2"/>
    <x v="0"/>
    <x v="1"/>
    <x v="9"/>
    <n v="0"/>
    <n v="0"/>
    <n v="17.100000000000001"/>
    <n v="17.100000000000001"/>
    <n v="17.100000000000001"/>
    <n v="17.100000000000001"/>
    <n v="1"/>
    <s v="CATIVO"/>
    <n v="0"/>
    <n v="0"/>
    <n v="17"/>
    <n v="54"/>
    <n v="0"/>
    <n v="72.489999999999995"/>
    <n v="92.15"/>
    <m/>
    <n v="74.641108889990974"/>
    <n v="73.725391594098298"/>
    <n v="0"/>
    <n v="5228.4960000000001"/>
    <n v="0"/>
    <n v="4711.696151087579"/>
    <x v="5"/>
  </r>
  <r>
    <s v="Regular"/>
    <x v="1"/>
    <x v="1"/>
    <x v="3"/>
    <x v="4"/>
    <x v="2"/>
    <x v="0"/>
    <x v="1"/>
    <x v="10"/>
    <n v="0"/>
    <n v="0"/>
    <n v="25.65"/>
    <n v="25.65"/>
    <n v="25.65"/>
    <n v="25.65"/>
    <n v="2"/>
    <s v="CATIVO"/>
    <n v="0"/>
    <n v="0"/>
    <n v="17"/>
    <n v="54"/>
    <n v="0"/>
    <n v="72.489999999999995"/>
    <n v="92.15"/>
    <m/>
    <n v="74.641108889990974"/>
    <n v="73.725391594098298"/>
    <n v="0"/>
    <n v="7842.7439999999997"/>
    <n v="0"/>
    <n v="7067.5442266313676"/>
    <x v="5"/>
  </r>
  <r>
    <s v="Regular"/>
    <x v="1"/>
    <x v="1"/>
    <x v="3"/>
    <x v="4"/>
    <x v="2"/>
    <x v="0"/>
    <x v="1"/>
    <x v="11"/>
    <n v="0"/>
    <n v="0"/>
    <n v="26.34"/>
    <n v="26.34"/>
    <n v="26.34"/>
    <n v="26.34"/>
    <n v="1"/>
    <s v="CATIVO"/>
    <n v="0"/>
    <n v="0"/>
    <n v="17"/>
    <n v="54"/>
    <n v="0"/>
    <n v="72.489999999999995"/>
    <n v="92.15"/>
    <m/>
    <n v="74.641108889990974"/>
    <n v="73.725391594098298"/>
    <n v="0"/>
    <n v="8053.7183999999997"/>
    <n v="0"/>
    <n v="7257.6652993945509"/>
    <x v="5"/>
  </r>
  <r>
    <s v="Regular"/>
    <x v="1"/>
    <x v="1"/>
    <x v="3"/>
    <x v="5"/>
    <x v="2"/>
    <x v="0"/>
    <x v="1"/>
    <x v="0"/>
    <n v="0"/>
    <n v="0"/>
    <n v="30.431999999999999"/>
    <n v="30.431999999999999"/>
    <n v="30.431999999999999"/>
    <n v="30.431999999999999"/>
    <n v="128"/>
    <s v="CATIVO"/>
    <n v="0"/>
    <n v="0"/>
    <n v="18"/>
    <n v="55"/>
    <n v="0"/>
    <n v="124.26"/>
    <n v="157.97999999999999"/>
    <m/>
    <n v="127.95618666855596"/>
    <n v="126.38638558988279"/>
    <n v="0"/>
    <n v="5726.0851200000016"/>
    <n v="0"/>
    <n v="5160.1021059792065"/>
    <x v="5"/>
  </r>
  <r>
    <s v="Regular"/>
    <x v="1"/>
    <x v="1"/>
    <x v="3"/>
    <x v="5"/>
    <x v="2"/>
    <x v="0"/>
    <x v="1"/>
    <x v="1"/>
    <n v="0"/>
    <n v="0"/>
    <n v="31.23"/>
    <n v="31.23"/>
    <n v="31.23"/>
    <n v="31.23"/>
    <n v="111"/>
    <s v="CATIVO"/>
    <n v="0"/>
    <n v="0"/>
    <n v="18"/>
    <n v="55"/>
    <n v="0"/>
    <n v="124.26"/>
    <n v="157.97999999999999"/>
    <m/>
    <n v="127.95618666855596"/>
    <n v="126.38638558988279"/>
    <n v="0"/>
    <n v="5876.2368000000015"/>
    <n v="0"/>
    <n v="5295.4123544206959"/>
    <x v="5"/>
  </r>
  <r>
    <s v="Regular"/>
    <x v="1"/>
    <x v="1"/>
    <x v="3"/>
    <x v="5"/>
    <x v="2"/>
    <x v="0"/>
    <x v="1"/>
    <x v="2"/>
    <n v="0"/>
    <n v="0"/>
    <n v="31.652000000000001"/>
    <n v="31.652000000000001"/>
    <n v="31.652000000000001"/>
    <n v="31.652000000000001"/>
    <n v="114"/>
    <s v="CATIVO"/>
    <n v="0"/>
    <n v="0"/>
    <n v="18"/>
    <n v="55"/>
    <n v="0"/>
    <n v="124.26"/>
    <n v="157.97999999999999"/>
    <m/>
    <n v="127.95618666855596"/>
    <n v="126.38638558988279"/>
    <n v="0"/>
    <n v="5955.6403200000022"/>
    <n v="0"/>
    <n v="5366.9673980827365"/>
    <x v="5"/>
  </r>
  <r>
    <s v="Regular"/>
    <x v="1"/>
    <x v="1"/>
    <x v="3"/>
    <x v="5"/>
    <x v="2"/>
    <x v="0"/>
    <x v="1"/>
    <x v="3"/>
    <n v="0"/>
    <n v="0"/>
    <n v="31.445"/>
    <n v="31.445"/>
    <n v="31.445"/>
    <n v="31.445"/>
    <n v="134"/>
    <s v="CATIVO"/>
    <n v="0"/>
    <n v="0"/>
    <n v="18"/>
    <n v="55"/>
    <n v="0"/>
    <n v="124.26"/>
    <n v="157.97999999999999"/>
    <m/>
    <n v="127.95618666855596"/>
    <n v="126.38638558988279"/>
    <n v="0"/>
    <n v="5916.691200000002"/>
    <n v="0"/>
    <n v="5331.8681231110722"/>
    <x v="5"/>
  </r>
  <r>
    <s v="Regular"/>
    <x v="1"/>
    <x v="1"/>
    <x v="3"/>
    <x v="5"/>
    <x v="2"/>
    <x v="0"/>
    <x v="1"/>
    <x v="4"/>
    <n v="0"/>
    <n v="0"/>
    <n v="32.24"/>
    <n v="32.24"/>
    <n v="32.24"/>
    <n v="32.24"/>
    <n v="111"/>
    <s v="CATIVO"/>
    <n v="0"/>
    <n v="0"/>
    <n v="18"/>
    <n v="55"/>
    <n v="0"/>
    <n v="124.26"/>
    <n v="157.97999999999999"/>
    <m/>
    <n v="127.95618666855596"/>
    <n v="126.38638558988279"/>
    <n v="0"/>
    <n v="6066.278400000002"/>
    <n v="0"/>
    <n v="5466.669686408045"/>
    <x v="5"/>
  </r>
  <r>
    <s v="Regular"/>
    <x v="1"/>
    <x v="1"/>
    <x v="3"/>
    <x v="5"/>
    <x v="2"/>
    <x v="0"/>
    <x v="1"/>
    <x v="5"/>
    <n v="0"/>
    <n v="0"/>
    <n v="33.164000000000001"/>
    <n v="33.164000000000001"/>
    <n v="33.164000000000001"/>
    <n v="33.164000000000001"/>
    <n v="79"/>
    <s v="CATIVO"/>
    <n v="0"/>
    <n v="0"/>
    <n v="18"/>
    <n v="55"/>
    <n v="0"/>
    <n v="124.26"/>
    <n v="157.97999999999999"/>
    <m/>
    <n v="127.95618666855596"/>
    <n v="126.38638558988279"/>
    <n v="0"/>
    <n v="6240.138240000002"/>
    <n v="0"/>
    <n v="5623.344710919243"/>
    <x v="5"/>
  </r>
  <r>
    <s v="Regular"/>
    <x v="1"/>
    <x v="1"/>
    <x v="3"/>
    <x v="5"/>
    <x v="2"/>
    <x v="0"/>
    <x v="1"/>
    <x v="6"/>
    <n v="0"/>
    <n v="0"/>
    <n v="32.828000000000003"/>
    <n v="32.828000000000003"/>
    <n v="32.828000000000003"/>
    <n v="32.828000000000003"/>
    <n v="94"/>
    <s v="CATIVO"/>
    <n v="0"/>
    <n v="0"/>
    <n v="18"/>
    <n v="55"/>
    <n v="0"/>
    <n v="124.26"/>
    <n v="157.97999999999999"/>
    <m/>
    <n v="127.95618666855596"/>
    <n v="126.38638558988279"/>
    <n v="0"/>
    <n v="6176.9164800000026"/>
    <n v="0"/>
    <n v="5566.3719747333535"/>
    <x v="5"/>
  </r>
  <r>
    <s v="Regular"/>
    <x v="1"/>
    <x v="1"/>
    <x v="3"/>
    <x v="5"/>
    <x v="2"/>
    <x v="0"/>
    <x v="1"/>
    <x v="7"/>
    <n v="0"/>
    <n v="0"/>
    <n v="33.479999999999997"/>
    <n v="33.479999999999997"/>
    <n v="33.479999999999997"/>
    <n v="33.479999999999997"/>
    <n v="103"/>
    <s v="CATIVO"/>
    <n v="0"/>
    <n v="0"/>
    <n v="18"/>
    <n v="55"/>
    <n v="0"/>
    <n v="124.26"/>
    <n v="157.97999999999999"/>
    <m/>
    <n v="127.95618666855596"/>
    <n v="126.38638558988279"/>
    <n v="0"/>
    <n v="6299.5968000000012"/>
    <n v="0"/>
    <n v="5676.9262128083537"/>
    <x v="5"/>
  </r>
  <r>
    <s v="Regular"/>
    <x v="1"/>
    <x v="1"/>
    <x v="3"/>
    <x v="5"/>
    <x v="2"/>
    <x v="0"/>
    <x v="1"/>
    <x v="8"/>
    <n v="0"/>
    <n v="0"/>
    <n v="34.700000000000003"/>
    <n v="34.700000000000003"/>
    <n v="34.700000000000003"/>
    <n v="34.700000000000003"/>
    <n v="92"/>
    <s v="CATIVO"/>
    <n v="0"/>
    <n v="0"/>
    <n v="18"/>
    <n v="55"/>
    <n v="0"/>
    <n v="124.26"/>
    <n v="157.97999999999999"/>
    <m/>
    <n v="127.95618666855596"/>
    <n v="126.38638558988279"/>
    <n v="0"/>
    <n v="6529.1520000000028"/>
    <n v="0"/>
    <n v="5883.7915049118847"/>
    <x v="5"/>
  </r>
  <r>
    <s v="Regular"/>
    <x v="1"/>
    <x v="1"/>
    <x v="3"/>
    <x v="5"/>
    <x v="2"/>
    <x v="0"/>
    <x v="1"/>
    <x v="9"/>
    <n v="0"/>
    <n v="0"/>
    <n v="37.752000000000002"/>
    <n v="37.752000000000002"/>
    <n v="37.752000000000002"/>
    <n v="37.752000000000002"/>
    <n v="98"/>
    <s v="CATIVO"/>
    <n v="0"/>
    <n v="0"/>
    <n v="18"/>
    <n v="55"/>
    <n v="0"/>
    <n v="124.26"/>
    <n v="157.97999999999999"/>
    <m/>
    <n v="127.95618666855596"/>
    <n v="126.38638558988279"/>
    <n v="0"/>
    <n v="7103.4163200000021"/>
    <n v="0"/>
    <n v="6401.2938586003884"/>
    <x v="5"/>
  </r>
  <r>
    <s v="Regular"/>
    <x v="1"/>
    <x v="1"/>
    <x v="3"/>
    <x v="5"/>
    <x v="2"/>
    <x v="0"/>
    <x v="1"/>
    <x v="10"/>
    <n v="0"/>
    <n v="0"/>
    <n v="55.347000000000001"/>
    <n v="55.347000000000001"/>
    <n v="55.347000000000001"/>
    <n v="55.347000000000001"/>
    <n v="165"/>
    <s v="CATIVO"/>
    <n v="0"/>
    <n v="0"/>
    <n v="18"/>
    <n v="55"/>
    <n v="0"/>
    <n v="124.26"/>
    <n v="157.97999999999999"/>
    <m/>
    <n v="127.95618666855596"/>
    <n v="126.38638558988279"/>
    <n v="0"/>
    <n v="10414.091520000004"/>
    <n v="0"/>
    <n v="9384.7322311918761"/>
    <x v="5"/>
  </r>
  <r>
    <s v="Regular"/>
    <x v="1"/>
    <x v="1"/>
    <x v="3"/>
    <x v="5"/>
    <x v="2"/>
    <x v="0"/>
    <x v="1"/>
    <x v="11"/>
    <n v="0"/>
    <n v="0"/>
    <n v="57.487000000000002"/>
    <n v="57.487000000000002"/>
    <n v="57.487000000000002"/>
    <n v="57.487000000000002"/>
    <n v="157"/>
    <s v="CATIVO"/>
    <n v="0"/>
    <n v="0"/>
    <n v="18"/>
    <n v="55"/>
    <n v="0"/>
    <n v="124.26"/>
    <n v="157.97999999999999"/>
    <m/>
    <n v="127.95618666855596"/>
    <n v="126.38638558988279"/>
    <n v="0"/>
    <n v="10816.753920000003"/>
    <n v="0"/>
    <n v="9747.5943009472485"/>
    <x v="5"/>
  </r>
  <r>
    <s v="Regular"/>
    <x v="1"/>
    <x v="1"/>
    <x v="3"/>
    <x v="6"/>
    <x v="2"/>
    <x v="0"/>
    <x v="1"/>
    <x v="0"/>
    <n v="0"/>
    <n v="0"/>
    <n v="20.859000000000002"/>
    <n v="20.859000000000002"/>
    <n v="20.859000000000002"/>
    <n v="20.859000000000002"/>
    <n v="304"/>
    <s v="CATIVO"/>
    <n v="0"/>
    <n v="0"/>
    <n v="19"/>
    <n v="56"/>
    <n v="0"/>
    <n v="186.4"/>
    <n v="236.96"/>
    <m/>
    <n v="191.93428000283396"/>
    <n v="189.5795783848242"/>
    <n v="0"/>
    <n v="981.20735999999988"/>
    <n v="0"/>
    <n v="884.22195245646276"/>
    <x v="5"/>
  </r>
  <r>
    <s v="Regular"/>
    <x v="1"/>
    <x v="1"/>
    <x v="3"/>
    <x v="6"/>
    <x v="2"/>
    <x v="0"/>
    <x v="1"/>
    <x v="1"/>
    <n v="0"/>
    <n v="0"/>
    <n v="24.350999999999999"/>
    <n v="24.350999999999999"/>
    <n v="24.350999999999999"/>
    <n v="24.350999999999999"/>
    <n v="315"/>
    <s v="CATIVO"/>
    <n v="0"/>
    <n v="0"/>
    <n v="19"/>
    <n v="56"/>
    <n v="0"/>
    <n v="186.4"/>
    <n v="236.96"/>
    <m/>
    <n v="191.93428000283396"/>
    <n v="189.5795783848242"/>
    <n v="0"/>
    <n v="1145.4710399999997"/>
    <n v="0"/>
    <n v="1032.2493295108741"/>
    <x v="5"/>
  </r>
  <r>
    <s v="Regular"/>
    <x v="1"/>
    <x v="1"/>
    <x v="3"/>
    <x v="6"/>
    <x v="2"/>
    <x v="0"/>
    <x v="1"/>
    <x v="2"/>
    <n v="0"/>
    <n v="0"/>
    <n v="26.155999999999999"/>
    <n v="26.155999999999999"/>
    <n v="26.155999999999999"/>
    <n v="26.155999999999999"/>
    <n v="304"/>
    <s v="CATIVO"/>
    <n v="0"/>
    <n v="0"/>
    <n v="19"/>
    <n v="56"/>
    <n v="0"/>
    <n v="186.4"/>
    <n v="236.96"/>
    <m/>
    <n v="191.93428000283396"/>
    <n v="189.5795783848242"/>
    <n v="0"/>
    <n v="1230.3782399999998"/>
    <n v="0"/>
    <n v="1108.7640533319543"/>
    <x v="5"/>
  </r>
  <r>
    <s v="Refaturamento - Regular"/>
    <x v="1"/>
    <x v="1"/>
    <x v="3"/>
    <x v="6"/>
    <x v="2"/>
    <x v="0"/>
    <x v="1"/>
    <x v="2"/>
    <n v="0"/>
    <n v="0"/>
    <n v="-8.8999999999999996E-2"/>
    <n v="-8.8999999999999996E-2"/>
    <n v="-8.8999999999999996E-2"/>
    <n v="-8.8999999999999996E-2"/>
    <n v="0"/>
    <s v="CATIVO"/>
    <n v="0"/>
    <n v="0"/>
    <n v="19"/>
    <n v="56"/>
    <n v="0"/>
    <n v="186.4"/>
    <n v="236.96"/>
    <m/>
    <n v="191.93428000283396"/>
    <n v="189.5795783848242"/>
    <n v="0"/>
    <n v="-4.1865599999999992"/>
    <n v="0"/>
    <n v="-3.7727481551668429"/>
    <x v="5"/>
  </r>
  <r>
    <s v="Regular"/>
    <x v="1"/>
    <x v="1"/>
    <x v="3"/>
    <x v="6"/>
    <x v="2"/>
    <x v="0"/>
    <x v="1"/>
    <x v="3"/>
    <n v="0"/>
    <n v="0"/>
    <n v="23.449000000000002"/>
    <n v="23.449000000000002"/>
    <n v="23.449000000000002"/>
    <n v="23.449000000000002"/>
    <n v="297"/>
    <s v="CATIVO"/>
    <n v="0"/>
    <n v="0"/>
    <n v="19"/>
    <n v="56"/>
    <n v="0"/>
    <n v="186.4"/>
    <n v="236.96"/>
    <m/>
    <n v="191.93428000283396"/>
    <n v="189.5795783848242"/>
    <n v="0"/>
    <n v="1103.0409599999998"/>
    <n v="0"/>
    <n v="994.01316281468883"/>
    <x v="5"/>
  </r>
  <r>
    <s v="Regular"/>
    <x v="1"/>
    <x v="1"/>
    <x v="3"/>
    <x v="6"/>
    <x v="2"/>
    <x v="0"/>
    <x v="1"/>
    <x v="4"/>
    <n v="0"/>
    <n v="0"/>
    <n v="27.283000000000001"/>
    <n v="27.283000000000001"/>
    <n v="27.283000000000001"/>
    <n v="27.283000000000001"/>
    <n v="299"/>
    <s v="CATIVO"/>
    <n v="0"/>
    <n v="0"/>
    <n v="19"/>
    <n v="56"/>
    <n v="0"/>
    <n v="186.4"/>
    <n v="236.96"/>
    <m/>
    <n v="191.93428000283396"/>
    <n v="189.5795783848242"/>
    <n v="0"/>
    <n v="1283.3923199999999"/>
    <n v="0"/>
    <n v="1156.5380664878312"/>
    <x v="5"/>
  </r>
  <r>
    <s v="Regular"/>
    <x v="1"/>
    <x v="1"/>
    <x v="3"/>
    <x v="6"/>
    <x v="2"/>
    <x v="0"/>
    <x v="1"/>
    <x v="5"/>
    <n v="0"/>
    <n v="0"/>
    <n v="32.040999999999997"/>
    <n v="32.040999999999997"/>
    <n v="32.040999999999997"/>
    <n v="32.040999999999997"/>
    <n v="305"/>
    <s v="CATIVO"/>
    <n v="0"/>
    <n v="0"/>
    <n v="19"/>
    <n v="56"/>
    <n v="0"/>
    <n v="186.4"/>
    <n v="236.96"/>
    <m/>
    <n v="191.93428000283396"/>
    <n v="189.5795783848242"/>
    <n v="0"/>
    <n v="1507.2086399999996"/>
    <n v="0"/>
    <n v="1358.231726288773"/>
    <x v="5"/>
  </r>
  <r>
    <s v="Regular"/>
    <x v="1"/>
    <x v="1"/>
    <x v="3"/>
    <x v="6"/>
    <x v="2"/>
    <x v="0"/>
    <x v="1"/>
    <x v="6"/>
    <n v="0"/>
    <n v="0"/>
    <n v="29.46"/>
    <n v="29.46"/>
    <n v="29.46"/>
    <n v="29.46"/>
    <n v="313"/>
    <s v="CATIVO"/>
    <n v="0"/>
    <n v="0"/>
    <n v="19"/>
    <n v="56"/>
    <n v="0"/>
    <n v="186.4"/>
    <n v="236.96"/>
    <m/>
    <n v="191.93428000283396"/>
    <n v="189.5795783848242"/>
    <n v="0"/>
    <n v="1385.7983999999999"/>
    <n v="0"/>
    <n v="1248.8220297889347"/>
    <x v="5"/>
  </r>
  <r>
    <s v="Regular"/>
    <x v="1"/>
    <x v="1"/>
    <x v="3"/>
    <x v="6"/>
    <x v="2"/>
    <x v="0"/>
    <x v="1"/>
    <x v="7"/>
    <n v="0"/>
    <n v="0"/>
    <n v="27.106999999999999"/>
    <n v="27.106999999999999"/>
    <n v="27.106999999999999"/>
    <n v="27.106999999999999"/>
    <n v="335"/>
    <s v="CATIVO"/>
    <n v="0"/>
    <n v="0"/>
    <n v="19"/>
    <n v="56"/>
    <n v="0"/>
    <n v="186.4"/>
    <n v="236.96"/>
    <m/>
    <n v="191.93428000283396"/>
    <n v="189.5795783848242"/>
    <n v="0"/>
    <n v="1275.1132799999998"/>
    <n v="0"/>
    <n v="1149.077351034917"/>
    <x v="5"/>
  </r>
  <r>
    <s v="Regular"/>
    <x v="1"/>
    <x v="1"/>
    <x v="3"/>
    <x v="6"/>
    <x v="2"/>
    <x v="0"/>
    <x v="1"/>
    <x v="8"/>
    <n v="0"/>
    <n v="0"/>
    <n v="30.98"/>
    <n v="30.98"/>
    <n v="30.98"/>
    <n v="30.98"/>
    <n v="318"/>
    <s v="CATIVO"/>
    <n v="0"/>
    <n v="0"/>
    <n v="19"/>
    <n v="56"/>
    <n v="0"/>
    <n v="186.4"/>
    <n v="236.96"/>
    <m/>
    <n v="191.93428000283396"/>
    <n v="189.5795783848242"/>
    <n v="0"/>
    <n v="1457.2991999999997"/>
    <n v="0"/>
    <n v="1313.2554814277394"/>
    <x v="5"/>
  </r>
  <r>
    <s v="Regular"/>
    <x v="1"/>
    <x v="1"/>
    <x v="3"/>
    <x v="6"/>
    <x v="2"/>
    <x v="0"/>
    <x v="1"/>
    <x v="9"/>
    <n v="0"/>
    <n v="0"/>
    <n v="33.667999999999999"/>
    <n v="33.667999999999999"/>
    <n v="33.667999999999999"/>
    <n v="33.667999999999999"/>
    <n v="361"/>
    <s v="CATIVO"/>
    <n v="0"/>
    <n v="0"/>
    <n v="19"/>
    <n v="56"/>
    <n v="0"/>
    <n v="186.4"/>
    <n v="236.96"/>
    <m/>
    <n v="191.93428000283396"/>
    <n v="189.5795783848242"/>
    <n v="0"/>
    <n v="1583.7427199999997"/>
    <n v="0"/>
    <n v="1427.2009537995198"/>
    <x v="5"/>
  </r>
  <r>
    <s v="Regular"/>
    <x v="1"/>
    <x v="1"/>
    <x v="3"/>
    <x v="6"/>
    <x v="2"/>
    <x v="0"/>
    <x v="1"/>
    <x v="10"/>
    <n v="0"/>
    <n v="0"/>
    <n v="50.784999999999997"/>
    <n v="50.784999999999997"/>
    <n v="50.784999999999997"/>
    <n v="50.784999999999997"/>
    <n v="505"/>
    <s v="CATIVO"/>
    <n v="0"/>
    <n v="0"/>
    <n v="19"/>
    <n v="56"/>
    <n v="0"/>
    <n v="186.4"/>
    <n v="236.96"/>
    <m/>
    <n v="191.93428000283396"/>
    <n v="189.5795783848242"/>
    <n v="0"/>
    <n v="2388.9263999999994"/>
    <n v="0"/>
    <n v="2152.7979220241359"/>
    <x v="5"/>
  </r>
  <r>
    <s v="Regular"/>
    <x v="1"/>
    <x v="1"/>
    <x v="3"/>
    <x v="6"/>
    <x v="2"/>
    <x v="0"/>
    <x v="1"/>
    <x v="11"/>
    <n v="0"/>
    <n v="0"/>
    <n v="54.502000000000002"/>
    <n v="54.502000000000002"/>
    <n v="54.502000000000002"/>
    <n v="54.502000000000002"/>
    <n v="518"/>
    <s v="CATIVO"/>
    <n v="0"/>
    <n v="0"/>
    <n v="19"/>
    <n v="56"/>
    <n v="0"/>
    <n v="186.4"/>
    <n v="236.96"/>
    <m/>
    <n v="191.93428000283396"/>
    <n v="189.5795783848242"/>
    <n v="0"/>
    <n v="2563.7740799999997"/>
    <n v="0"/>
    <n v="2310.3631455382392"/>
    <x v="5"/>
  </r>
  <r>
    <s v="Regular"/>
    <x v="1"/>
    <x v="1"/>
    <x v="3"/>
    <x v="7"/>
    <x v="2"/>
    <x v="0"/>
    <x v="1"/>
    <x v="0"/>
    <n v="0"/>
    <n v="0"/>
    <n v="2.774"/>
    <n v="2.774"/>
    <n v="2.774"/>
    <n v="2.774"/>
    <n v="46"/>
    <s v="CATIVO"/>
    <n v="0"/>
    <n v="0"/>
    <n v="20"/>
    <n v="57"/>
    <n v="0"/>
    <n v="207.11"/>
    <n v="263.29000000000002"/>
    <m/>
    <n v="213.26031111425993"/>
    <n v="210.64397598313801"/>
    <n v="0"/>
    <n v="0"/>
    <n v="0"/>
    <n v="7.8841821959940717E-14"/>
    <x v="5"/>
  </r>
  <r>
    <s v="Regular"/>
    <x v="1"/>
    <x v="1"/>
    <x v="3"/>
    <x v="7"/>
    <x v="2"/>
    <x v="0"/>
    <x v="1"/>
    <x v="1"/>
    <n v="0"/>
    <n v="0"/>
    <n v="3.8330000000000002"/>
    <n v="3.8330000000000002"/>
    <n v="3.8330000000000002"/>
    <n v="3.8330000000000002"/>
    <n v="60"/>
    <s v="CATIVO"/>
    <n v="0"/>
    <n v="0"/>
    <n v="20"/>
    <n v="57"/>
    <n v="0"/>
    <n v="207.11"/>
    <n v="263.29000000000002"/>
    <m/>
    <n v="213.26031111425993"/>
    <n v="210.64397598313801"/>
    <n v="0"/>
    <n v="0"/>
    <n v="0"/>
    <n v="1.0894041224673857E-13"/>
    <x v="5"/>
  </r>
  <r>
    <s v="Regular"/>
    <x v="1"/>
    <x v="1"/>
    <x v="3"/>
    <x v="7"/>
    <x v="2"/>
    <x v="0"/>
    <x v="1"/>
    <x v="2"/>
    <n v="0"/>
    <n v="0"/>
    <n v="4.3470000000000004"/>
    <n v="4.3470000000000004"/>
    <n v="4.3470000000000004"/>
    <n v="4.3470000000000004"/>
    <n v="73"/>
    <s v="CATIVO"/>
    <n v="0"/>
    <n v="0"/>
    <n v="20"/>
    <n v="57"/>
    <n v="0"/>
    <n v="207.11"/>
    <n v="263.29000000000002"/>
    <m/>
    <n v="213.26031111425993"/>
    <n v="210.64397598313801"/>
    <n v="0"/>
    <n v="0"/>
    <n v="0"/>
    <n v="1.2354917089396623E-13"/>
    <x v="5"/>
  </r>
  <r>
    <s v="Refaturamento - Regular"/>
    <x v="1"/>
    <x v="1"/>
    <x v="3"/>
    <x v="7"/>
    <x v="2"/>
    <x v="0"/>
    <x v="1"/>
    <x v="2"/>
    <n v="0"/>
    <n v="0"/>
    <n v="-1.0999999999999999E-2"/>
    <n v="-1.0999999999999999E-2"/>
    <n v="-1.0999999999999999E-2"/>
    <n v="-1.0999999999999999E-2"/>
    <n v="0"/>
    <s v="CATIVO"/>
    <n v="0"/>
    <n v="0"/>
    <n v="20"/>
    <n v="57"/>
    <n v="0"/>
    <n v="207.11"/>
    <n v="263.29000000000002"/>
    <m/>
    <n v="213.26031111425993"/>
    <n v="210.64397598313801"/>
    <n v="0"/>
    <n v="0"/>
    <n v="0"/>
    <n v="-3.1263880373444406E-16"/>
    <x v="5"/>
  </r>
  <r>
    <s v="Regular"/>
    <x v="1"/>
    <x v="1"/>
    <x v="3"/>
    <x v="7"/>
    <x v="2"/>
    <x v="0"/>
    <x v="1"/>
    <x v="3"/>
    <n v="0"/>
    <n v="0"/>
    <n v="4.085"/>
    <n v="4.085"/>
    <n v="4.085"/>
    <n v="4.085"/>
    <n v="64"/>
    <s v="CATIVO"/>
    <n v="0"/>
    <n v="0"/>
    <n v="20"/>
    <n v="57"/>
    <n v="0"/>
    <n v="207.11"/>
    <n v="263.29000000000002"/>
    <m/>
    <n v="213.26031111425993"/>
    <n v="210.64397598313801"/>
    <n v="0"/>
    <n v="0"/>
    <n v="0"/>
    <n v="1.1610268302320037E-13"/>
    <x v="5"/>
  </r>
  <r>
    <s v="Regular"/>
    <x v="1"/>
    <x v="1"/>
    <x v="3"/>
    <x v="7"/>
    <x v="2"/>
    <x v="0"/>
    <x v="1"/>
    <x v="4"/>
    <n v="0"/>
    <n v="0"/>
    <n v="5.5570000000000004"/>
    <n v="5.5570000000000004"/>
    <n v="5.5570000000000004"/>
    <n v="5.5570000000000004"/>
    <n v="85"/>
    <s v="CATIVO"/>
    <n v="0"/>
    <n v="0"/>
    <n v="20"/>
    <n v="57"/>
    <n v="0"/>
    <n v="207.11"/>
    <n v="263.29000000000002"/>
    <m/>
    <n v="213.26031111425993"/>
    <n v="210.64397598313801"/>
    <n v="0"/>
    <n v="0"/>
    <n v="0"/>
    <n v="1.5793943930475508E-13"/>
    <x v="5"/>
  </r>
  <r>
    <s v="Regular"/>
    <x v="1"/>
    <x v="1"/>
    <x v="3"/>
    <x v="7"/>
    <x v="2"/>
    <x v="0"/>
    <x v="1"/>
    <x v="5"/>
    <n v="0"/>
    <n v="0"/>
    <n v="7.4669999999999996"/>
    <n v="7.4669999999999996"/>
    <n v="7.4669999999999996"/>
    <n v="7.4669999999999996"/>
    <n v="114"/>
    <s v="CATIVO"/>
    <n v="0"/>
    <n v="0"/>
    <n v="20"/>
    <n v="57"/>
    <n v="0"/>
    <n v="207.11"/>
    <n v="263.29000000000002"/>
    <m/>
    <n v="213.26031111425993"/>
    <n v="210.64397598313801"/>
    <n v="0"/>
    <n v="0"/>
    <n v="0"/>
    <n v="2.1222490431682671E-13"/>
    <x v="5"/>
  </r>
  <r>
    <s v="Regular"/>
    <x v="1"/>
    <x v="1"/>
    <x v="3"/>
    <x v="7"/>
    <x v="2"/>
    <x v="0"/>
    <x v="1"/>
    <x v="6"/>
    <n v="0"/>
    <n v="0"/>
    <n v="6.1790000000000003"/>
    <n v="6.1790000000000003"/>
    <n v="6.1790000000000003"/>
    <n v="6.1790000000000003"/>
    <n v="94"/>
    <s v="CATIVO"/>
    <n v="0"/>
    <n v="0"/>
    <n v="20"/>
    <n v="57"/>
    <n v="0"/>
    <n v="207.11"/>
    <n v="263.29000000000002"/>
    <m/>
    <n v="213.26031111425993"/>
    <n v="210.64397598313801"/>
    <n v="0"/>
    <n v="0"/>
    <n v="0"/>
    <n v="1.7561774257046637E-13"/>
    <x v="5"/>
  </r>
  <r>
    <s v="Regular"/>
    <x v="1"/>
    <x v="1"/>
    <x v="3"/>
    <x v="7"/>
    <x v="2"/>
    <x v="0"/>
    <x v="1"/>
    <x v="7"/>
    <n v="0"/>
    <n v="0"/>
    <n v="5.0010000000000003"/>
    <n v="5.0010000000000003"/>
    <n v="5.0010000000000003"/>
    <n v="5.0010000000000003"/>
    <n v="75"/>
    <s v="CATIVO"/>
    <n v="0"/>
    <n v="0"/>
    <n v="20"/>
    <n v="57"/>
    <n v="0"/>
    <n v="207.11"/>
    <n v="263.29000000000002"/>
    <m/>
    <n v="213.26031111425993"/>
    <n v="210.64397598313801"/>
    <n v="0"/>
    <n v="0"/>
    <n v="0"/>
    <n v="1.4213696886145045E-13"/>
    <x v="5"/>
  </r>
  <r>
    <s v="Regular"/>
    <x v="1"/>
    <x v="1"/>
    <x v="3"/>
    <x v="7"/>
    <x v="2"/>
    <x v="0"/>
    <x v="1"/>
    <x v="8"/>
    <n v="0"/>
    <n v="0"/>
    <n v="8.1170000000000009"/>
    <n v="8.1170000000000009"/>
    <n v="8.1170000000000009"/>
    <n v="8.1170000000000009"/>
    <n v="114"/>
    <s v="CATIVO"/>
    <n v="0"/>
    <n v="0"/>
    <n v="20"/>
    <n v="57"/>
    <n v="0"/>
    <n v="207.11"/>
    <n v="263.29000000000002"/>
    <m/>
    <n v="213.26031111425993"/>
    <n v="210.64397598313801"/>
    <n v="0"/>
    <n v="0"/>
    <n v="0"/>
    <n v="2.3069901544658935E-13"/>
    <x v="5"/>
  </r>
  <r>
    <s v="Regular"/>
    <x v="1"/>
    <x v="1"/>
    <x v="3"/>
    <x v="7"/>
    <x v="2"/>
    <x v="0"/>
    <x v="1"/>
    <x v="9"/>
    <n v="0"/>
    <n v="0"/>
    <n v="8.1470000000000002"/>
    <n v="8.1470000000000002"/>
    <n v="8.1470000000000002"/>
    <n v="8.1470000000000002"/>
    <n v="110"/>
    <s v="CATIVO"/>
    <n v="0"/>
    <n v="0"/>
    <n v="20"/>
    <n v="57"/>
    <n v="0"/>
    <n v="207.11"/>
    <n v="263.29000000000002"/>
    <m/>
    <n v="213.26031111425993"/>
    <n v="210.64397598313801"/>
    <n v="0"/>
    <n v="0"/>
    <n v="0"/>
    <n v="2.3155166672950146E-13"/>
    <x v="5"/>
  </r>
  <r>
    <s v="Regular"/>
    <x v="1"/>
    <x v="1"/>
    <x v="3"/>
    <x v="7"/>
    <x v="2"/>
    <x v="0"/>
    <x v="1"/>
    <x v="10"/>
    <n v="0"/>
    <n v="0"/>
    <n v="14.984"/>
    <n v="14.984"/>
    <n v="14.984"/>
    <n v="14.984"/>
    <n v="183"/>
    <s v="CATIVO"/>
    <n v="0"/>
    <n v="0"/>
    <n v="20"/>
    <n v="57"/>
    <n v="0"/>
    <n v="207.11"/>
    <n v="263.29000000000002"/>
    <m/>
    <n v="213.26031111425993"/>
    <n v="210.64397598313801"/>
    <n v="0"/>
    <n v="0"/>
    <n v="0"/>
    <n v="4.2587089410517365E-13"/>
    <x v="5"/>
  </r>
  <r>
    <s v="Regular"/>
    <x v="1"/>
    <x v="1"/>
    <x v="3"/>
    <x v="7"/>
    <x v="2"/>
    <x v="0"/>
    <x v="1"/>
    <x v="11"/>
    <n v="0"/>
    <n v="0"/>
    <n v="15.241"/>
    <n v="15.241"/>
    <n v="15.241"/>
    <n v="15.241"/>
    <n v="202"/>
    <s v="CATIVO"/>
    <n v="0"/>
    <n v="0"/>
    <n v="20"/>
    <n v="57"/>
    <n v="0"/>
    <n v="207.11"/>
    <n v="263.29000000000002"/>
    <m/>
    <n v="213.26031111425993"/>
    <n v="210.64397598313801"/>
    <n v="0"/>
    <n v="0"/>
    <n v="0"/>
    <n v="4.3317527342878747E-13"/>
    <x v="5"/>
  </r>
  <r>
    <s v="Regular"/>
    <x v="2"/>
    <x v="2"/>
    <x v="1"/>
    <x v="0"/>
    <x v="2"/>
    <x v="0"/>
    <x v="0"/>
    <x v="0"/>
    <n v="0"/>
    <n v="0"/>
    <n v="0.33300000000000002"/>
    <n v="0.33300000000000002"/>
    <n v="0.33300000000000002"/>
    <n v="0.33300000000000002"/>
    <n v="0"/>
    <s v="CATIVO"/>
    <n v="0"/>
    <n v="0"/>
    <n v="28"/>
    <n v="65"/>
    <n v="0"/>
    <n v="164.71"/>
    <n v="231.7"/>
    <m/>
    <n v="218.62401641895264"/>
    <n v="198.0053374241497"/>
    <n v="0"/>
    <n v="8.4258210638297868"/>
    <n v="0"/>
    <n v="8.8555898827501967"/>
    <x v="2"/>
  </r>
  <r>
    <s v="Regular"/>
    <x v="2"/>
    <x v="2"/>
    <x v="1"/>
    <x v="0"/>
    <x v="2"/>
    <x v="0"/>
    <x v="0"/>
    <x v="1"/>
    <n v="0"/>
    <n v="0"/>
    <n v="0.33400000000000002"/>
    <n v="0.33400000000000002"/>
    <n v="0.33400000000000002"/>
    <n v="0.33400000000000002"/>
    <n v="0"/>
    <s v="CATIVO"/>
    <n v="0"/>
    <n v="0"/>
    <n v="28"/>
    <n v="65"/>
    <n v="0"/>
    <n v="164.71"/>
    <n v="231.7"/>
    <m/>
    <n v="218.62401641895264"/>
    <n v="198.0053374241497"/>
    <n v="0"/>
    <n v="8.4511238297872335"/>
    <n v="0"/>
    <n v="8.8821832457614569"/>
    <x v="2"/>
  </r>
  <r>
    <s v="Regular"/>
    <x v="2"/>
    <x v="2"/>
    <x v="1"/>
    <x v="0"/>
    <x v="2"/>
    <x v="0"/>
    <x v="0"/>
    <x v="2"/>
    <n v="0"/>
    <n v="0"/>
    <n v="0.32"/>
    <n v="0.32"/>
    <n v="0.32"/>
    <n v="0.32"/>
    <n v="0"/>
    <s v="CATIVO"/>
    <n v="0"/>
    <n v="0"/>
    <n v="28"/>
    <n v="65"/>
    <n v="0"/>
    <n v="164.71"/>
    <n v="231.7"/>
    <m/>
    <n v="218.62401641895264"/>
    <n v="198.0053374241497"/>
    <n v="0"/>
    <n v="8.0968851063829792"/>
    <n v="0"/>
    <n v="8.5098761636037921"/>
    <x v="2"/>
  </r>
  <r>
    <s v="Regular"/>
    <x v="2"/>
    <x v="2"/>
    <x v="1"/>
    <x v="0"/>
    <x v="2"/>
    <x v="0"/>
    <x v="0"/>
    <x v="3"/>
    <n v="0"/>
    <n v="0"/>
    <n v="0.38"/>
    <n v="0.38"/>
    <n v="0.38"/>
    <n v="0.38"/>
    <n v="0"/>
    <s v="CATIVO"/>
    <n v="0"/>
    <n v="0"/>
    <n v="28"/>
    <n v="65"/>
    <n v="0"/>
    <n v="164.71"/>
    <n v="231.7"/>
    <m/>
    <n v="218.62401641895264"/>
    <n v="198.0053374241497"/>
    <n v="0"/>
    <n v="9.6150510638297852"/>
    <n v="0"/>
    <n v="10.105477944279503"/>
    <x v="2"/>
  </r>
  <r>
    <s v="Regular"/>
    <x v="2"/>
    <x v="2"/>
    <x v="1"/>
    <x v="0"/>
    <x v="2"/>
    <x v="0"/>
    <x v="0"/>
    <x v="4"/>
    <n v="0"/>
    <n v="0"/>
    <n v="0.45700000000000002"/>
    <n v="0.45700000000000002"/>
    <n v="0.45700000000000002"/>
    <n v="0.45700000000000002"/>
    <n v="0"/>
    <s v="CATIVO"/>
    <n v="0"/>
    <n v="0"/>
    <n v="28"/>
    <n v="65"/>
    <n v="0"/>
    <n v="164.71"/>
    <n v="231.7"/>
    <m/>
    <n v="218.62401641895264"/>
    <n v="198.0053374241497"/>
    <n v="0"/>
    <n v="11.563364042553195"/>
    <n v="0"/>
    <n v="12.153166896146667"/>
    <x v="2"/>
  </r>
  <r>
    <s v="Regular"/>
    <x v="2"/>
    <x v="2"/>
    <x v="1"/>
    <x v="0"/>
    <x v="2"/>
    <x v="0"/>
    <x v="0"/>
    <x v="5"/>
    <n v="0"/>
    <n v="0"/>
    <n v="0.44800000000000001"/>
    <n v="0.44800000000000001"/>
    <n v="0.44800000000000001"/>
    <n v="0.44800000000000001"/>
    <n v="0"/>
    <s v="CATIVO"/>
    <n v="0"/>
    <n v="0"/>
    <n v="28"/>
    <n v="65"/>
    <n v="0"/>
    <n v="164.71"/>
    <n v="231.7"/>
    <m/>
    <n v="218.62401641895264"/>
    <n v="198.0053374241497"/>
    <n v="0"/>
    <n v="11.335639148936169"/>
    <n v="0"/>
    <n v="11.91382662904531"/>
    <x v="2"/>
  </r>
  <r>
    <s v="Regular"/>
    <x v="2"/>
    <x v="2"/>
    <x v="1"/>
    <x v="0"/>
    <x v="2"/>
    <x v="0"/>
    <x v="0"/>
    <x v="6"/>
    <n v="0"/>
    <n v="0"/>
    <n v="0.47699999999999998"/>
    <n v="0.47699999999999998"/>
    <n v="0.47699999999999998"/>
    <n v="0.47699999999999998"/>
    <n v="0"/>
    <s v="CATIVO"/>
    <n v="0"/>
    <n v="0"/>
    <n v="28"/>
    <n v="65"/>
    <n v="0"/>
    <n v="164.71"/>
    <n v="231.7"/>
    <m/>
    <n v="218.62401641895264"/>
    <n v="198.0053374241497"/>
    <n v="0"/>
    <n v="12.069419361702126"/>
    <n v="0"/>
    <n v="12.685034156371904"/>
    <x v="2"/>
  </r>
  <r>
    <s v="Regular"/>
    <x v="2"/>
    <x v="2"/>
    <x v="1"/>
    <x v="0"/>
    <x v="2"/>
    <x v="0"/>
    <x v="0"/>
    <x v="7"/>
    <n v="0"/>
    <n v="0"/>
    <n v="0.432"/>
    <n v="0.432"/>
    <n v="0.432"/>
    <n v="0.432"/>
    <n v="0"/>
    <s v="CATIVO"/>
    <n v="0"/>
    <n v="0"/>
    <n v="28"/>
    <n v="65"/>
    <n v="0"/>
    <n v="164.71"/>
    <n v="231.7"/>
    <m/>
    <n v="218.62401641895264"/>
    <n v="198.0053374241497"/>
    <n v="0"/>
    <n v="10.930794893617021"/>
    <n v="0"/>
    <n v="11.488332820865121"/>
    <x v="2"/>
  </r>
  <r>
    <s v="Regular"/>
    <x v="2"/>
    <x v="2"/>
    <x v="1"/>
    <x v="0"/>
    <x v="2"/>
    <x v="0"/>
    <x v="0"/>
    <x v="8"/>
    <n v="0"/>
    <n v="0"/>
    <n v="0.42499999999999999"/>
    <n v="0.42499999999999999"/>
    <n v="0.42499999999999999"/>
    <n v="0.42499999999999999"/>
    <n v="0"/>
    <s v="CATIVO"/>
    <n v="0"/>
    <n v="0"/>
    <n v="28"/>
    <n v="65"/>
    <n v="0"/>
    <n v="164.71"/>
    <n v="231.7"/>
    <m/>
    <n v="218.62401641895264"/>
    <n v="198.0053374241497"/>
    <n v="0"/>
    <n v="10.753675531914892"/>
    <n v="0"/>
    <n v="11.302179279786285"/>
    <x v="2"/>
  </r>
  <r>
    <s v="Regular"/>
    <x v="2"/>
    <x v="2"/>
    <x v="1"/>
    <x v="0"/>
    <x v="2"/>
    <x v="0"/>
    <x v="0"/>
    <x v="9"/>
    <n v="0"/>
    <n v="0"/>
    <n v="0.46800000000000003"/>
    <n v="0.46800000000000003"/>
    <n v="0.46800000000000003"/>
    <n v="0.46800000000000003"/>
    <n v="0"/>
    <s v="CATIVO"/>
    <n v="0"/>
    <n v="0"/>
    <n v="28"/>
    <n v="65"/>
    <n v="0"/>
    <n v="164.71"/>
    <n v="231.7"/>
    <m/>
    <n v="218.62401641895264"/>
    <n v="198.0053374241497"/>
    <n v="0"/>
    <n v="11.841694468085105"/>
    <n v="0"/>
    <n v="12.445693889270547"/>
    <x v="2"/>
  </r>
  <r>
    <s v="Regular"/>
    <x v="2"/>
    <x v="2"/>
    <x v="1"/>
    <x v="0"/>
    <x v="2"/>
    <x v="0"/>
    <x v="0"/>
    <x v="10"/>
    <n v="0"/>
    <n v="0"/>
    <n v="0.56699999999999995"/>
    <n v="0.56699999999999995"/>
    <n v="0.56699999999999995"/>
    <n v="0.56699999999999995"/>
    <n v="0"/>
    <s v="CATIVO"/>
    <n v="0"/>
    <n v="0"/>
    <n v="28"/>
    <n v="65"/>
    <n v="0"/>
    <n v="164.71"/>
    <n v="231.7"/>
    <m/>
    <n v="218.62401641895264"/>
    <n v="198.0053374241497"/>
    <n v="0"/>
    <n v="14.346668297872339"/>
    <n v="0"/>
    <n v="15.078436827385469"/>
    <x v="2"/>
  </r>
  <r>
    <s v="Regular"/>
    <x v="2"/>
    <x v="2"/>
    <x v="1"/>
    <x v="0"/>
    <x v="2"/>
    <x v="0"/>
    <x v="0"/>
    <x v="11"/>
    <n v="0"/>
    <n v="0"/>
    <n v="0.45500000000000002"/>
    <n v="0.45500000000000002"/>
    <n v="0.45500000000000002"/>
    <n v="0.45500000000000002"/>
    <n v="0"/>
    <s v="CATIVO"/>
    <n v="0"/>
    <n v="0"/>
    <n v="28"/>
    <n v="65"/>
    <n v="0"/>
    <n v="164.71"/>
    <n v="231.7"/>
    <m/>
    <n v="218.62401641895264"/>
    <n v="198.0053374241497"/>
    <n v="0"/>
    <n v="11.512758510638299"/>
    <n v="0"/>
    <n v="12.099980170124145"/>
    <x v="2"/>
  </r>
  <r>
    <s v="Regular"/>
    <x v="2"/>
    <x v="2"/>
    <x v="1"/>
    <x v="0"/>
    <x v="2"/>
    <x v="0"/>
    <x v="3"/>
    <x v="0"/>
    <n v="0"/>
    <n v="0"/>
    <n v="3.5000000000000003E-2"/>
    <n v="3.5000000000000003E-2"/>
    <n v="3.5000000000000003E-2"/>
    <n v="3.5000000000000003E-2"/>
    <n v="0"/>
    <s v="CATIVO"/>
    <n v="0"/>
    <n v="0"/>
    <n v="27"/>
    <n v="64"/>
    <n v="0"/>
    <n v="350.83"/>
    <n v="231.7"/>
    <m/>
    <n v="419.74084307814246"/>
    <n v="198.0053374241497"/>
    <n v="0"/>
    <n v="1.3013968085106384"/>
    <n v="0"/>
    <n v="1.3800712543136318"/>
    <x v="2"/>
  </r>
  <r>
    <s v="Regular"/>
    <x v="2"/>
    <x v="2"/>
    <x v="1"/>
    <x v="0"/>
    <x v="2"/>
    <x v="0"/>
    <x v="3"/>
    <x v="1"/>
    <n v="0"/>
    <n v="0"/>
    <n v="3.5999999999999997E-2"/>
    <n v="3.5999999999999997E-2"/>
    <n v="3.5999999999999997E-2"/>
    <n v="3.5999999999999997E-2"/>
    <n v="0"/>
    <s v="CATIVO"/>
    <n v="0"/>
    <n v="0"/>
    <n v="27"/>
    <n v="64"/>
    <n v="0"/>
    <n v="350.83"/>
    <n v="231.7"/>
    <m/>
    <n v="419.74084307814246"/>
    <n v="198.0053374241497"/>
    <n v="0"/>
    <n v="1.3385795744680848"/>
    <n v="0"/>
    <n v="1.419501861579735"/>
    <x v="2"/>
  </r>
  <r>
    <s v="Regular"/>
    <x v="2"/>
    <x v="2"/>
    <x v="1"/>
    <x v="0"/>
    <x v="2"/>
    <x v="0"/>
    <x v="3"/>
    <x v="2"/>
    <n v="0"/>
    <n v="0"/>
    <n v="3.4000000000000002E-2"/>
    <n v="3.4000000000000002E-2"/>
    <n v="3.4000000000000002E-2"/>
    <n v="3.4000000000000002E-2"/>
    <n v="0"/>
    <s v="CATIVO"/>
    <n v="0"/>
    <n v="0"/>
    <n v="27"/>
    <n v="64"/>
    <n v="0"/>
    <n v="350.83"/>
    <n v="231.7"/>
    <m/>
    <n v="419.74084307814246"/>
    <n v="198.0053374241497"/>
    <n v="0"/>
    <n v="1.2642140425531916"/>
    <n v="0"/>
    <n v="1.3406406470475278"/>
    <x v="2"/>
  </r>
  <r>
    <s v="Regular"/>
    <x v="2"/>
    <x v="2"/>
    <x v="1"/>
    <x v="0"/>
    <x v="2"/>
    <x v="0"/>
    <x v="3"/>
    <x v="3"/>
    <n v="0"/>
    <n v="0"/>
    <n v="3.9E-2"/>
    <n v="3.9E-2"/>
    <n v="3.9E-2"/>
    <n v="3.9E-2"/>
    <n v="0"/>
    <s v="CATIVO"/>
    <n v="0"/>
    <n v="0"/>
    <n v="27"/>
    <n v="64"/>
    <n v="0"/>
    <n v="350.83"/>
    <n v="231.7"/>
    <m/>
    <n v="419.74084307814246"/>
    <n v="198.0053374241497"/>
    <n v="0"/>
    <n v="1.4501278723404254"/>
    <n v="0"/>
    <n v="1.5377936833780466"/>
    <x v="2"/>
  </r>
  <r>
    <s v="Regular"/>
    <x v="2"/>
    <x v="2"/>
    <x v="1"/>
    <x v="0"/>
    <x v="2"/>
    <x v="0"/>
    <x v="3"/>
    <x v="4"/>
    <n v="0"/>
    <n v="0"/>
    <n v="0.16400000000000001"/>
    <n v="0.16400000000000001"/>
    <n v="0.16400000000000001"/>
    <n v="0.16400000000000001"/>
    <n v="0"/>
    <s v="CATIVO"/>
    <n v="0"/>
    <n v="0"/>
    <n v="27"/>
    <n v="64"/>
    <n v="0"/>
    <n v="350.83"/>
    <n v="231.7"/>
    <m/>
    <n v="419.74084307814246"/>
    <n v="198.0053374241497"/>
    <n v="0"/>
    <n v="6.0979736170212764"/>
    <n v="0"/>
    <n v="6.4666195916410159"/>
    <x v="2"/>
  </r>
  <r>
    <s v="Regular"/>
    <x v="2"/>
    <x v="2"/>
    <x v="1"/>
    <x v="0"/>
    <x v="2"/>
    <x v="0"/>
    <x v="3"/>
    <x v="5"/>
    <n v="0"/>
    <n v="0"/>
    <n v="3.2000000000000001E-2"/>
    <n v="3.2000000000000001E-2"/>
    <n v="3.2000000000000001E-2"/>
    <n v="3.2000000000000001E-2"/>
    <n v="0"/>
    <s v="CATIVO"/>
    <n v="0"/>
    <n v="0"/>
    <n v="27"/>
    <n v="64"/>
    <n v="0"/>
    <n v="350.83"/>
    <n v="231.7"/>
    <m/>
    <n v="419.74084307814246"/>
    <n v="198.0053374241497"/>
    <n v="0"/>
    <n v="1.1898485106382979"/>
    <n v="0"/>
    <n v="1.2617794325153202"/>
    <x v="2"/>
  </r>
  <r>
    <s v="Regular"/>
    <x v="2"/>
    <x v="2"/>
    <x v="1"/>
    <x v="0"/>
    <x v="2"/>
    <x v="0"/>
    <x v="3"/>
    <x v="6"/>
    <n v="0"/>
    <n v="0"/>
    <n v="3.1E-2"/>
    <n v="3.1E-2"/>
    <n v="3.1E-2"/>
    <n v="3.1E-2"/>
    <n v="0"/>
    <s v="CATIVO"/>
    <n v="0"/>
    <n v="0"/>
    <n v="27"/>
    <n v="64"/>
    <n v="0"/>
    <n v="350.83"/>
    <n v="231.7"/>
    <m/>
    <n v="419.74084307814246"/>
    <n v="198.0053374241497"/>
    <n v="0"/>
    <n v="1.152665744680851"/>
    <n v="0"/>
    <n v="1.2223488252492165"/>
    <x v="2"/>
  </r>
  <r>
    <s v="Regular"/>
    <x v="2"/>
    <x v="2"/>
    <x v="1"/>
    <x v="0"/>
    <x v="2"/>
    <x v="0"/>
    <x v="3"/>
    <x v="7"/>
    <n v="0"/>
    <n v="0"/>
    <n v="3.4000000000000002E-2"/>
    <n v="3.4000000000000002E-2"/>
    <n v="3.4000000000000002E-2"/>
    <n v="3.4000000000000002E-2"/>
    <n v="0"/>
    <s v="CATIVO"/>
    <n v="0"/>
    <n v="0"/>
    <n v="27"/>
    <n v="64"/>
    <n v="0"/>
    <n v="350.83"/>
    <n v="231.7"/>
    <m/>
    <n v="419.74084307814246"/>
    <n v="198.0053374241497"/>
    <n v="0"/>
    <n v="1.2642140425531916"/>
    <n v="0"/>
    <n v="1.3406406470475278"/>
    <x v="2"/>
  </r>
  <r>
    <s v="Regular"/>
    <x v="2"/>
    <x v="2"/>
    <x v="1"/>
    <x v="0"/>
    <x v="2"/>
    <x v="0"/>
    <x v="3"/>
    <x v="8"/>
    <n v="0"/>
    <n v="0"/>
    <n v="3.5000000000000003E-2"/>
    <n v="3.5000000000000003E-2"/>
    <n v="3.5000000000000003E-2"/>
    <n v="3.5000000000000003E-2"/>
    <n v="0"/>
    <s v="CATIVO"/>
    <n v="0"/>
    <n v="0"/>
    <n v="27"/>
    <n v="64"/>
    <n v="0"/>
    <n v="350.83"/>
    <n v="231.7"/>
    <m/>
    <n v="419.74084307814246"/>
    <n v="198.0053374241497"/>
    <n v="0"/>
    <n v="1.3013968085106384"/>
    <n v="0"/>
    <n v="1.3800712543136318"/>
    <x v="2"/>
  </r>
  <r>
    <s v="Regular"/>
    <x v="2"/>
    <x v="2"/>
    <x v="1"/>
    <x v="0"/>
    <x v="2"/>
    <x v="0"/>
    <x v="3"/>
    <x v="9"/>
    <n v="0"/>
    <n v="0"/>
    <n v="4.4999999999999998E-2"/>
    <n v="4.4999999999999998E-2"/>
    <n v="4.4999999999999998E-2"/>
    <n v="4.4999999999999998E-2"/>
    <n v="0"/>
    <s v="CATIVO"/>
    <n v="0"/>
    <n v="0"/>
    <n v="27"/>
    <n v="64"/>
    <n v="0"/>
    <n v="350.83"/>
    <n v="231.7"/>
    <m/>
    <n v="419.74084307814246"/>
    <n v="198.0053374241497"/>
    <n v="0"/>
    <n v="1.6732244680851061"/>
    <n v="0"/>
    <n v="1.7743773269746688"/>
    <x v="2"/>
  </r>
  <r>
    <s v="Regular"/>
    <x v="2"/>
    <x v="2"/>
    <x v="1"/>
    <x v="0"/>
    <x v="2"/>
    <x v="0"/>
    <x v="3"/>
    <x v="10"/>
    <n v="0"/>
    <n v="0"/>
    <n v="4.4999999999999998E-2"/>
    <n v="4.4999999999999998E-2"/>
    <n v="4.4999999999999998E-2"/>
    <n v="4.4999999999999998E-2"/>
    <n v="0"/>
    <s v="CATIVO"/>
    <n v="0"/>
    <n v="0"/>
    <n v="27"/>
    <n v="64"/>
    <n v="0"/>
    <n v="350.83"/>
    <n v="231.7"/>
    <m/>
    <n v="419.74084307814246"/>
    <n v="198.0053374241497"/>
    <n v="0"/>
    <n v="1.6732244680851061"/>
    <n v="0"/>
    <n v="1.7743773269746688"/>
    <x v="2"/>
  </r>
  <r>
    <s v="Regular"/>
    <x v="2"/>
    <x v="2"/>
    <x v="1"/>
    <x v="0"/>
    <x v="2"/>
    <x v="0"/>
    <x v="3"/>
    <x v="11"/>
    <n v="0"/>
    <n v="0"/>
    <n v="4.7E-2"/>
    <n v="4.7E-2"/>
    <n v="4.7E-2"/>
    <n v="4.7E-2"/>
    <n v="0"/>
    <s v="CATIVO"/>
    <n v="0"/>
    <n v="0"/>
    <n v="27"/>
    <n v="64"/>
    <n v="0"/>
    <n v="350.83"/>
    <n v="231.7"/>
    <m/>
    <n v="419.74084307814246"/>
    <n v="198.0053374241497"/>
    <n v="0"/>
    <n v="1.74759"/>
    <n v="0"/>
    <n v="1.8532385415068764"/>
    <x v="2"/>
  </r>
  <r>
    <s v="Regular"/>
    <x v="2"/>
    <x v="2"/>
    <x v="1"/>
    <x v="0"/>
    <x v="2"/>
    <x v="0"/>
    <x v="2"/>
    <x v="0"/>
    <n v="0"/>
    <n v="0"/>
    <n v="6.0999999999999999E-2"/>
    <n v="6.0999999999999999E-2"/>
    <n v="6.0999999999999999E-2"/>
    <n v="6.0999999999999999E-2"/>
    <n v="0"/>
    <s v="CATIVO"/>
    <n v="0"/>
    <n v="0"/>
    <n v="26"/>
    <n v="63"/>
    <n v="0"/>
    <n v="536.95000000000005"/>
    <n v="231.7"/>
    <m/>
    <n v="620.85778527662399"/>
    <n v="198.0053374241497"/>
    <n v="0"/>
    <n v="2.9928287234042554"/>
    <n v="0"/>
    <n v="3.1883393926434374"/>
    <x v="2"/>
  </r>
  <r>
    <s v="Regular"/>
    <x v="2"/>
    <x v="2"/>
    <x v="1"/>
    <x v="0"/>
    <x v="2"/>
    <x v="0"/>
    <x v="2"/>
    <x v="1"/>
    <n v="0"/>
    <n v="0"/>
    <n v="7.4999999999999997E-2"/>
    <n v="7.4999999999999997E-2"/>
    <n v="7.4999999999999997E-2"/>
    <n v="7.4999999999999997E-2"/>
    <n v="0"/>
    <s v="CATIVO"/>
    <n v="0"/>
    <n v="0"/>
    <n v="26"/>
    <n v="63"/>
    <n v="0"/>
    <n v="536.95000000000005"/>
    <n v="231.7"/>
    <m/>
    <n v="620.85778527662399"/>
    <n v="198.0053374241497"/>
    <n v="0"/>
    <n v="3.6797074468085107"/>
    <n v="0"/>
    <n v="3.9200894171845544"/>
    <x v="2"/>
  </r>
  <r>
    <s v="Regular"/>
    <x v="2"/>
    <x v="2"/>
    <x v="1"/>
    <x v="0"/>
    <x v="2"/>
    <x v="0"/>
    <x v="2"/>
    <x v="2"/>
    <n v="0"/>
    <n v="0"/>
    <n v="6.5000000000000002E-2"/>
    <n v="6.5000000000000002E-2"/>
    <n v="6.5000000000000002E-2"/>
    <n v="6.5000000000000002E-2"/>
    <n v="0"/>
    <s v="CATIVO"/>
    <n v="0"/>
    <n v="0"/>
    <n v="26"/>
    <n v="63"/>
    <n v="0"/>
    <n v="536.95000000000005"/>
    <n v="231.7"/>
    <m/>
    <n v="620.85778527662399"/>
    <n v="198.0053374241497"/>
    <n v="0"/>
    <n v="3.1890797872340428"/>
    <n v="0"/>
    <n v="3.3974108282266142"/>
    <x v="2"/>
  </r>
  <r>
    <s v="Regular"/>
    <x v="2"/>
    <x v="2"/>
    <x v="1"/>
    <x v="0"/>
    <x v="2"/>
    <x v="0"/>
    <x v="2"/>
    <x v="3"/>
    <n v="0"/>
    <n v="0"/>
    <n v="7.9000000000000001E-2"/>
    <n v="7.9000000000000001E-2"/>
    <n v="7.9000000000000001E-2"/>
    <n v="7.9000000000000001E-2"/>
    <n v="0"/>
    <s v="CATIVO"/>
    <n v="0"/>
    <n v="0"/>
    <n v="26"/>
    <n v="63"/>
    <n v="0"/>
    <n v="536.95000000000005"/>
    <n v="231.7"/>
    <m/>
    <n v="620.85778527662399"/>
    <n v="198.0053374241497"/>
    <n v="0"/>
    <n v="3.8759585106382985"/>
    <n v="0"/>
    <n v="4.1291608527677308"/>
    <x v="2"/>
  </r>
  <r>
    <s v="Regular"/>
    <x v="2"/>
    <x v="2"/>
    <x v="1"/>
    <x v="0"/>
    <x v="2"/>
    <x v="0"/>
    <x v="2"/>
    <x v="4"/>
    <n v="0"/>
    <n v="0"/>
    <n v="7.0999999999999994E-2"/>
    <n v="7.0999999999999994E-2"/>
    <n v="7.0999999999999994E-2"/>
    <n v="7.0999999999999994E-2"/>
    <n v="0"/>
    <s v="CATIVO"/>
    <n v="0"/>
    <n v="0"/>
    <n v="26"/>
    <n v="63"/>
    <n v="0"/>
    <n v="536.95000000000005"/>
    <n v="231.7"/>
    <m/>
    <n v="620.85778527662399"/>
    <n v="198.0053374241497"/>
    <n v="0"/>
    <n v="3.4834563829787233"/>
    <n v="0"/>
    <n v="3.711017981601378"/>
    <x v="2"/>
  </r>
  <r>
    <s v="Regular"/>
    <x v="2"/>
    <x v="2"/>
    <x v="1"/>
    <x v="0"/>
    <x v="2"/>
    <x v="0"/>
    <x v="2"/>
    <x v="5"/>
    <n v="0"/>
    <n v="0"/>
    <n v="6.2E-2"/>
    <n v="6.2E-2"/>
    <n v="6.2E-2"/>
    <n v="6.2E-2"/>
    <n v="0"/>
    <s v="CATIVO"/>
    <n v="0"/>
    <n v="0"/>
    <n v="26"/>
    <n v="63"/>
    <n v="0"/>
    <n v="536.95000000000005"/>
    <n v="231.7"/>
    <m/>
    <n v="620.85778527662399"/>
    <n v="198.0053374241497"/>
    <n v="0"/>
    <n v="3.041891489361702"/>
    <n v="0"/>
    <n v="3.2406072515392323"/>
    <x v="2"/>
  </r>
  <r>
    <s v="Regular"/>
    <x v="2"/>
    <x v="2"/>
    <x v="1"/>
    <x v="0"/>
    <x v="2"/>
    <x v="0"/>
    <x v="2"/>
    <x v="6"/>
    <n v="0"/>
    <n v="0"/>
    <n v="4.9000000000000002E-2"/>
    <n v="4.9000000000000002E-2"/>
    <n v="4.9000000000000002E-2"/>
    <n v="4.9000000000000002E-2"/>
    <n v="0"/>
    <s v="CATIVO"/>
    <n v="0"/>
    <n v="0"/>
    <n v="26"/>
    <n v="63"/>
    <n v="0"/>
    <n v="536.95000000000005"/>
    <n v="231.7"/>
    <m/>
    <n v="620.85778527662399"/>
    <n v="198.0053374241497"/>
    <n v="0"/>
    <n v="2.4040755319148941"/>
    <n v="0"/>
    <n v="2.5611250858939094"/>
    <x v="2"/>
  </r>
  <r>
    <s v="Regular"/>
    <x v="2"/>
    <x v="2"/>
    <x v="1"/>
    <x v="0"/>
    <x v="2"/>
    <x v="0"/>
    <x v="2"/>
    <x v="7"/>
    <n v="0"/>
    <n v="0"/>
    <n v="4.9000000000000002E-2"/>
    <n v="4.9000000000000002E-2"/>
    <n v="4.9000000000000002E-2"/>
    <n v="4.9000000000000002E-2"/>
    <n v="0"/>
    <s v="CATIVO"/>
    <n v="0"/>
    <n v="0"/>
    <n v="26"/>
    <n v="63"/>
    <n v="0"/>
    <n v="536.95000000000005"/>
    <n v="231.7"/>
    <m/>
    <n v="620.85778527662399"/>
    <n v="198.0053374241497"/>
    <n v="0"/>
    <n v="2.4040755319148941"/>
    <n v="0"/>
    <n v="2.5611250858939094"/>
    <x v="2"/>
  </r>
  <r>
    <s v="Regular"/>
    <x v="2"/>
    <x v="2"/>
    <x v="1"/>
    <x v="0"/>
    <x v="2"/>
    <x v="0"/>
    <x v="2"/>
    <x v="8"/>
    <n v="0"/>
    <n v="0"/>
    <n v="5.5E-2"/>
    <n v="5.5E-2"/>
    <n v="5.5E-2"/>
    <n v="5.5E-2"/>
    <n v="0"/>
    <s v="CATIVO"/>
    <n v="0"/>
    <n v="0"/>
    <n v="26"/>
    <n v="63"/>
    <n v="0"/>
    <n v="536.95000000000005"/>
    <n v="231.7"/>
    <m/>
    <n v="620.85778527662399"/>
    <n v="198.0053374241497"/>
    <n v="0"/>
    <n v="2.6984521276595745"/>
    <n v="0"/>
    <n v="2.8747322392686732"/>
    <x v="2"/>
  </r>
  <r>
    <s v="Regular"/>
    <x v="2"/>
    <x v="2"/>
    <x v="1"/>
    <x v="0"/>
    <x v="2"/>
    <x v="0"/>
    <x v="2"/>
    <x v="9"/>
    <n v="0"/>
    <n v="0"/>
    <n v="6.6000000000000003E-2"/>
    <n v="6.6000000000000003E-2"/>
    <n v="6.6000000000000003E-2"/>
    <n v="6.6000000000000003E-2"/>
    <n v="0"/>
    <s v="CATIVO"/>
    <n v="0"/>
    <n v="0"/>
    <n v="26"/>
    <n v="63"/>
    <n v="0"/>
    <n v="536.95000000000005"/>
    <n v="231.7"/>
    <m/>
    <n v="620.85778527662399"/>
    <n v="198.0053374241497"/>
    <n v="0"/>
    <n v="3.2381425531914898"/>
    <n v="0"/>
    <n v="3.4496786871224088"/>
    <x v="2"/>
  </r>
  <r>
    <s v="Regular"/>
    <x v="2"/>
    <x v="2"/>
    <x v="1"/>
    <x v="0"/>
    <x v="2"/>
    <x v="0"/>
    <x v="2"/>
    <x v="10"/>
    <n v="0"/>
    <n v="0"/>
    <n v="0.08"/>
    <n v="0.08"/>
    <n v="0.08"/>
    <n v="0.08"/>
    <n v="0"/>
    <s v="CATIVO"/>
    <n v="0"/>
    <n v="0"/>
    <n v="26"/>
    <n v="63"/>
    <n v="0"/>
    <n v="536.95000000000005"/>
    <n v="231.7"/>
    <m/>
    <n v="620.85778527662399"/>
    <n v="198.0053374241497"/>
    <n v="0"/>
    <n v="3.9250212765957446"/>
    <n v="0"/>
    <n v="4.1814287116635249"/>
    <x v="2"/>
  </r>
  <r>
    <s v="Regular"/>
    <x v="2"/>
    <x v="2"/>
    <x v="1"/>
    <x v="0"/>
    <x v="2"/>
    <x v="0"/>
    <x v="2"/>
    <x v="11"/>
    <n v="0"/>
    <n v="0"/>
    <n v="7.6999999999999999E-2"/>
    <n v="7.6999999999999999E-2"/>
    <n v="7.6999999999999999E-2"/>
    <n v="7.6999999999999999E-2"/>
    <n v="0"/>
    <s v="CATIVO"/>
    <n v="0"/>
    <n v="0"/>
    <n v="26"/>
    <n v="63"/>
    <n v="0"/>
    <n v="536.95000000000005"/>
    <n v="231.7"/>
    <m/>
    <n v="620.85778527662399"/>
    <n v="198.0053374241497"/>
    <n v="0"/>
    <n v="3.7778329787234046"/>
    <n v="0"/>
    <n v="4.0246251349761435"/>
    <x v="2"/>
  </r>
  <r>
    <s v="Regular"/>
    <x v="2"/>
    <x v="1"/>
    <x v="1"/>
    <x v="1"/>
    <x v="3"/>
    <x v="0"/>
    <x v="1"/>
    <x v="0"/>
    <n v="0"/>
    <n v="0"/>
    <n v="55.582000000000001"/>
    <n v="55.582000000000001"/>
    <n v="55.582000000000001"/>
    <n v="55.582000000000001"/>
    <n v="0"/>
    <s v="CATIVO"/>
    <n v="0"/>
    <n v="0"/>
    <n v="29"/>
    <n v="66"/>
    <n v="0"/>
    <n v="240.85"/>
    <n v="231.7"/>
    <m/>
    <n v="300.89907966262189"/>
    <n v="198.0053374241497"/>
    <n v="0"/>
    <n v="3581.1482600000004"/>
    <n v="0"/>
    <n v="1770.0067219478949"/>
    <x v="2"/>
  </r>
  <r>
    <s v="Regular"/>
    <x v="2"/>
    <x v="1"/>
    <x v="1"/>
    <x v="1"/>
    <x v="3"/>
    <x v="0"/>
    <x v="1"/>
    <x v="1"/>
    <n v="0"/>
    <n v="0"/>
    <n v="54.146000000000001"/>
    <n v="54.146000000000001"/>
    <n v="54.146000000000001"/>
    <n v="54.146000000000001"/>
    <n v="0"/>
    <s v="CATIVO"/>
    <n v="0"/>
    <n v="0"/>
    <n v="29"/>
    <n v="66"/>
    <n v="0"/>
    <n v="240.85"/>
    <n v="231.7"/>
    <m/>
    <n v="300.89907966262189"/>
    <n v="198.0053374241497"/>
    <n v="0"/>
    <n v="3488.6267800000005"/>
    <n v="0"/>
    <n v="1724.2773553774732"/>
    <x v="2"/>
  </r>
  <r>
    <s v="Regular"/>
    <x v="2"/>
    <x v="1"/>
    <x v="1"/>
    <x v="1"/>
    <x v="3"/>
    <x v="0"/>
    <x v="1"/>
    <x v="2"/>
    <n v="0"/>
    <n v="0"/>
    <n v="45.243000000000002"/>
    <n v="45.243000000000002"/>
    <n v="45.243000000000002"/>
    <n v="45.243000000000002"/>
    <n v="0"/>
    <s v="CATIVO"/>
    <n v="0"/>
    <n v="0"/>
    <n v="29"/>
    <n v="66"/>
    <n v="0"/>
    <n v="240.85"/>
    <n v="231.7"/>
    <m/>
    <n v="300.89907966262189"/>
    <n v="198.0053374241497"/>
    <n v="0"/>
    <n v="2915.0064900000007"/>
    <n v="0"/>
    <n v="1440.7616516334174"/>
    <x v="2"/>
  </r>
  <r>
    <s v="Regular"/>
    <x v="2"/>
    <x v="1"/>
    <x v="1"/>
    <x v="1"/>
    <x v="3"/>
    <x v="0"/>
    <x v="1"/>
    <x v="3"/>
    <n v="0"/>
    <n v="0"/>
    <n v="58.381999999999998"/>
    <n v="58.381999999999998"/>
    <n v="58.381999999999998"/>
    <n v="58.381999999999998"/>
    <n v="0"/>
    <s v="CATIVO"/>
    <n v="0"/>
    <n v="0"/>
    <n v="29"/>
    <n v="66"/>
    <n v="0"/>
    <n v="240.85"/>
    <n v="231.7"/>
    <m/>
    <n v="300.89907966262189"/>
    <n v="198.0053374241497"/>
    <n v="0"/>
    <n v="3761.5522600000004"/>
    <n v="0"/>
    <n v="1859.1726177676585"/>
    <x v="2"/>
  </r>
  <r>
    <s v="Sistema de Compensação"/>
    <x v="2"/>
    <x v="1"/>
    <x v="1"/>
    <x v="1"/>
    <x v="3"/>
    <x v="0"/>
    <x v="1"/>
    <x v="3"/>
    <n v="0"/>
    <n v="0"/>
    <n v="0.99299999999999999"/>
    <n v="0.99299999999999999"/>
    <n v="0.99299999999999999"/>
    <n v="0.99299999999999999"/>
    <n v="0"/>
    <s v="CATIVO"/>
    <n v="0"/>
    <n v="0"/>
    <n v="29"/>
    <n v="66"/>
    <n v="0"/>
    <n v="240.85"/>
    <n v="231.7"/>
    <m/>
    <n v="300.89907966262189"/>
    <n v="198.0053374241497"/>
    <n v="0"/>
    <n v="63.978990000000003"/>
    <n v="0"/>
    <n v="31.622048053223338"/>
    <x v="2"/>
  </r>
  <r>
    <s v="Regular"/>
    <x v="2"/>
    <x v="1"/>
    <x v="1"/>
    <x v="1"/>
    <x v="3"/>
    <x v="0"/>
    <x v="1"/>
    <x v="4"/>
    <n v="0"/>
    <n v="0"/>
    <n v="90.025000000000006"/>
    <n v="90.025000000000006"/>
    <n v="90.025000000000006"/>
    <n v="90.025000000000006"/>
    <n v="0"/>
    <s v="CATIVO"/>
    <n v="0"/>
    <n v="0"/>
    <n v="29"/>
    <n v="66"/>
    <n v="0"/>
    <n v="240.85"/>
    <n v="231.7"/>
    <m/>
    <n v="300.89907966262189"/>
    <n v="198.0053374241497"/>
    <n v="0"/>
    <n v="5800.3107500000006"/>
    <n v="0"/>
    <n v="2866.8427754193667"/>
    <x v="2"/>
  </r>
  <r>
    <s v="Sistema de Compensação"/>
    <x v="2"/>
    <x v="1"/>
    <x v="1"/>
    <x v="1"/>
    <x v="3"/>
    <x v="0"/>
    <x v="1"/>
    <x v="4"/>
    <n v="0"/>
    <n v="0"/>
    <n v="2.4279999999999999"/>
    <n v="2.4279999999999999"/>
    <n v="2.4279999999999999"/>
    <n v="2.4279999999999999"/>
    <n v="0"/>
    <s v="CATIVO"/>
    <n v="0"/>
    <n v="0"/>
    <n v="29"/>
    <n v="66"/>
    <n v="0"/>
    <n v="240.85"/>
    <n v="231.7"/>
    <m/>
    <n v="300.89907966262189"/>
    <n v="198.0053374241497"/>
    <n v="0"/>
    <n v="156.43604000000002"/>
    <n v="0"/>
    <n v="77.319569660852224"/>
    <x v="2"/>
  </r>
  <r>
    <s v="Regular"/>
    <x v="2"/>
    <x v="1"/>
    <x v="1"/>
    <x v="1"/>
    <x v="3"/>
    <x v="0"/>
    <x v="1"/>
    <x v="5"/>
    <n v="0"/>
    <n v="0"/>
    <n v="74.108000000000004"/>
    <n v="74.108000000000004"/>
    <n v="74.108000000000004"/>
    <n v="74.108000000000004"/>
    <n v="0"/>
    <s v="CATIVO"/>
    <n v="0"/>
    <n v="0"/>
    <n v="29"/>
    <n v="66"/>
    <n v="0"/>
    <n v="240.85"/>
    <n v="231.7"/>
    <m/>
    <n v="300.89907966262189"/>
    <n v="198.0053374241497"/>
    <n v="0"/>
    <n v="4774.778440000001"/>
    <n v="0"/>
    <n v="2359.9665026468028"/>
    <x v="2"/>
  </r>
  <r>
    <s v="Sistema de Compensação"/>
    <x v="2"/>
    <x v="1"/>
    <x v="1"/>
    <x v="1"/>
    <x v="3"/>
    <x v="0"/>
    <x v="1"/>
    <x v="5"/>
    <n v="0"/>
    <n v="0"/>
    <n v="0.1"/>
    <n v="0.1"/>
    <n v="0.1"/>
    <n v="0.1"/>
    <n v="0"/>
    <s v="CATIVO"/>
    <n v="0"/>
    <n v="0"/>
    <n v="29"/>
    <n v="66"/>
    <n v="0"/>
    <n v="240.85"/>
    <n v="231.7"/>
    <m/>
    <n v="300.89907966262189"/>
    <n v="198.0053374241497"/>
    <n v="0"/>
    <n v="6.4430000000000014"/>
    <n v="0"/>
    <n v="3.1844962792772749"/>
    <x v="2"/>
  </r>
  <r>
    <s v="Regular"/>
    <x v="2"/>
    <x v="1"/>
    <x v="1"/>
    <x v="1"/>
    <x v="3"/>
    <x v="0"/>
    <x v="1"/>
    <x v="6"/>
    <n v="0"/>
    <n v="0"/>
    <n v="28.56"/>
    <n v="28.56"/>
    <n v="28.56"/>
    <n v="28.56"/>
    <n v="0"/>
    <s v="CATIVO"/>
    <n v="0"/>
    <n v="0"/>
    <n v="29"/>
    <n v="66"/>
    <n v="0"/>
    <n v="240.85"/>
    <n v="231.7"/>
    <m/>
    <n v="300.89907966262189"/>
    <n v="198.0053374241497"/>
    <n v="0"/>
    <n v="1840.1208000000001"/>
    <n v="0"/>
    <n v="909.49213736158958"/>
    <x v="2"/>
  </r>
  <r>
    <s v="Sistema de Compensação"/>
    <x v="2"/>
    <x v="1"/>
    <x v="1"/>
    <x v="1"/>
    <x v="3"/>
    <x v="0"/>
    <x v="1"/>
    <x v="6"/>
    <n v="0"/>
    <n v="0"/>
    <n v="0.1"/>
    <n v="0.1"/>
    <n v="0.1"/>
    <n v="0.1"/>
    <n v="0"/>
    <s v="CATIVO"/>
    <n v="0"/>
    <n v="0"/>
    <n v="29"/>
    <n v="66"/>
    <n v="0"/>
    <n v="240.85"/>
    <n v="231.7"/>
    <m/>
    <n v="300.89907966262189"/>
    <n v="198.0053374241497"/>
    <n v="0"/>
    <n v="6.4430000000000014"/>
    <n v="0"/>
    <n v="3.1844962792772749"/>
    <x v="2"/>
  </r>
  <r>
    <s v="Regular"/>
    <x v="2"/>
    <x v="1"/>
    <x v="1"/>
    <x v="1"/>
    <x v="3"/>
    <x v="0"/>
    <x v="1"/>
    <x v="7"/>
    <n v="0"/>
    <n v="0"/>
    <n v="30.66"/>
    <n v="30.66"/>
    <n v="30.66"/>
    <n v="30.66"/>
    <n v="0"/>
    <s v="CATIVO"/>
    <n v="0"/>
    <n v="0"/>
    <n v="29"/>
    <n v="66"/>
    <n v="0"/>
    <n v="240.85"/>
    <n v="231.7"/>
    <m/>
    <n v="300.89907966262189"/>
    <n v="198.0053374241497"/>
    <n v="0"/>
    <n v="1975.4238000000003"/>
    <n v="0"/>
    <n v="976.36655922641239"/>
    <x v="2"/>
  </r>
  <r>
    <s v="Sistema de Compensação"/>
    <x v="2"/>
    <x v="1"/>
    <x v="1"/>
    <x v="1"/>
    <x v="3"/>
    <x v="0"/>
    <x v="1"/>
    <x v="7"/>
    <n v="0"/>
    <n v="0"/>
    <n v="0.1"/>
    <n v="0.1"/>
    <n v="0.1"/>
    <n v="0.1"/>
    <n v="0"/>
    <s v="CATIVO"/>
    <n v="0"/>
    <n v="0"/>
    <n v="29"/>
    <n v="66"/>
    <n v="0"/>
    <n v="240.85"/>
    <n v="231.7"/>
    <m/>
    <n v="300.89907966262189"/>
    <n v="198.0053374241497"/>
    <n v="0"/>
    <n v="6.4430000000000014"/>
    <n v="0"/>
    <n v="3.1844962792772749"/>
    <x v="2"/>
  </r>
  <r>
    <s v="Regular"/>
    <x v="2"/>
    <x v="1"/>
    <x v="1"/>
    <x v="1"/>
    <x v="3"/>
    <x v="0"/>
    <x v="1"/>
    <x v="8"/>
    <n v="0"/>
    <n v="0"/>
    <n v="29.619"/>
    <n v="29.619"/>
    <n v="29.619"/>
    <n v="29.619"/>
    <n v="0"/>
    <s v="CATIVO"/>
    <n v="0"/>
    <n v="0"/>
    <n v="29"/>
    <n v="66"/>
    <n v="0"/>
    <n v="240.85"/>
    <n v="231.7"/>
    <m/>
    <n v="300.89907966262189"/>
    <n v="198.0053374241497"/>
    <n v="0"/>
    <n v="1908.3521700000001"/>
    <n v="0"/>
    <n v="943.21595295913596"/>
    <x v="2"/>
  </r>
  <r>
    <s v="Sistema de Compensação"/>
    <x v="2"/>
    <x v="1"/>
    <x v="1"/>
    <x v="1"/>
    <x v="3"/>
    <x v="0"/>
    <x v="1"/>
    <x v="8"/>
    <n v="0"/>
    <n v="0"/>
    <n v="0.1"/>
    <n v="0.1"/>
    <n v="0.1"/>
    <n v="0.1"/>
    <n v="0"/>
    <s v="CATIVO"/>
    <n v="0"/>
    <n v="0"/>
    <n v="29"/>
    <n v="66"/>
    <n v="0"/>
    <n v="240.85"/>
    <n v="231.7"/>
    <m/>
    <n v="300.89907966262189"/>
    <n v="198.0053374241497"/>
    <n v="0"/>
    <n v="6.4430000000000014"/>
    <n v="0"/>
    <n v="3.1844962792772749"/>
    <x v="2"/>
  </r>
  <r>
    <s v="Regular"/>
    <x v="2"/>
    <x v="1"/>
    <x v="1"/>
    <x v="1"/>
    <x v="3"/>
    <x v="0"/>
    <x v="1"/>
    <x v="9"/>
    <n v="0"/>
    <n v="0"/>
    <n v="28.905000000000001"/>
    <n v="28.905000000000001"/>
    <n v="28.905000000000001"/>
    <n v="28.905000000000001"/>
    <n v="0"/>
    <s v="CATIVO"/>
    <n v="0"/>
    <n v="0"/>
    <n v="29"/>
    <n v="66"/>
    <n v="0"/>
    <n v="240.85"/>
    <n v="231.7"/>
    <m/>
    <n v="300.89907966262189"/>
    <n v="198.0053374241497"/>
    <n v="0"/>
    <n v="1862.3491500000002"/>
    <n v="0"/>
    <n v="920.47864952509633"/>
    <x v="2"/>
  </r>
  <r>
    <s v="Sistema de Compensação"/>
    <x v="2"/>
    <x v="1"/>
    <x v="1"/>
    <x v="1"/>
    <x v="3"/>
    <x v="0"/>
    <x v="1"/>
    <x v="9"/>
    <n v="0"/>
    <n v="0"/>
    <n v="0.1"/>
    <n v="0.1"/>
    <n v="0.1"/>
    <n v="0.1"/>
    <n v="0"/>
    <s v="CATIVO"/>
    <n v="0"/>
    <n v="0"/>
    <n v="29"/>
    <n v="66"/>
    <n v="0"/>
    <n v="240.85"/>
    <n v="231.7"/>
    <m/>
    <n v="300.89907966262189"/>
    <n v="198.0053374241497"/>
    <n v="0"/>
    <n v="6.4430000000000014"/>
    <n v="0"/>
    <n v="3.1844962792772749"/>
    <x v="2"/>
  </r>
  <r>
    <s v="Regular"/>
    <x v="2"/>
    <x v="1"/>
    <x v="1"/>
    <x v="1"/>
    <x v="3"/>
    <x v="0"/>
    <x v="1"/>
    <x v="10"/>
    <n v="0"/>
    <n v="0"/>
    <n v="36.325000000000003"/>
    <n v="36.325000000000003"/>
    <n v="36.325000000000003"/>
    <n v="36.325000000000003"/>
    <n v="0"/>
    <s v="CATIVO"/>
    <n v="0"/>
    <n v="0"/>
    <n v="29"/>
    <n v="66"/>
    <n v="0"/>
    <n v="240.85"/>
    <n v="231.7"/>
    <m/>
    <n v="300.89907966262189"/>
    <n v="198.0053374241497"/>
    <n v="0"/>
    <n v="2340.4197500000005"/>
    <n v="0"/>
    <n v="1156.7682734474702"/>
    <x v="2"/>
  </r>
  <r>
    <s v="Sistema de Compensação"/>
    <x v="2"/>
    <x v="1"/>
    <x v="1"/>
    <x v="1"/>
    <x v="3"/>
    <x v="0"/>
    <x v="1"/>
    <x v="10"/>
    <n v="0"/>
    <n v="0"/>
    <n v="0.1"/>
    <n v="0.1"/>
    <n v="0.1"/>
    <n v="0.1"/>
    <n v="0"/>
    <s v="CATIVO"/>
    <n v="0"/>
    <n v="0"/>
    <n v="29"/>
    <n v="66"/>
    <n v="0"/>
    <n v="240.85"/>
    <n v="231.7"/>
    <m/>
    <n v="300.89907966262189"/>
    <n v="198.0053374241497"/>
    <n v="0"/>
    <n v="6.4430000000000014"/>
    <n v="0"/>
    <n v="3.1844962792772749"/>
    <x v="2"/>
  </r>
  <r>
    <s v="Regular"/>
    <x v="2"/>
    <x v="1"/>
    <x v="1"/>
    <x v="1"/>
    <x v="3"/>
    <x v="0"/>
    <x v="1"/>
    <x v="11"/>
    <n v="0"/>
    <n v="0"/>
    <n v="41.151000000000003"/>
    <n v="41.151000000000003"/>
    <n v="41.151000000000003"/>
    <n v="41.151000000000003"/>
    <n v="0"/>
    <s v="CATIVO"/>
    <n v="0"/>
    <n v="0"/>
    <n v="29"/>
    <n v="66"/>
    <n v="0"/>
    <n v="240.85"/>
    <n v="231.7"/>
    <m/>
    <n v="300.89907966262189"/>
    <n v="198.0053374241497"/>
    <n v="0"/>
    <n v="2651.3589300000003"/>
    <n v="0"/>
    <n v="1310.4520638853915"/>
    <x v="2"/>
  </r>
  <r>
    <s v="Regular"/>
    <x v="2"/>
    <x v="1"/>
    <x v="1"/>
    <x v="1"/>
    <x v="1"/>
    <x v="0"/>
    <x v="1"/>
    <x v="0"/>
    <n v="0"/>
    <n v="0"/>
    <n v="28.654"/>
    <n v="11.461600000000001"/>
    <n v="28.654"/>
    <n v="11.461600000000001"/>
    <n v="0"/>
    <s v="CATIVO"/>
    <n v="0"/>
    <n v="0"/>
    <n v="29"/>
    <n v="66"/>
    <n v="0"/>
    <n v="240.85"/>
    <n v="231.7"/>
    <m/>
    <n v="300.89907966262189"/>
    <n v="198.0053374241497"/>
    <n v="0"/>
    <n v="9970.4458399999985"/>
    <n v="0"/>
    <n v="9489.8498641867227"/>
    <x v="1"/>
  </r>
  <r>
    <s v="Regular"/>
    <x v="2"/>
    <x v="1"/>
    <x v="1"/>
    <x v="1"/>
    <x v="1"/>
    <x v="0"/>
    <x v="1"/>
    <x v="1"/>
    <n v="0"/>
    <n v="0"/>
    <n v="27.117000000000001"/>
    <n v="10.8468"/>
    <n v="27.117000000000001"/>
    <n v="10.8468"/>
    <n v="0"/>
    <s v="CATIVO"/>
    <n v="0"/>
    <n v="0"/>
    <n v="29"/>
    <n v="66"/>
    <n v="0"/>
    <n v="240.85"/>
    <n v="231.7"/>
    <m/>
    <n v="300.89907966262189"/>
    <n v="198.0053374241497"/>
    <n v="0"/>
    <n v="9435.6313200000004"/>
    <n v="0"/>
    <n v="8980.8145029368097"/>
    <x v="1"/>
  </r>
  <r>
    <s v="Regular"/>
    <x v="2"/>
    <x v="1"/>
    <x v="1"/>
    <x v="1"/>
    <x v="1"/>
    <x v="0"/>
    <x v="1"/>
    <x v="2"/>
    <n v="0"/>
    <n v="0"/>
    <n v="23.562000000000001"/>
    <n v="9.4247999999999994"/>
    <n v="23.562000000000001"/>
    <n v="9.4247999999999994"/>
    <n v="0"/>
    <s v="CATIVO"/>
    <n v="0"/>
    <n v="0"/>
    <n v="29"/>
    <n v="66"/>
    <n v="0"/>
    <n v="240.85"/>
    <n v="231.7"/>
    <m/>
    <n v="300.89907966262189"/>
    <n v="198.0053374241497"/>
    <n v="0"/>
    <n v="8198.6335200000012"/>
    <n v="0"/>
    <n v="7803.442538562419"/>
    <x v="1"/>
  </r>
  <r>
    <s v="Regular"/>
    <x v="2"/>
    <x v="1"/>
    <x v="1"/>
    <x v="1"/>
    <x v="1"/>
    <x v="0"/>
    <x v="1"/>
    <x v="3"/>
    <n v="0"/>
    <n v="0"/>
    <n v="32.128999999999998"/>
    <n v="12.851599999999999"/>
    <n v="32.128999999999998"/>
    <n v="12.851599999999999"/>
    <n v="0"/>
    <s v="CATIVO"/>
    <n v="0"/>
    <n v="0"/>
    <n v="29"/>
    <n v="66"/>
    <n v="0"/>
    <n v="240.85"/>
    <n v="231.7"/>
    <m/>
    <n v="300.89907966262189"/>
    <n v="198.0053374241497"/>
    <n v="0"/>
    <n v="11179.60684"/>
    <n v="0"/>
    <n v="10640.726819517526"/>
    <x v="1"/>
  </r>
  <r>
    <s v="Sistema de Compensação"/>
    <x v="2"/>
    <x v="1"/>
    <x v="1"/>
    <x v="1"/>
    <x v="1"/>
    <x v="0"/>
    <x v="1"/>
    <x v="3"/>
    <n v="0"/>
    <n v="0"/>
    <n v="0.373"/>
    <n v="0.373"/>
    <n v="0.373"/>
    <n v="0.373"/>
    <n v="0"/>
    <s v="CATIVO"/>
    <n v="0"/>
    <n v="0"/>
    <n v="29"/>
    <n v="66"/>
    <n v="0"/>
    <n v="240.85"/>
    <n v="231.7"/>
    <m/>
    <n v="300.89907966262189"/>
    <n v="198.0053374241497"/>
    <n v="0"/>
    <n v="24.032390000000003"/>
    <n v="0"/>
    <n v="11.878171121704234"/>
    <x v="2"/>
  </r>
  <r>
    <s v="Regular"/>
    <x v="2"/>
    <x v="1"/>
    <x v="1"/>
    <x v="1"/>
    <x v="1"/>
    <x v="0"/>
    <x v="1"/>
    <x v="4"/>
    <n v="0"/>
    <n v="0"/>
    <n v="38.651000000000003"/>
    <n v="15.4604"/>
    <n v="38.651000000000003"/>
    <n v="15.4604"/>
    <n v="0"/>
    <s v="CATIVO"/>
    <n v="0"/>
    <n v="0"/>
    <n v="29"/>
    <n v="66"/>
    <n v="0"/>
    <n v="240.85"/>
    <n v="231.7"/>
    <m/>
    <n v="300.89907966262189"/>
    <n v="198.0053374241497"/>
    <n v="0"/>
    <n v="13449.001960000001"/>
    <n v="0"/>
    <n v="12800.732431795946"/>
    <x v="1"/>
  </r>
  <r>
    <s v="Sistema de Compensação"/>
    <x v="2"/>
    <x v="1"/>
    <x v="1"/>
    <x v="1"/>
    <x v="1"/>
    <x v="0"/>
    <x v="1"/>
    <x v="4"/>
    <n v="0"/>
    <n v="0"/>
    <n v="3.214"/>
    <n v="3.214"/>
    <n v="3.214"/>
    <n v="3.214"/>
    <n v="0"/>
    <s v="CATIVO"/>
    <n v="0"/>
    <n v="0"/>
    <n v="29"/>
    <n v="66"/>
    <n v="0"/>
    <n v="240.85"/>
    <n v="231.7"/>
    <m/>
    <n v="300.89907966262189"/>
    <n v="198.0053374241497"/>
    <n v="0"/>
    <n v="207.07802000000001"/>
    <n v="0"/>
    <n v="102.34971041597161"/>
    <x v="2"/>
  </r>
  <r>
    <s v="Regular"/>
    <x v="2"/>
    <x v="1"/>
    <x v="1"/>
    <x v="1"/>
    <x v="1"/>
    <x v="0"/>
    <x v="1"/>
    <x v="5"/>
    <n v="0"/>
    <n v="0"/>
    <n v="31.411999999999999"/>
    <n v="12.5648"/>
    <n v="31.411999999999999"/>
    <n v="12.5648"/>
    <n v="0"/>
    <s v="CATIVO"/>
    <n v="0"/>
    <n v="0"/>
    <n v="29"/>
    <n v="66"/>
    <n v="0"/>
    <n v="240.85"/>
    <n v="231.7"/>
    <m/>
    <n v="300.89907966262189"/>
    <n v="198.0053374241497"/>
    <n v="0"/>
    <n v="10930.119519999998"/>
    <n v="0"/>
    <n v="10403.26530096438"/>
    <x v="1"/>
  </r>
  <r>
    <s v="Regular"/>
    <x v="2"/>
    <x v="1"/>
    <x v="1"/>
    <x v="1"/>
    <x v="1"/>
    <x v="0"/>
    <x v="1"/>
    <x v="6"/>
    <n v="0"/>
    <n v="0"/>
    <n v="4.9569999999999999"/>
    <n v="1.9827999999999999"/>
    <n v="4.9569999999999999"/>
    <n v="1.9827999999999999"/>
    <n v="0"/>
    <s v="CATIVO"/>
    <n v="0"/>
    <n v="0"/>
    <n v="29"/>
    <n v="66"/>
    <n v="0"/>
    <n v="240.85"/>
    <n v="231.7"/>
    <m/>
    <n v="300.89907966262189"/>
    <n v="198.0053374241497"/>
    <n v="0"/>
    <n v="1724.8377199999998"/>
    <n v="0"/>
    <n v="1641.6969978632503"/>
    <x v="1"/>
  </r>
  <r>
    <s v="Regular"/>
    <x v="2"/>
    <x v="1"/>
    <x v="1"/>
    <x v="1"/>
    <x v="1"/>
    <x v="0"/>
    <x v="1"/>
    <x v="7"/>
    <n v="0"/>
    <n v="0"/>
    <n v="4.7690000000000001"/>
    <n v="1.9076"/>
    <n v="4.7690000000000001"/>
    <n v="1.9076"/>
    <n v="0"/>
    <s v="CATIVO"/>
    <n v="0"/>
    <n v="0"/>
    <n v="29"/>
    <n v="66"/>
    <n v="0"/>
    <n v="240.85"/>
    <n v="231.7"/>
    <m/>
    <n v="300.89907966262189"/>
    <n v="198.0053374241497"/>
    <n v="0"/>
    <n v="1659.4212399999999"/>
    <n v="0"/>
    <n v="1579.4337266108214"/>
    <x v="1"/>
  </r>
  <r>
    <s v="Regular"/>
    <x v="2"/>
    <x v="1"/>
    <x v="1"/>
    <x v="1"/>
    <x v="1"/>
    <x v="0"/>
    <x v="1"/>
    <x v="8"/>
    <n v="0"/>
    <n v="0"/>
    <n v="5.1879999999999997"/>
    <n v="2.0752000000000002"/>
    <n v="5.1879999999999997"/>
    <n v="2.0752000000000002"/>
    <n v="0"/>
    <s v="CATIVO"/>
    <n v="0"/>
    <n v="0"/>
    <n v="29"/>
    <n v="66"/>
    <n v="0"/>
    <n v="240.85"/>
    <n v="231.7"/>
    <m/>
    <n v="300.89907966262189"/>
    <n v="198.0053374241497"/>
    <n v="0"/>
    <n v="1805.2164799999998"/>
    <n v="0"/>
    <n v="1718.2013364766074"/>
    <x v="1"/>
  </r>
  <r>
    <s v="Regular"/>
    <x v="2"/>
    <x v="1"/>
    <x v="1"/>
    <x v="1"/>
    <x v="1"/>
    <x v="0"/>
    <x v="1"/>
    <x v="9"/>
    <n v="0"/>
    <n v="0"/>
    <n v="5.6379999999999999"/>
    <n v="2.2551999999999999"/>
    <n v="5.6379999999999999"/>
    <n v="2.2551999999999999"/>
    <n v="0"/>
    <s v="CATIVO"/>
    <n v="0"/>
    <n v="0"/>
    <n v="29"/>
    <n v="66"/>
    <n v="0"/>
    <n v="240.85"/>
    <n v="231.7"/>
    <m/>
    <n v="300.89907966262189"/>
    <n v="198.0053374241497"/>
    <n v="0"/>
    <n v="1961.7984799999999"/>
    <n v="0"/>
    <n v="1867.2357623467838"/>
    <x v="1"/>
  </r>
  <r>
    <s v="Regular"/>
    <x v="2"/>
    <x v="1"/>
    <x v="1"/>
    <x v="1"/>
    <x v="1"/>
    <x v="0"/>
    <x v="1"/>
    <x v="10"/>
    <n v="0"/>
    <n v="0"/>
    <n v="9.3390000000000004"/>
    <n v="3.7355999999999998"/>
    <n v="9.3390000000000004"/>
    <n v="3.7355999999999998"/>
    <n v="0"/>
    <s v="CATIVO"/>
    <n v="0"/>
    <n v="0"/>
    <n v="29"/>
    <n v="66"/>
    <n v="0"/>
    <n v="240.85"/>
    <n v="231.7"/>
    <m/>
    <n v="300.89907966262189"/>
    <n v="198.0053374241497"/>
    <n v="0"/>
    <n v="3249.5984399999998"/>
    <n v="0"/>
    <n v="3092.9611182257208"/>
    <x v="1"/>
  </r>
  <r>
    <s v="Regular"/>
    <x v="2"/>
    <x v="1"/>
    <x v="1"/>
    <x v="1"/>
    <x v="1"/>
    <x v="0"/>
    <x v="1"/>
    <x v="11"/>
    <n v="0"/>
    <n v="0"/>
    <n v="9.2910000000000004"/>
    <n v="3.7164000000000001"/>
    <n v="9.2910000000000004"/>
    <n v="3.7164000000000001"/>
    <n v="0"/>
    <s v="CATIVO"/>
    <n v="0"/>
    <n v="0"/>
    <n v="29"/>
    <n v="66"/>
    <n v="0"/>
    <n v="240.85"/>
    <n v="231.7"/>
    <m/>
    <n v="300.89907966262189"/>
    <n v="198.0053374241497"/>
    <n v="0"/>
    <n v="3232.8963599999997"/>
    <n v="0"/>
    <n v="3077.0641127995682"/>
    <x v="1"/>
  </r>
  <r>
    <s v="Regular"/>
    <x v="2"/>
    <x v="1"/>
    <x v="1"/>
    <x v="8"/>
    <x v="3"/>
    <x v="0"/>
    <x v="1"/>
    <x v="0"/>
    <n v="0"/>
    <n v="0"/>
    <n v="0.63100000000000001"/>
    <n v="0.63100000000000001"/>
    <n v="0.63100000000000001"/>
    <n v="0.63100000000000001"/>
    <n v="0"/>
    <s v="CATIVO"/>
    <n v="0"/>
    <n v="0"/>
    <n v="29"/>
    <n v="66"/>
    <n v="0"/>
    <n v="240.85"/>
    <n v="231.7"/>
    <m/>
    <n v="300.89907966262189"/>
    <n v="198.0053374241497"/>
    <n v="0"/>
    <n v="40.655330000000006"/>
    <n v="0"/>
    <n v="20.094171522239606"/>
    <x v="2"/>
  </r>
  <r>
    <s v="Regular"/>
    <x v="2"/>
    <x v="1"/>
    <x v="1"/>
    <x v="8"/>
    <x v="3"/>
    <x v="0"/>
    <x v="1"/>
    <x v="1"/>
    <n v="0"/>
    <n v="0"/>
    <n v="3.714"/>
    <n v="3.714"/>
    <n v="3.714"/>
    <n v="3.714"/>
    <n v="0"/>
    <s v="CATIVO"/>
    <n v="0"/>
    <n v="0"/>
    <n v="29"/>
    <n v="66"/>
    <n v="0"/>
    <n v="240.85"/>
    <n v="231.7"/>
    <m/>
    <n v="300.89907966262189"/>
    <n v="198.0053374241497"/>
    <n v="0"/>
    <n v="239.29302000000001"/>
    <n v="0"/>
    <n v="118.27219181235799"/>
    <x v="2"/>
  </r>
  <r>
    <s v="Regular"/>
    <x v="2"/>
    <x v="1"/>
    <x v="1"/>
    <x v="8"/>
    <x v="3"/>
    <x v="0"/>
    <x v="1"/>
    <x v="2"/>
    <n v="0"/>
    <n v="0"/>
    <n v="3.6040000000000001"/>
    <n v="3.6040000000000001"/>
    <n v="3.6040000000000001"/>
    <n v="3.6040000000000001"/>
    <n v="0"/>
    <s v="CATIVO"/>
    <n v="0"/>
    <n v="0"/>
    <n v="29"/>
    <n v="66"/>
    <n v="0"/>
    <n v="240.85"/>
    <n v="231.7"/>
    <m/>
    <n v="300.89907966262189"/>
    <n v="198.0053374241497"/>
    <n v="0"/>
    <n v="232.20572000000004"/>
    <n v="0"/>
    <n v="114.76924590515299"/>
    <x v="2"/>
  </r>
  <r>
    <s v="Regular"/>
    <x v="2"/>
    <x v="1"/>
    <x v="1"/>
    <x v="8"/>
    <x v="3"/>
    <x v="0"/>
    <x v="1"/>
    <x v="3"/>
    <n v="0"/>
    <n v="0"/>
    <n v="4.0940000000000003"/>
    <n v="4.0940000000000003"/>
    <n v="4.0940000000000003"/>
    <n v="4.0940000000000003"/>
    <n v="0"/>
    <s v="CATIVO"/>
    <n v="0"/>
    <n v="0"/>
    <n v="29"/>
    <n v="66"/>
    <n v="0"/>
    <n v="240.85"/>
    <n v="231.7"/>
    <m/>
    <n v="300.89907966262189"/>
    <n v="198.0053374241497"/>
    <n v="0"/>
    <n v="263.77642000000003"/>
    <n v="0"/>
    <n v="130.37327767361163"/>
    <x v="2"/>
  </r>
  <r>
    <s v="Regular"/>
    <x v="2"/>
    <x v="1"/>
    <x v="1"/>
    <x v="8"/>
    <x v="3"/>
    <x v="0"/>
    <x v="1"/>
    <x v="4"/>
    <n v="0"/>
    <n v="0"/>
    <n v="3.9260000000000002"/>
    <n v="3.9260000000000002"/>
    <n v="3.9260000000000002"/>
    <n v="3.9260000000000002"/>
    <n v="0"/>
    <s v="CATIVO"/>
    <n v="0"/>
    <n v="0"/>
    <n v="29"/>
    <n v="66"/>
    <n v="0"/>
    <n v="240.85"/>
    <n v="231.7"/>
    <m/>
    <n v="300.89907966262189"/>
    <n v="198.0053374241497"/>
    <n v="0"/>
    <n v="252.95218000000003"/>
    <n v="0"/>
    <n v="125.02332392442581"/>
    <x v="2"/>
  </r>
  <r>
    <s v="Regular"/>
    <x v="2"/>
    <x v="1"/>
    <x v="1"/>
    <x v="8"/>
    <x v="3"/>
    <x v="0"/>
    <x v="1"/>
    <x v="5"/>
    <n v="0"/>
    <n v="0"/>
    <n v="1.698"/>
    <n v="1.698"/>
    <n v="1.698"/>
    <n v="1.698"/>
    <n v="0"/>
    <s v="CATIVO"/>
    <n v="0"/>
    <n v="0"/>
    <n v="29"/>
    <n v="66"/>
    <n v="0"/>
    <n v="240.85"/>
    <n v="231.7"/>
    <m/>
    <n v="300.89907966262189"/>
    <n v="198.0053374241497"/>
    <n v="0"/>
    <n v="109.40214"/>
    <n v="0"/>
    <n v="54.072746822128124"/>
    <x v="2"/>
  </r>
  <r>
    <s v="Regular"/>
    <x v="2"/>
    <x v="1"/>
    <x v="1"/>
    <x v="8"/>
    <x v="3"/>
    <x v="0"/>
    <x v="1"/>
    <x v="6"/>
    <n v="0"/>
    <n v="0"/>
    <n v="3.7109999999999999"/>
    <n v="3.7109999999999999"/>
    <n v="3.7109999999999999"/>
    <n v="3.7109999999999999"/>
    <n v="0"/>
    <s v="CATIVO"/>
    <n v="0"/>
    <n v="0"/>
    <n v="29"/>
    <n v="66"/>
    <n v="0"/>
    <n v="240.85"/>
    <n v="231.7"/>
    <m/>
    <n v="300.89907966262189"/>
    <n v="198.0053374241497"/>
    <n v="0"/>
    <n v="239.09973000000002"/>
    <n v="0"/>
    <n v="118.17665692397966"/>
    <x v="2"/>
  </r>
  <r>
    <s v="Regular"/>
    <x v="2"/>
    <x v="1"/>
    <x v="1"/>
    <x v="8"/>
    <x v="3"/>
    <x v="0"/>
    <x v="1"/>
    <x v="7"/>
    <n v="0"/>
    <n v="0"/>
    <n v="3.3180000000000001"/>
    <n v="3.3180000000000001"/>
    <n v="3.3180000000000001"/>
    <n v="3.3180000000000001"/>
    <n v="0"/>
    <s v="CATIVO"/>
    <n v="0"/>
    <n v="0"/>
    <n v="29"/>
    <n v="66"/>
    <n v="0"/>
    <n v="240.85"/>
    <n v="231.7"/>
    <m/>
    <n v="300.89907966262189"/>
    <n v="198.0053374241497"/>
    <n v="0"/>
    <n v="213.77874000000003"/>
    <n v="0"/>
    <n v="105.66158654641998"/>
    <x v="2"/>
  </r>
  <r>
    <s v="Regular"/>
    <x v="2"/>
    <x v="1"/>
    <x v="1"/>
    <x v="8"/>
    <x v="3"/>
    <x v="0"/>
    <x v="1"/>
    <x v="8"/>
    <n v="0"/>
    <n v="0"/>
    <n v="3.28"/>
    <n v="3.28"/>
    <n v="3.28"/>
    <n v="3.28"/>
    <n v="0"/>
    <s v="CATIVO"/>
    <n v="0"/>
    <n v="0"/>
    <n v="29"/>
    <n v="66"/>
    <n v="0"/>
    <n v="240.85"/>
    <n v="231.7"/>
    <m/>
    <n v="300.89907966262189"/>
    <n v="198.0053374241497"/>
    <n v="0"/>
    <n v="211.3304"/>
    <n v="0"/>
    <n v="104.45147796029461"/>
    <x v="2"/>
  </r>
  <r>
    <s v="Regular"/>
    <x v="2"/>
    <x v="1"/>
    <x v="1"/>
    <x v="8"/>
    <x v="3"/>
    <x v="0"/>
    <x v="1"/>
    <x v="9"/>
    <n v="0"/>
    <n v="0"/>
    <n v="2.9420000000000002"/>
    <n v="2.9420000000000002"/>
    <n v="2.9420000000000002"/>
    <n v="2.9420000000000002"/>
    <n v="0"/>
    <s v="CATIVO"/>
    <n v="0"/>
    <n v="0"/>
    <n v="29"/>
    <n v="66"/>
    <n v="0"/>
    <n v="240.85"/>
    <n v="231.7"/>
    <m/>
    <n v="300.89907966262189"/>
    <n v="198.0053374241497"/>
    <n v="0"/>
    <n v="189.55306000000004"/>
    <n v="0"/>
    <n v="93.687880536337431"/>
    <x v="2"/>
  </r>
  <r>
    <s v="Regular"/>
    <x v="2"/>
    <x v="1"/>
    <x v="1"/>
    <x v="8"/>
    <x v="3"/>
    <x v="0"/>
    <x v="1"/>
    <x v="10"/>
    <n v="0"/>
    <n v="0"/>
    <n v="2.9609999999999999"/>
    <n v="2.9609999999999999"/>
    <n v="2.9609999999999999"/>
    <n v="2.9609999999999999"/>
    <n v="0"/>
    <s v="CATIVO"/>
    <n v="0"/>
    <n v="0"/>
    <n v="29"/>
    <n v="66"/>
    <n v="0"/>
    <n v="240.85"/>
    <n v="231.7"/>
    <m/>
    <n v="300.89907966262189"/>
    <n v="198.0053374241497"/>
    <n v="0"/>
    <n v="190.77723"/>
    <n v="0"/>
    <n v="94.292934829400096"/>
    <x v="2"/>
  </r>
  <r>
    <s v="Regular"/>
    <x v="2"/>
    <x v="1"/>
    <x v="1"/>
    <x v="8"/>
    <x v="3"/>
    <x v="0"/>
    <x v="1"/>
    <x v="11"/>
    <n v="0"/>
    <n v="0"/>
    <n v="2.7930000000000001"/>
    <n v="2.7930000000000001"/>
    <n v="2.7930000000000001"/>
    <n v="2.7930000000000001"/>
    <n v="0"/>
    <s v="CATIVO"/>
    <n v="0"/>
    <n v="0"/>
    <n v="29"/>
    <n v="66"/>
    <n v="0"/>
    <n v="240.85"/>
    <n v="231.7"/>
    <m/>
    <n v="300.89907966262189"/>
    <n v="198.0053374241497"/>
    <n v="0"/>
    <n v="179.95299000000003"/>
    <n v="0"/>
    <n v="88.942981080214295"/>
    <x v="2"/>
  </r>
  <r>
    <s v="Regular"/>
    <x v="2"/>
    <x v="1"/>
    <x v="1"/>
    <x v="8"/>
    <x v="1"/>
    <x v="0"/>
    <x v="1"/>
    <x v="0"/>
    <n v="0"/>
    <n v="0"/>
    <n v="1.8169999999999999"/>
    <n v="0.7268"/>
    <n v="1.8169999999999999"/>
    <n v="0.7268"/>
    <n v="0"/>
    <s v="CATIVO"/>
    <n v="0"/>
    <n v="0"/>
    <n v="29"/>
    <n v="66"/>
    <n v="0"/>
    <n v="240.85"/>
    <n v="231.7"/>
    <m/>
    <n v="300.89907966262189"/>
    <n v="198.0053374241497"/>
    <n v="0"/>
    <n v="632.24331999999981"/>
    <n v="0"/>
    <n v="601.76789290246643"/>
    <x v="1"/>
  </r>
  <r>
    <s v="Regular"/>
    <x v="2"/>
    <x v="1"/>
    <x v="1"/>
    <x v="8"/>
    <x v="1"/>
    <x v="0"/>
    <x v="1"/>
    <x v="1"/>
    <n v="0"/>
    <n v="0"/>
    <n v="3.04"/>
    <n v="1.216"/>
    <n v="3.04"/>
    <n v="1.216"/>
    <n v="0"/>
    <s v="CATIVO"/>
    <n v="0"/>
    <n v="0"/>
    <n v="29"/>
    <n v="66"/>
    <n v="0"/>
    <n v="240.85"/>
    <n v="231.7"/>
    <m/>
    <n v="300.89907966262189"/>
    <n v="198.0053374241497"/>
    <n v="0"/>
    <n v="1057.7984000000001"/>
    <n v="0"/>
    <n v="1006.8103436563006"/>
    <x v="1"/>
  </r>
  <r>
    <s v="Regular"/>
    <x v="2"/>
    <x v="1"/>
    <x v="1"/>
    <x v="8"/>
    <x v="1"/>
    <x v="0"/>
    <x v="1"/>
    <x v="2"/>
    <n v="0"/>
    <n v="0"/>
    <n v="2.3580000000000001"/>
    <n v="0.94320000000000004"/>
    <n v="2.3580000000000001"/>
    <n v="0.94320000000000004"/>
    <n v="0"/>
    <s v="CATIVO"/>
    <n v="0"/>
    <n v="0"/>
    <n v="29"/>
    <n v="66"/>
    <n v="0"/>
    <n v="240.85"/>
    <n v="231.7"/>
    <m/>
    <n v="300.89907966262189"/>
    <n v="198.0053374241497"/>
    <n v="0"/>
    <n v="820.48967999999991"/>
    <n v="0"/>
    <n v="780.94039155972257"/>
    <x v="1"/>
  </r>
  <r>
    <s v="Regular"/>
    <x v="2"/>
    <x v="1"/>
    <x v="1"/>
    <x v="8"/>
    <x v="1"/>
    <x v="0"/>
    <x v="1"/>
    <x v="3"/>
    <n v="0"/>
    <n v="0"/>
    <n v="2.86"/>
    <n v="1.1439999999999999"/>
    <n v="2.86"/>
    <n v="1.1439999999999999"/>
    <n v="0"/>
    <s v="CATIVO"/>
    <n v="0"/>
    <n v="0"/>
    <n v="29"/>
    <n v="66"/>
    <n v="0"/>
    <n v="240.85"/>
    <n v="231.7"/>
    <m/>
    <n v="300.89907966262189"/>
    <n v="198.0053374241497"/>
    <n v="0"/>
    <n v="995.16559999999993"/>
    <n v="0"/>
    <n v="947.19657330823009"/>
    <x v="1"/>
  </r>
  <r>
    <s v="Regular"/>
    <x v="2"/>
    <x v="1"/>
    <x v="1"/>
    <x v="8"/>
    <x v="1"/>
    <x v="0"/>
    <x v="1"/>
    <x v="4"/>
    <n v="0"/>
    <n v="0"/>
    <n v="2.6030000000000002"/>
    <n v="1.0411999999999999"/>
    <n v="2.6030000000000002"/>
    <n v="1.0411999999999999"/>
    <n v="0"/>
    <s v="CATIVO"/>
    <n v="0"/>
    <n v="0"/>
    <n v="29"/>
    <n v="66"/>
    <n v="0"/>
    <n v="240.85"/>
    <n v="231.7"/>
    <m/>
    <n v="300.89907966262189"/>
    <n v="198.0053374241497"/>
    <n v="0"/>
    <n v="905.73988000000008"/>
    <n v="0"/>
    <n v="862.08135675570747"/>
    <x v="1"/>
  </r>
  <r>
    <s v="Regular"/>
    <x v="2"/>
    <x v="1"/>
    <x v="1"/>
    <x v="8"/>
    <x v="1"/>
    <x v="0"/>
    <x v="1"/>
    <x v="5"/>
    <n v="0"/>
    <n v="0"/>
    <n v="2.6150000000000002"/>
    <n v="1.046"/>
    <n v="2.6150000000000002"/>
    <n v="1.046"/>
    <n v="0"/>
    <s v="CATIVO"/>
    <n v="0"/>
    <n v="0"/>
    <n v="29"/>
    <n v="66"/>
    <n v="0"/>
    <n v="240.85"/>
    <n v="231.7"/>
    <m/>
    <n v="300.89907966262189"/>
    <n v="198.0053374241497"/>
    <n v="0"/>
    <n v="909.91540000000009"/>
    <n v="0"/>
    <n v="866.05560811224541"/>
    <x v="1"/>
  </r>
  <r>
    <s v="Regular"/>
    <x v="2"/>
    <x v="1"/>
    <x v="1"/>
    <x v="8"/>
    <x v="1"/>
    <x v="0"/>
    <x v="1"/>
    <x v="6"/>
    <n v="0"/>
    <n v="0"/>
    <n v="2.3199999999999998"/>
    <n v="0.92800000000000005"/>
    <n v="2.3199999999999998"/>
    <n v="0.92800000000000005"/>
    <n v="0"/>
    <s v="CATIVO"/>
    <n v="0"/>
    <n v="0"/>
    <n v="29"/>
    <n v="66"/>
    <n v="0"/>
    <n v="240.85"/>
    <n v="231.7"/>
    <m/>
    <n v="300.89907966262189"/>
    <n v="198.0053374241497"/>
    <n v="0"/>
    <n v="807.26719999999978"/>
    <n v="0"/>
    <n v="768.35526226401873"/>
    <x v="1"/>
  </r>
  <r>
    <s v="Regular"/>
    <x v="2"/>
    <x v="1"/>
    <x v="1"/>
    <x v="8"/>
    <x v="1"/>
    <x v="0"/>
    <x v="1"/>
    <x v="7"/>
    <n v="0"/>
    <n v="0"/>
    <n v="2.157"/>
    <n v="0.86280000000000001"/>
    <n v="2.157"/>
    <n v="0.86280000000000001"/>
    <n v="0"/>
    <s v="CATIVO"/>
    <n v="0"/>
    <n v="0"/>
    <n v="29"/>
    <n v="66"/>
    <n v="0"/>
    <n v="240.85"/>
    <n v="231.7"/>
    <m/>
    <n v="300.89907966262189"/>
    <n v="198.0053374241497"/>
    <n v="0"/>
    <n v="750.54971999999998"/>
    <n v="0"/>
    <n v="714.37168133771058"/>
    <x v="1"/>
  </r>
  <r>
    <s v="Regular"/>
    <x v="2"/>
    <x v="1"/>
    <x v="1"/>
    <x v="8"/>
    <x v="1"/>
    <x v="0"/>
    <x v="1"/>
    <x v="8"/>
    <n v="0"/>
    <n v="0"/>
    <n v="1.97"/>
    <n v="0.78800000000000003"/>
    <n v="1.97"/>
    <n v="0.78800000000000003"/>
    <n v="0"/>
    <s v="CATIVO"/>
    <n v="0"/>
    <n v="0"/>
    <n v="29"/>
    <n v="66"/>
    <n v="0"/>
    <n v="240.85"/>
    <n v="231.7"/>
    <m/>
    <n v="300.89907966262189"/>
    <n v="198.0053374241497"/>
    <n v="0"/>
    <n v="685.48119999999994"/>
    <n v="0"/>
    <n v="652.43959769832622"/>
    <x v="1"/>
  </r>
  <r>
    <s v="Regular"/>
    <x v="2"/>
    <x v="1"/>
    <x v="1"/>
    <x v="8"/>
    <x v="1"/>
    <x v="0"/>
    <x v="1"/>
    <x v="9"/>
    <n v="0"/>
    <n v="0"/>
    <n v="1.798"/>
    <n v="0.71919999999999995"/>
    <n v="1.798"/>
    <n v="0.71919999999999995"/>
    <n v="0"/>
    <s v="CATIVO"/>
    <n v="0"/>
    <n v="0"/>
    <n v="29"/>
    <n v="66"/>
    <n v="0"/>
    <n v="240.85"/>
    <n v="231.7"/>
    <m/>
    <n v="300.89907966262189"/>
    <n v="198.0053374241497"/>
    <n v="0"/>
    <n v="625.63208000000009"/>
    <n v="0"/>
    <n v="595.47532825461462"/>
    <x v="1"/>
  </r>
  <r>
    <s v="Regular"/>
    <x v="2"/>
    <x v="1"/>
    <x v="1"/>
    <x v="8"/>
    <x v="1"/>
    <x v="0"/>
    <x v="1"/>
    <x v="10"/>
    <n v="0"/>
    <n v="0"/>
    <n v="1.7749999999999999"/>
    <n v="0.71"/>
    <n v="1.7749999999999999"/>
    <n v="0.71"/>
    <n v="0"/>
    <s v="CATIVO"/>
    <n v="0"/>
    <n v="0"/>
    <n v="29"/>
    <n v="66"/>
    <n v="0"/>
    <n v="240.85"/>
    <n v="231.7"/>
    <m/>
    <n v="300.89907966262189"/>
    <n v="198.0053374241497"/>
    <n v="0"/>
    <n v="617.62899999999991"/>
    <n v="0"/>
    <n v="587.85801315458332"/>
    <x v="1"/>
  </r>
  <r>
    <s v="Regular"/>
    <x v="2"/>
    <x v="1"/>
    <x v="1"/>
    <x v="8"/>
    <x v="1"/>
    <x v="0"/>
    <x v="1"/>
    <x v="11"/>
    <n v="0"/>
    <n v="0"/>
    <n v="1.724"/>
    <n v="0.68959999999999999"/>
    <n v="1.724"/>
    <n v="0.68959999999999999"/>
    <n v="0"/>
    <s v="CATIVO"/>
    <n v="0"/>
    <n v="0"/>
    <n v="29"/>
    <n v="66"/>
    <n v="0"/>
    <n v="240.85"/>
    <n v="231.7"/>
    <m/>
    <n v="300.89907966262189"/>
    <n v="198.0053374241497"/>
    <n v="0"/>
    <n v="599.88303999999994"/>
    <n v="0"/>
    <n v="570.96744488929676"/>
    <x v="1"/>
  </r>
  <r>
    <s v="Regular"/>
    <x v="2"/>
    <x v="1"/>
    <x v="1"/>
    <x v="0"/>
    <x v="2"/>
    <x v="0"/>
    <x v="1"/>
    <x v="0"/>
    <n v="0"/>
    <n v="0"/>
    <n v="3126.35"/>
    <n v="3126.35"/>
    <n v="3126.35"/>
    <n v="3126.35"/>
    <n v="2694"/>
    <s v="CATIVO"/>
    <n v="0"/>
    <n v="0"/>
    <n v="29"/>
    <n v="66"/>
    <n v="0"/>
    <n v="240.85"/>
    <n v="231.7"/>
    <m/>
    <n v="300.89907966262189"/>
    <n v="198.0053374241497"/>
    <n v="0"/>
    <n v="201430.73050000001"/>
    <n v="0"/>
    <n v="99558.499427185074"/>
    <x v="2"/>
  </r>
  <r>
    <s v="Refaturamento - Regular"/>
    <x v="2"/>
    <x v="1"/>
    <x v="1"/>
    <x v="0"/>
    <x v="2"/>
    <x v="0"/>
    <x v="1"/>
    <x v="0"/>
    <n v="0"/>
    <n v="0"/>
    <n v="-8.8789999999999996"/>
    <n v="-8.8789999999999996"/>
    <n v="-8.8789999999999996"/>
    <n v="-8.8789999999999996"/>
    <n v="0"/>
    <s v="CATIVO"/>
    <n v="0"/>
    <n v="0"/>
    <n v="29"/>
    <n v="66"/>
    <n v="0"/>
    <n v="240.85"/>
    <n v="231.7"/>
    <m/>
    <n v="300.89907966262189"/>
    <n v="198.0053374241497"/>
    <n v="0"/>
    <n v="-572.07397000000003"/>
    <n v="0"/>
    <n v="-282.75142463702923"/>
    <x v="2"/>
  </r>
  <r>
    <s v="Sistema de Compensação"/>
    <x v="2"/>
    <x v="1"/>
    <x v="1"/>
    <x v="0"/>
    <x v="2"/>
    <x v="0"/>
    <x v="1"/>
    <x v="0"/>
    <n v="0"/>
    <n v="0"/>
    <n v="37.948"/>
    <n v="37.948"/>
    <n v="37.948"/>
    <n v="37.948"/>
    <n v="66"/>
    <s v="CATIVO"/>
    <n v="0"/>
    <n v="0"/>
    <n v="29"/>
    <n v="66"/>
    <n v="0"/>
    <n v="240.85"/>
    <n v="231.7"/>
    <m/>
    <n v="300.89907966262189"/>
    <n v="198.0053374241497"/>
    <n v="0"/>
    <n v="2444.9896400000002"/>
    <n v="0"/>
    <n v="1208.4526480601403"/>
    <x v="2"/>
  </r>
  <r>
    <s v="Regular"/>
    <x v="2"/>
    <x v="1"/>
    <x v="1"/>
    <x v="0"/>
    <x v="2"/>
    <x v="0"/>
    <x v="1"/>
    <x v="1"/>
    <n v="0"/>
    <n v="0"/>
    <n v="2842.0070000000001"/>
    <n v="2842.0070000000001"/>
    <n v="2842.0070000000001"/>
    <n v="2842.0070000000001"/>
    <n v="2664"/>
    <s v="CATIVO"/>
    <n v="0"/>
    <n v="0"/>
    <n v="29"/>
    <n v="66"/>
    <n v="0"/>
    <n v="240.85"/>
    <n v="231.7"/>
    <m/>
    <n v="300.89907966262189"/>
    <n v="198.0053374241497"/>
    <n v="0"/>
    <n v="183110.51101000002"/>
    <n v="0"/>
    <n v="90503.607171799697"/>
    <x v="2"/>
  </r>
  <r>
    <s v="Sistema de Compensação"/>
    <x v="2"/>
    <x v="1"/>
    <x v="1"/>
    <x v="0"/>
    <x v="2"/>
    <x v="0"/>
    <x v="1"/>
    <x v="1"/>
    <n v="0"/>
    <n v="0"/>
    <n v="71.721999999999994"/>
    <n v="71.721999999999994"/>
    <n v="71.721999999999994"/>
    <n v="71.721999999999994"/>
    <n v="72"/>
    <s v="CATIVO"/>
    <n v="0"/>
    <n v="0"/>
    <n v="29"/>
    <n v="66"/>
    <n v="0"/>
    <n v="240.85"/>
    <n v="231.7"/>
    <m/>
    <n v="300.89907966262189"/>
    <n v="198.0053374241497"/>
    <n v="0"/>
    <n v="4621.04846"/>
    <n v="0"/>
    <n v="2283.9844214232467"/>
    <x v="2"/>
  </r>
  <r>
    <s v="Regular"/>
    <x v="2"/>
    <x v="1"/>
    <x v="1"/>
    <x v="0"/>
    <x v="2"/>
    <x v="0"/>
    <x v="1"/>
    <x v="2"/>
    <n v="0"/>
    <n v="0"/>
    <n v="2702.8150000000001"/>
    <n v="2702.8150000000001"/>
    <n v="2702.8150000000001"/>
    <n v="2702.8150000000001"/>
    <n v="2654"/>
    <s v="CATIVO"/>
    <n v="0"/>
    <n v="0"/>
    <n v="29"/>
    <n v="66"/>
    <n v="0"/>
    <n v="240.85"/>
    <n v="231.7"/>
    <m/>
    <n v="300.89907966262189"/>
    <n v="198.0053374241497"/>
    <n v="0"/>
    <n v="174142.37045000002"/>
    <n v="0"/>
    <n v="86071.043110748069"/>
    <x v="2"/>
  </r>
  <r>
    <s v="Refaturamento - Regular"/>
    <x v="2"/>
    <x v="1"/>
    <x v="1"/>
    <x v="0"/>
    <x v="2"/>
    <x v="0"/>
    <x v="1"/>
    <x v="2"/>
    <n v="0"/>
    <n v="0"/>
    <n v="-26.428999999999998"/>
    <n v="-26.428999999999998"/>
    <n v="-26.428999999999998"/>
    <n v="-26.428999999999998"/>
    <n v="0"/>
    <s v="CATIVO"/>
    <n v="0"/>
    <n v="0"/>
    <n v="29"/>
    <n v="66"/>
    <n v="0"/>
    <n v="240.85"/>
    <n v="231.7"/>
    <m/>
    <n v="300.89907966262189"/>
    <n v="198.0053374241497"/>
    <n v="0"/>
    <n v="-1702.8204700000001"/>
    <n v="0"/>
    <n v="-841.63052165019087"/>
    <x v="2"/>
  </r>
  <r>
    <s v="Sistema de Compensação"/>
    <x v="2"/>
    <x v="1"/>
    <x v="1"/>
    <x v="0"/>
    <x v="2"/>
    <x v="0"/>
    <x v="1"/>
    <x v="2"/>
    <n v="0"/>
    <n v="0"/>
    <n v="68.347999999999999"/>
    <n v="68.347999999999999"/>
    <n v="68.347999999999999"/>
    <n v="68.347999999999999"/>
    <n v="77"/>
    <s v="CATIVO"/>
    <n v="0"/>
    <n v="0"/>
    <n v="29"/>
    <n v="66"/>
    <n v="0"/>
    <n v="240.85"/>
    <n v="231.7"/>
    <m/>
    <n v="300.89907966262189"/>
    <n v="198.0053374241497"/>
    <n v="0"/>
    <n v="4403.6616400000003"/>
    <n v="0"/>
    <n v="2176.5395169604317"/>
    <x v="2"/>
  </r>
  <r>
    <s v="Regular"/>
    <x v="2"/>
    <x v="1"/>
    <x v="1"/>
    <x v="0"/>
    <x v="2"/>
    <x v="0"/>
    <x v="1"/>
    <x v="3"/>
    <n v="0"/>
    <n v="0"/>
    <n v="2804.4450000000002"/>
    <n v="2804.4450000000002"/>
    <n v="2804.4450000000002"/>
    <n v="2804.4450000000002"/>
    <n v="2642"/>
    <s v="CATIVO"/>
    <n v="0"/>
    <n v="0"/>
    <n v="29"/>
    <n v="66"/>
    <n v="0"/>
    <n v="240.85"/>
    <n v="231.7"/>
    <m/>
    <n v="300.89907966262189"/>
    <n v="198.0053374241497"/>
    <n v="0"/>
    <n v="180690.39135000002"/>
    <n v="0"/>
    <n v="89307.446679377579"/>
    <x v="2"/>
  </r>
  <r>
    <s v="Sistema de Compensação"/>
    <x v="2"/>
    <x v="1"/>
    <x v="1"/>
    <x v="0"/>
    <x v="2"/>
    <x v="0"/>
    <x v="1"/>
    <x v="3"/>
    <n v="0"/>
    <n v="0"/>
    <n v="63.024000000000001"/>
    <n v="63.024000000000001"/>
    <n v="63.024000000000001"/>
    <n v="63.024000000000001"/>
    <n v="82"/>
    <s v="CATIVO"/>
    <n v="0"/>
    <n v="0"/>
    <n v="29"/>
    <n v="66"/>
    <n v="0"/>
    <n v="240.85"/>
    <n v="231.7"/>
    <m/>
    <n v="300.89907966262189"/>
    <n v="198.0053374241497"/>
    <n v="0"/>
    <n v="4060.6363200000005"/>
    <n v="0"/>
    <n v="2006.9969350517097"/>
    <x v="2"/>
  </r>
  <r>
    <s v="Regular"/>
    <x v="2"/>
    <x v="1"/>
    <x v="1"/>
    <x v="0"/>
    <x v="2"/>
    <x v="0"/>
    <x v="1"/>
    <x v="4"/>
    <n v="0"/>
    <n v="0"/>
    <n v="3273.73"/>
    <n v="3273.73"/>
    <n v="3273.73"/>
    <n v="3273.73"/>
    <n v="2629"/>
    <s v="CATIVO"/>
    <n v="0"/>
    <n v="0"/>
    <n v="29"/>
    <n v="66"/>
    <n v="0"/>
    <n v="240.85"/>
    <n v="231.7"/>
    <m/>
    <n v="300.89907966262189"/>
    <n v="198.0053374241497"/>
    <n v="0"/>
    <n v="210926.42390000002"/>
    <n v="0"/>
    <n v="104251.81004358393"/>
    <x v="2"/>
  </r>
  <r>
    <s v="Sistema de Compensação"/>
    <x v="2"/>
    <x v="1"/>
    <x v="1"/>
    <x v="0"/>
    <x v="2"/>
    <x v="0"/>
    <x v="1"/>
    <x v="4"/>
    <n v="0"/>
    <n v="0"/>
    <n v="65.180999999999997"/>
    <n v="65.180999999999997"/>
    <n v="65.180999999999997"/>
    <n v="65.180999999999997"/>
    <n v="80"/>
    <s v="CATIVO"/>
    <n v="0"/>
    <n v="0"/>
    <n v="29"/>
    <n v="66"/>
    <n v="0"/>
    <n v="240.85"/>
    <n v="231.7"/>
    <m/>
    <n v="300.89907966262189"/>
    <n v="198.0053374241497"/>
    <n v="0"/>
    <n v="4199.6118299999998"/>
    <n v="0"/>
    <n v="2075.6865197957204"/>
    <x v="2"/>
  </r>
  <r>
    <s v="Regular"/>
    <x v="2"/>
    <x v="1"/>
    <x v="1"/>
    <x v="0"/>
    <x v="2"/>
    <x v="0"/>
    <x v="1"/>
    <x v="5"/>
    <n v="0"/>
    <n v="0"/>
    <n v="3192.11"/>
    <n v="3192.11"/>
    <n v="3192.11"/>
    <n v="3192.11"/>
    <n v="2606"/>
    <s v="CATIVO"/>
    <n v="0"/>
    <n v="0"/>
    <n v="29"/>
    <n v="66"/>
    <n v="0"/>
    <n v="240.85"/>
    <n v="231.7"/>
    <m/>
    <n v="300.89907966262189"/>
    <n v="198.0053374241497"/>
    <n v="0"/>
    <n v="205667.64730000004"/>
    <n v="0"/>
    <n v="101652.62418043782"/>
    <x v="2"/>
  </r>
  <r>
    <s v="Sistema de Compensação"/>
    <x v="2"/>
    <x v="1"/>
    <x v="1"/>
    <x v="0"/>
    <x v="2"/>
    <x v="0"/>
    <x v="1"/>
    <x v="5"/>
    <n v="0"/>
    <n v="0"/>
    <n v="77.048000000000002"/>
    <n v="77.048000000000002"/>
    <n v="77.048000000000002"/>
    <n v="77.048000000000002"/>
    <n v="78"/>
    <s v="CATIVO"/>
    <n v="0"/>
    <n v="0"/>
    <n v="29"/>
    <n v="66"/>
    <n v="0"/>
    <n v="240.85"/>
    <n v="231.7"/>
    <m/>
    <n v="300.89907966262189"/>
    <n v="198.0053374241497"/>
    <n v="0"/>
    <n v="4964.2026400000004"/>
    <n v="0"/>
    <n v="2453.5906932575549"/>
    <x v="2"/>
  </r>
  <r>
    <s v="Regular"/>
    <x v="2"/>
    <x v="1"/>
    <x v="1"/>
    <x v="0"/>
    <x v="2"/>
    <x v="0"/>
    <x v="1"/>
    <x v="6"/>
    <n v="0"/>
    <n v="0"/>
    <n v="2736.4780000000001"/>
    <n v="2736.4780000000001"/>
    <n v="2736.4780000000001"/>
    <n v="2736.4780000000001"/>
    <n v="2591"/>
    <s v="CATIVO"/>
    <n v="0"/>
    <n v="0"/>
    <n v="29"/>
    <n v="66"/>
    <n v="0"/>
    <n v="240.85"/>
    <n v="231.7"/>
    <m/>
    <n v="300.89907966262189"/>
    <n v="198.0053374241497"/>
    <n v="0"/>
    <n v="176311.27754000001"/>
    <n v="0"/>
    <n v="87143.040093241187"/>
    <x v="2"/>
  </r>
  <r>
    <s v="Refaturamento - Regular"/>
    <x v="2"/>
    <x v="1"/>
    <x v="1"/>
    <x v="0"/>
    <x v="2"/>
    <x v="0"/>
    <x v="1"/>
    <x v="6"/>
    <n v="0"/>
    <n v="0"/>
    <n v="-9.3810000000000002"/>
    <n v="-9.3810000000000002"/>
    <n v="-9.3810000000000002"/>
    <n v="-9.3810000000000002"/>
    <n v="0"/>
    <s v="CATIVO"/>
    <n v="0"/>
    <n v="0"/>
    <n v="29"/>
    <n v="66"/>
    <n v="0"/>
    <n v="240.85"/>
    <n v="231.7"/>
    <m/>
    <n v="300.89907966262189"/>
    <n v="198.0053374241497"/>
    <n v="0"/>
    <n v="-604.41783000000009"/>
    <n v="0"/>
    <n v="-298.73759595900117"/>
    <x v="2"/>
  </r>
  <r>
    <s v="Sistema de Compensação"/>
    <x v="2"/>
    <x v="1"/>
    <x v="1"/>
    <x v="0"/>
    <x v="2"/>
    <x v="0"/>
    <x v="1"/>
    <x v="6"/>
    <n v="0"/>
    <n v="0"/>
    <n v="90.256"/>
    <n v="90.256"/>
    <n v="90.256"/>
    <n v="90.256"/>
    <n v="78"/>
    <s v="CATIVO"/>
    <n v="0"/>
    <n v="0"/>
    <n v="29"/>
    <n v="66"/>
    <n v="0"/>
    <n v="240.85"/>
    <n v="231.7"/>
    <m/>
    <n v="300.89907966262189"/>
    <n v="198.0053374241497"/>
    <n v="0"/>
    <n v="5815.1940800000002"/>
    <n v="0"/>
    <n v="2874.198961824497"/>
    <x v="2"/>
  </r>
  <r>
    <s v="Regular"/>
    <x v="2"/>
    <x v="1"/>
    <x v="1"/>
    <x v="0"/>
    <x v="2"/>
    <x v="0"/>
    <x v="1"/>
    <x v="7"/>
    <n v="0"/>
    <n v="0"/>
    <n v="2746.1570000000002"/>
    <n v="2746.1570000000002"/>
    <n v="2746.1570000000002"/>
    <n v="2746.1570000000002"/>
    <n v="2559"/>
    <s v="CATIVO"/>
    <n v="0"/>
    <n v="0"/>
    <n v="29"/>
    <n v="66"/>
    <n v="0"/>
    <n v="240.85"/>
    <n v="231.7"/>
    <m/>
    <n v="300.89907966262189"/>
    <n v="198.0053374241497"/>
    <n v="0"/>
    <n v="176934.89551000003"/>
    <n v="0"/>
    <n v="87451.26748811244"/>
    <x v="2"/>
  </r>
  <r>
    <s v="Refaturamento - Regular"/>
    <x v="2"/>
    <x v="1"/>
    <x v="1"/>
    <x v="0"/>
    <x v="2"/>
    <x v="0"/>
    <x v="1"/>
    <x v="7"/>
    <n v="0"/>
    <n v="0"/>
    <n v="-0.69499999999999995"/>
    <n v="-0.69499999999999995"/>
    <n v="-0.69499999999999995"/>
    <n v="-0.69499999999999995"/>
    <n v="0"/>
    <s v="CATIVO"/>
    <n v="0"/>
    <n v="0"/>
    <n v="29"/>
    <n v="66"/>
    <n v="0"/>
    <n v="240.85"/>
    <n v="231.7"/>
    <m/>
    <n v="300.89907966262189"/>
    <n v="198.0053374241497"/>
    <n v="0"/>
    <n v="-44.778849999999998"/>
    <n v="0"/>
    <n v="-22.132249140977059"/>
    <x v="2"/>
  </r>
  <r>
    <s v="Sistema de Compensação"/>
    <x v="2"/>
    <x v="1"/>
    <x v="1"/>
    <x v="0"/>
    <x v="2"/>
    <x v="0"/>
    <x v="1"/>
    <x v="7"/>
    <n v="0"/>
    <n v="0"/>
    <n v="60.594000000000001"/>
    <n v="60.594000000000001"/>
    <n v="60.594000000000001"/>
    <n v="60.594000000000001"/>
    <n v="85"/>
    <s v="CATIVO"/>
    <n v="0"/>
    <n v="0"/>
    <n v="29"/>
    <n v="66"/>
    <n v="0"/>
    <n v="240.85"/>
    <n v="231.7"/>
    <m/>
    <n v="300.89907966262189"/>
    <n v="198.0053374241497"/>
    <n v="0"/>
    <n v="3904.0714200000007"/>
    <n v="0"/>
    <n v="1929.6136754652719"/>
    <x v="2"/>
  </r>
  <r>
    <s v="Sistema de Compensação"/>
    <x v="2"/>
    <x v="1"/>
    <x v="1"/>
    <x v="0"/>
    <x v="2"/>
    <x v="0"/>
    <x v="1"/>
    <x v="7"/>
    <n v="0"/>
    <n v="0"/>
    <n v="0.1"/>
    <n v="0.1"/>
    <n v="0.1"/>
    <n v="0.1"/>
    <n v="1"/>
    <s v="CATIVO"/>
    <n v="0"/>
    <n v="0"/>
    <n v="29"/>
    <n v="66"/>
    <n v="0"/>
    <n v="240.85"/>
    <n v="231.7"/>
    <m/>
    <n v="300.89907966262189"/>
    <n v="198.0053374241497"/>
    <n v="0"/>
    <n v="6.4430000000000014"/>
    <n v="0"/>
    <n v="3.1844962792772749"/>
    <x v="2"/>
  </r>
  <r>
    <s v="Regular"/>
    <x v="2"/>
    <x v="1"/>
    <x v="1"/>
    <x v="0"/>
    <x v="2"/>
    <x v="0"/>
    <x v="1"/>
    <x v="8"/>
    <n v="0"/>
    <n v="0"/>
    <n v="2649.5590000000002"/>
    <n v="2649.5590000000002"/>
    <n v="2649.5590000000002"/>
    <n v="2649.5590000000002"/>
    <n v="2542"/>
    <s v="CATIVO"/>
    <n v="0"/>
    <n v="0"/>
    <n v="29"/>
    <n v="66"/>
    <n v="0"/>
    <n v="240.85"/>
    <n v="231.7"/>
    <m/>
    <n v="300.89907966262189"/>
    <n v="198.0053374241497"/>
    <n v="0"/>
    <n v="170711.08637000003"/>
    <n v="0"/>
    <n v="84375.107772256175"/>
    <x v="2"/>
  </r>
  <r>
    <s v="Sistema de Compensação"/>
    <x v="2"/>
    <x v="1"/>
    <x v="1"/>
    <x v="0"/>
    <x v="2"/>
    <x v="0"/>
    <x v="1"/>
    <x v="8"/>
    <n v="0"/>
    <n v="0"/>
    <n v="100.426"/>
    <n v="100.426"/>
    <n v="100.426"/>
    <n v="100.426"/>
    <n v="89"/>
    <s v="CATIVO"/>
    <n v="0"/>
    <n v="0"/>
    <n v="29"/>
    <n v="66"/>
    <n v="0"/>
    <n v="240.85"/>
    <n v="231.7"/>
    <m/>
    <n v="300.89907966262189"/>
    <n v="198.0053374241497"/>
    <n v="0"/>
    <n v="6470.447180000001"/>
    <n v="0"/>
    <n v="3198.062233426996"/>
    <x v="2"/>
  </r>
  <r>
    <s v="Regular"/>
    <x v="2"/>
    <x v="1"/>
    <x v="1"/>
    <x v="0"/>
    <x v="2"/>
    <x v="0"/>
    <x v="1"/>
    <x v="9"/>
    <n v="0"/>
    <n v="0"/>
    <n v="2711.0680000000002"/>
    <n v="2711.0680000000002"/>
    <n v="2711.0680000000002"/>
    <n v="2711.0680000000002"/>
    <n v="2533"/>
    <s v="CATIVO"/>
    <n v="0"/>
    <n v="0"/>
    <n v="29"/>
    <n v="66"/>
    <n v="0"/>
    <n v="240.85"/>
    <n v="231.7"/>
    <m/>
    <n v="300.89907966262189"/>
    <n v="198.0053374241497"/>
    <n v="0"/>
    <n v="174674.11124000003"/>
    <n v="0"/>
    <n v="86333.859588676831"/>
    <x v="2"/>
  </r>
  <r>
    <s v="Refaturamento - Regular"/>
    <x v="2"/>
    <x v="1"/>
    <x v="1"/>
    <x v="0"/>
    <x v="2"/>
    <x v="0"/>
    <x v="1"/>
    <x v="9"/>
    <n v="0"/>
    <n v="0"/>
    <n v="-8.1590000000000007"/>
    <n v="-8.1590000000000007"/>
    <n v="-8.1590000000000007"/>
    <n v="-8.1590000000000007"/>
    <n v="0"/>
    <s v="CATIVO"/>
    <n v="0"/>
    <n v="0"/>
    <n v="29"/>
    <n v="66"/>
    <n v="0"/>
    <n v="240.85"/>
    <n v="231.7"/>
    <m/>
    <n v="300.89907966262189"/>
    <n v="198.0053374241497"/>
    <n v="0"/>
    <n v="-525.68437000000006"/>
    <n v="0"/>
    <n v="-259.82305142623289"/>
    <x v="2"/>
  </r>
  <r>
    <s v="Sistema de Compensação"/>
    <x v="2"/>
    <x v="1"/>
    <x v="1"/>
    <x v="0"/>
    <x v="2"/>
    <x v="0"/>
    <x v="1"/>
    <x v="9"/>
    <n v="0"/>
    <n v="0"/>
    <n v="85.2"/>
    <n v="85.2"/>
    <n v="85.2"/>
    <n v="85.2"/>
    <n v="88"/>
    <s v="CATIVO"/>
    <n v="0"/>
    <n v="0"/>
    <n v="29"/>
    <n v="66"/>
    <n v="0"/>
    <n v="240.85"/>
    <n v="231.7"/>
    <m/>
    <n v="300.89907966262189"/>
    <n v="198.0053374241497"/>
    <n v="0"/>
    <n v="5489.4360000000006"/>
    <n v="0"/>
    <n v="2713.190829944238"/>
    <x v="2"/>
  </r>
  <r>
    <s v="Regular"/>
    <x v="2"/>
    <x v="1"/>
    <x v="1"/>
    <x v="0"/>
    <x v="2"/>
    <x v="0"/>
    <x v="1"/>
    <x v="10"/>
    <n v="0"/>
    <n v="0"/>
    <n v="3048.9229999999998"/>
    <n v="3048.9229999999998"/>
    <n v="3048.9229999999998"/>
    <n v="3048.9229999999998"/>
    <n v="2484"/>
    <s v="CATIVO"/>
    <n v="0"/>
    <n v="0"/>
    <n v="29"/>
    <n v="66"/>
    <n v="0"/>
    <n v="240.85"/>
    <n v="231.7"/>
    <m/>
    <n v="300.89907966262189"/>
    <n v="198.0053374241497"/>
    <n v="0"/>
    <n v="196442.10889"/>
    <n v="0"/>
    <n v="97092.839493029052"/>
    <x v="2"/>
  </r>
  <r>
    <s v="Refaturamento - Regular"/>
    <x v="2"/>
    <x v="1"/>
    <x v="1"/>
    <x v="0"/>
    <x v="2"/>
    <x v="0"/>
    <x v="1"/>
    <x v="10"/>
    <n v="0"/>
    <n v="0"/>
    <n v="0.52500000000000002"/>
    <n v="0.52500000000000002"/>
    <n v="0.52500000000000002"/>
    <n v="0.52500000000000002"/>
    <n v="0"/>
    <s v="CATIVO"/>
    <n v="0"/>
    <n v="0"/>
    <n v="29"/>
    <n v="66"/>
    <n v="0"/>
    <n v="240.85"/>
    <n v="231.7"/>
    <m/>
    <n v="300.89907966262189"/>
    <n v="198.0053374241497"/>
    <n v="0"/>
    <n v="33.825750000000006"/>
    <n v="0"/>
    <n v="16.718605466205695"/>
    <x v="2"/>
  </r>
  <r>
    <s v="Sistema de Compensação"/>
    <x v="2"/>
    <x v="1"/>
    <x v="1"/>
    <x v="0"/>
    <x v="2"/>
    <x v="0"/>
    <x v="1"/>
    <x v="10"/>
    <n v="0"/>
    <n v="0"/>
    <n v="140.86600000000001"/>
    <n v="140.86600000000001"/>
    <n v="140.86600000000001"/>
    <n v="140.86600000000001"/>
    <n v="100"/>
    <s v="CATIVO"/>
    <n v="0"/>
    <n v="0"/>
    <n v="29"/>
    <n v="66"/>
    <n v="0"/>
    <n v="240.85"/>
    <n v="231.7"/>
    <m/>
    <n v="300.89907966262189"/>
    <n v="198.0053374241497"/>
    <n v="0"/>
    <n v="9075.9963800000023"/>
    <n v="0"/>
    <n v="4485.8725287667266"/>
    <x v="2"/>
  </r>
  <r>
    <s v="Regular"/>
    <x v="2"/>
    <x v="1"/>
    <x v="1"/>
    <x v="0"/>
    <x v="2"/>
    <x v="0"/>
    <x v="1"/>
    <x v="11"/>
    <n v="0"/>
    <n v="0"/>
    <n v="2867.6010000000001"/>
    <n v="2867.6010000000001"/>
    <n v="2867.6010000000001"/>
    <n v="2867.6010000000001"/>
    <n v="2451"/>
    <s v="CATIVO"/>
    <n v="0"/>
    <n v="0"/>
    <n v="29"/>
    <n v="66"/>
    <n v="0"/>
    <n v="240.85"/>
    <n v="231.7"/>
    <m/>
    <n v="300.89907966262189"/>
    <n v="198.0053374241497"/>
    <n v="0"/>
    <n v="184759.53243000002"/>
    <n v="0"/>
    <n v="91318.647149517928"/>
    <x v="2"/>
  </r>
  <r>
    <s v="Regular"/>
    <x v="3"/>
    <x v="1"/>
    <x v="2"/>
    <x v="2"/>
    <x v="2"/>
    <x v="0"/>
    <x v="1"/>
    <x v="0"/>
    <n v="0"/>
    <n v="0"/>
    <n v="80.828000000000003"/>
    <n v="75.978319999999997"/>
    <n v="80.828000000000003"/>
    <n v="75.978319999999997"/>
    <n v="25"/>
    <s v="CATIVO"/>
    <n v="0"/>
    <n v="0"/>
    <n v="44"/>
    <n v="81"/>
    <n v="0"/>
    <n v="273.69"/>
    <n v="263.29000000000002"/>
    <m/>
    <n v="320.1054038964063"/>
    <n v="210.64397598313801"/>
    <n v="0"/>
    <n v="2604.1811664000033"/>
    <n v="0"/>
    <n v="2573.9646526142319"/>
    <x v="3"/>
  </r>
  <r>
    <s v="Regular"/>
    <x v="3"/>
    <x v="1"/>
    <x v="2"/>
    <x v="2"/>
    <x v="2"/>
    <x v="0"/>
    <x v="1"/>
    <x v="1"/>
    <n v="0"/>
    <n v="0"/>
    <n v="76.587999999999994"/>
    <n v="71.992719999999991"/>
    <n v="76.587999999999994"/>
    <n v="71.992719999999991"/>
    <n v="26"/>
    <s v="CATIVO"/>
    <n v="0"/>
    <n v="0"/>
    <n v="44"/>
    <n v="81"/>
    <n v="0"/>
    <n v="273.69"/>
    <n v="263.29000000000002"/>
    <m/>
    <n v="320.1054038964063"/>
    <n v="210.64397598313801"/>
    <n v="0"/>
    <n v="2467.5734544000015"/>
    <n v="0"/>
    <n v="2438.9420103728739"/>
    <x v="3"/>
  </r>
  <r>
    <s v="Regular"/>
    <x v="3"/>
    <x v="1"/>
    <x v="2"/>
    <x v="2"/>
    <x v="2"/>
    <x v="0"/>
    <x v="1"/>
    <x v="2"/>
    <n v="0"/>
    <n v="0"/>
    <n v="74.275000000000006"/>
    <n v="69.8185"/>
    <n v="74.275000000000006"/>
    <n v="69.8185"/>
    <n v="26"/>
    <s v="CATIVO"/>
    <n v="0"/>
    <n v="0"/>
    <n v="44"/>
    <n v="81"/>
    <n v="0"/>
    <n v="273.69"/>
    <n v="263.29000000000002"/>
    <m/>
    <n v="320.1054038964063"/>
    <n v="210.64397598313801"/>
    <n v="0"/>
    <n v="2393.0513700000029"/>
    <n v="0"/>
    <n v="2365.2846114331919"/>
    <x v="3"/>
  </r>
  <r>
    <s v="Regular"/>
    <x v="3"/>
    <x v="1"/>
    <x v="2"/>
    <x v="2"/>
    <x v="2"/>
    <x v="0"/>
    <x v="1"/>
    <x v="3"/>
    <n v="0"/>
    <n v="0"/>
    <n v="77.135000000000005"/>
    <n v="72.506900000000002"/>
    <n v="77.135000000000005"/>
    <n v="72.506900000000002"/>
    <n v="26"/>
    <s v="CATIVO"/>
    <n v="0"/>
    <n v="0"/>
    <n v="44"/>
    <n v="81"/>
    <n v="0"/>
    <n v="273.69"/>
    <n v="263.29000000000002"/>
    <m/>
    <n v="320.1054038964063"/>
    <n v="210.64397598313801"/>
    <n v="0"/>
    <n v="2485.1971380000018"/>
    <n v="0"/>
    <n v="2456.3612050205206"/>
    <x v="3"/>
  </r>
  <r>
    <s v="Regular"/>
    <x v="3"/>
    <x v="1"/>
    <x v="2"/>
    <x v="2"/>
    <x v="2"/>
    <x v="0"/>
    <x v="1"/>
    <x v="4"/>
    <n v="0"/>
    <n v="0"/>
    <n v="90.194999999999993"/>
    <n v="84.783299999999997"/>
    <n v="90.194999999999993"/>
    <n v="84.783299999999997"/>
    <n v="26"/>
    <s v="CATIVO"/>
    <n v="0"/>
    <n v="0"/>
    <n v="44"/>
    <n v="81"/>
    <n v="0"/>
    <n v="273.69"/>
    <n v="263.29000000000002"/>
    <m/>
    <n v="320.1054038964063"/>
    <n v="210.64397598313801"/>
    <n v="0"/>
    <n v="2905.9746659999983"/>
    <n v="0"/>
    <n v="2872.256419094128"/>
    <x v="3"/>
  </r>
  <r>
    <s v="Regular"/>
    <x v="3"/>
    <x v="1"/>
    <x v="2"/>
    <x v="2"/>
    <x v="2"/>
    <x v="0"/>
    <x v="1"/>
    <x v="5"/>
    <n v="0"/>
    <n v="0"/>
    <n v="66.856999999999999"/>
    <n v="62.845579999999998"/>
    <n v="66.856999999999999"/>
    <n v="62.845579999999998"/>
    <n v="25"/>
    <s v="CATIVO"/>
    <n v="0"/>
    <n v="0"/>
    <n v="44"/>
    <n v="81"/>
    <n v="0"/>
    <n v="273.69"/>
    <n v="263.29000000000002"/>
    <m/>
    <n v="320.1054038964063"/>
    <n v="210.64397598313801"/>
    <n v="0"/>
    <n v="2154.0523116000004"/>
    <n v="0"/>
    <n v="2129.0586774364024"/>
    <x v="3"/>
  </r>
  <r>
    <s v="Regular"/>
    <x v="3"/>
    <x v="1"/>
    <x v="2"/>
    <x v="2"/>
    <x v="2"/>
    <x v="0"/>
    <x v="1"/>
    <x v="6"/>
    <n v="0"/>
    <n v="0"/>
    <n v="62.64"/>
    <n v="58.881599999999999"/>
    <n v="62.64"/>
    <n v="58.881599999999999"/>
    <n v="26"/>
    <s v="CATIVO"/>
    <n v="0"/>
    <n v="0"/>
    <n v="44"/>
    <n v="81"/>
    <n v="0"/>
    <n v="273.69"/>
    <n v="263.29000000000002"/>
    <m/>
    <n v="320.1054038964063"/>
    <n v="210.64397598313801"/>
    <n v="0"/>
    <n v="2018.1856320000011"/>
    <n v="0"/>
    <n v="1994.7684693392803"/>
    <x v="3"/>
  </r>
  <r>
    <s v="Regular"/>
    <x v="3"/>
    <x v="1"/>
    <x v="2"/>
    <x v="2"/>
    <x v="2"/>
    <x v="0"/>
    <x v="1"/>
    <x v="7"/>
    <n v="0"/>
    <n v="0"/>
    <n v="105.90600000000001"/>
    <n v="99.551640000000006"/>
    <n v="105.90600000000001"/>
    <n v="99.551640000000006"/>
    <n v="27"/>
    <s v="CATIVO"/>
    <n v="0"/>
    <n v="0"/>
    <n v="44"/>
    <n v="81"/>
    <n v="0"/>
    <n v="273.69"/>
    <n v="263.29000000000002"/>
    <m/>
    <n v="320.1054038964063"/>
    <n v="210.64397598313801"/>
    <n v="0"/>
    <n v="3412.1642327999998"/>
    <n v="0"/>
    <n v="3372.5726295313812"/>
    <x v="3"/>
  </r>
  <r>
    <s v="Regular"/>
    <x v="3"/>
    <x v="1"/>
    <x v="2"/>
    <x v="2"/>
    <x v="2"/>
    <x v="0"/>
    <x v="1"/>
    <x v="8"/>
    <n v="0"/>
    <n v="0"/>
    <n v="82.733999999999995"/>
    <n v="77.769959999999998"/>
    <n v="82.733999999999995"/>
    <n v="77.769959999999998"/>
    <n v="26"/>
    <s v="CATIVO"/>
    <n v="0"/>
    <n v="0"/>
    <n v="44"/>
    <n v="81"/>
    <n v="0"/>
    <n v="273.69"/>
    <n v="263.29000000000002"/>
    <m/>
    <n v="320.1054038964063"/>
    <n v="210.64397598313801"/>
    <n v="0"/>
    <n v="2665.5901991999986"/>
    <n v="0"/>
    <n v="2634.6611516972516"/>
    <x v="3"/>
  </r>
  <r>
    <s v="Regular"/>
    <x v="3"/>
    <x v="1"/>
    <x v="2"/>
    <x v="2"/>
    <x v="2"/>
    <x v="0"/>
    <x v="1"/>
    <x v="9"/>
    <n v="0"/>
    <n v="0"/>
    <n v="76.2"/>
    <n v="71.628"/>
    <n v="76.2"/>
    <n v="71.628"/>
    <n v="26"/>
    <s v="CATIVO"/>
    <n v="0"/>
    <n v="0"/>
    <n v="44"/>
    <n v="81"/>
    <n v="0"/>
    <n v="273.69"/>
    <n v="263.29000000000002"/>
    <m/>
    <n v="320.1054038964063"/>
    <n v="210.64397598313801"/>
    <n v="0"/>
    <n v="2455.0725600000014"/>
    <n v="0"/>
    <n v="2426.5861648092778"/>
    <x v="3"/>
  </r>
  <r>
    <s v="Regular"/>
    <x v="3"/>
    <x v="1"/>
    <x v="2"/>
    <x v="2"/>
    <x v="2"/>
    <x v="0"/>
    <x v="1"/>
    <x v="10"/>
    <n v="0"/>
    <n v="0"/>
    <n v="84.373000000000005"/>
    <n v="79.31062"/>
    <n v="84.373000000000005"/>
    <n v="79.31062"/>
    <n v="26"/>
    <s v="CATIVO"/>
    <n v="0"/>
    <n v="0"/>
    <n v="44"/>
    <n v="81"/>
    <n v="0"/>
    <n v="273.69"/>
    <n v="263.29000000000002"/>
    <m/>
    <n v="320.1054038964063"/>
    <n v="210.64397598313801"/>
    <n v="0"/>
    <n v="2718.3968124000025"/>
    <n v="0"/>
    <n v="2686.8550457146102"/>
    <x v="3"/>
  </r>
  <r>
    <s v="Regular"/>
    <x v="3"/>
    <x v="1"/>
    <x v="2"/>
    <x v="2"/>
    <x v="2"/>
    <x v="0"/>
    <x v="1"/>
    <x v="11"/>
    <n v="0"/>
    <n v="0"/>
    <n v="93.983999999999995"/>
    <n v="88.344959999999986"/>
    <n v="93.983999999999995"/>
    <n v="88.344959999999986"/>
    <n v="26"/>
    <s v="CATIVO"/>
    <n v="0"/>
    <n v="0"/>
    <n v="44"/>
    <n v="81"/>
    <n v="0"/>
    <n v="273.69"/>
    <n v="263.29000000000002"/>
    <m/>
    <n v="320.1054038964063"/>
    <n v="210.64397598313801"/>
    <n v="0"/>
    <n v="3028.0516992000048"/>
    <n v="0"/>
    <n v="2992.916983115949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78768-BB63-4C58-985C-DC211AC6D117}" name="Efeito Resumo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J783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9">
        <item x="0"/>
        <item x="5"/>
        <item x="7"/>
        <item x="1"/>
        <item x="6"/>
        <item x="2"/>
        <item x="3"/>
        <item x="4"/>
        <item t="default"/>
      </items>
    </pivotField>
    <pivotField axis="axisRow" showAll="0">
      <items count="12">
        <item x="2"/>
        <item x="3"/>
        <item x="8"/>
        <item x="9"/>
        <item x="10"/>
        <item x="0"/>
        <item x="1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3">
        <item x="0"/>
        <item x="1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782">
    <i>
      <x/>
    </i>
    <i r="1">
      <x/>
    </i>
    <i r="2">
      <x/>
    </i>
    <i r="3">
      <x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7">
      <x v="3"/>
    </i>
    <i r="8">
      <x/>
    </i>
    <i r="8">
      <x v="1"/>
    </i>
    <i r="8">
      <x v="2"/>
    </i>
    <i r="2">
      <x v="3"/>
    </i>
    <i r="3">
      <x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6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6"/>
    </i>
    <i r="4">
      <x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1"/>
    </i>
    <i r="3">
      <x v="5"/>
    </i>
    <i r="4">
      <x v="6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5"/>
    </i>
    <i r="4">
      <x v="6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10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6"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/>
    </i>
    <i r="4">
      <x v="5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2"/>
    </i>
    <i r="3">
      <x v="2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3"/>
    </i>
    <i r="3">
      <x v="3"/>
    </i>
    <i r="4">
      <x v="5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366">
    <format dxfId="750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74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748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747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746">
      <pivotArea type="all" dataOnly="0" outline="0" fieldPosition="0"/>
    </format>
    <format dxfId="745">
      <pivotArea outline="0" collapsedLevelsAreSubtotals="1" fieldPosition="0"/>
    </format>
    <format dxfId="744">
      <pivotArea field="16" type="button" dataOnly="0" labelOnly="1" outline="0" axis="axisRow" fieldPosition="0"/>
    </format>
    <format dxfId="743">
      <pivotArea dataOnly="0" labelOnly="1" fieldPosition="0">
        <references count="1">
          <reference field="16" count="0"/>
        </references>
      </pivotArea>
    </format>
    <format dxfId="742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741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740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1" selected="0">
            <x v="0"/>
          </reference>
        </references>
      </pivotArea>
    </format>
    <format dxfId="739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38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37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36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734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5">
            <x v="0"/>
            <x v="3"/>
            <x v="5"/>
            <x v="6"/>
            <x v="7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0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72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>
            <x v="6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2">
            <x v="0"/>
            <x v="5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6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3">
            <x v="0"/>
            <x v="2"/>
            <x v="5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2">
            <x v="3"/>
            <x v="4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1"/>
          </reference>
        </references>
      </pivotArea>
    </format>
    <format dxfId="70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6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5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10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8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8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67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67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10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6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66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5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65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4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64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10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2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2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1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61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61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9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1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8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8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7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56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6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566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65">
      <pivotArea type="all" dataOnly="0" outline="0" fieldPosition="0"/>
    </format>
    <format dxfId="564">
      <pivotArea outline="0" collapsedLevelsAreSubtotals="1" fieldPosition="0"/>
    </format>
    <format dxfId="563">
      <pivotArea field="16" type="button" dataOnly="0" labelOnly="1" outline="0" axis="axisRow" fieldPosition="0"/>
    </format>
    <format dxfId="562">
      <pivotArea dataOnly="0" labelOnly="1" fieldPosition="0">
        <references count="1">
          <reference field="16" count="0"/>
        </references>
      </pivotArea>
    </format>
    <format dxfId="561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560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559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1" selected="0">
            <x v="0"/>
          </reference>
        </references>
      </pivotArea>
    </format>
    <format dxfId="558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57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56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55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54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55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55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5">
            <x v="0"/>
            <x v="3"/>
            <x v="5"/>
            <x v="6"/>
            <x v="7"/>
          </reference>
          <reference field="16" count="1" selected="0">
            <x v="0"/>
          </reference>
        </references>
      </pivotArea>
    </format>
    <format dxfId="551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550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54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48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47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0"/>
          </reference>
          <reference field="16" count="1" selected="0">
            <x v="0"/>
          </reference>
        </references>
      </pivotArea>
    </format>
    <format dxfId="546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1" selected="0">
            <x v="0"/>
          </reference>
        </references>
      </pivotArea>
    </format>
    <format dxfId="545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4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54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4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4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4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3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>
            <x v="6"/>
          </reference>
          <reference field="16" count="1" selected="0">
            <x v="0"/>
          </reference>
        </references>
      </pivotArea>
    </format>
    <format dxfId="53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2">
            <x v="0"/>
            <x v="5"/>
          </reference>
          <reference field="16" count="1" selected="0">
            <x v="0"/>
          </reference>
        </references>
      </pivotArea>
    </format>
    <format dxfId="53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36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6"/>
          </reference>
          <reference field="16" count="1" selected="0">
            <x v="0"/>
          </reference>
        </references>
      </pivotArea>
    </format>
    <format dxfId="535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534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33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3">
            <x v="0"/>
            <x v="2"/>
            <x v="5"/>
          </reference>
          <reference field="16" count="1" selected="0">
            <x v="0"/>
          </reference>
        </references>
      </pivotArea>
    </format>
    <format dxfId="53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3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30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2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2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52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2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2">
            <x v="3"/>
            <x v="4"/>
          </reference>
          <reference field="16" count="1" selected="0">
            <x v="0"/>
          </reference>
        </references>
      </pivotArea>
    </format>
    <format dxfId="52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1"/>
          </reference>
        </references>
      </pivotArea>
    </format>
    <format dxfId="52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2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2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2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2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51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5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10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49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9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9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9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9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9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49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9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8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8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8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8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8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8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8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10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8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8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8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47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47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47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7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7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7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7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7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7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7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46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46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6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6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6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6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6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16" count="1" selected="0">
            <x v="0"/>
          </reference>
        </references>
      </pivotArea>
    </format>
    <format dxfId="46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6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5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5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5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5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5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5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5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10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5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5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5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4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4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4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4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4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4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4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4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4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4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3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3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3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3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43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43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3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2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2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2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2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2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2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2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1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1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1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9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1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0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38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8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385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AF1337-CFD7-4446-8828-739E5F45F472}" name="Subsidio Resumo" cacheId="1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G432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4">
        <item x="2"/>
        <item x="1"/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10">
        <item x="1"/>
        <item x="2"/>
        <item x="8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7">
        <item x="3"/>
        <item x="5"/>
        <item x="0"/>
        <item x="1"/>
        <item x="2"/>
        <item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431">
    <i>
      <x/>
    </i>
    <i r="1">
      <x/>
    </i>
    <i r="2">
      <x v="2"/>
    </i>
    <i r="3">
      <x v="3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 v="1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1"/>
    </i>
    <i r="3">
      <x v="1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2"/>
    </i>
    <i r="3">
      <x/>
    </i>
    <i r="4">
      <x v="3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2"/>
    </i>
    <i r="3">
      <x v="2"/>
    </i>
    <i r="4">
      <x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2"/>
    </i>
    <i r="4">
      <x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 v="2"/>
    </i>
    <i r="3">
      <x v="2"/>
    </i>
    <i r="4">
      <x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2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1"/>
    </i>
    <i r="3">
      <x v="2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2"/>
    </i>
    <i r="8">
      <x v="3"/>
    </i>
    <i r="8">
      <x v="4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1"/>
    </i>
    <i r="2">
      <x v="1"/>
    </i>
    <i r="3">
      <x v="1"/>
    </i>
    <i r="4">
      <x v="4"/>
    </i>
    <i r="5">
      <x v="3"/>
    </i>
    <i r="6">
      <x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44">
    <format dxfId="384">
      <pivotArea outline="0" collapsedLevelsAreSubtotals="1" fieldPosition="0"/>
    </format>
    <format dxfId="38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82">
      <pivotArea type="all" dataOnly="0" outline="0" fieldPosition="0"/>
    </format>
    <format dxfId="381">
      <pivotArea outline="0" collapsedLevelsAreSubtotals="1" fieldPosition="0"/>
    </format>
    <format dxfId="380">
      <pivotArea field="31" type="button" dataOnly="0" labelOnly="1" outline="0" axis="axisRow" fieldPosition="0"/>
    </format>
    <format dxfId="379">
      <pivotArea dataOnly="0" labelOnly="1" fieldPosition="0">
        <references count="1">
          <reference field="31" count="0"/>
        </references>
      </pivotArea>
    </format>
    <format dxfId="378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377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76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75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374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373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372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71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370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69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368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67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366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365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1"/>
          </reference>
          <reference field="31" count="1" selected="0">
            <x v="4"/>
          </reference>
        </references>
      </pivotArea>
    </format>
    <format dxfId="364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363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62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61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360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59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5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57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56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5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54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353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5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51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35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4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348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347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2">
            <x v="0"/>
            <x v="3"/>
          </reference>
          <reference field="31" count="1" selected="0">
            <x v="4"/>
          </reference>
        </references>
      </pivotArea>
    </format>
    <format dxfId="346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4"/>
          </reference>
        </references>
      </pivotArea>
    </format>
    <format dxfId="34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344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31" count="1" selected="0">
            <x v="5"/>
          </reference>
        </references>
      </pivotArea>
    </format>
    <format dxfId="34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4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4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4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7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3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3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3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3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3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31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3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2">
            <x v="1"/>
            <x v="2"/>
          </reference>
          <reference field="31" count="1" selected="0">
            <x v="4"/>
          </reference>
        </references>
      </pivotArea>
    </format>
    <format dxfId="32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32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2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2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2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2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2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2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2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20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31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1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1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1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1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14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1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31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4"/>
          </reference>
        </references>
      </pivotArea>
    </format>
    <format dxfId="31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31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0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30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30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0"/>
          </reference>
        </references>
      </pivotArea>
    </format>
    <format dxfId="30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30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30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30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30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30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31" count="1" selected="0">
            <x v="3"/>
          </reference>
        </references>
      </pivotArea>
    </format>
    <format dxfId="30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29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29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29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296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31" count="1" selected="0">
            <x v="4"/>
          </reference>
        </references>
      </pivotArea>
    </format>
    <format dxfId="29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29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29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29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29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5"/>
          </reference>
        </references>
      </pivotArea>
    </format>
    <format dxfId="29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8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8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8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8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8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8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8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8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8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8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7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27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7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7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7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7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27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7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7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27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6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6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26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6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2">
            <x v="3"/>
            <x v="4"/>
          </reference>
          <reference field="31" count="1" selected="0">
            <x v="4"/>
          </reference>
        </references>
      </pivotArea>
    </format>
    <format dxfId="26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6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6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26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61">
      <pivotArea type="all" dataOnly="0" outline="0" fieldPosition="0"/>
    </format>
    <format dxfId="260">
      <pivotArea outline="0" collapsedLevelsAreSubtotals="1" fieldPosition="0"/>
    </format>
    <format dxfId="259">
      <pivotArea field="31" type="button" dataOnly="0" labelOnly="1" outline="0" axis="axisRow" fieldPosition="0"/>
    </format>
    <format dxfId="258">
      <pivotArea dataOnly="0" labelOnly="1" fieldPosition="0">
        <references count="1">
          <reference field="31" count="0"/>
        </references>
      </pivotArea>
    </format>
    <format dxfId="257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256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255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254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253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252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251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250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249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248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247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246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245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244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1"/>
          </reference>
          <reference field="31" count="1" selected="0">
            <x v="4"/>
          </reference>
        </references>
      </pivotArea>
    </format>
    <format dxfId="243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242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241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240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239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38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237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236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35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34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33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232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3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30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22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228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227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226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2">
            <x v="0"/>
            <x v="3"/>
          </reference>
          <reference field="31" count="1" selected="0">
            <x v="4"/>
          </reference>
        </references>
      </pivotArea>
    </format>
    <format dxfId="225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4"/>
          </reference>
        </references>
      </pivotArea>
    </format>
    <format dxfId="224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223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31" count="1" selected="0">
            <x v="5"/>
          </reference>
        </references>
      </pivotArea>
    </format>
    <format dxfId="22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2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2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15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21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21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21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11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10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0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2">
            <x v="1"/>
            <x v="2"/>
          </reference>
          <reference field="31" count="1" selected="0">
            <x v="4"/>
          </reference>
        </references>
      </pivotArea>
    </format>
    <format dxfId="20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20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0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0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20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20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20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20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20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9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198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9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9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9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9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93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9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19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4"/>
          </reference>
        </references>
      </pivotArea>
    </format>
    <format dxfId="19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18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8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18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18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0"/>
          </reference>
        </references>
      </pivotArea>
    </format>
    <format dxfId="18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8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8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8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8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18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0"/>
          </reference>
          <reference field="31" count="1" selected="0">
            <x v="3"/>
          </reference>
        </references>
      </pivotArea>
    </format>
    <format dxfId="17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17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17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17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175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31" count="1" selected="0">
            <x v="4"/>
          </reference>
        </references>
      </pivotArea>
    </format>
    <format dxfId="17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17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17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17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17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5"/>
          </reference>
        </references>
      </pivotArea>
    </format>
    <format dxfId="16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6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6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6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6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6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6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6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5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5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15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5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5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5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15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5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14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4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14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4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2">
            <x v="3"/>
            <x v="4"/>
          </reference>
          <reference field="31" count="1" selected="0">
            <x v="4"/>
          </reference>
        </references>
      </pivotArea>
    </format>
    <format dxfId="14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4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4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14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758AFAD-000B-4938-9B87-132C7BC774C6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 TUSD" tableColumnId="51"/>
      <queryTableField id="10" name="Total TE" tableColumnId="52"/>
      <queryTableField id="11" name="TUSD_CDE_COVID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 Subsidio" tableColumnId="69"/>
      <queryTableField id="28" name="TUSD Outros" tableColumnId="70"/>
      <queryTableField id="29" name="TUSD_PT" tableColumnId="71"/>
      <queryTableField id="30" name="TUSD_Per_RB_D" tableColumnId="72"/>
      <queryTableField id="31" name="TUSD_PNT" tableColumnId="73"/>
      <queryTableField id="32" name="TUSD_RI" tableColumnId="74"/>
      <queryTableField id="33" name="TE_CDE_COVID" tableColumnId="75"/>
      <queryTableField id="34" name="TE_PeD" tableColumnId="76"/>
      <queryTableField id="35" name="TE_ESSERR" tableColumnId="77"/>
      <queryTableField id="36" name="TE_CFURH" tableColumnId="78"/>
      <queryTableField id="37" name="TE_ENERGIA" tableColumnId="79"/>
      <queryTableField id="38" name="TE_TRANSPORTE_ITAIPU" tableColumnId="80"/>
      <queryTableField id="39" name="TE_TUST_ITAIPU" tableColumnId="81"/>
      <queryTableField id="40" name="TE_TUST_CI" tableColumnId="82"/>
      <queryTableField id="41" name="TE Subsidio" tableColumnId="83"/>
      <queryTableField id="42" name="TE_Per_RB" tableColumnId="8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28BBB4E3-C939-4F27-8BF3-72947A6835FD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 TUSD" tableColumnId="51"/>
      <queryTableField id="10" name="Total TE" tableColumnId="52"/>
      <queryTableField id="11" name="TUSD_CDE_COVID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 Subsidio" tableColumnId="69"/>
      <queryTableField id="28" name="TUSD Outros" tableColumnId="70"/>
      <queryTableField id="29" name="TUSD_PT" tableColumnId="71"/>
      <queryTableField id="30" name="TUSD_Per_RB_D" tableColumnId="72"/>
      <queryTableField id="31" name="TUSD_PNT" tableColumnId="73"/>
      <queryTableField id="32" name="TUSD_RI" tableColumnId="74"/>
      <queryTableField id="33" name="TE_CDE_COVID" tableColumnId="75"/>
      <queryTableField id="34" name="TE_PeD" tableColumnId="76"/>
      <queryTableField id="35" name="TE_ESSERR" tableColumnId="77"/>
      <queryTableField id="36" name="TE_CFURH" tableColumnId="78"/>
      <queryTableField id="37" name="TE_ENERGIA" tableColumnId="79"/>
      <queryTableField id="38" name="TE_TRANSPORTE_ITAIPU" tableColumnId="80"/>
      <queryTableField id="39" name="TE_TUST_ITAIPU" tableColumnId="81"/>
      <queryTableField id="40" name="TE_TUST_CI" tableColumnId="82"/>
      <queryTableField id="41" name="TE Subsidio" tableColumnId="83"/>
      <queryTableField id="42" name="TE_Per_RB" tableColumnId="8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0CE39216-0C0F-4BB3-90BA-10B428B00253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 TUSD" tableColumnId="51"/>
      <queryTableField id="10" name="Total TE" tableColumnId="52"/>
      <queryTableField id="11" name="TUSD_CDE_COVID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 Subsidio" tableColumnId="69"/>
      <queryTableField id="28" name="TUSD Outros" tableColumnId="70"/>
      <queryTableField id="29" name="TUSD_PT" tableColumnId="71"/>
      <queryTableField id="30" name="TUSD_Per_RB_D" tableColumnId="72"/>
      <queryTableField id="31" name="TUSD_PNT" tableColumnId="73"/>
      <queryTableField id="32" name="TUSD_RI" tableColumnId="74"/>
      <queryTableField id="33" name="TE_CDE_COVID" tableColumnId="75"/>
      <queryTableField id="34" name="TE_PeD" tableColumnId="76"/>
      <queryTableField id="35" name="TE_ESSERR" tableColumnId="77"/>
      <queryTableField id="36" name="TE_CFURH" tableColumnId="78"/>
      <queryTableField id="37" name="TE_ENERGIA" tableColumnId="79"/>
      <queryTableField id="38" name="TE_TRANSPORTE_ITAIPU" tableColumnId="80"/>
      <queryTableField id="39" name="TE_TUST_ITAIPU" tableColumnId="81"/>
      <queryTableField id="40" name="TE_TUST_CI" tableColumnId="82"/>
      <queryTableField id="41" name="TE Subsidio" tableColumnId="83"/>
      <queryTableField id="42" name="TE_Per_RB" tableColumnId="8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8466E4-7A5F-471F-BD1D-CE7748756F8E}" name="Efeito" displayName="Efeito" ref="A1:AG754" totalsRowShown="0" headerRowDxfId="819" dataDxfId="818">
  <autoFilter ref="A1:AG754" xr:uid="{048466E4-7A5F-471F-BD1D-CE7748756F8E}"/>
  <tableColumns count="33">
    <tableColumn id="1" xr3:uid="{AA14CFC0-D0E8-4347-8123-533422128441}" name="TipoMercado" dataDxfId="817"/>
    <tableColumn id="2" xr3:uid="{F65E8F98-AF00-4932-8E58-244BA5F9893E}" name="Subgrupo" dataDxfId="816"/>
    <tableColumn id="3" xr3:uid="{00E80A99-DA07-4026-95C2-ABF334148A80}" name="Modalidade" dataDxfId="815"/>
    <tableColumn id="4" xr3:uid="{4E11BEDE-2802-4083-AC7A-0E7F8E263531}" name="Classe" dataDxfId="814"/>
    <tableColumn id="5" xr3:uid="{EF095909-4A9E-4B15-B20F-F973F4D2AE1D}" name="Subclasse" dataDxfId="813"/>
    <tableColumn id="6" xr3:uid="{E352701C-351B-4BBF-9856-205379B54251}" name="Detalhe" dataDxfId="812"/>
    <tableColumn id="7" xr3:uid="{B1A243E1-FB47-461A-9C77-ACDD079D477F}" name="Agente" dataDxfId="811"/>
    <tableColumn id="8" xr3:uid="{0B06854A-56BE-4474-8861-DD41FA0C81C0}" name="Posto" dataDxfId="810"/>
    <tableColumn id="9" xr3:uid="{07103C7D-F078-4A43-8D53-EBD1F166561F}" name="AnoMes" dataDxfId="809"/>
    <tableColumn id="10" xr3:uid="{1527FDF3-CE67-4A20-A61A-B1EE555A26A8}" name="D" dataDxfId="808"/>
    <tableColumn id="11" xr3:uid="{F4C02F09-54BF-4F07-8954-BD98E0A7ABCD}" name="Daj" dataDxfId="807"/>
    <tableColumn id="12" xr3:uid="{A3B481F8-9F51-4E44-9C8F-0243DDD3BB0E}" name="TUSD_E" dataDxfId="806"/>
    <tableColumn id="13" xr3:uid="{74E23F83-427F-4841-8335-A41F81EF267F}" name="TUSD_Eaj" dataDxfId="805"/>
    <tableColumn id="14" xr3:uid="{16BA6A10-34DB-47BF-98D8-CC2ABE3D718D}" name="TE_E" dataDxfId="804"/>
    <tableColumn id="15" xr3:uid="{3AC2B418-338A-4615-9ACF-1C97A0981B04}" name="TE_Eaj" dataDxfId="803"/>
    <tableColumn id="16" xr3:uid="{D5C38C25-E472-456F-8C3E-B2630944980C}" name="UC" dataDxfId="802"/>
    <tableColumn id="17" xr3:uid="{4C832B2C-4878-46BD-9C71-9BABC86A3D3D}" name="OPÇÃO" dataDxfId="801"/>
    <tableColumn id="18" xr3:uid="{B5901AA9-20FA-4A0E-B29E-65A49A0AE8CB}" name="CóD. AUX." dataDxfId="800"/>
    <tableColumn id="19" xr3:uid="{AED35EA9-68A0-4A26-A867-9BB1950AD6BC}" name="CóD. AUX. TUSD R$/kW" dataDxfId="799"/>
    <tableColumn id="20" xr3:uid="{029D0B61-50CC-40ED-BA66-478B1D72DDDD}" name="CóD. AUX. TUSD R$/MWh" dataDxfId="798"/>
    <tableColumn id="21" xr3:uid="{C416B047-91DF-4FA7-A7B2-CB3937251B15}" name="CóD. AUX. TE R$/MWh" dataDxfId="797"/>
    <tableColumn id="22" xr3:uid="{2469C2E7-659F-4BBD-9DBF-C7D1EE71D49D}" name="TUSD (R$/kW)" dataDxfId="796"/>
    <tableColumn id="23" xr3:uid="{FB6B15E8-C1B0-435D-B459-AD5007535BE5}" name="TUSD (R$/MWh)" dataDxfId="795"/>
    <tableColumn id="24" xr3:uid="{5AA51F91-C880-47EE-983C-53B03C82B1C2}" name="TE (R$/MWh)" dataDxfId="794"/>
    <tableColumn id="25" xr3:uid="{F3BCE36E-A1CC-4DE2-9682-FD7640F01B33}" name="TUSD (R$/kW) NOVA" dataDxfId="793"/>
    <tableColumn id="26" xr3:uid="{1A9645D9-167F-42FB-9786-FF6F88B3FB9C}" name="TUSD (R$/MWh) NOVA" dataDxfId="792">
      <calculatedColumnFormula>('TUSD BE'!$AM$51+'TUSD BF'!$AM$51+'TUSD CVA'!$AM$51)*1</calculatedColumnFormula>
    </tableColumn>
    <tableColumn id="27" xr3:uid="{E47DA98B-529D-4E5A-AFA1-C0343A44F471}" name="TE (R$/MWh) NOVA" dataDxfId="791">
      <calculatedColumnFormula>('TE BE'!$AA$41+'TE BF'!$AA$41+'TE CVA'!$AA$41)*1</calculatedColumnFormula>
    </tableColumn>
    <tableColumn id="28" xr3:uid="{7BC56127-E0CA-4C7A-8551-B1BCC0CBA924}" name="RA0 ou RV - TUSD (kW)" dataDxfId="790"/>
    <tableColumn id="29" xr3:uid="{46A839D0-5287-45DD-8E27-C489848157D4}" name="RA0 ou RV - TUSD (MWh)" dataDxfId="789"/>
    <tableColumn id="30" xr3:uid="{49C5E1BC-D460-4567-90D8-CDB3B222594D}" name="RA0 ou RV - TE (MWh)" dataDxfId="788"/>
    <tableColumn id="31" xr3:uid="{272F908C-138E-4A70-9FFC-229E75528F25}" name="RA1 ou RRD - TUSD (kW)" dataDxfId="787"/>
    <tableColumn id="32" xr3:uid="{1C3384C7-2473-4B2A-A324-C31056183AB0}" name="RA1 ou RRD - TUSD (MWh)" dataDxfId="786"/>
    <tableColumn id="33" xr3:uid="{11A17F32-5617-4133-9B03-8CE8DA0C5A01}" name="RA1 ou RRD - TE (MWh)" dataDxfId="78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E17189-F561-4E92-80B4-2E5737BE43D5}" name="Subsidio" displayName="Subsidio" ref="A1:AF368" totalsRowShown="0" headerRowDxfId="784" dataDxfId="783">
  <autoFilter ref="A1:AF368" xr:uid="{80E17189-F561-4E92-80B4-2E5737BE43D5}"/>
  <tableColumns count="32">
    <tableColumn id="1" xr3:uid="{0A14F869-C58F-47A8-84A2-1C94B9B9DEEB}" name="TipoMercado" dataDxfId="782"/>
    <tableColumn id="2" xr3:uid="{4E815A79-89DC-42EA-A0C7-FAAE211536BB}" name="Subgrupo" dataDxfId="781"/>
    <tableColumn id="3" xr3:uid="{CB177425-C1BE-4FFC-9AAD-482B32971340}" name="Modalidade" dataDxfId="780"/>
    <tableColumn id="4" xr3:uid="{2137EE04-88DA-4FE1-B38B-D3321020C6B0}" name="Classe" dataDxfId="779"/>
    <tableColumn id="5" xr3:uid="{502AB13C-5D6C-478C-ABB4-8CA7316684B8}" name="Subclasse" dataDxfId="778"/>
    <tableColumn id="6" xr3:uid="{55AF5ED5-6B5A-4DE0-8187-6D17C5CA050A}" name="Detalhe" dataDxfId="777"/>
    <tableColumn id="7" xr3:uid="{C0FD7D5E-1BB2-4D60-90A4-BA5E4C66FDC9}" name="Agente" dataDxfId="776"/>
    <tableColumn id="8" xr3:uid="{38A74772-2806-4212-967D-192707ACD167}" name="Posto" dataDxfId="775"/>
    <tableColumn id="9" xr3:uid="{ADD7866C-BBF3-4AE0-BC14-104DB390B80A}" name="AnoMes" dataDxfId="774"/>
    <tableColumn id="10" xr3:uid="{BFE38BAE-D5C2-4020-B36E-2CF377287A1D}" name="D" dataDxfId="773"/>
    <tableColumn id="11" xr3:uid="{4819EC73-2C1C-4D9E-8359-6DA029115475}" name="Daj" dataDxfId="772"/>
    <tableColumn id="12" xr3:uid="{11149046-CD00-4BF0-BB06-F944D00DB490}" name="TUSD_E" dataDxfId="771"/>
    <tableColumn id="13" xr3:uid="{26003D18-D85E-4D4F-92A7-2C78C4B70935}" name="TUSD_Eaj" dataDxfId="770"/>
    <tableColumn id="14" xr3:uid="{8532BB41-32EF-444E-97D7-03E9A171024D}" name="TE_E" dataDxfId="769"/>
    <tableColumn id="15" xr3:uid="{F82F14F0-89ED-4261-B59F-202C634FF167}" name="TE_Eaj" dataDxfId="768"/>
    <tableColumn id="16" xr3:uid="{680C6E6D-9FE0-429F-A28F-4706BE475045}" name="UC" dataDxfId="767"/>
    <tableColumn id="17" xr3:uid="{0EF58237-7A2F-4B2E-A911-03AE7697B58A}" name="OPÇÃO" dataDxfId="766"/>
    <tableColumn id="18" xr3:uid="{90454DA0-C429-4AB6-9163-DF7A7C0BEA63}" name="CóD. AUX." dataDxfId="765"/>
    <tableColumn id="19" xr3:uid="{3CA22338-E68C-4FA5-A726-3F450B1B1784}" name="CóD. AUX. TUSD R$/kW" dataDxfId="764"/>
    <tableColumn id="20" xr3:uid="{FC55E83B-A071-463E-91DC-E459199FF3FC}" name="CóD. AUX. TUSD R$/MWh" dataDxfId="763"/>
    <tableColumn id="21" xr3:uid="{7D2D9BED-5019-421C-81D2-7252292BB256}" name="CóD. AUX. TE R$/MWh" dataDxfId="762"/>
    <tableColumn id="22" xr3:uid="{AE5AC29F-965A-4394-BEF0-2B4EE69D3EE8}" name="TUSD (R$/kW)" dataDxfId="761"/>
    <tableColumn id="23" xr3:uid="{6F6AE2B9-711D-42A8-BD19-6FC8D87E396F}" name="TUSD (R$/MWh)" dataDxfId="760"/>
    <tableColumn id="24" xr3:uid="{75599556-7972-4B9B-92A7-B41EB7176BC0}" name="TE (R$/MWh)" dataDxfId="759"/>
    <tableColumn id="25" xr3:uid="{E92C5D9E-E09E-4E61-B0DA-C47AAF6FD8A1}" name="TUSD (R$/kW) NOVA" dataDxfId="758"/>
    <tableColumn id="26" xr3:uid="{BE89BC72-2796-46B7-BAD9-DBE5DC0F7C2A}" name="TUSD (R$/MWh) NOVA" dataDxfId="757">
      <calculatedColumnFormula>('TUSD BE'!$AM$48+'TUSD BF'!$AM$48+'TUSD CVA'!$AM$48)*1</calculatedColumnFormula>
    </tableColumn>
    <tableColumn id="27" xr3:uid="{724C68D3-A50A-48E9-ACF7-D9A9308CFCB5}" name="TE (R$/MWh) NOVA" dataDxfId="756">
      <calculatedColumnFormula>('TE BE'!$AA$38+'TE BF'!$AA$38+'TE CVA'!$AA$38)*1</calculatedColumnFormula>
    </tableColumn>
    <tableColumn id="28" xr3:uid="{F69A6A51-C3C9-4E45-8521-9CFE0FA6FFF2}" name="SUBSIDIO kW - TV" dataDxfId="755">
      <calculatedColumnFormula>(J2-K2)*V2</calculatedColumnFormula>
    </tableColumn>
    <tableColumn id="29" xr3:uid="{3C568091-AC8C-4B03-AC08-903145E6D62D}" name="SUBSIDIO MWh - TV" dataDxfId="754">
      <calculatedColumnFormula>(L2-M2)*W2+(N2-O2)*X2</calculatedColumnFormula>
    </tableColumn>
    <tableColumn id="30" xr3:uid="{ECE858CC-BFB0-4A8F-9FE4-D791D4CD9999}" name="SUBSIDIO kW - TN" dataDxfId="753">
      <calculatedColumnFormula>(J2-K2)*Y2</calculatedColumnFormula>
    </tableColumn>
    <tableColumn id="31" xr3:uid="{CE40F59D-3CB3-4511-829D-4A169ECE6385}" name="SUBSIDIO MWh - TN" dataDxfId="752">
      <calculatedColumnFormula>(L2-M2)*Z2+(N2-O2)*AA2</calculatedColumnFormula>
    </tableColumn>
    <tableColumn id="32" xr3:uid="{E3E56C5D-E270-45A0-B184-E8BAE272698F}" name="TIPO" dataDxfId="75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05DF81-0258-4A4B-988A-9DC076A41F8C}" name="TabelaFin" displayName="TabelaFin" ref="B3:AQ49" tableType="queryTable" totalsRowShown="0" headerRowDxfId="140" dataDxfId="138" headerRowBorderDxfId="139" tableBorderDxfId="137" totalsRowBorderDxfId="136">
  <autoFilter ref="B3:AQ49" xr:uid="{1905DF81-0258-4A4B-988A-9DC076A41F8C}"/>
  <sortState xmlns:xlrd2="http://schemas.microsoft.com/office/spreadsheetml/2017/richdata2" ref="B4:AQ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2">
    <tableColumn id="43" xr3:uid="{1DA2082B-13BF-416D-9F2B-DC0ADF278B9E}" uniqueName="43" name="SUBGRUPO" queryTableFieldId="1" dataDxfId="135"/>
    <tableColumn id="44" xr3:uid="{03F09A92-1A1D-4E2C-B5FC-75414E6CE37C}" uniqueName="44" name="MODALIDADE" queryTableFieldId="2" dataDxfId="134"/>
    <tableColumn id="45" xr3:uid="{3872E86A-C922-437B-9CB6-B0ADE9DE419C}" uniqueName="45" name="CLASSE" queryTableFieldId="3" dataDxfId="133"/>
    <tableColumn id="46" xr3:uid="{3D10BDAB-4A0D-41E6-9793-E3CE19800115}" uniqueName="46" name="SUBCLASSE" queryTableFieldId="4" dataDxfId="132"/>
    <tableColumn id="47" xr3:uid="{EBEE4180-4BE0-4556-BC6E-BD2CF9CE4F2D}" uniqueName="47" name="DETALHE" queryTableFieldId="5" dataDxfId="131"/>
    <tableColumn id="48" xr3:uid="{4828C91B-1C7E-408B-AF92-FAAD2220AD71}" uniqueName="48" name="POSTO" queryTableFieldId="6" dataDxfId="130"/>
    <tableColumn id="49" xr3:uid="{BD404436-3606-4AF4-A9C3-D5817E807B7B}" uniqueName="49" name="UNIDADE" queryTableFieldId="7" dataDxfId="129"/>
    <tableColumn id="50" xr3:uid="{CB1344EB-0DE9-4989-ACEE-57392CC147E3}" uniqueName="50" name="ACESSANTE" queryTableFieldId="8" dataDxfId="128"/>
    <tableColumn id="51" xr3:uid="{8D5D3693-FA21-4E9A-9C8C-59C4E3DE83E7}" uniqueName="51" name="Total TUSD" queryTableFieldId="9" dataDxfId="127"/>
    <tableColumn id="52" xr3:uid="{764AB65F-71AB-453A-98AC-4E174E8BCA43}" uniqueName="52" name="Total TE" queryTableFieldId="10" dataDxfId="126"/>
    <tableColumn id="53" xr3:uid="{3D54A2C6-F593-4A57-ACB3-6AE6F75C9064}" uniqueName="53" name="TUSD_CDE_COVID" queryTableFieldId="11" dataDxfId="125"/>
    <tableColumn id="54" xr3:uid="{F344C790-3790-4327-A670-258B087E8BC8}" uniqueName="54" name="TUSD_TFSEE" queryTableFieldId="12" dataDxfId="124"/>
    <tableColumn id="55" xr3:uid="{798816A1-FD41-4424-8071-E8AF19D3931A}" uniqueName="55" name="TUSD_PeD" queryTableFieldId="13" dataDxfId="123"/>
    <tableColumn id="56" xr3:uid="{BE1B7952-60AB-43D7-8F40-517A8A4E59B7}" uniqueName="56" name="TUSD_ONS" queryTableFieldId="14" dataDxfId="122"/>
    <tableColumn id="57" xr3:uid="{8DF748C2-0541-4469-9AEE-F14608430CBE}" uniqueName="57" name="TUSD_CCC" queryTableFieldId="15" dataDxfId="121"/>
    <tableColumn id="58" xr3:uid="{3A2B5901-1F47-402A-8C85-7D34F0A847D3}" uniqueName="58" name="TUSD_CDE" queryTableFieldId="16" dataDxfId="120"/>
    <tableColumn id="59" xr3:uid="{BE171717-18F4-4524-B2E8-C4FB40219670}" uniqueName="59" name="TUSD_PROINFA" queryTableFieldId="17" dataDxfId="119"/>
    <tableColumn id="60" xr3:uid="{A5C69F12-5B59-4125-AB0A-0EBE70287155}" uniqueName="60" name="Liminar1" queryTableFieldId="18" dataDxfId="118"/>
    <tableColumn id="61" xr3:uid="{C78E031B-24D5-4022-9FF4-4809802DF7D5}" uniqueName="61" name="TUSD_RB" queryTableFieldId="19" dataDxfId="117"/>
    <tableColumn id="62" xr3:uid="{CB020C1E-DBAE-4E96-9136-BA6BF95B0786}" uniqueName="62" name="TUSD_FR" queryTableFieldId="20" dataDxfId="116"/>
    <tableColumn id="63" xr3:uid="{1DAE6260-FADA-4BD8-95BB-E9B719CAB68F}" uniqueName="63" name="TUSD_CCT" queryTableFieldId="21" dataDxfId="115"/>
    <tableColumn id="64" xr3:uid="{502FF0FD-DEAF-4BC7-8480-A36AB286AFFD}" uniqueName="64" name="TUSD_CCD" queryTableFieldId="22" dataDxfId="114"/>
    <tableColumn id="65" xr3:uid="{3F90177F-4DAA-49BB-8F14-8978F444DC8D}" uniqueName="65" name="TUSD_CUSD" queryTableFieldId="23" dataDxfId="113"/>
    <tableColumn id="66" xr3:uid="{A0AA2F7A-63B1-4BA9-A20D-C830110B9DD9}" uniqueName="66" name="TUSDG_T" queryTableFieldId="24" dataDxfId="112"/>
    <tableColumn id="67" xr3:uid="{732D4686-FF35-4152-97BF-3446D0F8FE5D}" uniqueName="67" name="TUSDG_ONS" queryTableFieldId="25" dataDxfId="111"/>
    <tableColumn id="68" xr3:uid="{EA3FBEC1-065D-408C-BBB4-54F3031A4D9D}" uniqueName="68" name="TUSD_FioB" queryTableFieldId="26" dataDxfId="110"/>
    <tableColumn id="69" xr3:uid="{19E95FC2-F0F5-452E-8D10-E2F9F58E5FE1}" uniqueName="69" name="TUSD Subsidio" queryTableFieldId="27" dataDxfId="109"/>
    <tableColumn id="70" xr3:uid="{0DC3F54B-3657-443F-B50B-5C18DFBCA813}" uniqueName="70" name="TUSD Outros" queryTableFieldId="28" dataDxfId="108"/>
    <tableColumn id="71" xr3:uid="{CA19B466-207A-4854-8FD7-10D8D88B6F65}" uniqueName="71" name="TUSD_PT" queryTableFieldId="29" dataDxfId="107"/>
    <tableColumn id="72" xr3:uid="{FE473311-8854-44E9-B70D-BB9FBBA9A7A0}" uniqueName="72" name="TUSD_Per_RB_D" queryTableFieldId="30" dataDxfId="106"/>
    <tableColumn id="73" xr3:uid="{2FAD0CBF-D7A9-49E4-94FB-193D02D02EBC}" uniqueName="73" name="TUSD_PNT" queryTableFieldId="31" dataDxfId="105"/>
    <tableColumn id="74" xr3:uid="{9A46105F-D347-4EE0-AAEE-B4E6264A5AEB}" uniqueName="74" name="TUSD_RI" queryTableFieldId="32" dataDxfId="104"/>
    <tableColumn id="75" xr3:uid="{1D75B9A2-E803-49FA-87E5-AD5DD9B9DA5A}" uniqueName="75" name="TE_CDE_COVID" queryTableFieldId="33" dataDxfId="103"/>
    <tableColumn id="76" xr3:uid="{08581DA1-A8BA-4A11-8F65-8FAF4C1CEF06}" uniqueName="76" name="TE_PeD" queryTableFieldId="34" dataDxfId="102"/>
    <tableColumn id="77" xr3:uid="{B1478D48-E1BF-4E4E-B806-73CB937F91AC}" uniqueName="77" name="TE_ESSERR" queryTableFieldId="35" dataDxfId="101"/>
    <tableColumn id="78" xr3:uid="{EF74FD42-7D35-4303-AF67-FABA1688955B}" uniqueName="78" name="TE_CFURH" queryTableFieldId="36" dataDxfId="100"/>
    <tableColumn id="79" xr3:uid="{FED037D7-8EB2-4C3A-9626-6D3BBC6BA8AA}" uniqueName="79" name="TE_ENERGIA" queryTableFieldId="37" dataDxfId="99"/>
    <tableColumn id="80" xr3:uid="{EAC543EA-FD4E-4C11-9DF3-C6709A1027B5}" uniqueName="80" name="TE_TRANSPORTE_ITAIPU" queryTableFieldId="38" dataDxfId="98"/>
    <tableColumn id="81" xr3:uid="{7D2DCF4D-8CD9-4A96-9314-C13052F22DF2}" uniqueName="81" name="TE_TUST_ITAIPU" queryTableFieldId="39" dataDxfId="97"/>
    <tableColumn id="82" xr3:uid="{DD71E0F2-6F1C-4F57-A208-3B6E6E4DD3C9}" uniqueName="82" name="TE_TUST_CI" queryTableFieldId="40" dataDxfId="96"/>
    <tableColumn id="83" xr3:uid="{0C4BA3B0-9C0D-4930-9349-84A4C4426FB4}" uniqueName="83" name="TE Subsidio" queryTableFieldId="41" dataDxfId="95"/>
    <tableColumn id="84" xr3:uid="{C832F4AE-3AD5-48B5-9FD6-793C3941F3C2}" uniqueName="84" name="TE_Per_RB" queryTableFieldId="42" dataDxfId="9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C76C5C3-C592-4897-B9EE-C2235C85CAC1}" name="TabelaEc" displayName="TabelaEc" ref="B3:AQ49" tableType="queryTable" totalsRowShown="0" headerRowDxfId="93" dataDxfId="91" headerRowBorderDxfId="92" tableBorderDxfId="90" totalsRowBorderDxfId="89">
  <autoFilter ref="B3:AQ49" xr:uid="{8C76C5C3-C592-4897-B9EE-C2235C85CAC1}"/>
  <sortState xmlns:xlrd2="http://schemas.microsoft.com/office/spreadsheetml/2017/richdata2" ref="B4:AQ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2">
    <tableColumn id="43" xr3:uid="{913ACB59-1CC9-4B39-B6E1-91A0FED67990}" uniqueName="43" name="SUBGRUPO" queryTableFieldId="1" dataDxfId="88"/>
    <tableColumn id="44" xr3:uid="{4699093E-2C5B-4220-A244-17382ED60706}" uniqueName="44" name="MODALIDADE" queryTableFieldId="2" dataDxfId="87"/>
    <tableColumn id="45" xr3:uid="{0A1DF0B0-2B41-4885-B8E9-EC548D8326A6}" uniqueName="45" name="CLASSE" queryTableFieldId="3" dataDxfId="86"/>
    <tableColumn id="46" xr3:uid="{0EAB81FE-67DB-45ED-8A80-1E592C2D0187}" uniqueName="46" name="SUBCLASSE" queryTableFieldId="4" dataDxfId="85"/>
    <tableColumn id="47" xr3:uid="{280061AF-D9B2-41B7-B722-41B1031E0EA5}" uniqueName="47" name="DETALHE" queryTableFieldId="5" dataDxfId="84"/>
    <tableColumn id="48" xr3:uid="{A5E4C4C7-1671-40AC-8650-C994DC30569D}" uniqueName="48" name="POSTO" queryTableFieldId="6" dataDxfId="83"/>
    <tableColumn id="49" xr3:uid="{EAE62071-6950-4EE5-A7C4-3085C0572CB1}" uniqueName="49" name="UNIDADE" queryTableFieldId="7" dataDxfId="82"/>
    <tableColumn id="50" xr3:uid="{2D6801FE-6083-49A8-A85F-B703B9E8B5FC}" uniqueName="50" name="ACESSANTE" queryTableFieldId="8" dataDxfId="81"/>
    <tableColumn id="51" xr3:uid="{8B4EDA6F-1325-45F5-81FE-F4CF0014B170}" uniqueName="51" name="Total TUSD" queryTableFieldId="9" dataDxfId="80"/>
    <tableColumn id="52" xr3:uid="{6B318C8F-147F-4D04-8E0B-2D327B9B2C40}" uniqueName="52" name="Total TE" queryTableFieldId="10" dataDxfId="79"/>
    <tableColumn id="53" xr3:uid="{89FFCA74-C09E-489E-851E-273AA6F17772}" uniqueName="53" name="TUSD_CDE_COVID" queryTableFieldId="11" dataDxfId="78"/>
    <tableColumn id="54" xr3:uid="{21161C84-D6F7-48A3-BA15-B2ED1818C511}" uniqueName="54" name="TUSD_TFSEE" queryTableFieldId="12" dataDxfId="77"/>
    <tableColumn id="55" xr3:uid="{129A242B-A65A-44FA-925E-1355EB561024}" uniqueName="55" name="TUSD_PeD" queryTableFieldId="13" dataDxfId="76"/>
    <tableColumn id="56" xr3:uid="{CA1EC5C0-9AE5-44EB-97D0-730609731603}" uniqueName="56" name="TUSD_ONS" queryTableFieldId="14" dataDxfId="75"/>
    <tableColumn id="57" xr3:uid="{CD71B14C-BD08-41A4-9987-E07897E33298}" uniqueName="57" name="TUSD_CCC" queryTableFieldId="15" dataDxfId="74"/>
    <tableColumn id="58" xr3:uid="{1B44323D-5D29-45B5-A3BD-26D41FB9D4F5}" uniqueName="58" name="TUSD_CDE" queryTableFieldId="16" dataDxfId="73"/>
    <tableColumn id="59" xr3:uid="{B7599E72-712B-4024-9107-9AAFD7047F51}" uniqueName="59" name="TUSD_PROINFA" queryTableFieldId="17" dataDxfId="72"/>
    <tableColumn id="60" xr3:uid="{9D5E7E1D-D6B9-469F-B56F-9A0504A5CC63}" uniqueName="60" name="Liminar1" queryTableFieldId="18" dataDxfId="71"/>
    <tableColumn id="61" xr3:uid="{3A803AB4-6E63-437E-8DF7-EBD5955790DA}" uniqueName="61" name="TUSD_RB" queryTableFieldId="19" dataDxfId="70"/>
    <tableColumn id="62" xr3:uid="{3C6D564F-C827-4528-8778-8AF976FE412C}" uniqueName="62" name="TUSD_FR" queryTableFieldId="20" dataDxfId="69"/>
    <tableColumn id="63" xr3:uid="{9408155B-65B7-4927-A365-0A2B0D1A2D4F}" uniqueName="63" name="TUSD_CCT" queryTableFieldId="21" dataDxfId="68"/>
    <tableColumn id="64" xr3:uid="{31B4B029-3CA8-4B4B-89BD-16DDE46EEB54}" uniqueName="64" name="TUSD_CCD" queryTableFieldId="22" dataDxfId="67"/>
    <tableColumn id="65" xr3:uid="{2BDFDE59-3B43-48E1-A729-3DDE0E8A12D3}" uniqueName="65" name="TUSD_CUSD" queryTableFieldId="23" dataDxfId="66"/>
    <tableColumn id="66" xr3:uid="{D478EF04-0FEC-43E2-8735-153D07D82C4B}" uniqueName="66" name="TUSDG_T" queryTableFieldId="24" dataDxfId="65"/>
    <tableColumn id="67" xr3:uid="{F36E6699-AF42-4F3D-A7FC-8EFEB5F5218A}" uniqueName="67" name="TUSDG_ONS" queryTableFieldId="25" dataDxfId="64"/>
    <tableColumn id="68" xr3:uid="{29032462-3BB1-48C9-BCAB-7D8C244AF6F8}" uniqueName="68" name="TUSD_FioB" queryTableFieldId="26" dataDxfId="63"/>
    <tableColumn id="69" xr3:uid="{82EA835D-4524-44D3-8896-D0B2B67FA5EB}" uniqueName="69" name="TUSD Subsidio" queryTableFieldId="27" dataDxfId="62"/>
    <tableColumn id="70" xr3:uid="{D6246B60-7EBE-4975-810A-3CEF5D713E8B}" uniqueName="70" name="TUSD Outros" queryTableFieldId="28" dataDxfId="61"/>
    <tableColumn id="71" xr3:uid="{77558342-E2E9-45C7-B286-BF7C81AEB5F1}" uniqueName="71" name="TUSD_PT" queryTableFieldId="29" dataDxfId="60"/>
    <tableColumn id="72" xr3:uid="{6960B89D-4781-483F-9F6B-FFBA098BC4B3}" uniqueName="72" name="TUSD_Per_RB_D" queryTableFieldId="30" dataDxfId="59"/>
    <tableColumn id="73" xr3:uid="{AF1B85BF-DC01-4C9D-A693-272740375B94}" uniqueName="73" name="TUSD_PNT" queryTableFieldId="31" dataDxfId="58"/>
    <tableColumn id="74" xr3:uid="{5C734A57-0F45-40B2-82AB-69933245A4AA}" uniqueName="74" name="TUSD_RI" queryTableFieldId="32" dataDxfId="57"/>
    <tableColumn id="75" xr3:uid="{7401F3C2-642F-4914-BAE6-6DA908DA8C32}" uniqueName="75" name="TE_CDE_COVID" queryTableFieldId="33" dataDxfId="56"/>
    <tableColumn id="76" xr3:uid="{C6FE2870-8FAF-4233-9C65-20D23B1B3B90}" uniqueName="76" name="TE_PeD" queryTableFieldId="34" dataDxfId="55"/>
    <tableColumn id="77" xr3:uid="{7C4ECAFB-D562-4014-80AC-FBF3343A16AF}" uniqueName="77" name="TE_ESSERR" queryTableFieldId="35" dataDxfId="54"/>
    <tableColumn id="78" xr3:uid="{652D674C-A80F-449A-BEA9-6709D29B3AC3}" uniqueName="78" name="TE_CFURH" queryTableFieldId="36" dataDxfId="53"/>
    <tableColumn id="79" xr3:uid="{3945E50D-EA86-40EE-81FE-AE9B92EC5261}" uniqueName="79" name="TE_ENERGIA" queryTableFieldId="37" dataDxfId="52"/>
    <tableColumn id="80" xr3:uid="{36E441EF-9E04-4B49-B9A3-5C552EAF7FA4}" uniqueName="80" name="TE_TRANSPORTE_ITAIPU" queryTableFieldId="38" dataDxfId="51"/>
    <tableColumn id="81" xr3:uid="{D2CA3C7C-30C1-4E0B-A7C4-81E1010D368F}" uniqueName="81" name="TE_TUST_ITAIPU" queryTableFieldId="39" dataDxfId="50"/>
    <tableColumn id="82" xr3:uid="{26E16EB0-FD27-42E4-9DB5-ED27171679B5}" uniqueName="82" name="TE_TUST_CI" queryTableFieldId="40" dataDxfId="49"/>
    <tableColumn id="83" xr3:uid="{7D2990CC-00D4-4451-94C4-2D11BF6354DF}" uniqueName="83" name="TE Subsidio" queryTableFieldId="41" dataDxfId="48"/>
    <tableColumn id="84" xr3:uid="{39EFD811-90D9-404F-84E9-9866815B4662}" uniqueName="84" name="TE_Per_RB" queryTableFieldId="42" dataDxfId="4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609E8E-A6DD-4C17-A94A-7CDBD00065C2}" name="TabelaCVA" displayName="TabelaCVA" ref="B3:AQ49" tableType="queryTable" totalsRowShown="0" headerRowDxfId="46" dataDxfId="44" headerRowBorderDxfId="45" tableBorderDxfId="43" totalsRowBorderDxfId="42">
  <autoFilter ref="B3:AQ49" xr:uid="{77609E8E-A6DD-4C17-A94A-7CDBD00065C2}"/>
  <sortState xmlns:xlrd2="http://schemas.microsoft.com/office/spreadsheetml/2017/richdata2" ref="B4:AQ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2">
    <tableColumn id="43" xr3:uid="{6D230223-1C02-4BD7-9BEF-3016F41B272F}" uniqueName="43" name="SUBGRUPO" queryTableFieldId="1" dataDxfId="41"/>
    <tableColumn id="44" xr3:uid="{B0C585D1-A525-4BD1-9298-FC25A345438E}" uniqueName="44" name="MODALIDADE" queryTableFieldId="2" dataDxfId="40"/>
    <tableColumn id="45" xr3:uid="{B17EC25C-E6C6-46AD-BE9B-9C2B4474A346}" uniqueName="45" name="CLASSE" queryTableFieldId="3" dataDxfId="39"/>
    <tableColumn id="46" xr3:uid="{F8390A77-3473-407F-92AE-B5BE3E46B0C0}" uniqueName="46" name="SUBCLASSE" queryTableFieldId="4" dataDxfId="38"/>
    <tableColumn id="47" xr3:uid="{569838E7-C2B9-4E4C-BB67-2740888B16AF}" uniqueName="47" name="DETALHE" queryTableFieldId="5" dataDxfId="37"/>
    <tableColumn id="48" xr3:uid="{682FEE02-E424-47F4-AE9E-AE276AE9B1CC}" uniqueName="48" name="POSTO" queryTableFieldId="6" dataDxfId="36"/>
    <tableColumn id="49" xr3:uid="{1F23C787-E986-4CEA-99C0-A6EF07B10696}" uniqueName="49" name="UNIDADE" queryTableFieldId="7" dataDxfId="35"/>
    <tableColumn id="50" xr3:uid="{530DEC99-867A-4719-B8DF-1B1B2B059D86}" uniqueName="50" name="ACESSANTE" queryTableFieldId="8" dataDxfId="34"/>
    <tableColumn id="51" xr3:uid="{8D006E0D-4DB0-43AF-9262-807373400F4A}" uniqueName="51" name="Total TUSD" queryTableFieldId="9" dataDxfId="33"/>
    <tableColumn id="52" xr3:uid="{8CF80BD8-043E-450D-93FA-D322813963A3}" uniqueName="52" name="Total TE" queryTableFieldId="10" dataDxfId="32"/>
    <tableColumn id="53" xr3:uid="{0EC8E19A-CAE6-487D-8320-D2FCC9CF587A}" uniqueName="53" name="TUSD_CDE_COVID" queryTableFieldId="11" dataDxfId="31"/>
    <tableColumn id="54" xr3:uid="{CA5B7AA7-B967-4B22-B910-A668E10269A9}" uniqueName="54" name="TUSD_TFSEE" queryTableFieldId="12" dataDxfId="30"/>
    <tableColumn id="55" xr3:uid="{405BC0AB-F96A-401C-93C8-F2A171702DD2}" uniqueName="55" name="TUSD_PeD" queryTableFieldId="13" dataDxfId="29"/>
    <tableColumn id="56" xr3:uid="{9D42DE94-B4EA-4010-B58B-6788B7304716}" uniqueName="56" name="TUSD_ONS" queryTableFieldId="14" dataDxfId="28"/>
    <tableColumn id="57" xr3:uid="{4A1DED06-6307-4647-9914-08D4F8688B49}" uniqueName="57" name="TUSD_CCC" queryTableFieldId="15" dataDxfId="27"/>
    <tableColumn id="58" xr3:uid="{4DC19610-EED1-4632-A4A7-F88EC6C78AA8}" uniqueName="58" name="TUSD_CDE" queryTableFieldId="16" dataDxfId="26"/>
    <tableColumn id="59" xr3:uid="{BF2E080E-4079-405C-B0A7-6058A5F8BCE0}" uniqueName="59" name="TUSD_PROINFA" queryTableFieldId="17" dataDxfId="25"/>
    <tableColumn id="60" xr3:uid="{F1FBE2BC-C683-4545-82D7-03D7AA1AA6C5}" uniqueName="60" name="Liminar1" queryTableFieldId="18" dataDxfId="24"/>
    <tableColumn id="61" xr3:uid="{60E6CF9F-90E1-4E9A-B4C1-07FF8229C165}" uniqueName="61" name="TUSD_RB" queryTableFieldId="19" dataDxfId="23"/>
    <tableColumn id="62" xr3:uid="{B9290B62-AB04-438E-BD9D-EBF93621EFBC}" uniqueName="62" name="TUSD_FR" queryTableFieldId="20" dataDxfId="22"/>
    <tableColumn id="63" xr3:uid="{D9FFB0F2-8AFC-4650-B6A6-DFE5FF1A3060}" uniqueName="63" name="TUSD_CCT" queryTableFieldId="21" dataDxfId="21"/>
    <tableColumn id="64" xr3:uid="{DAEBC208-9B21-4424-8BB4-AF8E0218DFFD}" uniqueName="64" name="TUSD_CCD" queryTableFieldId="22" dataDxfId="20"/>
    <tableColumn id="65" xr3:uid="{6BB3514C-576D-4BD2-A568-02A2424E2A4D}" uniqueName="65" name="TUSD_CUSD" queryTableFieldId="23" dataDxfId="19"/>
    <tableColumn id="66" xr3:uid="{9E7E553F-8F9E-41F0-A5C0-F9CD1A821E11}" uniqueName="66" name="TUSDG_T" queryTableFieldId="24" dataDxfId="18"/>
    <tableColumn id="67" xr3:uid="{95C5ACFB-5FAC-45C3-8CBF-9E43A7EDCFDE}" uniqueName="67" name="TUSDG_ONS" queryTableFieldId="25" dataDxfId="17"/>
    <tableColumn id="68" xr3:uid="{85AD3D8A-28BA-4150-98B5-71420ED4425C}" uniqueName="68" name="TUSD_FioB" queryTableFieldId="26" dataDxfId="16"/>
    <tableColumn id="69" xr3:uid="{56943E6E-82BD-44E6-BA5E-C72BC7A8BAD0}" uniqueName="69" name="TUSD Subsidio" queryTableFieldId="27" dataDxfId="15"/>
    <tableColumn id="70" xr3:uid="{FAB4ACAF-EF9A-49D2-8974-DDA06A5534A8}" uniqueName="70" name="TUSD Outros" queryTableFieldId="28" dataDxfId="14"/>
    <tableColumn id="71" xr3:uid="{948A86E1-4A9C-48BE-AD58-2C2669C6D159}" uniqueName="71" name="TUSD_PT" queryTableFieldId="29" dataDxfId="13"/>
    <tableColumn id="72" xr3:uid="{53AEE6F7-6B6A-456D-81AE-B57D81FDE4E7}" uniqueName="72" name="TUSD_Per_RB_D" queryTableFieldId="30" dataDxfId="12"/>
    <tableColumn id="73" xr3:uid="{B5791C94-5AB7-47AA-9E6D-DF1C12B477F2}" uniqueName="73" name="TUSD_PNT" queryTableFieldId="31" dataDxfId="11"/>
    <tableColumn id="74" xr3:uid="{77BCA612-E93A-44BC-97F9-3351329B551B}" uniqueName="74" name="TUSD_RI" queryTableFieldId="32" dataDxfId="10"/>
    <tableColumn id="75" xr3:uid="{27FF19F9-2739-4216-9793-57D09DC2DAFE}" uniqueName="75" name="TE_CDE_COVID" queryTableFieldId="33" dataDxfId="9"/>
    <tableColumn id="76" xr3:uid="{4380818E-B9DD-4FB8-800D-8DA92EDA9F81}" uniqueName="76" name="TE_PeD" queryTableFieldId="34" dataDxfId="8"/>
    <tableColumn id="77" xr3:uid="{15358C64-EF65-46C2-80BF-5EDABC6DB83D}" uniqueName="77" name="TE_ESSERR" queryTableFieldId="35" dataDxfId="7"/>
    <tableColumn id="78" xr3:uid="{A68FE878-0878-4217-A1D8-BF24494738D0}" uniqueName="78" name="TE_CFURH" queryTableFieldId="36" dataDxfId="6"/>
    <tableColumn id="79" xr3:uid="{214FC77C-425F-45EF-AEED-89BBC01D184E}" uniqueName="79" name="TE_ENERGIA" queryTableFieldId="37" dataDxfId="5"/>
    <tableColumn id="80" xr3:uid="{62FD4F15-EA50-4FD3-AFA6-95A3601D624B}" uniqueName="80" name="TE_TRANSPORTE_ITAIPU" queryTableFieldId="38" dataDxfId="4"/>
    <tableColumn id="81" xr3:uid="{BA922753-076F-496D-A1E0-5FC0B1BE1BBF}" uniqueName="81" name="TE_TUST_ITAIPU" queryTableFieldId="39" dataDxfId="3"/>
    <tableColumn id="82" xr3:uid="{2C42BBC2-CA5F-4C71-B7B9-A6CD32F02B66}" uniqueName="82" name="TE_TUST_CI" queryTableFieldId="40" dataDxfId="2"/>
    <tableColumn id="83" xr3:uid="{4D434E6D-103D-4BA3-8378-B51833243892}" uniqueName="83" name="TE Subsidio" queryTableFieldId="41" dataDxfId="1"/>
    <tableColumn id="84" xr3:uid="{01BBEB86-BFAC-4289-9596-EFB209FC9FFC}" uniqueName="84" name="TE_Per_RB" queryTableFieldId="4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746A6-F782-459F-BEA2-D480CAD6945A}">
  <dimension ref="A1:W754"/>
  <sheetViews>
    <sheetView showGridLines="0" topLeftCell="L726" workbookViewId="0">
      <selection activeCell="T755" sqref="T755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0" width="7.85546875" style="6" bestFit="1" customWidth="1"/>
    <col min="11" max="12" width="7" style="6" bestFit="1" customWidth="1"/>
    <col min="13" max="13" width="8" style="6" bestFit="1" customWidth="1"/>
    <col min="14" max="15" width="7" style="6" bestFit="1" customWidth="1"/>
    <col min="16" max="16" width="7.85546875" style="6" bestFit="1" customWidth="1"/>
    <col min="17" max="17" width="6.5703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94</v>
      </c>
      <c r="T1" s="1" t="s">
        <v>371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33</v>
      </c>
      <c r="C2" s="4" t="s">
        <v>41</v>
      </c>
      <c r="D2" s="4" t="s">
        <v>42</v>
      </c>
      <c r="E2" s="4" t="s">
        <v>25</v>
      </c>
      <c r="F2" s="4" t="s">
        <v>25</v>
      </c>
      <c r="G2" s="4" t="s">
        <v>25</v>
      </c>
      <c r="H2" s="4" t="s">
        <v>36</v>
      </c>
      <c r="I2" s="5">
        <v>44317</v>
      </c>
      <c r="J2" s="6">
        <v>151</v>
      </c>
      <c r="K2" s="6">
        <v>151</v>
      </c>
      <c r="L2" s="6">
        <v>47.389000000000003</v>
      </c>
      <c r="M2" s="6">
        <v>47.389000000000003</v>
      </c>
      <c r="N2" s="6">
        <v>47.389000000000003</v>
      </c>
      <c r="O2" s="6">
        <v>47.389000000000003</v>
      </c>
      <c r="P2" s="6">
        <v>0</v>
      </c>
      <c r="Q2" s="4" t="s">
        <v>26</v>
      </c>
      <c r="R2" s="4">
        <v>0</v>
      </c>
      <c r="S2" s="4" t="s">
        <v>95</v>
      </c>
      <c r="T2" s="4" t="s">
        <v>372</v>
      </c>
      <c r="U2" s="4">
        <v>2</v>
      </c>
      <c r="V2" s="4">
        <v>3</v>
      </c>
      <c r="W2" s="4">
        <v>49</v>
      </c>
    </row>
    <row r="3" spans="1:23" ht="11.25" customHeight="1" x14ac:dyDescent="0.25">
      <c r="A3" s="4" t="s">
        <v>21</v>
      </c>
      <c r="B3" s="4" t="s">
        <v>33</v>
      </c>
      <c r="C3" s="4" t="s">
        <v>41</v>
      </c>
      <c r="D3" s="4" t="s">
        <v>42</v>
      </c>
      <c r="E3" s="4" t="s">
        <v>25</v>
      </c>
      <c r="F3" s="4" t="s">
        <v>25</v>
      </c>
      <c r="G3" s="4" t="s">
        <v>25</v>
      </c>
      <c r="H3" s="4" t="s">
        <v>36</v>
      </c>
      <c r="I3" s="5">
        <v>44348</v>
      </c>
      <c r="J3" s="6">
        <v>150</v>
      </c>
      <c r="K3" s="6">
        <v>150</v>
      </c>
      <c r="L3" s="6">
        <v>40.311999999999998</v>
      </c>
      <c r="M3" s="6">
        <v>40.311999999999998</v>
      </c>
      <c r="N3" s="6">
        <v>40.311999999999998</v>
      </c>
      <c r="O3" s="6">
        <v>40.311999999999998</v>
      </c>
      <c r="P3" s="6">
        <v>0</v>
      </c>
      <c r="Q3" s="4" t="s">
        <v>26</v>
      </c>
      <c r="R3" s="4">
        <v>0</v>
      </c>
      <c r="S3" s="4" t="s">
        <v>96</v>
      </c>
      <c r="T3" s="4" t="s">
        <v>373</v>
      </c>
      <c r="U3" s="4">
        <v>2</v>
      </c>
      <c r="V3" s="4">
        <v>3</v>
      </c>
      <c r="W3" s="4">
        <v>49</v>
      </c>
    </row>
    <row r="4" spans="1:23" ht="11.25" customHeight="1" x14ac:dyDescent="0.25">
      <c r="A4" s="4" t="s">
        <v>21</v>
      </c>
      <c r="B4" s="4" t="s">
        <v>33</v>
      </c>
      <c r="C4" s="4" t="s">
        <v>41</v>
      </c>
      <c r="D4" s="4" t="s">
        <v>42</v>
      </c>
      <c r="E4" s="4" t="s">
        <v>25</v>
      </c>
      <c r="F4" s="4" t="s">
        <v>25</v>
      </c>
      <c r="G4" s="4" t="s">
        <v>25</v>
      </c>
      <c r="H4" s="4" t="s">
        <v>36</v>
      </c>
      <c r="I4" s="5">
        <v>44378</v>
      </c>
      <c r="J4" s="6">
        <v>150</v>
      </c>
      <c r="K4" s="6">
        <v>150</v>
      </c>
      <c r="L4" s="6">
        <v>44.837000000000003</v>
      </c>
      <c r="M4" s="6">
        <v>44.837000000000003</v>
      </c>
      <c r="N4" s="6">
        <v>44.837000000000003</v>
      </c>
      <c r="O4" s="6">
        <v>44.837000000000003</v>
      </c>
      <c r="P4" s="6">
        <v>0</v>
      </c>
      <c r="Q4" s="4" t="s">
        <v>26</v>
      </c>
      <c r="R4" s="4">
        <v>0</v>
      </c>
      <c r="S4" s="4" t="s">
        <v>97</v>
      </c>
      <c r="T4" s="4" t="s">
        <v>374</v>
      </c>
      <c r="U4" s="4">
        <v>2</v>
      </c>
      <c r="V4" s="4">
        <v>3</v>
      </c>
      <c r="W4" s="4">
        <v>49</v>
      </c>
    </row>
    <row r="5" spans="1:23" ht="11.25" customHeight="1" x14ac:dyDescent="0.25">
      <c r="A5" s="4" t="s">
        <v>21</v>
      </c>
      <c r="B5" s="4" t="s">
        <v>33</v>
      </c>
      <c r="C5" s="4" t="s">
        <v>41</v>
      </c>
      <c r="D5" s="4" t="s">
        <v>42</v>
      </c>
      <c r="E5" s="4" t="s">
        <v>25</v>
      </c>
      <c r="F5" s="4" t="s">
        <v>25</v>
      </c>
      <c r="G5" s="4" t="s">
        <v>25</v>
      </c>
      <c r="H5" s="4" t="s">
        <v>36</v>
      </c>
      <c r="I5" s="5">
        <v>44409</v>
      </c>
      <c r="J5" s="6">
        <v>150</v>
      </c>
      <c r="K5" s="6">
        <v>150</v>
      </c>
      <c r="L5" s="6">
        <v>45.648000000000003</v>
      </c>
      <c r="M5" s="6">
        <v>45.648000000000003</v>
      </c>
      <c r="N5" s="6">
        <v>45.648000000000003</v>
      </c>
      <c r="O5" s="6">
        <v>45.648000000000003</v>
      </c>
      <c r="P5" s="6">
        <v>0</v>
      </c>
      <c r="Q5" s="4" t="s">
        <v>26</v>
      </c>
      <c r="R5" s="4">
        <v>0</v>
      </c>
      <c r="S5" s="4" t="s">
        <v>98</v>
      </c>
      <c r="T5" s="4" t="s">
        <v>375</v>
      </c>
      <c r="U5" s="4">
        <v>2</v>
      </c>
      <c r="V5" s="4">
        <v>3</v>
      </c>
      <c r="W5" s="4">
        <v>49</v>
      </c>
    </row>
    <row r="6" spans="1:23" ht="11.25" customHeight="1" x14ac:dyDescent="0.25">
      <c r="A6" s="4" t="s">
        <v>21</v>
      </c>
      <c r="B6" s="4" t="s">
        <v>33</v>
      </c>
      <c r="C6" s="4" t="s">
        <v>41</v>
      </c>
      <c r="D6" s="4" t="s">
        <v>42</v>
      </c>
      <c r="E6" s="4" t="s">
        <v>25</v>
      </c>
      <c r="F6" s="4" t="s">
        <v>25</v>
      </c>
      <c r="G6" s="4" t="s">
        <v>25</v>
      </c>
      <c r="H6" s="4" t="s">
        <v>36</v>
      </c>
      <c r="I6" s="5">
        <v>44440</v>
      </c>
      <c r="J6" s="6">
        <v>155</v>
      </c>
      <c r="K6" s="6">
        <v>155</v>
      </c>
      <c r="L6" s="6">
        <v>54.555</v>
      </c>
      <c r="M6" s="6">
        <v>54.555</v>
      </c>
      <c r="N6" s="6">
        <v>54.555</v>
      </c>
      <c r="O6" s="6">
        <v>54.555</v>
      </c>
      <c r="P6" s="6">
        <v>0</v>
      </c>
      <c r="Q6" s="4" t="s">
        <v>26</v>
      </c>
      <c r="R6" s="4">
        <v>0</v>
      </c>
      <c r="S6" s="4" t="s">
        <v>99</v>
      </c>
      <c r="T6" s="4" t="s">
        <v>376</v>
      </c>
      <c r="U6" s="4">
        <v>2</v>
      </c>
      <c r="V6" s="4">
        <v>3</v>
      </c>
      <c r="W6" s="4">
        <v>49</v>
      </c>
    </row>
    <row r="7" spans="1:23" ht="11.25" customHeight="1" x14ac:dyDescent="0.25">
      <c r="A7" s="4" t="s">
        <v>21</v>
      </c>
      <c r="B7" s="4" t="s">
        <v>33</v>
      </c>
      <c r="C7" s="4" t="s">
        <v>41</v>
      </c>
      <c r="D7" s="4" t="s">
        <v>42</v>
      </c>
      <c r="E7" s="4" t="s">
        <v>25</v>
      </c>
      <c r="F7" s="4" t="s">
        <v>25</v>
      </c>
      <c r="G7" s="4" t="s">
        <v>25</v>
      </c>
      <c r="H7" s="4" t="s">
        <v>36</v>
      </c>
      <c r="I7" s="5">
        <v>44470</v>
      </c>
      <c r="J7" s="6">
        <v>152</v>
      </c>
      <c r="K7" s="6">
        <v>152</v>
      </c>
      <c r="L7" s="6">
        <v>50.075000000000003</v>
      </c>
      <c r="M7" s="6">
        <v>50.075000000000003</v>
      </c>
      <c r="N7" s="6">
        <v>50.075000000000003</v>
      </c>
      <c r="O7" s="6">
        <v>50.075000000000003</v>
      </c>
      <c r="P7" s="6">
        <v>0</v>
      </c>
      <c r="Q7" s="4" t="s">
        <v>26</v>
      </c>
      <c r="R7" s="4">
        <v>0</v>
      </c>
      <c r="S7" s="4" t="s">
        <v>100</v>
      </c>
      <c r="T7" s="4" t="s">
        <v>377</v>
      </c>
      <c r="U7" s="4">
        <v>2</v>
      </c>
      <c r="V7" s="4">
        <v>3</v>
      </c>
      <c r="W7" s="4">
        <v>49</v>
      </c>
    </row>
    <row r="8" spans="1:23" ht="11.25" customHeight="1" x14ac:dyDescent="0.25">
      <c r="A8" s="4" t="s">
        <v>21</v>
      </c>
      <c r="B8" s="4" t="s">
        <v>33</v>
      </c>
      <c r="C8" s="4" t="s">
        <v>41</v>
      </c>
      <c r="D8" s="4" t="s">
        <v>42</v>
      </c>
      <c r="E8" s="4" t="s">
        <v>25</v>
      </c>
      <c r="F8" s="4" t="s">
        <v>25</v>
      </c>
      <c r="G8" s="4" t="s">
        <v>25</v>
      </c>
      <c r="H8" s="4" t="s">
        <v>36</v>
      </c>
      <c r="I8" s="5">
        <v>44501</v>
      </c>
      <c r="J8" s="6">
        <v>172</v>
      </c>
      <c r="K8" s="6">
        <v>172</v>
      </c>
      <c r="L8" s="6">
        <v>37.701999999999998</v>
      </c>
      <c r="M8" s="6">
        <v>37.701999999999998</v>
      </c>
      <c r="N8" s="6">
        <v>37.701999999999998</v>
      </c>
      <c r="O8" s="6">
        <v>37.701999999999998</v>
      </c>
      <c r="P8" s="6">
        <v>0</v>
      </c>
      <c r="Q8" s="4" t="s">
        <v>26</v>
      </c>
      <c r="R8" s="4">
        <v>0</v>
      </c>
      <c r="S8" s="4" t="s">
        <v>101</v>
      </c>
      <c r="T8" s="4" t="s">
        <v>378</v>
      </c>
      <c r="U8" s="4">
        <v>2</v>
      </c>
      <c r="V8" s="4">
        <v>3</v>
      </c>
      <c r="W8" s="4">
        <v>49</v>
      </c>
    </row>
    <row r="9" spans="1:23" ht="11.25" customHeight="1" x14ac:dyDescent="0.25">
      <c r="A9" s="4" t="s">
        <v>21</v>
      </c>
      <c r="B9" s="4" t="s">
        <v>33</v>
      </c>
      <c r="C9" s="4" t="s">
        <v>41</v>
      </c>
      <c r="D9" s="4" t="s">
        <v>42</v>
      </c>
      <c r="E9" s="4" t="s">
        <v>25</v>
      </c>
      <c r="F9" s="4" t="s">
        <v>25</v>
      </c>
      <c r="G9" s="4" t="s">
        <v>25</v>
      </c>
      <c r="H9" s="4" t="s">
        <v>36</v>
      </c>
      <c r="I9" s="5">
        <v>44531</v>
      </c>
      <c r="J9" s="6">
        <v>183</v>
      </c>
      <c r="K9" s="6">
        <v>183</v>
      </c>
      <c r="L9" s="6">
        <v>49.563000000000002</v>
      </c>
      <c r="M9" s="6">
        <v>49.563000000000002</v>
      </c>
      <c r="N9" s="6">
        <v>49.563000000000002</v>
      </c>
      <c r="O9" s="6">
        <v>49.563000000000002</v>
      </c>
      <c r="P9" s="6">
        <v>0</v>
      </c>
      <c r="Q9" s="4" t="s">
        <v>26</v>
      </c>
      <c r="R9" s="4">
        <v>0</v>
      </c>
      <c r="S9" s="4" t="s">
        <v>102</v>
      </c>
      <c r="T9" s="4" t="s">
        <v>379</v>
      </c>
      <c r="U9" s="4">
        <v>2</v>
      </c>
      <c r="V9" s="4">
        <v>3</v>
      </c>
      <c r="W9" s="4">
        <v>49</v>
      </c>
    </row>
    <row r="10" spans="1:23" ht="11.25" customHeight="1" x14ac:dyDescent="0.25">
      <c r="A10" s="4" t="s">
        <v>21</v>
      </c>
      <c r="B10" s="4" t="s">
        <v>33</v>
      </c>
      <c r="C10" s="4" t="s">
        <v>41</v>
      </c>
      <c r="D10" s="4" t="s">
        <v>42</v>
      </c>
      <c r="E10" s="4" t="s">
        <v>25</v>
      </c>
      <c r="F10" s="4" t="s">
        <v>25</v>
      </c>
      <c r="G10" s="4" t="s">
        <v>25</v>
      </c>
      <c r="H10" s="4" t="s">
        <v>36</v>
      </c>
      <c r="I10" s="5">
        <v>44562</v>
      </c>
      <c r="J10" s="6">
        <v>179</v>
      </c>
      <c r="K10" s="6">
        <v>179</v>
      </c>
      <c r="L10" s="6">
        <v>51.268000000000001</v>
      </c>
      <c r="M10" s="6">
        <v>51.268000000000001</v>
      </c>
      <c r="N10" s="6">
        <v>51.268000000000001</v>
      </c>
      <c r="O10" s="6">
        <v>51.268000000000001</v>
      </c>
      <c r="P10" s="6">
        <v>0</v>
      </c>
      <c r="Q10" s="4" t="s">
        <v>26</v>
      </c>
      <c r="R10" s="4">
        <v>0</v>
      </c>
      <c r="S10" s="4" t="s">
        <v>103</v>
      </c>
      <c r="T10" s="4" t="s">
        <v>380</v>
      </c>
      <c r="U10" s="4">
        <v>2</v>
      </c>
      <c r="V10" s="4">
        <v>3</v>
      </c>
      <c r="W10" s="4">
        <v>49</v>
      </c>
    </row>
    <row r="11" spans="1:23" ht="11.25" customHeight="1" x14ac:dyDescent="0.25">
      <c r="A11" s="4" t="s">
        <v>21</v>
      </c>
      <c r="B11" s="4" t="s">
        <v>33</v>
      </c>
      <c r="C11" s="4" t="s">
        <v>41</v>
      </c>
      <c r="D11" s="4" t="s">
        <v>42</v>
      </c>
      <c r="E11" s="4" t="s">
        <v>25</v>
      </c>
      <c r="F11" s="4" t="s">
        <v>25</v>
      </c>
      <c r="G11" s="4" t="s">
        <v>25</v>
      </c>
      <c r="H11" s="4" t="s">
        <v>36</v>
      </c>
      <c r="I11" s="5">
        <v>44593</v>
      </c>
      <c r="J11" s="6">
        <v>190</v>
      </c>
      <c r="K11" s="6">
        <v>190</v>
      </c>
      <c r="L11" s="6">
        <v>47.212000000000003</v>
      </c>
      <c r="M11" s="6">
        <v>47.212000000000003</v>
      </c>
      <c r="N11" s="6">
        <v>47.212000000000003</v>
      </c>
      <c r="O11" s="6">
        <v>47.212000000000003</v>
      </c>
      <c r="P11" s="6">
        <v>0</v>
      </c>
      <c r="Q11" s="4" t="s">
        <v>26</v>
      </c>
      <c r="R11" s="4">
        <v>0</v>
      </c>
      <c r="S11" s="4" t="s">
        <v>104</v>
      </c>
      <c r="T11" s="4" t="s">
        <v>381</v>
      </c>
      <c r="U11" s="4">
        <v>2</v>
      </c>
      <c r="V11" s="4">
        <v>3</v>
      </c>
      <c r="W11" s="4">
        <v>49</v>
      </c>
    </row>
    <row r="12" spans="1:23" ht="11.25" customHeight="1" x14ac:dyDescent="0.25">
      <c r="A12" s="4" t="s">
        <v>21</v>
      </c>
      <c r="B12" s="4" t="s">
        <v>33</v>
      </c>
      <c r="C12" s="4" t="s">
        <v>41</v>
      </c>
      <c r="D12" s="4" t="s">
        <v>42</v>
      </c>
      <c r="E12" s="4" t="s">
        <v>25</v>
      </c>
      <c r="F12" s="4" t="s">
        <v>25</v>
      </c>
      <c r="G12" s="4" t="s">
        <v>25</v>
      </c>
      <c r="H12" s="4" t="s">
        <v>36</v>
      </c>
      <c r="I12" s="5">
        <v>44621</v>
      </c>
      <c r="J12" s="6">
        <v>203</v>
      </c>
      <c r="K12" s="6">
        <v>203</v>
      </c>
      <c r="L12" s="6">
        <v>57.959000000000003</v>
      </c>
      <c r="M12" s="6">
        <v>57.959000000000003</v>
      </c>
      <c r="N12" s="6">
        <v>57.959000000000003</v>
      </c>
      <c r="O12" s="6">
        <v>57.959000000000003</v>
      </c>
      <c r="P12" s="6">
        <v>0</v>
      </c>
      <c r="Q12" s="4" t="s">
        <v>26</v>
      </c>
      <c r="R12" s="4">
        <v>0</v>
      </c>
      <c r="S12" s="4" t="s">
        <v>105</v>
      </c>
      <c r="T12" s="4" t="s">
        <v>382</v>
      </c>
      <c r="U12" s="4">
        <v>2</v>
      </c>
      <c r="V12" s="4">
        <v>3</v>
      </c>
      <c r="W12" s="4">
        <v>49</v>
      </c>
    </row>
    <row r="13" spans="1:23" ht="11.25" customHeight="1" x14ac:dyDescent="0.25">
      <c r="A13" s="4" t="s">
        <v>21</v>
      </c>
      <c r="B13" s="4" t="s">
        <v>33</v>
      </c>
      <c r="C13" s="4" t="s">
        <v>41</v>
      </c>
      <c r="D13" s="4" t="s">
        <v>42</v>
      </c>
      <c r="E13" s="4" t="s">
        <v>25</v>
      </c>
      <c r="F13" s="4" t="s">
        <v>25</v>
      </c>
      <c r="G13" s="4" t="s">
        <v>25</v>
      </c>
      <c r="H13" s="4" t="s">
        <v>36</v>
      </c>
      <c r="I13" s="5">
        <v>44652</v>
      </c>
      <c r="J13" s="6">
        <v>194</v>
      </c>
      <c r="K13" s="6">
        <v>194</v>
      </c>
      <c r="L13" s="6">
        <v>51.365000000000002</v>
      </c>
      <c r="M13" s="6">
        <v>51.365000000000002</v>
      </c>
      <c r="N13" s="6">
        <v>51.365000000000002</v>
      </c>
      <c r="O13" s="6">
        <v>51.365000000000002</v>
      </c>
      <c r="P13" s="6">
        <v>0</v>
      </c>
      <c r="Q13" s="4" t="s">
        <v>26</v>
      </c>
      <c r="R13" s="4">
        <v>0</v>
      </c>
      <c r="S13" s="4" t="s">
        <v>106</v>
      </c>
      <c r="T13" s="4" t="s">
        <v>383</v>
      </c>
      <c r="U13" s="4">
        <v>2</v>
      </c>
      <c r="V13" s="4">
        <v>3</v>
      </c>
      <c r="W13" s="4">
        <v>49</v>
      </c>
    </row>
    <row r="14" spans="1:23" ht="11.25" customHeight="1" x14ac:dyDescent="0.25">
      <c r="A14" s="4" t="s">
        <v>21</v>
      </c>
      <c r="B14" s="4" t="s">
        <v>33</v>
      </c>
      <c r="C14" s="4" t="s">
        <v>41</v>
      </c>
      <c r="D14" s="4" t="s">
        <v>42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44317</v>
      </c>
      <c r="J14" s="6">
        <v>125</v>
      </c>
      <c r="K14" s="6">
        <v>125</v>
      </c>
      <c r="L14" s="6">
        <v>3.6440000000000001</v>
      </c>
      <c r="M14" s="6">
        <v>3.6440000000000001</v>
      </c>
      <c r="N14" s="6">
        <v>3.6440000000000001</v>
      </c>
      <c r="O14" s="6">
        <v>3.6440000000000001</v>
      </c>
      <c r="P14" s="6">
        <v>0</v>
      </c>
      <c r="Q14" s="4" t="s">
        <v>26</v>
      </c>
      <c r="R14" s="4">
        <v>0</v>
      </c>
      <c r="S14" s="4" t="s">
        <v>107</v>
      </c>
      <c r="T14" s="4" t="s">
        <v>384</v>
      </c>
      <c r="U14" s="4">
        <v>1</v>
      </c>
      <c r="V14" s="4">
        <v>3</v>
      </c>
      <c r="W14" s="4">
        <v>48</v>
      </c>
    </row>
    <row r="15" spans="1:23" ht="11.25" customHeight="1" x14ac:dyDescent="0.25">
      <c r="A15" s="4" t="s">
        <v>21</v>
      </c>
      <c r="B15" s="4" t="s">
        <v>33</v>
      </c>
      <c r="C15" s="4" t="s">
        <v>41</v>
      </c>
      <c r="D15" s="4" t="s">
        <v>42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44348</v>
      </c>
      <c r="J15" s="6">
        <v>125</v>
      </c>
      <c r="K15" s="6">
        <v>125</v>
      </c>
      <c r="L15" s="6">
        <v>2.9910000000000001</v>
      </c>
      <c r="M15" s="6">
        <v>2.9910000000000001</v>
      </c>
      <c r="N15" s="6">
        <v>2.9910000000000001</v>
      </c>
      <c r="O15" s="6">
        <v>2.9910000000000001</v>
      </c>
      <c r="P15" s="6">
        <v>0</v>
      </c>
      <c r="Q15" s="4" t="s">
        <v>26</v>
      </c>
      <c r="R15" s="4">
        <v>0</v>
      </c>
      <c r="S15" s="4" t="s">
        <v>108</v>
      </c>
      <c r="T15" s="4" t="s">
        <v>385</v>
      </c>
      <c r="U15" s="4">
        <v>1</v>
      </c>
      <c r="V15" s="4">
        <v>3</v>
      </c>
      <c r="W15" s="4">
        <v>48</v>
      </c>
    </row>
    <row r="16" spans="1:23" ht="11.25" customHeight="1" x14ac:dyDescent="0.25">
      <c r="A16" s="4" t="s">
        <v>21</v>
      </c>
      <c r="B16" s="4" t="s">
        <v>33</v>
      </c>
      <c r="C16" s="4" t="s">
        <v>41</v>
      </c>
      <c r="D16" s="4" t="s">
        <v>42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44378</v>
      </c>
      <c r="J16" s="6">
        <v>125</v>
      </c>
      <c r="K16" s="6">
        <v>125</v>
      </c>
      <c r="L16" s="6">
        <v>3.6930000000000001</v>
      </c>
      <c r="M16" s="6">
        <v>3.6930000000000001</v>
      </c>
      <c r="N16" s="6">
        <v>3.6930000000000001</v>
      </c>
      <c r="O16" s="6">
        <v>3.6930000000000001</v>
      </c>
      <c r="P16" s="6">
        <v>0</v>
      </c>
      <c r="Q16" s="4" t="s">
        <v>26</v>
      </c>
      <c r="R16" s="4">
        <v>0</v>
      </c>
      <c r="S16" s="4" t="s">
        <v>109</v>
      </c>
      <c r="T16" s="4" t="s">
        <v>386</v>
      </c>
      <c r="U16" s="4">
        <v>1</v>
      </c>
      <c r="V16" s="4">
        <v>3</v>
      </c>
      <c r="W16" s="4">
        <v>48</v>
      </c>
    </row>
    <row r="17" spans="1:23" ht="11.25" customHeight="1" x14ac:dyDescent="0.25">
      <c r="A17" s="4" t="s">
        <v>21</v>
      </c>
      <c r="B17" s="4" t="s">
        <v>33</v>
      </c>
      <c r="C17" s="4" t="s">
        <v>41</v>
      </c>
      <c r="D17" s="4" t="s">
        <v>42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44409</v>
      </c>
      <c r="J17" s="6">
        <v>125</v>
      </c>
      <c r="K17" s="6">
        <v>125</v>
      </c>
      <c r="L17" s="6">
        <v>3.96</v>
      </c>
      <c r="M17" s="6">
        <v>3.96</v>
      </c>
      <c r="N17" s="6">
        <v>3.96</v>
      </c>
      <c r="O17" s="6">
        <v>3.96</v>
      </c>
      <c r="P17" s="6">
        <v>0</v>
      </c>
      <c r="Q17" s="4" t="s">
        <v>26</v>
      </c>
      <c r="R17" s="4">
        <v>0</v>
      </c>
      <c r="S17" s="4" t="s">
        <v>110</v>
      </c>
      <c r="T17" s="4" t="s">
        <v>387</v>
      </c>
      <c r="U17" s="4">
        <v>1</v>
      </c>
      <c r="V17" s="4">
        <v>3</v>
      </c>
      <c r="W17" s="4">
        <v>48</v>
      </c>
    </row>
    <row r="18" spans="1:23" ht="11.25" customHeight="1" x14ac:dyDescent="0.25">
      <c r="A18" s="4" t="s">
        <v>21</v>
      </c>
      <c r="B18" s="4" t="s">
        <v>33</v>
      </c>
      <c r="C18" s="4" t="s">
        <v>41</v>
      </c>
      <c r="D18" s="4" t="s">
        <v>42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44440</v>
      </c>
      <c r="J18" s="6">
        <v>133</v>
      </c>
      <c r="K18" s="6">
        <v>133</v>
      </c>
      <c r="L18" s="6">
        <v>5.1580000000000004</v>
      </c>
      <c r="M18" s="6">
        <v>5.1580000000000004</v>
      </c>
      <c r="N18" s="6">
        <v>5.1580000000000004</v>
      </c>
      <c r="O18" s="6">
        <v>5.1580000000000004</v>
      </c>
      <c r="P18" s="6">
        <v>0</v>
      </c>
      <c r="Q18" s="4" t="s">
        <v>26</v>
      </c>
      <c r="R18" s="4">
        <v>0</v>
      </c>
      <c r="S18" s="4" t="s">
        <v>111</v>
      </c>
      <c r="T18" s="4" t="s">
        <v>388</v>
      </c>
      <c r="U18" s="4">
        <v>1</v>
      </c>
      <c r="V18" s="4">
        <v>3</v>
      </c>
      <c r="W18" s="4">
        <v>48</v>
      </c>
    </row>
    <row r="19" spans="1:23" ht="11.25" customHeight="1" x14ac:dyDescent="0.25">
      <c r="A19" s="4" t="s">
        <v>21</v>
      </c>
      <c r="B19" s="4" t="s">
        <v>33</v>
      </c>
      <c r="C19" s="4" t="s">
        <v>41</v>
      </c>
      <c r="D19" s="4" t="s">
        <v>42</v>
      </c>
      <c r="E19" s="4" t="s">
        <v>25</v>
      </c>
      <c r="F19" s="4" t="s">
        <v>25</v>
      </c>
      <c r="G19" s="4" t="s">
        <v>25</v>
      </c>
      <c r="H19" s="4" t="s">
        <v>35</v>
      </c>
      <c r="I19" s="5">
        <v>44470</v>
      </c>
      <c r="J19" s="6">
        <v>125</v>
      </c>
      <c r="K19" s="6">
        <v>125</v>
      </c>
      <c r="L19" s="6">
        <v>4.0940000000000003</v>
      </c>
      <c r="M19" s="6">
        <v>4.0940000000000003</v>
      </c>
      <c r="N19" s="6">
        <v>4.0940000000000003</v>
      </c>
      <c r="O19" s="6">
        <v>4.0940000000000003</v>
      </c>
      <c r="P19" s="6">
        <v>0</v>
      </c>
      <c r="Q19" s="4" t="s">
        <v>26</v>
      </c>
      <c r="R19" s="4">
        <v>0</v>
      </c>
      <c r="S19" s="4" t="s">
        <v>112</v>
      </c>
      <c r="T19" s="4" t="s">
        <v>389</v>
      </c>
      <c r="U19" s="4">
        <v>1</v>
      </c>
      <c r="V19" s="4">
        <v>3</v>
      </c>
      <c r="W19" s="4">
        <v>48</v>
      </c>
    </row>
    <row r="20" spans="1:23" ht="11.25" customHeight="1" x14ac:dyDescent="0.25">
      <c r="A20" s="4" t="s">
        <v>21</v>
      </c>
      <c r="B20" s="4" t="s">
        <v>33</v>
      </c>
      <c r="C20" s="4" t="s">
        <v>41</v>
      </c>
      <c r="D20" s="4" t="s">
        <v>42</v>
      </c>
      <c r="E20" s="4" t="s">
        <v>25</v>
      </c>
      <c r="F20" s="4" t="s">
        <v>25</v>
      </c>
      <c r="G20" s="4" t="s">
        <v>25</v>
      </c>
      <c r="H20" s="4" t="s">
        <v>35</v>
      </c>
      <c r="I20" s="5">
        <v>44501</v>
      </c>
      <c r="J20" s="6">
        <v>125</v>
      </c>
      <c r="K20" s="6">
        <v>125</v>
      </c>
      <c r="L20" s="6">
        <v>2.831</v>
      </c>
      <c r="M20" s="6">
        <v>2.831</v>
      </c>
      <c r="N20" s="6">
        <v>2.831</v>
      </c>
      <c r="O20" s="6">
        <v>2.831</v>
      </c>
      <c r="P20" s="6">
        <v>0</v>
      </c>
      <c r="Q20" s="4" t="s">
        <v>26</v>
      </c>
      <c r="R20" s="4">
        <v>0</v>
      </c>
      <c r="S20" s="4" t="s">
        <v>113</v>
      </c>
      <c r="T20" s="4" t="s">
        <v>390</v>
      </c>
      <c r="U20" s="4">
        <v>1</v>
      </c>
      <c r="V20" s="4">
        <v>3</v>
      </c>
      <c r="W20" s="4">
        <v>48</v>
      </c>
    </row>
    <row r="21" spans="1:23" ht="11.25" customHeight="1" x14ac:dyDescent="0.25">
      <c r="A21" s="4" t="s">
        <v>21</v>
      </c>
      <c r="B21" s="4" t="s">
        <v>33</v>
      </c>
      <c r="C21" s="4" t="s">
        <v>41</v>
      </c>
      <c r="D21" s="4" t="s">
        <v>42</v>
      </c>
      <c r="E21" s="4" t="s">
        <v>25</v>
      </c>
      <c r="F21" s="4" t="s">
        <v>25</v>
      </c>
      <c r="G21" s="4" t="s">
        <v>25</v>
      </c>
      <c r="H21" s="4" t="s">
        <v>35</v>
      </c>
      <c r="I21" s="5">
        <v>44531</v>
      </c>
      <c r="J21" s="6">
        <v>125</v>
      </c>
      <c r="K21" s="6">
        <v>125</v>
      </c>
      <c r="L21" s="6">
        <v>4.3440000000000003</v>
      </c>
      <c r="M21" s="6">
        <v>4.3440000000000003</v>
      </c>
      <c r="N21" s="6">
        <v>4.3440000000000003</v>
      </c>
      <c r="O21" s="6">
        <v>4.3440000000000003</v>
      </c>
      <c r="P21" s="6">
        <v>0</v>
      </c>
      <c r="Q21" s="4" t="s">
        <v>26</v>
      </c>
      <c r="R21" s="4">
        <v>0</v>
      </c>
      <c r="S21" s="4" t="s">
        <v>114</v>
      </c>
      <c r="T21" s="4" t="s">
        <v>391</v>
      </c>
      <c r="U21" s="4">
        <v>1</v>
      </c>
      <c r="V21" s="4">
        <v>3</v>
      </c>
      <c r="W21" s="4">
        <v>48</v>
      </c>
    </row>
    <row r="22" spans="1:23" ht="11.25" customHeight="1" x14ac:dyDescent="0.25">
      <c r="A22" s="4" t="s">
        <v>21</v>
      </c>
      <c r="B22" s="4" t="s">
        <v>33</v>
      </c>
      <c r="C22" s="4" t="s">
        <v>41</v>
      </c>
      <c r="D22" s="4" t="s">
        <v>42</v>
      </c>
      <c r="E22" s="4" t="s">
        <v>25</v>
      </c>
      <c r="F22" s="4" t="s">
        <v>25</v>
      </c>
      <c r="G22" s="4" t="s">
        <v>25</v>
      </c>
      <c r="H22" s="4" t="s">
        <v>35</v>
      </c>
      <c r="I22" s="5">
        <v>44562</v>
      </c>
      <c r="J22" s="6">
        <v>125</v>
      </c>
      <c r="K22" s="6">
        <v>125</v>
      </c>
      <c r="L22" s="6">
        <v>4.3520000000000003</v>
      </c>
      <c r="M22" s="6">
        <v>4.3520000000000003</v>
      </c>
      <c r="N22" s="6">
        <v>4.3520000000000003</v>
      </c>
      <c r="O22" s="6">
        <v>4.3520000000000003</v>
      </c>
      <c r="P22" s="6">
        <v>0</v>
      </c>
      <c r="Q22" s="4" t="s">
        <v>26</v>
      </c>
      <c r="R22" s="4">
        <v>0</v>
      </c>
      <c r="S22" s="4" t="s">
        <v>115</v>
      </c>
      <c r="T22" s="4" t="s">
        <v>392</v>
      </c>
      <c r="U22" s="4">
        <v>1</v>
      </c>
      <c r="V22" s="4">
        <v>3</v>
      </c>
      <c r="W22" s="4">
        <v>48</v>
      </c>
    </row>
    <row r="23" spans="1:23" ht="11.25" customHeight="1" x14ac:dyDescent="0.25">
      <c r="A23" s="4" t="s">
        <v>21</v>
      </c>
      <c r="B23" s="4" t="s">
        <v>33</v>
      </c>
      <c r="C23" s="4" t="s">
        <v>41</v>
      </c>
      <c r="D23" s="4" t="s">
        <v>42</v>
      </c>
      <c r="E23" s="4" t="s">
        <v>25</v>
      </c>
      <c r="F23" s="4" t="s">
        <v>25</v>
      </c>
      <c r="G23" s="4" t="s">
        <v>25</v>
      </c>
      <c r="H23" s="4" t="s">
        <v>35</v>
      </c>
      <c r="I23" s="5">
        <v>44593</v>
      </c>
      <c r="J23" s="6">
        <v>125</v>
      </c>
      <c r="K23" s="6">
        <v>125</v>
      </c>
      <c r="L23" s="6">
        <v>4.077</v>
      </c>
      <c r="M23" s="6">
        <v>4.077</v>
      </c>
      <c r="N23" s="6">
        <v>4.077</v>
      </c>
      <c r="O23" s="6">
        <v>4.077</v>
      </c>
      <c r="P23" s="6">
        <v>0</v>
      </c>
      <c r="Q23" s="4" t="s">
        <v>26</v>
      </c>
      <c r="R23" s="4">
        <v>0</v>
      </c>
      <c r="S23" s="4" t="s">
        <v>116</v>
      </c>
      <c r="T23" s="4" t="s">
        <v>393</v>
      </c>
      <c r="U23" s="4">
        <v>1</v>
      </c>
      <c r="V23" s="4">
        <v>3</v>
      </c>
      <c r="W23" s="4">
        <v>48</v>
      </c>
    </row>
    <row r="24" spans="1:23" ht="11.25" customHeight="1" x14ac:dyDescent="0.25">
      <c r="A24" s="4" t="s">
        <v>21</v>
      </c>
      <c r="B24" s="4" t="s">
        <v>33</v>
      </c>
      <c r="C24" s="4" t="s">
        <v>41</v>
      </c>
      <c r="D24" s="4" t="s">
        <v>42</v>
      </c>
      <c r="E24" s="4" t="s">
        <v>25</v>
      </c>
      <c r="F24" s="4" t="s">
        <v>25</v>
      </c>
      <c r="G24" s="4" t="s">
        <v>25</v>
      </c>
      <c r="H24" s="4" t="s">
        <v>35</v>
      </c>
      <c r="I24" s="5">
        <v>44621</v>
      </c>
      <c r="J24" s="6">
        <v>125</v>
      </c>
      <c r="K24" s="6">
        <v>125</v>
      </c>
      <c r="L24" s="6">
        <v>4.8049999999999997</v>
      </c>
      <c r="M24" s="6">
        <v>4.8049999999999997</v>
      </c>
      <c r="N24" s="6">
        <v>4.8049999999999997</v>
      </c>
      <c r="O24" s="6">
        <v>4.8049999999999997</v>
      </c>
      <c r="P24" s="6">
        <v>0</v>
      </c>
      <c r="Q24" s="4" t="s">
        <v>26</v>
      </c>
      <c r="R24" s="4">
        <v>0</v>
      </c>
      <c r="S24" s="4" t="s">
        <v>117</v>
      </c>
      <c r="T24" s="4" t="s">
        <v>394</v>
      </c>
      <c r="U24" s="4">
        <v>1</v>
      </c>
      <c r="V24" s="4">
        <v>3</v>
      </c>
      <c r="W24" s="4">
        <v>48</v>
      </c>
    </row>
    <row r="25" spans="1:23" ht="11.25" customHeight="1" x14ac:dyDescent="0.25">
      <c r="A25" s="4" t="s">
        <v>21</v>
      </c>
      <c r="B25" s="4" t="s">
        <v>33</v>
      </c>
      <c r="C25" s="4" t="s">
        <v>41</v>
      </c>
      <c r="D25" s="4" t="s">
        <v>42</v>
      </c>
      <c r="E25" s="4" t="s">
        <v>25</v>
      </c>
      <c r="F25" s="4" t="s">
        <v>25</v>
      </c>
      <c r="G25" s="4" t="s">
        <v>25</v>
      </c>
      <c r="H25" s="4" t="s">
        <v>35</v>
      </c>
      <c r="I25" s="5">
        <v>44652</v>
      </c>
      <c r="J25" s="6">
        <v>125</v>
      </c>
      <c r="K25" s="6">
        <v>125</v>
      </c>
      <c r="L25" s="6">
        <v>3.83</v>
      </c>
      <c r="M25" s="6">
        <v>3.83</v>
      </c>
      <c r="N25" s="6">
        <v>3.83</v>
      </c>
      <c r="O25" s="6">
        <v>3.83</v>
      </c>
      <c r="P25" s="6">
        <v>0</v>
      </c>
      <c r="Q25" s="4" t="s">
        <v>26</v>
      </c>
      <c r="R25" s="4">
        <v>0</v>
      </c>
      <c r="S25" s="4" t="s">
        <v>118</v>
      </c>
      <c r="T25" s="4" t="s">
        <v>395</v>
      </c>
      <c r="U25" s="4">
        <v>1</v>
      </c>
      <c r="V25" s="4">
        <v>3</v>
      </c>
      <c r="W25" s="4">
        <v>48</v>
      </c>
    </row>
    <row r="26" spans="1:23" ht="11.25" customHeight="1" x14ac:dyDescent="0.25">
      <c r="A26" s="4" t="s">
        <v>21</v>
      </c>
      <c r="B26" s="4" t="s">
        <v>33</v>
      </c>
      <c r="C26" s="4" t="s">
        <v>41</v>
      </c>
      <c r="D26" s="4" t="s">
        <v>40</v>
      </c>
      <c r="E26" s="4" t="s">
        <v>25</v>
      </c>
      <c r="F26" s="4" t="s">
        <v>25</v>
      </c>
      <c r="G26" s="4" t="s">
        <v>25</v>
      </c>
      <c r="H26" s="4" t="s">
        <v>36</v>
      </c>
      <c r="I26" s="5">
        <v>44317</v>
      </c>
      <c r="J26" s="6">
        <v>213</v>
      </c>
      <c r="K26" s="6">
        <v>213</v>
      </c>
      <c r="L26" s="6">
        <v>17.472000000000001</v>
      </c>
      <c r="M26" s="6">
        <v>17.472000000000001</v>
      </c>
      <c r="N26" s="6">
        <v>17.472000000000001</v>
      </c>
      <c r="O26" s="6">
        <v>17.472000000000001</v>
      </c>
      <c r="P26" s="6">
        <v>0</v>
      </c>
      <c r="Q26" s="4" t="s">
        <v>26</v>
      </c>
      <c r="R26" s="4">
        <v>0</v>
      </c>
      <c r="S26" s="4" t="s">
        <v>95</v>
      </c>
      <c r="T26" s="4" t="s">
        <v>372</v>
      </c>
      <c r="U26" s="4">
        <v>2</v>
      </c>
      <c r="V26" s="4">
        <v>3</v>
      </c>
      <c r="W26" s="4">
        <v>49</v>
      </c>
    </row>
    <row r="27" spans="1:23" ht="11.25" customHeight="1" x14ac:dyDescent="0.25">
      <c r="A27" s="4" t="s">
        <v>21</v>
      </c>
      <c r="B27" s="4" t="s">
        <v>33</v>
      </c>
      <c r="C27" s="4" t="s">
        <v>41</v>
      </c>
      <c r="D27" s="4" t="s">
        <v>40</v>
      </c>
      <c r="E27" s="4" t="s">
        <v>25</v>
      </c>
      <c r="F27" s="4" t="s">
        <v>25</v>
      </c>
      <c r="G27" s="4" t="s">
        <v>25</v>
      </c>
      <c r="H27" s="4" t="s">
        <v>36</v>
      </c>
      <c r="I27" s="5">
        <v>44348</v>
      </c>
      <c r="J27" s="6">
        <v>213</v>
      </c>
      <c r="K27" s="6">
        <v>213</v>
      </c>
      <c r="L27" s="6">
        <v>11.420999999999999</v>
      </c>
      <c r="M27" s="6">
        <v>11.420999999999999</v>
      </c>
      <c r="N27" s="6">
        <v>11.420999999999999</v>
      </c>
      <c r="O27" s="6">
        <v>11.420999999999999</v>
      </c>
      <c r="P27" s="6">
        <v>0</v>
      </c>
      <c r="Q27" s="4" t="s">
        <v>26</v>
      </c>
      <c r="R27" s="4">
        <v>0</v>
      </c>
      <c r="S27" s="4" t="s">
        <v>96</v>
      </c>
      <c r="T27" s="4" t="s">
        <v>373</v>
      </c>
      <c r="U27" s="4">
        <v>2</v>
      </c>
      <c r="V27" s="4">
        <v>3</v>
      </c>
      <c r="W27" s="4">
        <v>49</v>
      </c>
    </row>
    <row r="28" spans="1:23" ht="11.25" customHeight="1" x14ac:dyDescent="0.25">
      <c r="A28" s="4" t="s">
        <v>21</v>
      </c>
      <c r="B28" s="4" t="s">
        <v>33</v>
      </c>
      <c r="C28" s="4" t="s">
        <v>41</v>
      </c>
      <c r="D28" s="4" t="s">
        <v>40</v>
      </c>
      <c r="E28" s="4" t="s">
        <v>25</v>
      </c>
      <c r="F28" s="4" t="s">
        <v>25</v>
      </c>
      <c r="G28" s="4" t="s">
        <v>25</v>
      </c>
      <c r="H28" s="4" t="s">
        <v>36</v>
      </c>
      <c r="I28" s="5">
        <v>44378</v>
      </c>
      <c r="J28" s="6">
        <v>213</v>
      </c>
      <c r="K28" s="6">
        <v>213</v>
      </c>
      <c r="L28" s="6">
        <v>13.015000000000001</v>
      </c>
      <c r="M28" s="6">
        <v>13.015000000000001</v>
      </c>
      <c r="N28" s="6">
        <v>13.015000000000001</v>
      </c>
      <c r="O28" s="6">
        <v>13.015000000000001</v>
      </c>
      <c r="P28" s="6">
        <v>0</v>
      </c>
      <c r="Q28" s="4" t="s">
        <v>26</v>
      </c>
      <c r="R28" s="4">
        <v>0</v>
      </c>
      <c r="S28" s="4" t="s">
        <v>97</v>
      </c>
      <c r="T28" s="4" t="s">
        <v>374</v>
      </c>
      <c r="U28" s="4">
        <v>2</v>
      </c>
      <c r="V28" s="4">
        <v>3</v>
      </c>
      <c r="W28" s="4">
        <v>49</v>
      </c>
    </row>
    <row r="29" spans="1:23" ht="11.25" customHeight="1" x14ac:dyDescent="0.25">
      <c r="A29" s="4" t="s">
        <v>21</v>
      </c>
      <c r="B29" s="4" t="s">
        <v>33</v>
      </c>
      <c r="C29" s="4" t="s">
        <v>41</v>
      </c>
      <c r="D29" s="4" t="s">
        <v>40</v>
      </c>
      <c r="E29" s="4" t="s">
        <v>25</v>
      </c>
      <c r="F29" s="4" t="s">
        <v>25</v>
      </c>
      <c r="G29" s="4" t="s">
        <v>25</v>
      </c>
      <c r="H29" s="4" t="s">
        <v>35</v>
      </c>
      <c r="I29" s="5">
        <v>44317</v>
      </c>
      <c r="J29" s="6">
        <v>213</v>
      </c>
      <c r="K29" s="6">
        <v>213</v>
      </c>
      <c r="L29" s="6">
        <v>1.349</v>
      </c>
      <c r="M29" s="6">
        <v>1.349</v>
      </c>
      <c r="N29" s="6">
        <v>1.349</v>
      </c>
      <c r="O29" s="6">
        <v>1.349</v>
      </c>
      <c r="P29" s="6">
        <v>0</v>
      </c>
      <c r="Q29" s="4" t="s">
        <v>26</v>
      </c>
      <c r="R29" s="4">
        <v>0</v>
      </c>
      <c r="S29" s="4" t="s">
        <v>107</v>
      </c>
      <c r="T29" s="4" t="s">
        <v>384</v>
      </c>
      <c r="U29" s="4">
        <v>1</v>
      </c>
      <c r="V29" s="4">
        <v>3</v>
      </c>
      <c r="W29" s="4">
        <v>48</v>
      </c>
    </row>
    <row r="30" spans="1:23" ht="11.25" customHeight="1" x14ac:dyDescent="0.25">
      <c r="A30" s="4" t="s">
        <v>21</v>
      </c>
      <c r="B30" s="4" t="s">
        <v>33</v>
      </c>
      <c r="C30" s="4" t="s">
        <v>41</v>
      </c>
      <c r="D30" s="4" t="s">
        <v>40</v>
      </c>
      <c r="E30" s="4" t="s">
        <v>25</v>
      </c>
      <c r="F30" s="4" t="s">
        <v>25</v>
      </c>
      <c r="G30" s="4" t="s">
        <v>25</v>
      </c>
      <c r="H30" s="4" t="s">
        <v>35</v>
      </c>
      <c r="I30" s="5">
        <v>44348</v>
      </c>
      <c r="J30" s="6">
        <v>213</v>
      </c>
      <c r="K30" s="6">
        <v>213</v>
      </c>
      <c r="L30" s="6">
        <v>0.16300000000000001</v>
      </c>
      <c r="M30" s="6">
        <v>0.16300000000000001</v>
      </c>
      <c r="N30" s="6">
        <v>0.16300000000000001</v>
      </c>
      <c r="O30" s="6">
        <v>0.16300000000000001</v>
      </c>
      <c r="P30" s="6">
        <v>0</v>
      </c>
      <c r="Q30" s="4" t="s">
        <v>26</v>
      </c>
      <c r="R30" s="4">
        <v>0</v>
      </c>
      <c r="S30" s="4" t="s">
        <v>108</v>
      </c>
      <c r="T30" s="4" t="s">
        <v>385</v>
      </c>
      <c r="U30" s="4">
        <v>1</v>
      </c>
      <c r="V30" s="4">
        <v>3</v>
      </c>
      <c r="W30" s="4">
        <v>48</v>
      </c>
    </row>
    <row r="31" spans="1:23" ht="11.25" customHeight="1" x14ac:dyDescent="0.25">
      <c r="A31" s="4" t="s">
        <v>21</v>
      </c>
      <c r="B31" s="4" t="s">
        <v>33</v>
      </c>
      <c r="C31" s="4" t="s">
        <v>41</v>
      </c>
      <c r="D31" s="4" t="s">
        <v>40</v>
      </c>
      <c r="E31" s="4" t="s">
        <v>25</v>
      </c>
      <c r="F31" s="4" t="s">
        <v>25</v>
      </c>
      <c r="G31" s="4" t="s">
        <v>25</v>
      </c>
      <c r="H31" s="4" t="s">
        <v>35</v>
      </c>
      <c r="I31" s="5">
        <v>44378</v>
      </c>
      <c r="J31" s="6">
        <v>213</v>
      </c>
      <c r="K31" s="6">
        <v>213</v>
      </c>
      <c r="L31" s="6">
        <v>0.55100000000000005</v>
      </c>
      <c r="M31" s="6">
        <v>0.55100000000000005</v>
      </c>
      <c r="N31" s="6">
        <v>0.55100000000000005</v>
      </c>
      <c r="O31" s="6">
        <v>0.55100000000000005</v>
      </c>
      <c r="P31" s="6">
        <v>0</v>
      </c>
      <c r="Q31" s="4" t="s">
        <v>26</v>
      </c>
      <c r="R31" s="4">
        <v>0</v>
      </c>
      <c r="S31" s="4" t="s">
        <v>109</v>
      </c>
      <c r="T31" s="4" t="s">
        <v>386</v>
      </c>
      <c r="U31" s="4">
        <v>1</v>
      </c>
      <c r="V31" s="4">
        <v>3</v>
      </c>
      <c r="W31" s="4">
        <v>48</v>
      </c>
    </row>
    <row r="32" spans="1:23" ht="11.25" customHeight="1" x14ac:dyDescent="0.25">
      <c r="A32" s="4" t="s">
        <v>21</v>
      </c>
      <c r="B32" s="4" t="s">
        <v>33</v>
      </c>
      <c r="C32" s="4" t="s">
        <v>34</v>
      </c>
      <c r="D32" s="4" t="s">
        <v>42</v>
      </c>
      <c r="E32" s="4" t="s">
        <v>25</v>
      </c>
      <c r="F32" s="4" t="s">
        <v>25</v>
      </c>
      <c r="G32" s="4" t="s">
        <v>25</v>
      </c>
      <c r="H32" s="4" t="s">
        <v>36</v>
      </c>
      <c r="I32" s="5">
        <v>44317</v>
      </c>
      <c r="J32" s="6">
        <v>0</v>
      </c>
      <c r="K32" s="6">
        <v>0</v>
      </c>
      <c r="L32" s="6">
        <v>748.98500000000001</v>
      </c>
      <c r="M32" s="6">
        <v>748.98500000000001</v>
      </c>
      <c r="N32" s="6">
        <v>748.98500000000001</v>
      </c>
      <c r="O32" s="6">
        <v>748.98500000000001</v>
      </c>
      <c r="P32" s="6">
        <v>0</v>
      </c>
      <c r="Q32" s="4" t="s">
        <v>26</v>
      </c>
      <c r="R32" s="4">
        <v>0</v>
      </c>
      <c r="S32" s="4" t="s">
        <v>119</v>
      </c>
      <c r="T32" s="4" t="s">
        <v>372</v>
      </c>
      <c r="U32" s="4">
        <v>0</v>
      </c>
      <c r="V32" s="4">
        <v>8</v>
      </c>
      <c r="W32" s="4">
        <v>49</v>
      </c>
    </row>
    <row r="33" spans="1:23" ht="11.25" customHeight="1" x14ac:dyDescent="0.25">
      <c r="A33" s="4" t="s">
        <v>21</v>
      </c>
      <c r="B33" s="4" t="s">
        <v>33</v>
      </c>
      <c r="C33" s="4" t="s">
        <v>34</v>
      </c>
      <c r="D33" s="4" t="s">
        <v>42</v>
      </c>
      <c r="E33" s="4" t="s">
        <v>25</v>
      </c>
      <c r="F33" s="4" t="s">
        <v>25</v>
      </c>
      <c r="G33" s="4" t="s">
        <v>25</v>
      </c>
      <c r="H33" s="4" t="s">
        <v>36</v>
      </c>
      <c r="I33" s="5">
        <v>44348</v>
      </c>
      <c r="J33" s="6">
        <v>0</v>
      </c>
      <c r="K33" s="6">
        <v>0</v>
      </c>
      <c r="L33" s="6">
        <v>745.10400000000004</v>
      </c>
      <c r="M33" s="6">
        <v>745.10400000000004</v>
      </c>
      <c r="N33" s="6">
        <v>745.10400000000004</v>
      </c>
      <c r="O33" s="6">
        <v>745.10400000000004</v>
      </c>
      <c r="P33" s="6">
        <v>0</v>
      </c>
      <c r="Q33" s="4" t="s">
        <v>26</v>
      </c>
      <c r="R33" s="4">
        <v>0</v>
      </c>
      <c r="S33" s="4" t="s">
        <v>120</v>
      </c>
      <c r="T33" s="4" t="s">
        <v>373</v>
      </c>
      <c r="U33" s="4">
        <v>0</v>
      </c>
      <c r="V33" s="4">
        <v>8</v>
      </c>
      <c r="W33" s="4">
        <v>49</v>
      </c>
    </row>
    <row r="34" spans="1:23" ht="11.25" customHeight="1" x14ac:dyDescent="0.25">
      <c r="A34" s="4" t="s">
        <v>21</v>
      </c>
      <c r="B34" s="4" t="s">
        <v>33</v>
      </c>
      <c r="C34" s="4" t="s">
        <v>34</v>
      </c>
      <c r="D34" s="4" t="s">
        <v>42</v>
      </c>
      <c r="E34" s="4" t="s">
        <v>25</v>
      </c>
      <c r="F34" s="4" t="s">
        <v>25</v>
      </c>
      <c r="G34" s="4" t="s">
        <v>25</v>
      </c>
      <c r="H34" s="4" t="s">
        <v>36</v>
      </c>
      <c r="I34" s="5">
        <v>44378</v>
      </c>
      <c r="J34" s="6">
        <v>0</v>
      </c>
      <c r="K34" s="6">
        <v>0</v>
      </c>
      <c r="L34" s="6">
        <v>773.82600000000002</v>
      </c>
      <c r="M34" s="6">
        <v>773.82600000000002</v>
      </c>
      <c r="N34" s="6">
        <v>773.82600000000002</v>
      </c>
      <c r="O34" s="6">
        <v>773.82600000000002</v>
      </c>
      <c r="P34" s="6">
        <v>0</v>
      </c>
      <c r="Q34" s="4" t="s">
        <v>26</v>
      </c>
      <c r="R34" s="4">
        <v>0</v>
      </c>
      <c r="S34" s="4" t="s">
        <v>121</v>
      </c>
      <c r="T34" s="4" t="s">
        <v>374</v>
      </c>
      <c r="U34" s="4">
        <v>0</v>
      </c>
      <c r="V34" s="4">
        <v>8</v>
      </c>
      <c r="W34" s="4">
        <v>49</v>
      </c>
    </row>
    <row r="35" spans="1:23" ht="11.25" customHeight="1" x14ac:dyDescent="0.25">
      <c r="A35" s="4" t="s">
        <v>21</v>
      </c>
      <c r="B35" s="4" t="s">
        <v>33</v>
      </c>
      <c r="C35" s="4" t="s">
        <v>34</v>
      </c>
      <c r="D35" s="4" t="s">
        <v>42</v>
      </c>
      <c r="E35" s="4" t="s">
        <v>25</v>
      </c>
      <c r="F35" s="4" t="s">
        <v>25</v>
      </c>
      <c r="G35" s="4" t="s">
        <v>25</v>
      </c>
      <c r="H35" s="4" t="s">
        <v>36</v>
      </c>
      <c r="I35" s="5">
        <v>44409</v>
      </c>
      <c r="J35" s="6">
        <v>0</v>
      </c>
      <c r="K35" s="6">
        <v>0</v>
      </c>
      <c r="L35" s="6">
        <v>772.96600000000001</v>
      </c>
      <c r="M35" s="6">
        <v>772.96600000000001</v>
      </c>
      <c r="N35" s="6">
        <v>772.96600000000001</v>
      </c>
      <c r="O35" s="6">
        <v>772.96600000000001</v>
      </c>
      <c r="P35" s="6">
        <v>0</v>
      </c>
      <c r="Q35" s="4" t="s">
        <v>26</v>
      </c>
      <c r="R35" s="4">
        <v>0</v>
      </c>
      <c r="S35" s="4" t="s">
        <v>122</v>
      </c>
      <c r="T35" s="4" t="s">
        <v>375</v>
      </c>
      <c r="U35" s="4">
        <v>0</v>
      </c>
      <c r="V35" s="4">
        <v>8</v>
      </c>
      <c r="W35" s="4">
        <v>49</v>
      </c>
    </row>
    <row r="36" spans="1:23" ht="11.25" customHeight="1" x14ac:dyDescent="0.25">
      <c r="A36" s="4" t="s">
        <v>21</v>
      </c>
      <c r="B36" s="4" t="s">
        <v>33</v>
      </c>
      <c r="C36" s="4" t="s">
        <v>34</v>
      </c>
      <c r="D36" s="4" t="s">
        <v>42</v>
      </c>
      <c r="E36" s="4" t="s">
        <v>25</v>
      </c>
      <c r="F36" s="4" t="s">
        <v>25</v>
      </c>
      <c r="G36" s="4" t="s">
        <v>25</v>
      </c>
      <c r="H36" s="4" t="s">
        <v>36</v>
      </c>
      <c r="I36" s="5">
        <v>44440</v>
      </c>
      <c r="J36" s="6">
        <v>0</v>
      </c>
      <c r="K36" s="6">
        <v>0</v>
      </c>
      <c r="L36" s="6">
        <v>776.51599999999996</v>
      </c>
      <c r="M36" s="6">
        <v>776.51599999999996</v>
      </c>
      <c r="N36" s="6">
        <v>776.51599999999996</v>
      </c>
      <c r="O36" s="6">
        <v>776.51599999999996</v>
      </c>
      <c r="P36" s="6">
        <v>0</v>
      </c>
      <c r="Q36" s="4" t="s">
        <v>26</v>
      </c>
      <c r="R36" s="4">
        <v>0</v>
      </c>
      <c r="S36" s="4" t="s">
        <v>123</v>
      </c>
      <c r="T36" s="4" t="s">
        <v>376</v>
      </c>
      <c r="U36" s="4">
        <v>0</v>
      </c>
      <c r="V36" s="4">
        <v>8</v>
      </c>
      <c r="W36" s="4">
        <v>49</v>
      </c>
    </row>
    <row r="37" spans="1:23" ht="11.25" customHeight="1" x14ac:dyDescent="0.25">
      <c r="A37" s="4" t="s">
        <v>21</v>
      </c>
      <c r="B37" s="4" t="s">
        <v>33</v>
      </c>
      <c r="C37" s="4" t="s">
        <v>34</v>
      </c>
      <c r="D37" s="4" t="s">
        <v>42</v>
      </c>
      <c r="E37" s="4" t="s">
        <v>25</v>
      </c>
      <c r="F37" s="4" t="s">
        <v>25</v>
      </c>
      <c r="G37" s="4" t="s">
        <v>25</v>
      </c>
      <c r="H37" s="4" t="s">
        <v>36</v>
      </c>
      <c r="I37" s="5">
        <v>44470</v>
      </c>
      <c r="J37" s="6">
        <v>0</v>
      </c>
      <c r="K37" s="6">
        <v>0</v>
      </c>
      <c r="L37" s="6">
        <v>776.18</v>
      </c>
      <c r="M37" s="6">
        <v>776.18</v>
      </c>
      <c r="N37" s="6">
        <v>776.18</v>
      </c>
      <c r="O37" s="6">
        <v>776.18</v>
      </c>
      <c r="P37" s="6">
        <v>0</v>
      </c>
      <c r="Q37" s="4" t="s">
        <v>26</v>
      </c>
      <c r="R37" s="4">
        <v>0</v>
      </c>
      <c r="S37" s="4" t="s">
        <v>124</v>
      </c>
      <c r="T37" s="4" t="s">
        <v>377</v>
      </c>
      <c r="U37" s="4">
        <v>0</v>
      </c>
      <c r="V37" s="4">
        <v>8</v>
      </c>
      <c r="W37" s="4">
        <v>49</v>
      </c>
    </row>
    <row r="38" spans="1:23" ht="11.25" customHeight="1" x14ac:dyDescent="0.25">
      <c r="A38" s="4" t="s">
        <v>21</v>
      </c>
      <c r="B38" s="4" t="s">
        <v>33</v>
      </c>
      <c r="C38" s="4" t="s">
        <v>34</v>
      </c>
      <c r="D38" s="4" t="s">
        <v>42</v>
      </c>
      <c r="E38" s="4" t="s">
        <v>25</v>
      </c>
      <c r="F38" s="4" t="s">
        <v>25</v>
      </c>
      <c r="G38" s="4" t="s">
        <v>25</v>
      </c>
      <c r="H38" s="4" t="s">
        <v>36</v>
      </c>
      <c r="I38" s="5">
        <v>44501</v>
      </c>
      <c r="J38" s="6">
        <v>0</v>
      </c>
      <c r="K38" s="6">
        <v>0</v>
      </c>
      <c r="L38" s="6">
        <v>772.68700000000001</v>
      </c>
      <c r="M38" s="6">
        <v>772.68700000000001</v>
      </c>
      <c r="N38" s="6">
        <v>772.68700000000001</v>
      </c>
      <c r="O38" s="6">
        <v>772.68700000000001</v>
      </c>
      <c r="P38" s="6">
        <v>0</v>
      </c>
      <c r="Q38" s="4" t="s">
        <v>26</v>
      </c>
      <c r="R38" s="4">
        <v>0</v>
      </c>
      <c r="S38" s="4" t="s">
        <v>125</v>
      </c>
      <c r="T38" s="4" t="s">
        <v>378</v>
      </c>
      <c r="U38" s="4">
        <v>0</v>
      </c>
      <c r="V38" s="4">
        <v>8</v>
      </c>
      <c r="W38" s="4">
        <v>49</v>
      </c>
    </row>
    <row r="39" spans="1:23" ht="11.25" customHeight="1" x14ac:dyDescent="0.25">
      <c r="A39" s="4" t="s">
        <v>21</v>
      </c>
      <c r="B39" s="4" t="s">
        <v>33</v>
      </c>
      <c r="C39" s="4" t="s">
        <v>34</v>
      </c>
      <c r="D39" s="4" t="s">
        <v>42</v>
      </c>
      <c r="E39" s="4" t="s">
        <v>25</v>
      </c>
      <c r="F39" s="4" t="s">
        <v>25</v>
      </c>
      <c r="G39" s="4" t="s">
        <v>25</v>
      </c>
      <c r="H39" s="4" t="s">
        <v>36</v>
      </c>
      <c r="I39" s="5">
        <v>44531</v>
      </c>
      <c r="J39" s="6">
        <v>0</v>
      </c>
      <c r="K39" s="6">
        <v>0</v>
      </c>
      <c r="L39" s="6">
        <v>776.61699999999996</v>
      </c>
      <c r="M39" s="6">
        <v>776.61699999999996</v>
      </c>
      <c r="N39" s="6">
        <v>776.61699999999996</v>
      </c>
      <c r="O39" s="6">
        <v>776.61699999999996</v>
      </c>
      <c r="P39" s="6">
        <v>0</v>
      </c>
      <c r="Q39" s="4" t="s">
        <v>26</v>
      </c>
      <c r="R39" s="4">
        <v>0</v>
      </c>
      <c r="S39" s="4" t="s">
        <v>126</v>
      </c>
      <c r="T39" s="4" t="s">
        <v>379</v>
      </c>
      <c r="U39" s="4">
        <v>0</v>
      </c>
      <c r="V39" s="4">
        <v>8</v>
      </c>
      <c r="W39" s="4">
        <v>49</v>
      </c>
    </row>
    <row r="40" spans="1:23" ht="11.25" customHeight="1" x14ac:dyDescent="0.25">
      <c r="A40" s="4" t="s">
        <v>28</v>
      </c>
      <c r="B40" s="4" t="s">
        <v>33</v>
      </c>
      <c r="C40" s="4" t="s">
        <v>34</v>
      </c>
      <c r="D40" s="4" t="s">
        <v>42</v>
      </c>
      <c r="E40" s="4" t="s">
        <v>25</v>
      </c>
      <c r="F40" s="4" t="s">
        <v>25</v>
      </c>
      <c r="G40" s="4" t="s">
        <v>25</v>
      </c>
      <c r="H40" s="4" t="s">
        <v>36</v>
      </c>
      <c r="I40" s="5">
        <v>44531</v>
      </c>
      <c r="J40" s="6">
        <v>0</v>
      </c>
      <c r="K40" s="6">
        <v>0</v>
      </c>
      <c r="L40" s="6">
        <v>19.129000000000001</v>
      </c>
      <c r="M40" s="6">
        <v>19.129000000000001</v>
      </c>
      <c r="N40" s="6">
        <v>19.129000000000001</v>
      </c>
      <c r="O40" s="6">
        <v>19.129000000000001</v>
      </c>
      <c r="P40" s="6">
        <v>0</v>
      </c>
      <c r="Q40" s="4" t="s">
        <v>26</v>
      </c>
      <c r="R40" s="4">
        <v>0</v>
      </c>
      <c r="S40" s="4" t="s">
        <v>126</v>
      </c>
      <c r="T40" s="4" t="s">
        <v>379</v>
      </c>
      <c r="U40" s="4">
        <v>0</v>
      </c>
      <c r="V40" s="4">
        <v>8</v>
      </c>
      <c r="W40" s="4">
        <v>49</v>
      </c>
    </row>
    <row r="41" spans="1:23" ht="11.25" customHeight="1" x14ac:dyDescent="0.25">
      <c r="A41" s="4" t="s">
        <v>21</v>
      </c>
      <c r="B41" s="4" t="s">
        <v>33</v>
      </c>
      <c r="C41" s="4" t="s">
        <v>34</v>
      </c>
      <c r="D41" s="4" t="s">
        <v>42</v>
      </c>
      <c r="E41" s="4" t="s">
        <v>25</v>
      </c>
      <c r="F41" s="4" t="s">
        <v>25</v>
      </c>
      <c r="G41" s="4" t="s">
        <v>25</v>
      </c>
      <c r="H41" s="4" t="s">
        <v>36</v>
      </c>
      <c r="I41" s="5">
        <v>44562</v>
      </c>
      <c r="J41" s="6">
        <v>0</v>
      </c>
      <c r="K41" s="6">
        <v>0</v>
      </c>
      <c r="L41" s="6">
        <v>857.06399999999996</v>
      </c>
      <c r="M41" s="6">
        <v>857.06399999999996</v>
      </c>
      <c r="N41" s="6">
        <v>857.06399999999996</v>
      </c>
      <c r="O41" s="6">
        <v>857.06399999999996</v>
      </c>
      <c r="P41" s="6">
        <v>0</v>
      </c>
      <c r="Q41" s="4" t="s">
        <v>26</v>
      </c>
      <c r="R41" s="4">
        <v>0</v>
      </c>
      <c r="S41" s="4" t="s">
        <v>127</v>
      </c>
      <c r="T41" s="4" t="s">
        <v>380</v>
      </c>
      <c r="U41" s="4">
        <v>0</v>
      </c>
      <c r="V41" s="4">
        <v>8</v>
      </c>
      <c r="W41" s="4">
        <v>49</v>
      </c>
    </row>
    <row r="42" spans="1:23" ht="11.25" customHeight="1" x14ac:dyDescent="0.25">
      <c r="A42" s="4" t="s">
        <v>21</v>
      </c>
      <c r="B42" s="4" t="s">
        <v>33</v>
      </c>
      <c r="C42" s="4" t="s">
        <v>34</v>
      </c>
      <c r="D42" s="4" t="s">
        <v>42</v>
      </c>
      <c r="E42" s="4" t="s">
        <v>25</v>
      </c>
      <c r="F42" s="4" t="s">
        <v>25</v>
      </c>
      <c r="G42" s="4" t="s">
        <v>25</v>
      </c>
      <c r="H42" s="4" t="s">
        <v>36</v>
      </c>
      <c r="I42" s="5">
        <v>44593</v>
      </c>
      <c r="J42" s="6">
        <v>0</v>
      </c>
      <c r="K42" s="6">
        <v>0</v>
      </c>
      <c r="L42" s="6">
        <v>816.00400000000002</v>
      </c>
      <c r="M42" s="6">
        <v>816.00400000000002</v>
      </c>
      <c r="N42" s="6">
        <v>816.00400000000002</v>
      </c>
      <c r="O42" s="6">
        <v>816.00400000000002</v>
      </c>
      <c r="P42" s="6">
        <v>0</v>
      </c>
      <c r="Q42" s="4" t="s">
        <v>26</v>
      </c>
      <c r="R42" s="4">
        <v>0</v>
      </c>
      <c r="S42" s="4" t="s">
        <v>128</v>
      </c>
      <c r="T42" s="4" t="s">
        <v>381</v>
      </c>
      <c r="U42" s="4">
        <v>0</v>
      </c>
      <c r="V42" s="4">
        <v>8</v>
      </c>
      <c r="W42" s="4">
        <v>49</v>
      </c>
    </row>
    <row r="43" spans="1:23" ht="11.25" customHeight="1" x14ac:dyDescent="0.25">
      <c r="A43" s="4" t="s">
        <v>21</v>
      </c>
      <c r="B43" s="4" t="s">
        <v>33</v>
      </c>
      <c r="C43" s="4" t="s">
        <v>34</v>
      </c>
      <c r="D43" s="4" t="s">
        <v>42</v>
      </c>
      <c r="E43" s="4" t="s">
        <v>25</v>
      </c>
      <c r="F43" s="4" t="s">
        <v>25</v>
      </c>
      <c r="G43" s="4" t="s">
        <v>25</v>
      </c>
      <c r="H43" s="4" t="s">
        <v>36</v>
      </c>
      <c r="I43" s="5">
        <v>44621</v>
      </c>
      <c r="J43" s="6">
        <v>0</v>
      </c>
      <c r="K43" s="6">
        <v>0</v>
      </c>
      <c r="L43" s="6">
        <v>951.88699999999994</v>
      </c>
      <c r="M43" s="6">
        <v>951.88699999999994</v>
      </c>
      <c r="N43" s="6">
        <v>951.88699999999994</v>
      </c>
      <c r="O43" s="6">
        <v>951.88699999999994</v>
      </c>
      <c r="P43" s="6">
        <v>0</v>
      </c>
      <c r="Q43" s="4" t="s">
        <v>26</v>
      </c>
      <c r="R43" s="4">
        <v>0</v>
      </c>
      <c r="S43" s="4" t="s">
        <v>129</v>
      </c>
      <c r="T43" s="4" t="s">
        <v>382</v>
      </c>
      <c r="U43" s="4">
        <v>0</v>
      </c>
      <c r="V43" s="4">
        <v>8</v>
      </c>
      <c r="W43" s="4">
        <v>49</v>
      </c>
    </row>
    <row r="44" spans="1:23" ht="11.25" customHeight="1" x14ac:dyDescent="0.25">
      <c r="A44" s="4" t="s">
        <v>28</v>
      </c>
      <c r="B44" s="4" t="s">
        <v>33</v>
      </c>
      <c r="C44" s="4" t="s">
        <v>34</v>
      </c>
      <c r="D44" s="4" t="s">
        <v>42</v>
      </c>
      <c r="E44" s="4" t="s">
        <v>25</v>
      </c>
      <c r="F44" s="4" t="s">
        <v>25</v>
      </c>
      <c r="G44" s="4" t="s">
        <v>25</v>
      </c>
      <c r="H44" s="4" t="s">
        <v>36</v>
      </c>
      <c r="I44" s="5">
        <v>44621</v>
      </c>
      <c r="J44" s="6">
        <v>0</v>
      </c>
      <c r="K44" s="6">
        <v>0</v>
      </c>
      <c r="L44" s="6">
        <v>27.196999999999999</v>
      </c>
      <c r="M44" s="6">
        <v>27.196999999999999</v>
      </c>
      <c r="N44" s="6">
        <v>27.196999999999999</v>
      </c>
      <c r="O44" s="6">
        <v>27.196999999999999</v>
      </c>
      <c r="P44" s="6">
        <v>0</v>
      </c>
      <c r="Q44" s="4" t="s">
        <v>26</v>
      </c>
      <c r="R44" s="4">
        <v>0</v>
      </c>
      <c r="S44" s="4" t="s">
        <v>129</v>
      </c>
      <c r="T44" s="4" t="s">
        <v>382</v>
      </c>
      <c r="U44" s="4">
        <v>0</v>
      </c>
      <c r="V44" s="4">
        <v>8</v>
      </c>
      <c r="W44" s="4">
        <v>49</v>
      </c>
    </row>
    <row r="45" spans="1:23" ht="11.25" customHeight="1" x14ac:dyDescent="0.25">
      <c r="A45" s="4" t="s">
        <v>21</v>
      </c>
      <c r="B45" s="4" t="s">
        <v>33</v>
      </c>
      <c r="C45" s="4" t="s">
        <v>34</v>
      </c>
      <c r="D45" s="4" t="s">
        <v>42</v>
      </c>
      <c r="E45" s="4" t="s">
        <v>25</v>
      </c>
      <c r="F45" s="4" t="s">
        <v>25</v>
      </c>
      <c r="G45" s="4" t="s">
        <v>25</v>
      </c>
      <c r="H45" s="4" t="s">
        <v>36</v>
      </c>
      <c r="I45" s="5">
        <v>44652</v>
      </c>
      <c r="J45" s="6">
        <v>0</v>
      </c>
      <c r="K45" s="6">
        <v>0</v>
      </c>
      <c r="L45" s="6">
        <v>812.60900000000004</v>
      </c>
      <c r="M45" s="6">
        <v>812.60900000000004</v>
      </c>
      <c r="N45" s="6">
        <v>812.60900000000004</v>
      </c>
      <c r="O45" s="6">
        <v>812.60900000000004</v>
      </c>
      <c r="P45" s="6">
        <v>0</v>
      </c>
      <c r="Q45" s="4" t="s">
        <v>26</v>
      </c>
      <c r="R45" s="4">
        <v>0</v>
      </c>
      <c r="S45" s="4" t="s">
        <v>130</v>
      </c>
      <c r="T45" s="4" t="s">
        <v>383</v>
      </c>
      <c r="U45" s="4">
        <v>0</v>
      </c>
      <c r="V45" s="4">
        <v>8</v>
      </c>
      <c r="W45" s="4">
        <v>49</v>
      </c>
    </row>
    <row r="46" spans="1:23" ht="11.25" customHeight="1" x14ac:dyDescent="0.25">
      <c r="A46" s="4" t="s">
        <v>21</v>
      </c>
      <c r="B46" s="4" t="s">
        <v>33</v>
      </c>
      <c r="C46" s="4" t="s">
        <v>34</v>
      </c>
      <c r="D46" s="4" t="s">
        <v>42</v>
      </c>
      <c r="E46" s="4" t="s">
        <v>25</v>
      </c>
      <c r="F46" s="4" t="s">
        <v>25</v>
      </c>
      <c r="G46" s="4" t="s">
        <v>25</v>
      </c>
      <c r="H46" s="4" t="s">
        <v>25</v>
      </c>
      <c r="I46" s="5">
        <v>44317</v>
      </c>
      <c r="J46" s="6">
        <v>3613</v>
      </c>
      <c r="K46" s="6">
        <v>3613</v>
      </c>
      <c r="L46" s="6">
        <v>0</v>
      </c>
      <c r="M46" s="6">
        <v>0</v>
      </c>
      <c r="N46" s="6">
        <v>0</v>
      </c>
      <c r="O46" s="6">
        <v>0</v>
      </c>
      <c r="P46" s="6">
        <v>34</v>
      </c>
      <c r="Q46" s="4" t="s">
        <v>26</v>
      </c>
      <c r="R46" s="4">
        <v>0</v>
      </c>
      <c r="S46" s="4" t="s">
        <v>131</v>
      </c>
      <c r="U46" s="4">
        <v>6</v>
      </c>
      <c r="V46" s="4">
        <v>0</v>
      </c>
      <c r="W46" s="4">
        <v>0</v>
      </c>
    </row>
    <row r="47" spans="1:23" ht="11.25" customHeight="1" x14ac:dyDescent="0.25">
      <c r="A47" s="4" t="s">
        <v>21</v>
      </c>
      <c r="B47" s="4" t="s">
        <v>33</v>
      </c>
      <c r="C47" s="4" t="s">
        <v>34</v>
      </c>
      <c r="D47" s="4" t="s">
        <v>42</v>
      </c>
      <c r="E47" s="4" t="s">
        <v>25</v>
      </c>
      <c r="F47" s="4" t="s">
        <v>25</v>
      </c>
      <c r="G47" s="4" t="s">
        <v>25</v>
      </c>
      <c r="H47" s="4" t="s">
        <v>25</v>
      </c>
      <c r="I47" s="5">
        <v>44348</v>
      </c>
      <c r="J47" s="6">
        <v>3644</v>
      </c>
      <c r="K47" s="6">
        <v>3644</v>
      </c>
      <c r="L47" s="6">
        <v>0</v>
      </c>
      <c r="M47" s="6">
        <v>0</v>
      </c>
      <c r="N47" s="6">
        <v>0</v>
      </c>
      <c r="O47" s="6">
        <v>0</v>
      </c>
      <c r="P47" s="6">
        <v>34</v>
      </c>
      <c r="Q47" s="4" t="s">
        <v>26</v>
      </c>
      <c r="R47" s="4">
        <v>0</v>
      </c>
      <c r="S47" s="4" t="s">
        <v>132</v>
      </c>
      <c r="U47" s="4">
        <v>6</v>
      </c>
      <c r="V47" s="4">
        <v>0</v>
      </c>
      <c r="W47" s="4">
        <v>0</v>
      </c>
    </row>
    <row r="48" spans="1:23" ht="11.25" customHeight="1" x14ac:dyDescent="0.25">
      <c r="A48" s="4" t="s">
        <v>21</v>
      </c>
      <c r="B48" s="4" t="s">
        <v>33</v>
      </c>
      <c r="C48" s="4" t="s">
        <v>34</v>
      </c>
      <c r="D48" s="4" t="s">
        <v>42</v>
      </c>
      <c r="E48" s="4" t="s">
        <v>25</v>
      </c>
      <c r="F48" s="4" t="s">
        <v>25</v>
      </c>
      <c r="G48" s="4" t="s">
        <v>25</v>
      </c>
      <c r="H48" s="4" t="s">
        <v>25</v>
      </c>
      <c r="I48" s="5">
        <v>44378</v>
      </c>
      <c r="J48" s="6">
        <v>3612</v>
      </c>
      <c r="K48" s="6">
        <v>3612</v>
      </c>
      <c r="L48" s="6">
        <v>0</v>
      </c>
      <c r="M48" s="6">
        <v>0</v>
      </c>
      <c r="N48" s="6">
        <v>0</v>
      </c>
      <c r="O48" s="6">
        <v>0</v>
      </c>
      <c r="P48" s="6">
        <v>34</v>
      </c>
      <c r="Q48" s="4" t="s">
        <v>26</v>
      </c>
      <c r="R48" s="4">
        <v>0</v>
      </c>
      <c r="S48" s="4" t="s">
        <v>133</v>
      </c>
      <c r="U48" s="4">
        <v>6</v>
      </c>
      <c r="V48" s="4">
        <v>0</v>
      </c>
      <c r="W48" s="4">
        <v>0</v>
      </c>
    </row>
    <row r="49" spans="1:23" ht="11.25" customHeight="1" x14ac:dyDescent="0.25">
      <c r="A49" s="4" t="s">
        <v>21</v>
      </c>
      <c r="B49" s="4" t="s">
        <v>33</v>
      </c>
      <c r="C49" s="4" t="s">
        <v>34</v>
      </c>
      <c r="D49" s="4" t="s">
        <v>42</v>
      </c>
      <c r="E49" s="4" t="s">
        <v>25</v>
      </c>
      <c r="F49" s="4" t="s">
        <v>25</v>
      </c>
      <c r="G49" s="4" t="s">
        <v>25</v>
      </c>
      <c r="H49" s="4" t="s">
        <v>25</v>
      </c>
      <c r="I49" s="5">
        <v>44409</v>
      </c>
      <c r="J49" s="6">
        <v>3621</v>
      </c>
      <c r="K49" s="6">
        <v>3621</v>
      </c>
      <c r="L49" s="6">
        <v>0</v>
      </c>
      <c r="M49" s="6">
        <v>0</v>
      </c>
      <c r="N49" s="6">
        <v>0</v>
      </c>
      <c r="O49" s="6">
        <v>0</v>
      </c>
      <c r="P49" s="6">
        <v>35</v>
      </c>
      <c r="Q49" s="4" t="s">
        <v>26</v>
      </c>
      <c r="R49" s="4">
        <v>0</v>
      </c>
      <c r="S49" s="4" t="s">
        <v>134</v>
      </c>
      <c r="U49" s="4">
        <v>6</v>
      </c>
      <c r="V49" s="4">
        <v>0</v>
      </c>
      <c r="W49" s="4">
        <v>0</v>
      </c>
    </row>
    <row r="50" spans="1:23" ht="11.25" customHeight="1" x14ac:dyDescent="0.25">
      <c r="A50" s="4" t="s">
        <v>28</v>
      </c>
      <c r="B50" s="4" t="s">
        <v>33</v>
      </c>
      <c r="C50" s="4" t="s">
        <v>34</v>
      </c>
      <c r="D50" s="4" t="s">
        <v>42</v>
      </c>
      <c r="E50" s="4" t="s">
        <v>25</v>
      </c>
      <c r="F50" s="4" t="s">
        <v>25</v>
      </c>
      <c r="G50" s="4" t="s">
        <v>25</v>
      </c>
      <c r="H50" s="4" t="s">
        <v>25</v>
      </c>
      <c r="I50" s="5">
        <v>44409</v>
      </c>
      <c r="J50" s="6">
        <v>60</v>
      </c>
      <c r="K50" s="6">
        <v>60</v>
      </c>
      <c r="L50" s="6">
        <v>0</v>
      </c>
      <c r="M50" s="6">
        <v>0</v>
      </c>
      <c r="N50" s="6">
        <v>0</v>
      </c>
      <c r="O50" s="6">
        <v>0</v>
      </c>
      <c r="P50" s="6">
        <v>1</v>
      </c>
      <c r="Q50" s="4" t="s">
        <v>26</v>
      </c>
      <c r="R50" s="4">
        <v>0</v>
      </c>
      <c r="S50" s="4" t="s">
        <v>134</v>
      </c>
      <c r="U50" s="4">
        <v>6</v>
      </c>
      <c r="V50" s="4">
        <v>0</v>
      </c>
      <c r="W50" s="4">
        <v>0</v>
      </c>
    </row>
    <row r="51" spans="1:23" ht="11.25" customHeight="1" x14ac:dyDescent="0.25">
      <c r="A51" s="4" t="s">
        <v>21</v>
      </c>
      <c r="B51" s="4" t="s">
        <v>33</v>
      </c>
      <c r="C51" s="4" t="s">
        <v>34</v>
      </c>
      <c r="D51" s="4" t="s">
        <v>42</v>
      </c>
      <c r="E51" s="4" t="s">
        <v>25</v>
      </c>
      <c r="F51" s="4" t="s">
        <v>25</v>
      </c>
      <c r="G51" s="4" t="s">
        <v>25</v>
      </c>
      <c r="H51" s="4" t="s">
        <v>25</v>
      </c>
      <c r="I51" s="5">
        <v>44440</v>
      </c>
      <c r="J51" s="6">
        <v>3651</v>
      </c>
      <c r="K51" s="6">
        <v>3651</v>
      </c>
      <c r="L51" s="6">
        <v>0</v>
      </c>
      <c r="M51" s="6">
        <v>0</v>
      </c>
      <c r="N51" s="6">
        <v>0</v>
      </c>
      <c r="O51" s="6">
        <v>0</v>
      </c>
      <c r="P51" s="6">
        <v>35</v>
      </c>
      <c r="Q51" s="4" t="s">
        <v>26</v>
      </c>
      <c r="R51" s="4">
        <v>0</v>
      </c>
      <c r="S51" s="4" t="s">
        <v>135</v>
      </c>
      <c r="U51" s="4">
        <v>6</v>
      </c>
      <c r="V51" s="4">
        <v>0</v>
      </c>
      <c r="W51" s="4">
        <v>0</v>
      </c>
    </row>
    <row r="52" spans="1:23" ht="11.25" customHeight="1" x14ac:dyDescent="0.25">
      <c r="A52" s="4" t="s">
        <v>28</v>
      </c>
      <c r="B52" s="4" t="s">
        <v>33</v>
      </c>
      <c r="C52" s="4" t="s">
        <v>34</v>
      </c>
      <c r="D52" s="4" t="s">
        <v>42</v>
      </c>
      <c r="E52" s="4" t="s">
        <v>25</v>
      </c>
      <c r="F52" s="4" t="s">
        <v>25</v>
      </c>
      <c r="G52" s="4" t="s">
        <v>25</v>
      </c>
      <c r="H52" s="4" t="s">
        <v>25</v>
      </c>
      <c r="I52" s="5">
        <v>44440</v>
      </c>
      <c r="J52" s="6">
        <v>64</v>
      </c>
      <c r="K52" s="6">
        <v>64</v>
      </c>
      <c r="L52" s="6">
        <v>0</v>
      </c>
      <c r="M52" s="6">
        <v>0</v>
      </c>
      <c r="N52" s="6">
        <v>0</v>
      </c>
      <c r="O52" s="6">
        <v>0</v>
      </c>
      <c r="P52" s="6">
        <v>1</v>
      </c>
      <c r="Q52" s="4" t="s">
        <v>26</v>
      </c>
      <c r="R52" s="4">
        <v>0</v>
      </c>
      <c r="S52" s="4" t="s">
        <v>135</v>
      </c>
      <c r="U52" s="4">
        <v>6</v>
      </c>
      <c r="V52" s="4">
        <v>0</v>
      </c>
      <c r="W52" s="4">
        <v>0</v>
      </c>
    </row>
    <row r="53" spans="1:23" ht="11.25" customHeight="1" x14ac:dyDescent="0.25">
      <c r="A53" s="4" t="s">
        <v>21</v>
      </c>
      <c r="B53" s="4" t="s">
        <v>33</v>
      </c>
      <c r="C53" s="4" t="s">
        <v>34</v>
      </c>
      <c r="D53" s="4" t="s">
        <v>42</v>
      </c>
      <c r="E53" s="4" t="s">
        <v>25</v>
      </c>
      <c r="F53" s="4" t="s">
        <v>25</v>
      </c>
      <c r="G53" s="4" t="s">
        <v>25</v>
      </c>
      <c r="H53" s="4" t="s">
        <v>25</v>
      </c>
      <c r="I53" s="5">
        <v>44470</v>
      </c>
      <c r="J53" s="6">
        <v>3691</v>
      </c>
      <c r="K53" s="6">
        <v>3691</v>
      </c>
      <c r="L53" s="6">
        <v>0</v>
      </c>
      <c r="M53" s="6">
        <v>0</v>
      </c>
      <c r="N53" s="6">
        <v>0</v>
      </c>
      <c r="O53" s="6">
        <v>0</v>
      </c>
      <c r="P53" s="6">
        <v>35</v>
      </c>
      <c r="Q53" s="4" t="s">
        <v>26</v>
      </c>
      <c r="R53" s="4">
        <v>0</v>
      </c>
      <c r="S53" s="4" t="s">
        <v>136</v>
      </c>
      <c r="U53" s="4">
        <v>6</v>
      </c>
      <c r="V53" s="4">
        <v>0</v>
      </c>
      <c r="W53" s="4">
        <v>0</v>
      </c>
    </row>
    <row r="54" spans="1:23" ht="11.25" customHeight="1" x14ac:dyDescent="0.25">
      <c r="A54" s="4" t="s">
        <v>28</v>
      </c>
      <c r="B54" s="4" t="s">
        <v>33</v>
      </c>
      <c r="C54" s="4" t="s">
        <v>34</v>
      </c>
      <c r="D54" s="4" t="s">
        <v>42</v>
      </c>
      <c r="E54" s="4" t="s">
        <v>25</v>
      </c>
      <c r="F54" s="4" t="s">
        <v>25</v>
      </c>
      <c r="G54" s="4" t="s">
        <v>25</v>
      </c>
      <c r="H54" s="4" t="s">
        <v>25</v>
      </c>
      <c r="I54" s="5">
        <v>44470</v>
      </c>
      <c r="J54" s="6">
        <v>63</v>
      </c>
      <c r="K54" s="6">
        <v>63</v>
      </c>
      <c r="L54" s="6">
        <v>0</v>
      </c>
      <c r="M54" s="6">
        <v>0</v>
      </c>
      <c r="N54" s="6">
        <v>0</v>
      </c>
      <c r="O54" s="6">
        <v>0</v>
      </c>
      <c r="P54" s="6">
        <v>1</v>
      </c>
      <c r="Q54" s="4" t="s">
        <v>26</v>
      </c>
      <c r="R54" s="4">
        <v>0</v>
      </c>
      <c r="S54" s="4" t="s">
        <v>136</v>
      </c>
      <c r="U54" s="4">
        <v>6</v>
      </c>
      <c r="V54" s="4">
        <v>0</v>
      </c>
      <c r="W54" s="4">
        <v>0</v>
      </c>
    </row>
    <row r="55" spans="1:23" ht="11.25" customHeight="1" x14ac:dyDescent="0.25">
      <c r="A55" s="4" t="s">
        <v>21</v>
      </c>
      <c r="B55" s="4" t="s">
        <v>33</v>
      </c>
      <c r="C55" s="4" t="s">
        <v>34</v>
      </c>
      <c r="D55" s="4" t="s">
        <v>42</v>
      </c>
      <c r="E55" s="4" t="s">
        <v>25</v>
      </c>
      <c r="F55" s="4" t="s">
        <v>25</v>
      </c>
      <c r="G55" s="4" t="s">
        <v>25</v>
      </c>
      <c r="H55" s="4" t="s">
        <v>25</v>
      </c>
      <c r="I55" s="5">
        <v>44501</v>
      </c>
      <c r="J55" s="6">
        <v>3825</v>
      </c>
      <c r="K55" s="6">
        <v>3825</v>
      </c>
      <c r="L55" s="6">
        <v>0</v>
      </c>
      <c r="M55" s="6">
        <v>0</v>
      </c>
      <c r="N55" s="6">
        <v>0</v>
      </c>
      <c r="O55" s="6">
        <v>0</v>
      </c>
      <c r="P55" s="6">
        <v>35</v>
      </c>
      <c r="Q55" s="4" t="s">
        <v>26</v>
      </c>
      <c r="R55" s="4">
        <v>0</v>
      </c>
      <c r="S55" s="4" t="s">
        <v>137</v>
      </c>
      <c r="U55" s="4">
        <v>6</v>
      </c>
      <c r="V55" s="4">
        <v>0</v>
      </c>
      <c r="W55" s="4">
        <v>0</v>
      </c>
    </row>
    <row r="56" spans="1:23" ht="11.25" customHeight="1" x14ac:dyDescent="0.25">
      <c r="A56" s="4" t="s">
        <v>28</v>
      </c>
      <c r="B56" s="4" t="s">
        <v>33</v>
      </c>
      <c r="C56" s="4" t="s">
        <v>34</v>
      </c>
      <c r="D56" s="4" t="s">
        <v>42</v>
      </c>
      <c r="E56" s="4" t="s">
        <v>25</v>
      </c>
      <c r="F56" s="4" t="s">
        <v>25</v>
      </c>
      <c r="G56" s="4" t="s">
        <v>25</v>
      </c>
      <c r="H56" s="4" t="s">
        <v>25</v>
      </c>
      <c r="I56" s="5">
        <v>44501</v>
      </c>
      <c r="J56" s="6">
        <v>66</v>
      </c>
      <c r="K56" s="6">
        <v>66</v>
      </c>
      <c r="L56" s="6">
        <v>0</v>
      </c>
      <c r="M56" s="6">
        <v>0</v>
      </c>
      <c r="N56" s="6">
        <v>0</v>
      </c>
      <c r="O56" s="6">
        <v>0</v>
      </c>
      <c r="P56" s="6">
        <v>1</v>
      </c>
      <c r="Q56" s="4" t="s">
        <v>26</v>
      </c>
      <c r="R56" s="4">
        <v>0</v>
      </c>
      <c r="S56" s="4" t="s">
        <v>137</v>
      </c>
      <c r="U56" s="4">
        <v>6</v>
      </c>
      <c r="V56" s="4">
        <v>0</v>
      </c>
      <c r="W56" s="4">
        <v>0</v>
      </c>
    </row>
    <row r="57" spans="1:23" ht="11.25" customHeight="1" x14ac:dyDescent="0.25">
      <c r="A57" s="4" t="s">
        <v>21</v>
      </c>
      <c r="B57" s="4" t="s">
        <v>33</v>
      </c>
      <c r="C57" s="4" t="s">
        <v>34</v>
      </c>
      <c r="D57" s="4" t="s">
        <v>42</v>
      </c>
      <c r="E57" s="4" t="s">
        <v>25</v>
      </c>
      <c r="F57" s="4" t="s">
        <v>25</v>
      </c>
      <c r="G57" s="4" t="s">
        <v>25</v>
      </c>
      <c r="H57" s="4" t="s">
        <v>25</v>
      </c>
      <c r="I57" s="5">
        <v>44531</v>
      </c>
      <c r="J57" s="6">
        <v>3934</v>
      </c>
      <c r="K57" s="6">
        <v>3934</v>
      </c>
      <c r="L57" s="6">
        <v>0</v>
      </c>
      <c r="M57" s="6">
        <v>0</v>
      </c>
      <c r="N57" s="6">
        <v>0</v>
      </c>
      <c r="O57" s="6">
        <v>0</v>
      </c>
      <c r="P57" s="6">
        <v>36</v>
      </c>
      <c r="Q57" s="4" t="s">
        <v>26</v>
      </c>
      <c r="R57" s="4">
        <v>0</v>
      </c>
      <c r="S57" s="4" t="s">
        <v>138</v>
      </c>
      <c r="U57" s="4">
        <v>6</v>
      </c>
      <c r="V57" s="4">
        <v>0</v>
      </c>
      <c r="W57" s="4">
        <v>0</v>
      </c>
    </row>
    <row r="58" spans="1:23" ht="11.25" customHeight="1" x14ac:dyDescent="0.25">
      <c r="A58" s="4" t="s">
        <v>28</v>
      </c>
      <c r="B58" s="4" t="s">
        <v>33</v>
      </c>
      <c r="C58" s="4" t="s">
        <v>34</v>
      </c>
      <c r="D58" s="4" t="s">
        <v>42</v>
      </c>
      <c r="E58" s="4" t="s">
        <v>25</v>
      </c>
      <c r="F58" s="4" t="s">
        <v>25</v>
      </c>
      <c r="G58" s="4" t="s">
        <v>25</v>
      </c>
      <c r="H58" s="4" t="s">
        <v>25</v>
      </c>
      <c r="I58" s="5">
        <v>44531</v>
      </c>
      <c r="J58" s="6">
        <v>63</v>
      </c>
      <c r="K58" s="6">
        <v>63</v>
      </c>
      <c r="L58" s="6">
        <v>0</v>
      </c>
      <c r="M58" s="6">
        <v>0</v>
      </c>
      <c r="N58" s="6">
        <v>0</v>
      </c>
      <c r="O58" s="6">
        <v>0</v>
      </c>
      <c r="P58" s="6">
        <v>1</v>
      </c>
      <c r="Q58" s="4" t="s">
        <v>26</v>
      </c>
      <c r="R58" s="4">
        <v>0</v>
      </c>
      <c r="S58" s="4" t="s">
        <v>138</v>
      </c>
      <c r="U58" s="4">
        <v>6</v>
      </c>
      <c r="V58" s="4">
        <v>0</v>
      </c>
      <c r="W58" s="4">
        <v>0</v>
      </c>
    </row>
    <row r="59" spans="1:23" ht="11.25" customHeight="1" x14ac:dyDescent="0.25">
      <c r="A59" s="4" t="s">
        <v>21</v>
      </c>
      <c r="B59" s="4" t="s">
        <v>33</v>
      </c>
      <c r="C59" s="4" t="s">
        <v>34</v>
      </c>
      <c r="D59" s="4" t="s">
        <v>42</v>
      </c>
      <c r="E59" s="4" t="s">
        <v>25</v>
      </c>
      <c r="F59" s="4" t="s">
        <v>25</v>
      </c>
      <c r="G59" s="4" t="s">
        <v>25</v>
      </c>
      <c r="H59" s="4" t="s">
        <v>25</v>
      </c>
      <c r="I59" s="5">
        <v>44562</v>
      </c>
      <c r="J59" s="6">
        <v>4124</v>
      </c>
      <c r="K59" s="6">
        <v>4124</v>
      </c>
      <c r="L59" s="6">
        <v>0</v>
      </c>
      <c r="M59" s="6">
        <v>0</v>
      </c>
      <c r="N59" s="6">
        <v>0</v>
      </c>
      <c r="O59" s="6">
        <v>0</v>
      </c>
      <c r="P59" s="6">
        <v>39</v>
      </c>
      <c r="Q59" s="4" t="s">
        <v>26</v>
      </c>
      <c r="R59" s="4">
        <v>0</v>
      </c>
      <c r="S59" s="4" t="s">
        <v>139</v>
      </c>
      <c r="U59" s="4">
        <v>6</v>
      </c>
      <c r="V59" s="4">
        <v>0</v>
      </c>
      <c r="W59" s="4">
        <v>0</v>
      </c>
    </row>
    <row r="60" spans="1:23" ht="11.25" customHeight="1" x14ac:dyDescent="0.25">
      <c r="A60" s="4" t="s">
        <v>21</v>
      </c>
      <c r="B60" s="4" t="s">
        <v>33</v>
      </c>
      <c r="C60" s="4" t="s">
        <v>34</v>
      </c>
      <c r="D60" s="4" t="s">
        <v>42</v>
      </c>
      <c r="E60" s="4" t="s">
        <v>25</v>
      </c>
      <c r="F60" s="4" t="s">
        <v>25</v>
      </c>
      <c r="G60" s="4" t="s">
        <v>25</v>
      </c>
      <c r="H60" s="4" t="s">
        <v>25</v>
      </c>
      <c r="I60" s="5">
        <v>44593</v>
      </c>
      <c r="J60" s="6">
        <v>4179</v>
      </c>
      <c r="K60" s="6">
        <v>4179</v>
      </c>
      <c r="L60" s="6">
        <v>0</v>
      </c>
      <c r="M60" s="6">
        <v>0</v>
      </c>
      <c r="N60" s="6">
        <v>0</v>
      </c>
      <c r="O60" s="6">
        <v>0</v>
      </c>
      <c r="P60" s="6">
        <v>39</v>
      </c>
      <c r="Q60" s="4" t="s">
        <v>26</v>
      </c>
      <c r="R60" s="4">
        <v>0</v>
      </c>
      <c r="S60" s="4" t="s">
        <v>140</v>
      </c>
      <c r="U60" s="4">
        <v>6</v>
      </c>
      <c r="V60" s="4">
        <v>0</v>
      </c>
      <c r="W60" s="4">
        <v>0</v>
      </c>
    </row>
    <row r="61" spans="1:23" ht="11.25" customHeight="1" x14ac:dyDescent="0.25">
      <c r="A61" s="4" t="s">
        <v>21</v>
      </c>
      <c r="B61" s="4" t="s">
        <v>33</v>
      </c>
      <c r="C61" s="4" t="s">
        <v>34</v>
      </c>
      <c r="D61" s="4" t="s">
        <v>42</v>
      </c>
      <c r="E61" s="4" t="s">
        <v>25</v>
      </c>
      <c r="F61" s="4" t="s">
        <v>25</v>
      </c>
      <c r="G61" s="4" t="s">
        <v>25</v>
      </c>
      <c r="H61" s="4" t="s">
        <v>25</v>
      </c>
      <c r="I61" s="5">
        <v>44621</v>
      </c>
      <c r="J61" s="6">
        <v>4232</v>
      </c>
      <c r="K61" s="6">
        <v>4232</v>
      </c>
      <c r="L61" s="6">
        <v>0</v>
      </c>
      <c r="M61" s="6">
        <v>0</v>
      </c>
      <c r="N61" s="6">
        <v>0</v>
      </c>
      <c r="O61" s="6">
        <v>0</v>
      </c>
      <c r="P61" s="6">
        <v>38</v>
      </c>
      <c r="Q61" s="4" t="s">
        <v>26</v>
      </c>
      <c r="R61" s="4">
        <v>0</v>
      </c>
      <c r="S61" s="4" t="s">
        <v>141</v>
      </c>
      <c r="U61" s="4">
        <v>6</v>
      </c>
      <c r="V61" s="4">
        <v>0</v>
      </c>
      <c r="W61" s="4">
        <v>0</v>
      </c>
    </row>
    <row r="62" spans="1:23" ht="11.25" customHeight="1" x14ac:dyDescent="0.25">
      <c r="A62" s="4" t="s">
        <v>28</v>
      </c>
      <c r="B62" s="4" t="s">
        <v>33</v>
      </c>
      <c r="C62" s="4" t="s">
        <v>34</v>
      </c>
      <c r="D62" s="4" t="s">
        <v>42</v>
      </c>
      <c r="E62" s="4" t="s">
        <v>25</v>
      </c>
      <c r="F62" s="4" t="s">
        <v>25</v>
      </c>
      <c r="G62" s="4" t="s">
        <v>25</v>
      </c>
      <c r="H62" s="4" t="s">
        <v>25</v>
      </c>
      <c r="I62" s="5">
        <v>44621</v>
      </c>
      <c r="J62" s="6">
        <v>81</v>
      </c>
      <c r="K62" s="6">
        <v>81</v>
      </c>
      <c r="L62" s="6">
        <v>0</v>
      </c>
      <c r="M62" s="6">
        <v>0</v>
      </c>
      <c r="N62" s="6">
        <v>0</v>
      </c>
      <c r="O62" s="6">
        <v>0</v>
      </c>
      <c r="P62" s="6">
        <v>1</v>
      </c>
      <c r="Q62" s="4" t="s">
        <v>26</v>
      </c>
      <c r="R62" s="4">
        <v>0</v>
      </c>
      <c r="S62" s="4" t="s">
        <v>141</v>
      </c>
      <c r="U62" s="4">
        <v>6</v>
      </c>
      <c r="V62" s="4">
        <v>0</v>
      </c>
      <c r="W62" s="4">
        <v>0</v>
      </c>
    </row>
    <row r="63" spans="1:23" ht="11.25" customHeight="1" x14ac:dyDescent="0.25">
      <c r="A63" s="4" t="s">
        <v>21</v>
      </c>
      <c r="B63" s="4" t="s">
        <v>33</v>
      </c>
      <c r="C63" s="4" t="s">
        <v>34</v>
      </c>
      <c r="D63" s="4" t="s">
        <v>42</v>
      </c>
      <c r="E63" s="4" t="s">
        <v>25</v>
      </c>
      <c r="F63" s="4" t="s">
        <v>25</v>
      </c>
      <c r="G63" s="4" t="s">
        <v>25</v>
      </c>
      <c r="H63" s="4" t="s">
        <v>25</v>
      </c>
      <c r="I63" s="5">
        <v>44652</v>
      </c>
      <c r="J63" s="6">
        <v>4318</v>
      </c>
      <c r="K63" s="6">
        <v>4318</v>
      </c>
      <c r="L63" s="6">
        <v>0</v>
      </c>
      <c r="M63" s="6">
        <v>0</v>
      </c>
      <c r="N63" s="6">
        <v>0</v>
      </c>
      <c r="O63" s="6">
        <v>0</v>
      </c>
      <c r="P63" s="6">
        <v>38</v>
      </c>
      <c r="Q63" s="4" t="s">
        <v>26</v>
      </c>
      <c r="R63" s="4">
        <v>0</v>
      </c>
      <c r="S63" s="4" t="s">
        <v>142</v>
      </c>
      <c r="U63" s="4">
        <v>6</v>
      </c>
      <c r="V63" s="4">
        <v>0</v>
      </c>
      <c r="W63" s="4">
        <v>0</v>
      </c>
    </row>
    <row r="64" spans="1:23" ht="11.25" customHeight="1" x14ac:dyDescent="0.25">
      <c r="A64" s="4" t="s">
        <v>21</v>
      </c>
      <c r="B64" s="4" t="s">
        <v>33</v>
      </c>
      <c r="C64" s="4" t="s">
        <v>34</v>
      </c>
      <c r="D64" s="4" t="s">
        <v>42</v>
      </c>
      <c r="E64" s="4" t="s">
        <v>25</v>
      </c>
      <c r="F64" s="4" t="s">
        <v>25</v>
      </c>
      <c r="G64" s="4" t="s">
        <v>25</v>
      </c>
      <c r="H64" s="4" t="s">
        <v>35</v>
      </c>
      <c r="I64" s="5">
        <v>44317</v>
      </c>
      <c r="J64" s="6">
        <v>0</v>
      </c>
      <c r="K64" s="6">
        <v>0</v>
      </c>
      <c r="L64" s="6">
        <v>46.808</v>
      </c>
      <c r="M64" s="6">
        <v>46.808</v>
      </c>
      <c r="N64" s="6">
        <v>46.808</v>
      </c>
      <c r="O64" s="6">
        <v>46.808</v>
      </c>
      <c r="P64" s="6">
        <v>0</v>
      </c>
      <c r="Q64" s="4" t="s">
        <v>26</v>
      </c>
      <c r="R64" s="4">
        <v>0</v>
      </c>
      <c r="S64" s="4" t="s">
        <v>143</v>
      </c>
      <c r="T64" s="4" t="s">
        <v>384</v>
      </c>
      <c r="U64" s="4">
        <v>0</v>
      </c>
      <c r="V64" s="4">
        <v>7</v>
      </c>
      <c r="W64" s="4">
        <v>48</v>
      </c>
    </row>
    <row r="65" spans="1:23" ht="11.25" customHeight="1" x14ac:dyDescent="0.25">
      <c r="A65" s="4" t="s">
        <v>21</v>
      </c>
      <c r="B65" s="4" t="s">
        <v>33</v>
      </c>
      <c r="C65" s="4" t="s">
        <v>34</v>
      </c>
      <c r="D65" s="4" t="s">
        <v>42</v>
      </c>
      <c r="E65" s="4" t="s">
        <v>25</v>
      </c>
      <c r="F65" s="4" t="s">
        <v>25</v>
      </c>
      <c r="G65" s="4" t="s">
        <v>25</v>
      </c>
      <c r="H65" s="4" t="s">
        <v>35</v>
      </c>
      <c r="I65" s="5">
        <v>44348</v>
      </c>
      <c r="J65" s="6">
        <v>0</v>
      </c>
      <c r="K65" s="6">
        <v>0</v>
      </c>
      <c r="L65" s="6">
        <v>47.941000000000003</v>
      </c>
      <c r="M65" s="6">
        <v>47.941000000000003</v>
      </c>
      <c r="N65" s="6">
        <v>47.941000000000003</v>
      </c>
      <c r="O65" s="6">
        <v>47.941000000000003</v>
      </c>
      <c r="P65" s="6">
        <v>0</v>
      </c>
      <c r="Q65" s="4" t="s">
        <v>26</v>
      </c>
      <c r="R65" s="4">
        <v>0</v>
      </c>
      <c r="S65" s="4" t="s">
        <v>144</v>
      </c>
      <c r="T65" s="4" t="s">
        <v>385</v>
      </c>
      <c r="U65" s="4">
        <v>0</v>
      </c>
      <c r="V65" s="4">
        <v>7</v>
      </c>
      <c r="W65" s="4">
        <v>48</v>
      </c>
    </row>
    <row r="66" spans="1:23" ht="11.25" customHeight="1" x14ac:dyDescent="0.25">
      <c r="A66" s="4" t="s">
        <v>21</v>
      </c>
      <c r="B66" s="4" t="s">
        <v>33</v>
      </c>
      <c r="C66" s="4" t="s">
        <v>34</v>
      </c>
      <c r="D66" s="4" t="s">
        <v>42</v>
      </c>
      <c r="E66" s="4" t="s">
        <v>25</v>
      </c>
      <c r="F66" s="4" t="s">
        <v>25</v>
      </c>
      <c r="G66" s="4" t="s">
        <v>25</v>
      </c>
      <c r="H66" s="4" t="s">
        <v>35</v>
      </c>
      <c r="I66" s="5">
        <v>44378</v>
      </c>
      <c r="J66" s="6">
        <v>0</v>
      </c>
      <c r="K66" s="6">
        <v>0</v>
      </c>
      <c r="L66" s="6">
        <v>55.206000000000003</v>
      </c>
      <c r="M66" s="6">
        <v>55.206000000000003</v>
      </c>
      <c r="N66" s="6">
        <v>55.206000000000003</v>
      </c>
      <c r="O66" s="6">
        <v>55.206000000000003</v>
      </c>
      <c r="P66" s="6">
        <v>0</v>
      </c>
      <c r="Q66" s="4" t="s">
        <v>26</v>
      </c>
      <c r="R66" s="4">
        <v>0</v>
      </c>
      <c r="S66" s="4" t="s">
        <v>145</v>
      </c>
      <c r="T66" s="4" t="s">
        <v>386</v>
      </c>
      <c r="U66" s="4">
        <v>0</v>
      </c>
      <c r="V66" s="4">
        <v>7</v>
      </c>
      <c r="W66" s="4">
        <v>48</v>
      </c>
    </row>
    <row r="67" spans="1:23" ht="11.25" customHeight="1" x14ac:dyDescent="0.25">
      <c r="A67" s="4" t="s">
        <v>21</v>
      </c>
      <c r="B67" s="4" t="s">
        <v>33</v>
      </c>
      <c r="C67" s="4" t="s">
        <v>34</v>
      </c>
      <c r="D67" s="4" t="s">
        <v>42</v>
      </c>
      <c r="E67" s="4" t="s">
        <v>25</v>
      </c>
      <c r="F67" s="4" t="s">
        <v>25</v>
      </c>
      <c r="G67" s="4" t="s">
        <v>25</v>
      </c>
      <c r="H67" s="4" t="s">
        <v>35</v>
      </c>
      <c r="I67" s="5">
        <v>44409</v>
      </c>
      <c r="J67" s="6">
        <v>0</v>
      </c>
      <c r="K67" s="6">
        <v>0</v>
      </c>
      <c r="L67" s="6">
        <v>50.712000000000003</v>
      </c>
      <c r="M67" s="6">
        <v>50.712000000000003</v>
      </c>
      <c r="N67" s="6">
        <v>50.712000000000003</v>
      </c>
      <c r="O67" s="6">
        <v>50.712000000000003</v>
      </c>
      <c r="P67" s="6">
        <v>0</v>
      </c>
      <c r="Q67" s="4" t="s">
        <v>26</v>
      </c>
      <c r="R67" s="4">
        <v>0</v>
      </c>
      <c r="S67" s="4" t="s">
        <v>146</v>
      </c>
      <c r="T67" s="4" t="s">
        <v>387</v>
      </c>
      <c r="U67" s="4">
        <v>0</v>
      </c>
      <c r="V67" s="4">
        <v>7</v>
      </c>
      <c r="W67" s="4">
        <v>48</v>
      </c>
    </row>
    <row r="68" spans="1:23" ht="11.25" customHeight="1" x14ac:dyDescent="0.25">
      <c r="A68" s="4" t="s">
        <v>21</v>
      </c>
      <c r="B68" s="4" t="s">
        <v>33</v>
      </c>
      <c r="C68" s="4" t="s">
        <v>34</v>
      </c>
      <c r="D68" s="4" t="s">
        <v>42</v>
      </c>
      <c r="E68" s="4" t="s">
        <v>25</v>
      </c>
      <c r="F68" s="4" t="s">
        <v>25</v>
      </c>
      <c r="G68" s="4" t="s">
        <v>25</v>
      </c>
      <c r="H68" s="4" t="s">
        <v>35</v>
      </c>
      <c r="I68" s="5">
        <v>44440</v>
      </c>
      <c r="J68" s="6">
        <v>0</v>
      </c>
      <c r="K68" s="6">
        <v>0</v>
      </c>
      <c r="L68" s="6">
        <v>50.768000000000001</v>
      </c>
      <c r="M68" s="6">
        <v>50.768000000000001</v>
      </c>
      <c r="N68" s="6">
        <v>50.768000000000001</v>
      </c>
      <c r="O68" s="6">
        <v>50.768000000000001</v>
      </c>
      <c r="P68" s="6">
        <v>0</v>
      </c>
      <c r="Q68" s="4" t="s">
        <v>26</v>
      </c>
      <c r="R68" s="4">
        <v>0</v>
      </c>
      <c r="S68" s="4" t="s">
        <v>147</v>
      </c>
      <c r="T68" s="4" t="s">
        <v>388</v>
      </c>
      <c r="U68" s="4">
        <v>0</v>
      </c>
      <c r="V68" s="4">
        <v>7</v>
      </c>
      <c r="W68" s="4">
        <v>48</v>
      </c>
    </row>
    <row r="69" spans="1:23" ht="11.25" customHeight="1" x14ac:dyDescent="0.25">
      <c r="A69" s="4" t="s">
        <v>21</v>
      </c>
      <c r="B69" s="4" t="s">
        <v>33</v>
      </c>
      <c r="C69" s="4" t="s">
        <v>34</v>
      </c>
      <c r="D69" s="4" t="s">
        <v>42</v>
      </c>
      <c r="E69" s="4" t="s">
        <v>25</v>
      </c>
      <c r="F69" s="4" t="s">
        <v>25</v>
      </c>
      <c r="G69" s="4" t="s">
        <v>25</v>
      </c>
      <c r="H69" s="4" t="s">
        <v>35</v>
      </c>
      <c r="I69" s="5">
        <v>44470</v>
      </c>
      <c r="J69" s="6">
        <v>0</v>
      </c>
      <c r="K69" s="6">
        <v>0</v>
      </c>
      <c r="L69" s="6">
        <v>43.844999999999999</v>
      </c>
      <c r="M69" s="6">
        <v>43.844999999999999</v>
      </c>
      <c r="N69" s="6">
        <v>43.844999999999999</v>
      </c>
      <c r="O69" s="6">
        <v>43.844999999999999</v>
      </c>
      <c r="P69" s="6">
        <v>0</v>
      </c>
      <c r="Q69" s="4" t="s">
        <v>26</v>
      </c>
      <c r="R69" s="4">
        <v>0</v>
      </c>
      <c r="S69" s="4" t="s">
        <v>148</v>
      </c>
      <c r="T69" s="4" t="s">
        <v>389</v>
      </c>
      <c r="U69" s="4">
        <v>0</v>
      </c>
      <c r="V69" s="4">
        <v>7</v>
      </c>
      <c r="W69" s="4">
        <v>48</v>
      </c>
    </row>
    <row r="70" spans="1:23" ht="11.25" customHeight="1" x14ac:dyDescent="0.25">
      <c r="A70" s="4" t="s">
        <v>28</v>
      </c>
      <c r="B70" s="4" t="s">
        <v>33</v>
      </c>
      <c r="C70" s="4" t="s">
        <v>34</v>
      </c>
      <c r="D70" s="4" t="s">
        <v>42</v>
      </c>
      <c r="E70" s="4" t="s">
        <v>25</v>
      </c>
      <c r="F70" s="4" t="s">
        <v>25</v>
      </c>
      <c r="G70" s="4" t="s">
        <v>25</v>
      </c>
      <c r="H70" s="4" t="s">
        <v>35</v>
      </c>
      <c r="I70" s="5">
        <v>44470</v>
      </c>
      <c r="J70" s="6">
        <v>0</v>
      </c>
      <c r="K70" s="6">
        <v>0</v>
      </c>
      <c r="L70" s="6">
        <v>6.8000000000000005E-2</v>
      </c>
      <c r="M70" s="6">
        <v>6.8000000000000005E-2</v>
      </c>
      <c r="N70" s="6">
        <v>6.8000000000000005E-2</v>
      </c>
      <c r="O70" s="6">
        <v>6.8000000000000005E-2</v>
      </c>
      <c r="P70" s="6">
        <v>0</v>
      </c>
      <c r="Q70" s="4" t="s">
        <v>26</v>
      </c>
      <c r="R70" s="4">
        <v>0</v>
      </c>
      <c r="S70" s="4" t="s">
        <v>148</v>
      </c>
      <c r="T70" s="4" t="s">
        <v>389</v>
      </c>
      <c r="U70" s="4">
        <v>0</v>
      </c>
      <c r="V70" s="4">
        <v>7</v>
      </c>
      <c r="W70" s="4">
        <v>48</v>
      </c>
    </row>
    <row r="71" spans="1:23" ht="11.25" customHeight="1" x14ac:dyDescent="0.25">
      <c r="A71" s="4" t="s">
        <v>21</v>
      </c>
      <c r="B71" s="4" t="s">
        <v>33</v>
      </c>
      <c r="C71" s="4" t="s">
        <v>34</v>
      </c>
      <c r="D71" s="4" t="s">
        <v>42</v>
      </c>
      <c r="E71" s="4" t="s">
        <v>25</v>
      </c>
      <c r="F71" s="4" t="s">
        <v>25</v>
      </c>
      <c r="G71" s="4" t="s">
        <v>25</v>
      </c>
      <c r="H71" s="4" t="s">
        <v>35</v>
      </c>
      <c r="I71" s="5">
        <v>44501</v>
      </c>
      <c r="J71" s="6">
        <v>0</v>
      </c>
      <c r="K71" s="6">
        <v>0</v>
      </c>
      <c r="L71" s="6">
        <v>51.140999999999998</v>
      </c>
      <c r="M71" s="6">
        <v>51.140999999999998</v>
      </c>
      <c r="N71" s="6">
        <v>51.140999999999998</v>
      </c>
      <c r="O71" s="6">
        <v>51.140999999999998</v>
      </c>
      <c r="P71" s="6">
        <v>0</v>
      </c>
      <c r="Q71" s="4" t="s">
        <v>26</v>
      </c>
      <c r="R71" s="4">
        <v>0</v>
      </c>
      <c r="S71" s="4" t="s">
        <v>149</v>
      </c>
      <c r="T71" s="4" t="s">
        <v>390</v>
      </c>
      <c r="U71" s="4">
        <v>0</v>
      </c>
      <c r="V71" s="4">
        <v>7</v>
      </c>
      <c r="W71" s="4">
        <v>48</v>
      </c>
    </row>
    <row r="72" spans="1:23" ht="11.25" customHeight="1" x14ac:dyDescent="0.25">
      <c r="A72" s="4" t="s">
        <v>21</v>
      </c>
      <c r="B72" s="4" t="s">
        <v>33</v>
      </c>
      <c r="C72" s="4" t="s">
        <v>34</v>
      </c>
      <c r="D72" s="4" t="s">
        <v>42</v>
      </c>
      <c r="E72" s="4" t="s">
        <v>25</v>
      </c>
      <c r="F72" s="4" t="s">
        <v>25</v>
      </c>
      <c r="G72" s="4" t="s">
        <v>25</v>
      </c>
      <c r="H72" s="4" t="s">
        <v>35</v>
      </c>
      <c r="I72" s="5">
        <v>44531</v>
      </c>
      <c r="J72" s="6">
        <v>0</v>
      </c>
      <c r="K72" s="6">
        <v>0</v>
      </c>
      <c r="L72" s="6">
        <v>49.939</v>
      </c>
      <c r="M72" s="6">
        <v>49.939</v>
      </c>
      <c r="N72" s="6">
        <v>49.939</v>
      </c>
      <c r="O72" s="6">
        <v>49.939</v>
      </c>
      <c r="P72" s="6">
        <v>0</v>
      </c>
      <c r="Q72" s="4" t="s">
        <v>26</v>
      </c>
      <c r="R72" s="4">
        <v>0</v>
      </c>
      <c r="S72" s="4" t="s">
        <v>150</v>
      </c>
      <c r="T72" s="4" t="s">
        <v>391</v>
      </c>
      <c r="U72" s="4">
        <v>0</v>
      </c>
      <c r="V72" s="4">
        <v>7</v>
      </c>
      <c r="W72" s="4">
        <v>48</v>
      </c>
    </row>
    <row r="73" spans="1:23" ht="11.25" customHeight="1" x14ac:dyDescent="0.25">
      <c r="A73" s="4" t="s">
        <v>28</v>
      </c>
      <c r="B73" s="4" t="s">
        <v>33</v>
      </c>
      <c r="C73" s="4" t="s">
        <v>34</v>
      </c>
      <c r="D73" s="4" t="s">
        <v>42</v>
      </c>
      <c r="E73" s="4" t="s">
        <v>25</v>
      </c>
      <c r="F73" s="4" t="s">
        <v>25</v>
      </c>
      <c r="G73" s="4" t="s">
        <v>25</v>
      </c>
      <c r="H73" s="4" t="s">
        <v>35</v>
      </c>
      <c r="I73" s="5">
        <v>44531</v>
      </c>
      <c r="J73" s="6">
        <v>0</v>
      </c>
      <c r="K73" s="6">
        <v>0</v>
      </c>
      <c r="L73" s="6">
        <v>2.8340000000000001</v>
      </c>
      <c r="M73" s="6">
        <v>2.8340000000000001</v>
      </c>
      <c r="N73" s="6">
        <v>2.8340000000000001</v>
      </c>
      <c r="O73" s="6">
        <v>2.8340000000000001</v>
      </c>
      <c r="P73" s="6">
        <v>0</v>
      </c>
      <c r="Q73" s="4" t="s">
        <v>26</v>
      </c>
      <c r="R73" s="4">
        <v>0</v>
      </c>
      <c r="S73" s="4" t="s">
        <v>150</v>
      </c>
      <c r="T73" s="4" t="s">
        <v>391</v>
      </c>
      <c r="U73" s="4">
        <v>0</v>
      </c>
      <c r="V73" s="4">
        <v>7</v>
      </c>
      <c r="W73" s="4">
        <v>48</v>
      </c>
    </row>
    <row r="74" spans="1:23" ht="11.25" customHeight="1" x14ac:dyDescent="0.25">
      <c r="A74" s="4" t="s">
        <v>21</v>
      </c>
      <c r="B74" s="4" t="s">
        <v>33</v>
      </c>
      <c r="C74" s="4" t="s">
        <v>34</v>
      </c>
      <c r="D74" s="4" t="s">
        <v>42</v>
      </c>
      <c r="E74" s="4" t="s">
        <v>25</v>
      </c>
      <c r="F74" s="4" t="s">
        <v>25</v>
      </c>
      <c r="G74" s="4" t="s">
        <v>25</v>
      </c>
      <c r="H74" s="4" t="s">
        <v>35</v>
      </c>
      <c r="I74" s="5">
        <v>44562</v>
      </c>
      <c r="J74" s="6">
        <v>0</v>
      </c>
      <c r="K74" s="6">
        <v>0</v>
      </c>
      <c r="L74" s="6">
        <v>50.679000000000002</v>
      </c>
      <c r="M74" s="6">
        <v>50.679000000000002</v>
      </c>
      <c r="N74" s="6">
        <v>50.679000000000002</v>
      </c>
      <c r="O74" s="6">
        <v>50.679000000000002</v>
      </c>
      <c r="P74" s="6">
        <v>0</v>
      </c>
      <c r="Q74" s="4" t="s">
        <v>26</v>
      </c>
      <c r="R74" s="4">
        <v>0</v>
      </c>
      <c r="S74" s="4" t="s">
        <v>151</v>
      </c>
      <c r="T74" s="4" t="s">
        <v>392</v>
      </c>
      <c r="U74" s="4">
        <v>0</v>
      </c>
      <c r="V74" s="4">
        <v>7</v>
      </c>
      <c r="W74" s="4">
        <v>48</v>
      </c>
    </row>
    <row r="75" spans="1:23" ht="11.25" customHeight="1" x14ac:dyDescent="0.25">
      <c r="A75" s="4" t="s">
        <v>21</v>
      </c>
      <c r="B75" s="4" t="s">
        <v>33</v>
      </c>
      <c r="C75" s="4" t="s">
        <v>34</v>
      </c>
      <c r="D75" s="4" t="s">
        <v>42</v>
      </c>
      <c r="E75" s="4" t="s">
        <v>25</v>
      </c>
      <c r="F75" s="4" t="s">
        <v>25</v>
      </c>
      <c r="G75" s="4" t="s">
        <v>25</v>
      </c>
      <c r="H75" s="4" t="s">
        <v>35</v>
      </c>
      <c r="I75" s="5">
        <v>44593</v>
      </c>
      <c r="J75" s="6">
        <v>0</v>
      </c>
      <c r="K75" s="6">
        <v>0</v>
      </c>
      <c r="L75" s="6">
        <v>50.673999999999999</v>
      </c>
      <c r="M75" s="6">
        <v>50.673999999999999</v>
      </c>
      <c r="N75" s="6">
        <v>50.673999999999999</v>
      </c>
      <c r="O75" s="6">
        <v>50.673999999999999</v>
      </c>
      <c r="P75" s="6">
        <v>0</v>
      </c>
      <c r="Q75" s="4" t="s">
        <v>26</v>
      </c>
      <c r="R75" s="4">
        <v>0</v>
      </c>
      <c r="S75" s="4" t="s">
        <v>152</v>
      </c>
      <c r="T75" s="4" t="s">
        <v>393</v>
      </c>
      <c r="U75" s="4">
        <v>0</v>
      </c>
      <c r="V75" s="4">
        <v>7</v>
      </c>
      <c r="W75" s="4">
        <v>48</v>
      </c>
    </row>
    <row r="76" spans="1:23" ht="11.25" customHeight="1" x14ac:dyDescent="0.25">
      <c r="A76" s="4" t="s">
        <v>21</v>
      </c>
      <c r="B76" s="4" t="s">
        <v>33</v>
      </c>
      <c r="C76" s="4" t="s">
        <v>34</v>
      </c>
      <c r="D76" s="4" t="s">
        <v>42</v>
      </c>
      <c r="E76" s="4" t="s">
        <v>25</v>
      </c>
      <c r="F76" s="4" t="s">
        <v>25</v>
      </c>
      <c r="G76" s="4" t="s">
        <v>25</v>
      </c>
      <c r="H76" s="4" t="s">
        <v>35</v>
      </c>
      <c r="I76" s="5">
        <v>44621</v>
      </c>
      <c r="J76" s="6">
        <v>0</v>
      </c>
      <c r="K76" s="6">
        <v>0</v>
      </c>
      <c r="L76" s="6">
        <v>64.727999999999994</v>
      </c>
      <c r="M76" s="6">
        <v>64.727999999999994</v>
      </c>
      <c r="N76" s="6">
        <v>64.727999999999994</v>
      </c>
      <c r="O76" s="6">
        <v>64.727999999999994</v>
      </c>
      <c r="P76" s="6">
        <v>0</v>
      </c>
      <c r="Q76" s="4" t="s">
        <v>26</v>
      </c>
      <c r="R76" s="4">
        <v>0</v>
      </c>
      <c r="S76" s="4" t="s">
        <v>153</v>
      </c>
      <c r="T76" s="4" t="s">
        <v>394</v>
      </c>
      <c r="U76" s="4">
        <v>0</v>
      </c>
      <c r="V76" s="4">
        <v>7</v>
      </c>
      <c r="W76" s="4">
        <v>48</v>
      </c>
    </row>
    <row r="77" spans="1:23" ht="11.25" customHeight="1" x14ac:dyDescent="0.25">
      <c r="A77" s="4" t="s">
        <v>28</v>
      </c>
      <c r="B77" s="4" t="s">
        <v>33</v>
      </c>
      <c r="C77" s="4" t="s">
        <v>34</v>
      </c>
      <c r="D77" s="4" t="s">
        <v>42</v>
      </c>
      <c r="E77" s="4" t="s">
        <v>25</v>
      </c>
      <c r="F77" s="4" t="s">
        <v>25</v>
      </c>
      <c r="G77" s="4" t="s">
        <v>25</v>
      </c>
      <c r="H77" s="4" t="s">
        <v>35</v>
      </c>
      <c r="I77" s="5">
        <v>44621</v>
      </c>
      <c r="J77" s="6">
        <v>0</v>
      </c>
      <c r="K77" s="6">
        <v>0</v>
      </c>
      <c r="L77" s="6">
        <v>4.7</v>
      </c>
      <c r="M77" s="6">
        <v>4.7</v>
      </c>
      <c r="N77" s="6">
        <v>4.7</v>
      </c>
      <c r="O77" s="6">
        <v>4.7</v>
      </c>
      <c r="P77" s="6">
        <v>0</v>
      </c>
      <c r="Q77" s="4" t="s">
        <v>26</v>
      </c>
      <c r="R77" s="4">
        <v>0</v>
      </c>
      <c r="S77" s="4" t="s">
        <v>153</v>
      </c>
      <c r="T77" s="4" t="s">
        <v>394</v>
      </c>
      <c r="U77" s="4">
        <v>0</v>
      </c>
      <c r="V77" s="4">
        <v>7</v>
      </c>
      <c r="W77" s="4">
        <v>48</v>
      </c>
    </row>
    <row r="78" spans="1:23" ht="11.25" customHeight="1" x14ac:dyDescent="0.25">
      <c r="A78" s="4" t="s">
        <v>21</v>
      </c>
      <c r="B78" s="4" t="s">
        <v>33</v>
      </c>
      <c r="C78" s="4" t="s">
        <v>34</v>
      </c>
      <c r="D78" s="4" t="s">
        <v>42</v>
      </c>
      <c r="E78" s="4" t="s">
        <v>25</v>
      </c>
      <c r="F78" s="4" t="s">
        <v>25</v>
      </c>
      <c r="G78" s="4" t="s">
        <v>25</v>
      </c>
      <c r="H78" s="4" t="s">
        <v>35</v>
      </c>
      <c r="I78" s="5">
        <v>44652</v>
      </c>
      <c r="J78" s="6">
        <v>0</v>
      </c>
      <c r="K78" s="6">
        <v>0</v>
      </c>
      <c r="L78" s="6">
        <v>49.351999999999997</v>
      </c>
      <c r="M78" s="6">
        <v>49.351999999999997</v>
      </c>
      <c r="N78" s="6">
        <v>49.351999999999997</v>
      </c>
      <c r="O78" s="6">
        <v>49.351999999999997</v>
      </c>
      <c r="P78" s="6">
        <v>0</v>
      </c>
      <c r="Q78" s="4" t="s">
        <v>26</v>
      </c>
      <c r="R78" s="4">
        <v>0</v>
      </c>
      <c r="S78" s="4" t="s">
        <v>154</v>
      </c>
      <c r="T78" s="4" t="s">
        <v>395</v>
      </c>
      <c r="U78" s="4">
        <v>0</v>
      </c>
      <c r="V78" s="4">
        <v>7</v>
      </c>
      <c r="W78" s="4">
        <v>48</v>
      </c>
    </row>
    <row r="79" spans="1:23" ht="11.25" customHeight="1" x14ac:dyDescent="0.25">
      <c r="A79" s="4" t="s">
        <v>21</v>
      </c>
      <c r="B79" s="4" t="s">
        <v>33</v>
      </c>
      <c r="C79" s="4" t="s">
        <v>34</v>
      </c>
      <c r="D79" s="4" t="s">
        <v>40</v>
      </c>
      <c r="E79" s="4" t="s">
        <v>25</v>
      </c>
      <c r="F79" s="4" t="s">
        <v>57</v>
      </c>
      <c r="G79" s="4" t="s">
        <v>25</v>
      </c>
      <c r="H79" s="4" t="s">
        <v>36</v>
      </c>
      <c r="I79" s="5">
        <v>44317</v>
      </c>
      <c r="J79" s="6">
        <v>0</v>
      </c>
      <c r="K79" s="6">
        <v>0</v>
      </c>
      <c r="L79" s="6">
        <v>2414.2550000000001</v>
      </c>
      <c r="M79" s="6">
        <v>2414.2550000000001</v>
      </c>
      <c r="N79" s="6">
        <v>0</v>
      </c>
      <c r="O79" s="6">
        <v>0</v>
      </c>
      <c r="P79" s="6">
        <v>0</v>
      </c>
      <c r="Q79" s="4" t="s">
        <v>58</v>
      </c>
      <c r="R79" s="4">
        <v>0</v>
      </c>
      <c r="S79" s="4" t="s">
        <v>119</v>
      </c>
      <c r="U79" s="4">
        <v>0</v>
      </c>
      <c r="V79" s="4">
        <v>8</v>
      </c>
      <c r="W79" s="4">
        <v>0</v>
      </c>
    </row>
    <row r="80" spans="1:23" ht="11.25" customHeight="1" x14ac:dyDescent="0.25">
      <c r="A80" s="4" t="s">
        <v>21</v>
      </c>
      <c r="B80" s="4" t="s">
        <v>33</v>
      </c>
      <c r="C80" s="4" t="s">
        <v>34</v>
      </c>
      <c r="D80" s="4" t="s">
        <v>40</v>
      </c>
      <c r="E80" s="4" t="s">
        <v>25</v>
      </c>
      <c r="F80" s="4" t="s">
        <v>57</v>
      </c>
      <c r="G80" s="4" t="s">
        <v>25</v>
      </c>
      <c r="H80" s="4" t="s">
        <v>36</v>
      </c>
      <c r="I80" s="5">
        <v>44348</v>
      </c>
      <c r="J80" s="6">
        <v>0</v>
      </c>
      <c r="K80" s="6">
        <v>0</v>
      </c>
      <c r="L80" s="6">
        <v>2776.94</v>
      </c>
      <c r="M80" s="6">
        <v>2776.94</v>
      </c>
      <c r="N80" s="6">
        <v>0</v>
      </c>
      <c r="O80" s="6">
        <v>0</v>
      </c>
      <c r="P80" s="6">
        <v>0</v>
      </c>
      <c r="Q80" s="4" t="s">
        <v>58</v>
      </c>
      <c r="R80" s="4">
        <v>0</v>
      </c>
      <c r="S80" s="4" t="s">
        <v>120</v>
      </c>
      <c r="U80" s="4">
        <v>0</v>
      </c>
      <c r="V80" s="4">
        <v>8</v>
      </c>
      <c r="W80" s="4">
        <v>0</v>
      </c>
    </row>
    <row r="81" spans="1:23" ht="11.25" customHeight="1" x14ac:dyDescent="0.25">
      <c r="A81" s="4" t="s">
        <v>21</v>
      </c>
      <c r="B81" s="4" t="s">
        <v>33</v>
      </c>
      <c r="C81" s="4" t="s">
        <v>34</v>
      </c>
      <c r="D81" s="4" t="s">
        <v>40</v>
      </c>
      <c r="E81" s="4" t="s">
        <v>25</v>
      </c>
      <c r="F81" s="4" t="s">
        <v>57</v>
      </c>
      <c r="G81" s="4" t="s">
        <v>25</v>
      </c>
      <c r="H81" s="4" t="s">
        <v>36</v>
      </c>
      <c r="I81" s="5">
        <v>44378</v>
      </c>
      <c r="J81" s="6">
        <v>0</v>
      </c>
      <c r="K81" s="6">
        <v>0</v>
      </c>
      <c r="L81" s="6">
        <v>3072.7150000000001</v>
      </c>
      <c r="M81" s="6">
        <v>3072.7150000000001</v>
      </c>
      <c r="N81" s="6">
        <v>0</v>
      </c>
      <c r="O81" s="6">
        <v>0</v>
      </c>
      <c r="P81" s="6">
        <v>0</v>
      </c>
      <c r="Q81" s="4" t="s">
        <v>58</v>
      </c>
      <c r="R81" s="4">
        <v>0</v>
      </c>
      <c r="S81" s="4" t="s">
        <v>121</v>
      </c>
      <c r="U81" s="4">
        <v>0</v>
      </c>
      <c r="V81" s="4">
        <v>8</v>
      </c>
      <c r="W81" s="4">
        <v>0</v>
      </c>
    </row>
    <row r="82" spans="1:23" ht="11.25" customHeight="1" x14ac:dyDescent="0.25">
      <c r="A82" s="4" t="s">
        <v>21</v>
      </c>
      <c r="B82" s="4" t="s">
        <v>33</v>
      </c>
      <c r="C82" s="4" t="s">
        <v>34</v>
      </c>
      <c r="D82" s="4" t="s">
        <v>40</v>
      </c>
      <c r="E82" s="4" t="s">
        <v>25</v>
      </c>
      <c r="F82" s="4" t="s">
        <v>57</v>
      </c>
      <c r="G82" s="4" t="s">
        <v>25</v>
      </c>
      <c r="H82" s="4" t="s">
        <v>36</v>
      </c>
      <c r="I82" s="5">
        <v>44409</v>
      </c>
      <c r="J82" s="6">
        <v>0</v>
      </c>
      <c r="K82" s="6">
        <v>0</v>
      </c>
      <c r="L82" s="6">
        <v>3175.6680000000001</v>
      </c>
      <c r="M82" s="6">
        <v>3175.6680000000001</v>
      </c>
      <c r="N82" s="6">
        <v>0</v>
      </c>
      <c r="O82" s="6">
        <v>0</v>
      </c>
      <c r="P82" s="6">
        <v>0</v>
      </c>
      <c r="Q82" s="4" t="s">
        <v>58</v>
      </c>
      <c r="R82" s="4">
        <v>0</v>
      </c>
      <c r="S82" s="4" t="s">
        <v>122</v>
      </c>
      <c r="U82" s="4">
        <v>0</v>
      </c>
      <c r="V82" s="4">
        <v>8</v>
      </c>
      <c r="W82" s="4">
        <v>0</v>
      </c>
    </row>
    <row r="83" spans="1:23" ht="11.25" customHeight="1" x14ac:dyDescent="0.25">
      <c r="A83" s="4" t="s">
        <v>21</v>
      </c>
      <c r="B83" s="4" t="s">
        <v>33</v>
      </c>
      <c r="C83" s="4" t="s">
        <v>34</v>
      </c>
      <c r="D83" s="4" t="s">
        <v>40</v>
      </c>
      <c r="E83" s="4" t="s">
        <v>25</v>
      </c>
      <c r="F83" s="4" t="s">
        <v>57</v>
      </c>
      <c r="G83" s="4" t="s">
        <v>25</v>
      </c>
      <c r="H83" s="4" t="s">
        <v>36</v>
      </c>
      <c r="I83" s="5">
        <v>44440</v>
      </c>
      <c r="J83" s="6">
        <v>0</v>
      </c>
      <c r="K83" s="6">
        <v>0</v>
      </c>
      <c r="L83" s="6">
        <v>3182.2460000000001</v>
      </c>
      <c r="M83" s="6">
        <v>3182.2460000000001</v>
      </c>
      <c r="N83" s="6">
        <v>0</v>
      </c>
      <c r="O83" s="6">
        <v>0</v>
      </c>
      <c r="P83" s="6">
        <v>0</v>
      </c>
      <c r="Q83" s="4" t="s">
        <v>58</v>
      </c>
      <c r="R83" s="4">
        <v>0</v>
      </c>
      <c r="S83" s="4" t="s">
        <v>123</v>
      </c>
      <c r="U83" s="4">
        <v>0</v>
      </c>
      <c r="V83" s="4">
        <v>8</v>
      </c>
      <c r="W83" s="4">
        <v>0</v>
      </c>
    </row>
    <row r="84" spans="1:23" ht="11.25" customHeight="1" x14ac:dyDescent="0.25">
      <c r="A84" s="4" t="s">
        <v>21</v>
      </c>
      <c r="B84" s="4" t="s">
        <v>33</v>
      </c>
      <c r="C84" s="4" t="s">
        <v>34</v>
      </c>
      <c r="D84" s="4" t="s">
        <v>40</v>
      </c>
      <c r="E84" s="4" t="s">
        <v>25</v>
      </c>
      <c r="F84" s="4" t="s">
        <v>57</v>
      </c>
      <c r="G84" s="4" t="s">
        <v>25</v>
      </c>
      <c r="H84" s="4" t="s">
        <v>36</v>
      </c>
      <c r="I84" s="5">
        <v>44470</v>
      </c>
      <c r="J84" s="6">
        <v>0</v>
      </c>
      <c r="K84" s="6">
        <v>0</v>
      </c>
      <c r="L84" s="6">
        <v>3193.2080000000001</v>
      </c>
      <c r="M84" s="6">
        <v>3193.2080000000001</v>
      </c>
      <c r="N84" s="6">
        <v>0</v>
      </c>
      <c r="O84" s="6">
        <v>0</v>
      </c>
      <c r="P84" s="6">
        <v>0</v>
      </c>
      <c r="Q84" s="4" t="s">
        <v>58</v>
      </c>
      <c r="R84" s="4">
        <v>0</v>
      </c>
      <c r="S84" s="4" t="s">
        <v>124</v>
      </c>
      <c r="U84" s="4">
        <v>0</v>
      </c>
      <c r="V84" s="4">
        <v>8</v>
      </c>
      <c r="W84" s="4">
        <v>0</v>
      </c>
    </row>
    <row r="85" spans="1:23" ht="11.25" customHeight="1" x14ac:dyDescent="0.25">
      <c r="A85" s="4" t="s">
        <v>21</v>
      </c>
      <c r="B85" s="4" t="s">
        <v>33</v>
      </c>
      <c r="C85" s="4" t="s">
        <v>34</v>
      </c>
      <c r="D85" s="4" t="s">
        <v>40</v>
      </c>
      <c r="E85" s="4" t="s">
        <v>25</v>
      </c>
      <c r="F85" s="4" t="s">
        <v>57</v>
      </c>
      <c r="G85" s="4" t="s">
        <v>25</v>
      </c>
      <c r="H85" s="4" t="s">
        <v>36</v>
      </c>
      <c r="I85" s="5">
        <v>44501</v>
      </c>
      <c r="J85" s="6">
        <v>0</v>
      </c>
      <c r="K85" s="6">
        <v>0</v>
      </c>
      <c r="L85" s="6">
        <v>3324.471</v>
      </c>
      <c r="M85" s="6">
        <v>3324.471</v>
      </c>
      <c r="N85" s="6">
        <v>0</v>
      </c>
      <c r="O85" s="6">
        <v>0</v>
      </c>
      <c r="P85" s="6">
        <v>0</v>
      </c>
      <c r="Q85" s="4" t="s">
        <v>58</v>
      </c>
      <c r="R85" s="4">
        <v>0</v>
      </c>
      <c r="S85" s="4" t="s">
        <v>125</v>
      </c>
      <c r="U85" s="4">
        <v>0</v>
      </c>
      <c r="V85" s="4">
        <v>8</v>
      </c>
      <c r="W85" s="4">
        <v>0</v>
      </c>
    </row>
    <row r="86" spans="1:23" ht="11.25" customHeight="1" x14ac:dyDescent="0.25">
      <c r="A86" s="4" t="s">
        <v>21</v>
      </c>
      <c r="B86" s="4" t="s">
        <v>33</v>
      </c>
      <c r="C86" s="4" t="s">
        <v>34</v>
      </c>
      <c r="D86" s="4" t="s">
        <v>40</v>
      </c>
      <c r="E86" s="4" t="s">
        <v>25</v>
      </c>
      <c r="F86" s="4" t="s">
        <v>57</v>
      </c>
      <c r="G86" s="4" t="s">
        <v>25</v>
      </c>
      <c r="H86" s="4" t="s">
        <v>36</v>
      </c>
      <c r="I86" s="5">
        <v>44531</v>
      </c>
      <c r="J86" s="6">
        <v>0</v>
      </c>
      <c r="K86" s="6">
        <v>0</v>
      </c>
      <c r="L86" s="6">
        <v>3218.1550000000002</v>
      </c>
      <c r="M86" s="6">
        <v>3218.1550000000002</v>
      </c>
      <c r="N86" s="6">
        <v>0</v>
      </c>
      <c r="O86" s="6">
        <v>0</v>
      </c>
      <c r="P86" s="6">
        <v>0</v>
      </c>
      <c r="Q86" s="4" t="s">
        <v>58</v>
      </c>
      <c r="R86" s="4">
        <v>0</v>
      </c>
      <c r="S86" s="4" t="s">
        <v>126</v>
      </c>
      <c r="U86" s="4">
        <v>0</v>
      </c>
      <c r="V86" s="4">
        <v>8</v>
      </c>
      <c r="W86" s="4">
        <v>0</v>
      </c>
    </row>
    <row r="87" spans="1:23" ht="11.25" customHeight="1" x14ac:dyDescent="0.25">
      <c r="A87" s="4" t="s">
        <v>21</v>
      </c>
      <c r="B87" s="4" t="s">
        <v>33</v>
      </c>
      <c r="C87" s="4" t="s">
        <v>34</v>
      </c>
      <c r="D87" s="4" t="s">
        <v>40</v>
      </c>
      <c r="E87" s="4" t="s">
        <v>25</v>
      </c>
      <c r="F87" s="4" t="s">
        <v>57</v>
      </c>
      <c r="G87" s="4" t="s">
        <v>25</v>
      </c>
      <c r="H87" s="4" t="s">
        <v>36</v>
      </c>
      <c r="I87" s="5">
        <v>44562</v>
      </c>
      <c r="J87" s="6">
        <v>0</v>
      </c>
      <c r="K87" s="6">
        <v>0</v>
      </c>
      <c r="L87" s="6">
        <v>3222.1680000000001</v>
      </c>
      <c r="M87" s="6">
        <v>1611.0840000000001</v>
      </c>
      <c r="N87" s="6">
        <v>0</v>
      </c>
      <c r="O87" s="6">
        <v>0</v>
      </c>
      <c r="P87" s="6">
        <v>0</v>
      </c>
      <c r="Q87" s="4" t="s">
        <v>58</v>
      </c>
      <c r="R87" s="4">
        <v>0</v>
      </c>
      <c r="S87" s="4" t="s">
        <v>127</v>
      </c>
      <c r="U87" s="4">
        <v>0</v>
      </c>
      <c r="V87" s="4">
        <v>8</v>
      </c>
      <c r="W87" s="4">
        <v>0</v>
      </c>
    </row>
    <row r="88" spans="1:23" ht="11.25" customHeight="1" x14ac:dyDescent="0.25">
      <c r="A88" s="4" t="s">
        <v>21</v>
      </c>
      <c r="B88" s="4" t="s">
        <v>33</v>
      </c>
      <c r="C88" s="4" t="s">
        <v>34</v>
      </c>
      <c r="D88" s="4" t="s">
        <v>40</v>
      </c>
      <c r="E88" s="4" t="s">
        <v>25</v>
      </c>
      <c r="F88" s="4" t="s">
        <v>57</v>
      </c>
      <c r="G88" s="4" t="s">
        <v>25</v>
      </c>
      <c r="H88" s="4" t="s">
        <v>36</v>
      </c>
      <c r="I88" s="5">
        <v>44593</v>
      </c>
      <c r="J88" s="6">
        <v>0</v>
      </c>
      <c r="K88" s="6">
        <v>0</v>
      </c>
      <c r="L88" s="6">
        <v>3045.0740000000001</v>
      </c>
      <c r="M88" s="6">
        <v>3045.0740000000001</v>
      </c>
      <c r="N88" s="6">
        <v>0</v>
      </c>
      <c r="O88" s="6">
        <v>0</v>
      </c>
      <c r="P88" s="6">
        <v>0</v>
      </c>
      <c r="Q88" s="4" t="s">
        <v>58</v>
      </c>
      <c r="R88" s="4">
        <v>0</v>
      </c>
      <c r="S88" s="4" t="s">
        <v>128</v>
      </c>
      <c r="U88" s="4">
        <v>0</v>
      </c>
      <c r="V88" s="4">
        <v>8</v>
      </c>
      <c r="W88" s="4">
        <v>0</v>
      </c>
    </row>
    <row r="89" spans="1:23" ht="11.25" customHeight="1" x14ac:dyDescent="0.25">
      <c r="A89" s="4" t="s">
        <v>21</v>
      </c>
      <c r="B89" s="4" t="s">
        <v>33</v>
      </c>
      <c r="C89" s="4" t="s">
        <v>34</v>
      </c>
      <c r="D89" s="4" t="s">
        <v>40</v>
      </c>
      <c r="E89" s="4" t="s">
        <v>25</v>
      </c>
      <c r="F89" s="4" t="s">
        <v>57</v>
      </c>
      <c r="G89" s="4" t="s">
        <v>25</v>
      </c>
      <c r="H89" s="4" t="s">
        <v>36</v>
      </c>
      <c r="I89" s="5">
        <v>44621</v>
      </c>
      <c r="J89" s="6">
        <v>0</v>
      </c>
      <c r="K89" s="6">
        <v>0</v>
      </c>
      <c r="L89" s="6">
        <v>3725.3910000000001</v>
      </c>
      <c r="M89" s="6">
        <v>3725.3910000000001</v>
      </c>
      <c r="N89" s="6">
        <v>0</v>
      </c>
      <c r="O89" s="6">
        <v>0</v>
      </c>
      <c r="P89" s="6">
        <v>0</v>
      </c>
      <c r="Q89" s="4" t="s">
        <v>58</v>
      </c>
      <c r="R89" s="4">
        <v>0</v>
      </c>
      <c r="S89" s="4" t="s">
        <v>129</v>
      </c>
      <c r="U89" s="4">
        <v>0</v>
      </c>
      <c r="V89" s="4">
        <v>8</v>
      </c>
      <c r="W89" s="4">
        <v>0</v>
      </c>
    </row>
    <row r="90" spans="1:23" ht="11.25" customHeight="1" x14ac:dyDescent="0.25">
      <c r="A90" s="4" t="s">
        <v>59</v>
      </c>
      <c r="B90" s="4" t="s">
        <v>33</v>
      </c>
      <c r="C90" s="4" t="s">
        <v>34</v>
      </c>
      <c r="D90" s="4" t="s">
        <v>40</v>
      </c>
      <c r="E90" s="4" t="s">
        <v>25</v>
      </c>
      <c r="F90" s="4" t="s">
        <v>57</v>
      </c>
      <c r="G90" s="4" t="s">
        <v>25</v>
      </c>
      <c r="H90" s="4" t="s">
        <v>36</v>
      </c>
      <c r="I90" s="5">
        <v>44652</v>
      </c>
      <c r="J90" s="6">
        <v>0</v>
      </c>
      <c r="K90" s="6">
        <v>0</v>
      </c>
      <c r="L90" s="6">
        <v>3725.3910000000001</v>
      </c>
      <c r="M90" s="6">
        <v>3725.3910000000001</v>
      </c>
      <c r="N90" s="6">
        <v>0</v>
      </c>
      <c r="O90" s="6">
        <v>0</v>
      </c>
      <c r="P90" s="6">
        <v>0</v>
      </c>
      <c r="Q90" s="4" t="s">
        <v>58</v>
      </c>
      <c r="R90" s="4">
        <v>0</v>
      </c>
      <c r="S90" s="4" t="s">
        <v>130</v>
      </c>
      <c r="U90" s="4">
        <v>0</v>
      </c>
      <c r="V90" s="4">
        <v>8</v>
      </c>
      <c r="W90" s="4">
        <v>0</v>
      </c>
    </row>
    <row r="91" spans="1:23" ht="11.25" customHeight="1" x14ac:dyDescent="0.25">
      <c r="A91" s="4" t="s">
        <v>21</v>
      </c>
      <c r="B91" s="4" t="s">
        <v>33</v>
      </c>
      <c r="C91" s="4" t="s">
        <v>34</v>
      </c>
      <c r="D91" s="4" t="s">
        <v>40</v>
      </c>
      <c r="E91" s="4" t="s">
        <v>25</v>
      </c>
      <c r="F91" s="4" t="s">
        <v>57</v>
      </c>
      <c r="G91" s="4" t="s">
        <v>25</v>
      </c>
      <c r="H91" s="4" t="s">
        <v>25</v>
      </c>
      <c r="I91" s="5">
        <v>44317</v>
      </c>
      <c r="J91" s="6">
        <v>7450</v>
      </c>
      <c r="K91" s="6">
        <v>3725</v>
      </c>
      <c r="L91" s="6">
        <v>0</v>
      </c>
      <c r="M91" s="6">
        <v>0</v>
      </c>
      <c r="N91" s="6">
        <v>0</v>
      </c>
      <c r="O91" s="6">
        <v>0</v>
      </c>
      <c r="P91" s="6">
        <v>3</v>
      </c>
      <c r="Q91" s="4" t="s">
        <v>58</v>
      </c>
      <c r="R91" s="4">
        <v>0</v>
      </c>
      <c r="S91" s="4" t="s">
        <v>131</v>
      </c>
      <c r="U91" s="4">
        <v>6</v>
      </c>
      <c r="V91" s="4">
        <v>0</v>
      </c>
      <c r="W91" s="4">
        <v>0</v>
      </c>
    </row>
    <row r="92" spans="1:23" ht="11.25" customHeight="1" x14ac:dyDescent="0.25">
      <c r="A92" s="4" t="s">
        <v>21</v>
      </c>
      <c r="B92" s="4" t="s">
        <v>33</v>
      </c>
      <c r="C92" s="4" t="s">
        <v>34</v>
      </c>
      <c r="D92" s="4" t="s">
        <v>40</v>
      </c>
      <c r="E92" s="4" t="s">
        <v>25</v>
      </c>
      <c r="F92" s="4" t="s">
        <v>57</v>
      </c>
      <c r="G92" s="4" t="s">
        <v>25</v>
      </c>
      <c r="H92" s="4" t="s">
        <v>25</v>
      </c>
      <c r="I92" s="5">
        <v>44348</v>
      </c>
      <c r="J92" s="6">
        <v>8580</v>
      </c>
      <c r="K92" s="6">
        <v>4290</v>
      </c>
      <c r="L92" s="6">
        <v>0</v>
      </c>
      <c r="M92" s="6">
        <v>0</v>
      </c>
      <c r="N92" s="6">
        <v>0</v>
      </c>
      <c r="O92" s="6">
        <v>0</v>
      </c>
      <c r="P92" s="6">
        <v>4</v>
      </c>
      <c r="Q92" s="4" t="s">
        <v>58</v>
      </c>
      <c r="R92" s="4">
        <v>0</v>
      </c>
      <c r="S92" s="4" t="s">
        <v>132</v>
      </c>
      <c r="U92" s="4">
        <v>6</v>
      </c>
      <c r="V92" s="4">
        <v>0</v>
      </c>
      <c r="W92" s="4">
        <v>0</v>
      </c>
    </row>
    <row r="93" spans="1:23" ht="11.25" customHeight="1" x14ac:dyDescent="0.25">
      <c r="A93" s="4" t="s">
        <v>21</v>
      </c>
      <c r="B93" s="4" t="s">
        <v>33</v>
      </c>
      <c r="C93" s="4" t="s">
        <v>34</v>
      </c>
      <c r="D93" s="4" t="s">
        <v>40</v>
      </c>
      <c r="E93" s="4" t="s">
        <v>25</v>
      </c>
      <c r="F93" s="4" t="s">
        <v>57</v>
      </c>
      <c r="G93" s="4" t="s">
        <v>25</v>
      </c>
      <c r="H93" s="4" t="s">
        <v>25</v>
      </c>
      <c r="I93" s="5">
        <v>44378</v>
      </c>
      <c r="J93" s="6">
        <v>9550</v>
      </c>
      <c r="K93" s="6">
        <v>4775</v>
      </c>
      <c r="L93" s="6">
        <v>0</v>
      </c>
      <c r="M93" s="6">
        <v>0</v>
      </c>
      <c r="N93" s="6">
        <v>0</v>
      </c>
      <c r="O93" s="6">
        <v>0</v>
      </c>
      <c r="P93" s="6">
        <v>5</v>
      </c>
      <c r="Q93" s="4" t="s">
        <v>58</v>
      </c>
      <c r="R93" s="4">
        <v>0</v>
      </c>
      <c r="S93" s="4" t="s">
        <v>133</v>
      </c>
      <c r="U93" s="4">
        <v>6</v>
      </c>
      <c r="V93" s="4">
        <v>0</v>
      </c>
      <c r="W93" s="4">
        <v>0</v>
      </c>
    </row>
    <row r="94" spans="1:23" ht="11.25" customHeight="1" x14ac:dyDescent="0.25">
      <c r="A94" s="4" t="s">
        <v>21</v>
      </c>
      <c r="B94" s="4" t="s">
        <v>33</v>
      </c>
      <c r="C94" s="4" t="s">
        <v>34</v>
      </c>
      <c r="D94" s="4" t="s">
        <v>40</v>
      </c>
      <c r="E94" s="4" t="s">
        <v>25</v>
      </c>
      <c r="F94" s="4" t="s">
        <v>57</v>
      </c>
      <c r="G94" s="4" t="s">
        <v>25</v>
      </c>
      <c r="H94" s="4" t="s">
        <v>25</v>
      </c>
      <c r="I94" s="5">
        <v>44409</v>
      </c>
      <c r="J94" s="6">
        <v>9550</v>
      </c>
      <c r="K94" s="6">
        <v>4775</v>
      </c>
      <c r="L94" s="6">
        <v>0</v>
      </c>
      <c r="M94" s="6">
        <v>0</v>
      </c>
      <c r="N94" s="6">
        <v>0</v>
      </c>
      <c r="O94" s="6">
        <v>0</v>
      </c>
      <c r="P94" s="6">
        <v>5</v>
      </c>
      <c r="Q94" s="4" t="s">
        <v>58</v>
      </c>
      <c r="R94" s="4">
        <v>0</v>
      </c>
      <c r="S94" s="4" t="s">
        <v>134</v>
      </c>
      <c r="U94" s="4">
        <v>6</v>
      </c>
      <c r="V94" s="4">
        <v>0</v>
      </c>
      <c r="W94" s="4">
        <v>0</v>
      </c>
    </row>
    <row r="95" spans="1:23" ht="11.25" customHeight="1" x14ac:dyDescent="0.25">
      <c r="A95" s="4" t="s">
        <v>21</v>
      </c>
      <c r="B95" s="4" t="s">
        <v>33</v>
      </c>
      <c r="C95" s="4" t="s">
        <v>34</v>
      </c>
      <c r="D95" s="4" t="s">
        <v>40</v>
      </c>
      <c r="E95" s="4" t="s">
        <v>25</v>
      </c>
      <c r="F95" s="4" t="s">
        <v>57</v>
      </c>
      <c r="G95" s="4" t="s">
        <v>25</v>
      </c>
      <c r="H95" s="4" t="s">
        <v>25</v>
      </c>
      <c r="I95" s="5">
        <v>44440</v>
      </c>
      <c r="J95" s="6">
        <v>9733</v>
      </c>
      <c r="K95" s="6">
        <v>4866.5</v>
      </c>
      <c r="L95" s="6">
        <v>0</v>
      </c>
      <c r="M95" s="6">
        <v>0</v>
      </c>
      <c r="N95" s="6">
        <v>0</v>
      </c>
      <c r="O95" s="6">
        <v>0</v>
      </c>
      <c r="P95" s="6">
        <v>5</v>
      </c>
      <c r="Q95" s="4" t="s">
        <v>58</v>
      </c>
      <c r="R95" s="4">
        <v>0</v>
      </c>
      <c r="S95" s="4" t="s">
        <v>135</v>
      </c>
      <c r="U95" s="4">
        <v>6</v>
      </c>
      <c r="V95" s="4">
        <v>0</v>
      </c>
      <c r="W95" s="4">
        <v>0</v>
      </c>
    </row>
    <row r="96" spans="1:23" ht="11.25" customHeight="1" x14ac:dyDescent="0.25">
      <c r="A96" s="4" t="s">
        <v>21</v>
      </c>
      <c r="B96" s="4" t="s">
        <v>33</v>
      </c>
      <c r="C96" s="4" t="s">
        <v>34</v>
      </c>
      <c r="D96" s="4" t="s">
        <v>40</v>
      </c>
      <c r="E96" s="4" t="s">
        <v>25</v>
      </c>
      <c r="F96" s="4" t="s">
        <v>57</v>
      </c>
      <c r="G96" s="4" t="s">
        <v>25</v>
      </c>
      <c r="H96" s="4" t="s">
        <v>25</v>
      </c>
      <c r="I96" s="5">
        <v>44470</v>
      </c>
      <c r="J96" s="6">
        <v>9787</v>
      </c>
      <c r="K96" s="6">
        <v>4893.5</v>
      </c>
      <c r="L96" s="6">
        <v>0</v>
      </c>
      <c r="M96" s="6">
        <v>0</v>
      </c>
      <c r="N96" s="6">
        <v>0</v>
      </c>
      <c r="O96" s="6">
        <v>0</v>
      </c>
      <c r="P96" s="6">
        <v>5</v>
      </c>
      <c r="Q96" s="4" t="s">
        <v>58</v>
      </c>
      <c r="R96" s="4">
        <v>0</v>
      </c>
      <c r="S96" s="4" t="s">
        <v>136</v>
      </c>
      <c r="U96" s="4">
        <v>6</v>
      </c>
      <c r="V96" s="4">
        <v>0</v>
      </c>
      <c r="W96" s="4">
        <v>0</v>
      </c>
    </row>
    <row r="97" spans="1:23" ht="11.25" customHeight="1" x14ac:dyDescent="0.25">
      <c r="A97" s="4" t="s">
        <v>21</v>
      </c>
      <c r="B97" s="4" t="s">
        <v>33</v>
      </c>
      <c r="C97" s="4" t="s">
        <v>34</v>
      </c>
      <c r="D97" s="4" t="s">
        <v>40</v>
      </c>
      <c r="E97" s="4" t="s">
        <v>25</v>
      </c>
      <c r="F97" s="4" t="s">
        <v>57</v>
      </c>
      <c r="G97" s="4" t="s">
        <v>25</v>
      </c>
      <c r="H97" s="4" t="s">
        <v>25</v>
      </c>
      <c r="I97" s="5">
        <v>44501</v>
      </c>
      <c r="J97" s="6">
        <v>10337</v>
      </c>
      <c r="K97" s="6">
        <v>5168.5</v>
      </c>
      <c r="L97" s="6">
        <v>0</v>
      </c>
      <c r="M97" s="6">
        <v>0</v>
      </c>
      <c r="N97" s="6">
        <v>0</v>
      </c>
      <c r="O97" s="6">
        <v>0</v>
      </c>
      <c r="P97" s="6">
        <v>6</v>
      </c>
      <c r="Q97" s="4" t="s">
        <v>58</v>
      </c>
      <c r="R97" s="4">
        <v>0</v>
      </c>
      <c r="S97" s="4" t="s">
        <v>137</v>
      </c>
      <c r="U97" s="4">
        <v>6</v>
      </c>
      <c r="V97" s="4">
        <v>0</v>
      </c>
      <c r="W97" s="4">
        <v>0</v>
      </c>
    </row>
    <row r="98" spans="1:23" ht="11.25" customHeight="1" x14ac:dyDescent="0.25">
      <c r="A98" s="4" t="s">
        <v>21</v>
      </c>
      <c r="B98" s="4" t="s">
        <v>33</v>
      </c>
      <c r="C98" s="4" t="s">
        <v>34</v>
      </c>
      <c r="D98" s="4" t="s">
        <v>40</v>
      </c>
      <c r="E98" s="4" t="s">
        <v>25</v>
      </c>
      <c r="F98" s="4" t="s">
        <v>57</v>
      </c>
      <c r="G98" s="4" t="s">
        <v>25</v>
      </c>
      <c r="H98" s="4" t="s">
        <v>25</v>
      </c>
      <c r="I98" s="5">
        <v>44531</v>
      </c>
      <c r="J98" s="6">
        <v>10370</v>
      </c>
      <c r="K98" s="6">
        <v>5185</v>
      </c>
      <c r="L98" s="6">
        <v>0</v>
      </c>
      <c r="M98" s="6">
        <v>0</v>
      </c>
      <c r="N98" s="6">
        <v>0</v>
      </c>
      <c r="O98" s="6">
        <v>0</v>
      </c>
      <c r="P98" s="6">
        <v>6</v>
      </c>
      <c r="Q98" s="4" t="s">
        <v>58</v>
      </c>
      <c r="R98" s="4">
        <v>0</v>
      </c>
      <c r="S98" s="4" t="s">
        <v>138</v>
      </c>
      <c r="U98" s="4">
        <v>6</v>
      </c>
      <c r="V98" s="4">
        <v>0</v>
      </c>
      <c r="W98" s="4">
        <v>0</v>
      </c>
    </row>
    <row r="99" spans="1:23" ht="11.25" customHeight="1" x14ac:dyDescent="0.25">
      <c r="A99" s="4" t="s">
        <v>21</v>
      </c>
      <c r="B99" s="4" t="s">
        <v>33</v>
      </c>
      <c r="C99" s="4" t="s">
        <v>34</v>
      </c>
      <c r="D99" s="4" t="s">
        <v>40</v>
      </c>
      <c r="E99" s="4" t="s">
        <v>25</v>
      </c>
      <c r="F99" s="4" t="s">
        <v>57</v>
      </c>
      <c r="G99" s="4" t="s">
        <v>25</v>
      </c>
      <c r="H99" s="4" t="s">
        <v>25</v>
      </c>
      <c r="I99" s="5">
        <v>44562</v>
      </c>
      <c r="J99" s="6">
        <v>10222</v>
      </c>
      <c r="K99" s="6">
        <v>5111</v>
      </c>
      <c r="L99" s="6">
        <v>0</v>
      </c>
      <c r="M99" s="6">
        <v>0</v>
      </c>
      <c r="N99" s="6">
        <v>0</v>
      </c>
      <c r="O99" s="6">
        <v>0</v>
      </c>
      <c r="P99" s="6">
        <v>6</v>
      </c>
      <c r="Q99" s="4" t="s">
        <v>58</v>
      </c>
      <c r="R99" s="4">
        <v>0</v>
      </c>
      <c r="S99" s="4" t="s">
        <v>139</v>
      </c>
      <c r="U99" s="4">
        <v>6</v>
      </c>
      <c r="V99" s="4">
        <v>0</v>
      </c>
      <c r="W99" s="4">
        <v>0</v>
      </c>
    </row>
    <row r="100" spans="1:23" ht="11.25" customHeight="1" x14ac:dyDescent="0.25">
      <c r="A100" s="4" t="s">
        <v>21</v>
      </c>
      <c r="B100" s="4" t="s">
        <v>33</v>
      </c>
      <c r="C100" s="4" t="s">
        <v>34</v>
      </c>
      <c r="D100" s="4" t="s">
        <v>40</v>
      </c>
      <c r="E100" s="4" t="s">
        <v>25</v>
      </c>
      <c r="F100" s="4" t="s">
        <v>57</v>
      </c>
      <c r="G100" s="4" t="s">
        <v>25</v>
      </c>
      <c r="H100" s="4" t="s">
        <v>25</v>
      </c>
      <c r="I100" s="5">
        <v>44593</v>
      </c>
      <c r="J100" s="6">
        <v>10132</v>
      </c>
      <c r="K100" s="6">
        <v>5066</v>
      </c>
      <c r="L100" s="6">
        <v>0</v>
      </c>
      <c r="M100" s="6">
        <v>0</v>
      </c>
      <c r="N100" s="6">
        <v>0</v>
      </c>
      <c r="O100" s="6">
        <v>0</v>
      </c>
      <c r="P100" s="6">
        <v>6</v>
      </c>
      <c r="Q100" s="4" t="s">
        <v>58</v>
      </c>
      <c r="R100" s="4">
        <v>0</v>
      </c>
      <c r="S100" s="4" t="s">
        <v>140</v>
      </c>
      <c r="U100" s="4">
        <v>6</v>
      </c>
      <c r="V100" s="4">
        <v>0</v>
      </c>
      <c r="W100" s="4">
        <v>0</v>
      </c>
    </row>
    <row r="101" spans="1:23" ht="11.25" customHeight="1" x14ac:dyDescent="0.25">
      <c r="A101" s="4" t="s">
        <v>21</v>
      </c>
      <c r="B101" s="4" t="s">
        <v>33</v>
      </c>
      <c r="C101" s="4" t="s">
        <v>34</v>
      </c>
      <c r="D101" s="4" t="s">
        <v>40</v>
      </c>
      <c r="E101" s="4" t="s">
        <v>25</v>
      </c>
      <c r="F101" s="4" t="s">
        <v>57</v>
      </c>
      <c r="G101" s="4" t="s">
        <v>25</v>
      </c>
      <c r="H101" s="4" t="s">
        <v>25</v>
      </c>
      <c r="I101" s="5">
        <v>44621</v>
      </c>
      <c r="J101" s="6">
        <v>10313</v>
      </c>
      <c r="K101" s="6">
        <v>5156.5</v>
      </c>
      <c r="L101" s="6">
        <v>0</v>
      </c>
      <c r="M101" s="6">
        <v>0</v>
      </c>
      <c r="N101" s="6">
        <v>0</v>
      </c>
      <c r="O101" s="6">
        <v>0</v>
      </c>
      <c r="P101" s="6">
        <v>6</v>
      </c>
      <c r="Q101" s="4" t="s">
        <v>58</v>
      </c>
      <c r="R101" s="4">
        <v>0</v>
      </c>
      <c r="S101" s="4" t="s">
        <v>141</v>
      </c>
      <c r="U101" s="4">
        <v>6</v>
      </c>
      <c r="V101" s="4">
        <v>0</v>
      </c>
      <c r="W101" s="4">
        <v>0</v>
      </c>
    </row>
    <row r="102" spans="1:23" ht="11.25" customHeight="1" x14ac:dyDescent="0.25">
      <c r="A102" s="4" t="s">
        <v>59</v>
      </c>
      <c r="B102" s="4" t="s">
        <v>33</v>
      </c>
      <c r="C102" s="4" t="s">
        <v>34</v>
      </c>
      <c r="D102" s="4" t="s">
        <v>40</v>
      </c>
      <c r="E102" s="4" t="s">
        <v>25</v>
      </c>
      <c r="F102" s="4" t="s">
        <v>57</v>
      </c>
      <c r="G102" s="4" t="s">
        <v>25</v>
      </c>
      <c r="H102" s="4" t="s">
        <v>25</v>
      </c>
      <c r="I102" s="5">
        <v>44652</v>
      </c>
      <c r="J102" s="6">
        <v>10313</v>
      </c>
      <c r="K102" s="6">
        <v>5156.5</v>
      </c>
      <c r="L102" s="6">
        <v>0</v>
      </c>
      <c r="M102" s="6">
        <v>0</v>
      </c>
      <c r="N102" s="6">
        <v>0</v>
      </c>
      <c r="O102" s="6">
        <v>0</v>
      </c>
      <c r="P102" s="6">
        <v>6</v>
      </c>
      <c r="Q102" s="4" t="s">
        <v>58</v>
      </c>
      <c r="R102" s="4">
        <v>0</v>
      </c>
      <c r="S102" s="4" t="s">
        <v>142</v>
      </c>
      <c r="U102" s="4">
        <v>6</v>
      </c>
      <c r="V102" s="4">
        <v>0</v>
      </c>
      <c r="W102" s="4">
        <v>0</v>
      </c>
    </row>
    <row r="103" spans="1:23" ht="11.25" customHeight="1" x14ac:dyDescent="0.25">
      <c r="A103" s="4" t="s">
        <v>21</v>
      </c>
      <c r="B103" s="4" t="s">
        <v>33</v>
      </c>
      <c r="C103" s="4" t="s">
        <v>34</v>
      </c>
      <c r="D103" s="4" t="s">
        <v>40</v>
      </c>
      <c r="E103" s="4" t="s">
        <v>25</v>
      </c>
      <c r="F103" s="4" t="s">
        <v>57</v>
      </c>
      <c r="G103" s="4" t="s">
        <v>25</v>
      </c>
      <c r="H103" s="4" t="s">
        <v>35</v>
      </c>
      <c r="I103" s="5">
        <v>44317</v>
      </c>
      <c r="J103" s="6">
        <v>0</v>
      </c>
      <c r="K103" s="6">
        <v>0</v>
      </c>
      <c r="L103" s="6">
        <v>165.279</v>
      </c>
      <c r="M103" s="6">
        <v>82.639499999999998</v>
      </c>
      <c r="N103" s="6">
        <v>0</v>
      </c>
      <c r="O103" s="6">
        <v>0</v>
      </c>
      <c r="P103" s="6">
        <v>0</v>
      </c>
      <c r="Q103" s="4" t="s">
        <v>58</v>
      </c>
      <c r="R103" s="4">
        <v>0</v>
      </c>
      <c r="S103" s="4" t="s">
        <v>143</v>
      </c>
      <c r="U103" s="4">
        <v>0</v>
      </c>
      <c r="V103" s="4">
        <v>7</v>
      </c>
      <c r="W103" s="4">
        <v>0</v>
      </c>
    </row>
    <row r="104" spans="1:23" ht="11.25" customHeight="1" x14ac:dyDescent="0.25">
      <c r="A104" s="4" t="s">
        <v>21</v>
      </c>
      <c r="B104" s="4" t="s">
        <v>33</v>
      </c>
      <c r="C104" s="4" t="s">
        <v>34</v>
      </c>
      <c r="D104" s="4" t="s">
        <v>40</v>
      </c>
      <c r="E104" s="4" t="s">
        <v>25</v>
      </c>
      <c r="F104" s="4" t="s">
        <v>57</v>
      </c>
      <c r="G104" s="4" t="s">
        <v>25</v>
      </c>
      <c r="H104" s="4" t="s">
        <v>35</v>
      </c>
      <c r="I104" s="5">
        <v>44348</v>
      </c>
      <c r="J104" s="6">
        <v>0</v>
      </c>
      <c r="K104" s="6">
        <v>0</v>
      </c>
      <c r="L104" s="6">
        <v>201.74299999999999</v>
      </c>
      <c r="M104" s="6">
        <v>100.8715</v>
      </c>
      <c r="N104" s="6">
        <v>0</v>
      </c>
      <c r="O104" s="6">
        <v>0</v>
      </c>
      <c r="P104" s="6">
        <v>0</v>
      </c>
      <c r="Q104" s="4" t="s">
        <v>58</v>
      </c>
      <c r="R104" s="4">
        <v>0</v>
      </c>
      <c r="S104" s="4" t="s">
        <v>144</v>
      </c>
      <c r="U104" s="4">
        <v>0</v>
      </c>
      <c r="V104" s="4">
        <v>7</v>
      </c>
      <c r="W104" s="4">
        <v>0</v>
      </c>
    </row>
    <row r="105" spans="1:23" ht="11.25" customHeight="1" x14ac:dyDescent="0.25">
      <c r="A105" s="4" t="s">
        <v>21</v>
      </c>
      <c r="B105" s="4" t="s">
        <v>33</v>
      </c>
      <c r="C105" s="4" t="s">
        <v>34</v>
      </c>
      <c r="D105" s="4" t="s">
        <v>40</v>
      </c>
      <c r="E105" s="4" t="s">
        <v>25</v>
      </c>
      <c r="F105" s="4" t="s">
        <v>57</v>
      </c>
      <c r="G105" s="4" t="s">
        <v>25</v>
      </c>
      <c r="H105" s="4" t="s">
        <v>35</v>
      </c>
      <c r="I105" s="5">
        <v>44378</v>
      </c>
      <c r="J105" s="6">
        <v>0</v>
      </c>
      <c r="K105" s="6">
        <v>0</v>
      </c>
      <c r="L105" s="6">
        <v>244.71199999999999</v>
      </c>
      <c r="M105" s="6">
        <v>122.35599999999999</v>
      </c>
      <c r="N105" s="6">
        <v>0</v>
      </c>
      <c r="O105" s="6">
        <v>0</v>
      </c>
      <c r="P105" s="6">
        <v>0</v>
      </c>
      <c r="Q105" s="4" t="s">
        <v>58</v>
      </c>
      <c r="R105" s="4">
        <v>0</v>
      </c>
      <c r="S105" s="4" t="s">
        <v>145</v>
      </c>
      <c r="U105" s="4">
        <v>0</v>
      </c>
      <c r="V105" s="4">
        <v>7</v>
      </c>
      <c r="W105" s="4">
        <v>0</v>
      </c>
    </row>
    <row r="106" spans="1:23" ht="11.25" customHeight="1" x14ac:dyDescent="0.25">
      <c r="A106" s="4" t="s">
        <v>21</v>
      </c>
      <c r="B106" s="4" t="s">
        <v>33</v>
      </c>
      <c r="C106" s="4" t="s">
        <v>34</v>
      </c>
      <c r="D106" s="4" t="s">
        <v>40</v>
      </c>
      <c r="E106" s="4" t="s">
        <v>25</v>
      </c>
      <c r="F106" s="4" t="s">
        <v>57</v>
      </c>
      <c r="G106" s="4" t="s">
        <v>25</v>
      </c>
      <c r="H106" s="4" t="s">
        <v>35</v>
      </c>
      <c r="I106" s="5">
        <v>44409</v>
      </c>
      <c r="J106" s="6">
        <v>0</v>
      </c>
      <c r="K106" s="6">
        <v>0</v>
      </c>
      <c r="L106" s="6">
        <v>259.11500000000001</v>
      </c>
      <c r="M106" s="6">
        <v>129.5575</v>
      </c>
      <c r="N106" s="6">
        <v>0</v>
      </c>
      <c r="O106" s="6">
        <v>0</v>
      </c>
      <c r="P106" s="6">
        <v>0</v>
      </c>
      <c r="Q106" s="4" t="s">
        <v>58</v>
      </c>
      <c r="R106" s="4">
        <v>0</v>
      </c>
      <c r="S106" s="4" t="s">
        <v>146</v>
      </c>
      <c r="U106" s="4">
        <v>0</v>
      </c>
      <c r="V106" s="4">
        <v>7</v>
      </c>
      <c r="W106" s="4">
        <v>0</v>
      </c>
    </row>
    <row r="107" spans="1:23" ht="11.25" customHeight="1" x14ac:dyDescent="0.25">
      <c r="A107" s="4" t="s">
        <v>21</v>
      </c>
      <c r="B107" s="4" t="s">
        <v>33</v>
      </c>
      <c r="C107" s="4" t="s">
        <v>34</v>
      </c>
      <c r="D107" s="4" t="s">
        <v>40</v>
      </c>
      <c r="E107" s="4" t="s">
        <v>25</v>
      </c>
      <c r="F107" s="4" t="s">
        <v>57</v>
      </c>
      <c r="G107" s="4" t="s">
        <v>25</v>
      </c>
      <c r="H107" s="4" t="s">
        <v>35</v>
      </c>
      <c r="I107" s="5">
        <v>44440</v>
      </c>
      <c r="J107" s="6">
        <v>0</v>
      </c>
      <c r="K107" s="6">
        <v>0</v>
      </c>
      <c r="L107" s="6">
        <v>251.54400000000001</v>
      </c>
      <c r="M107" s="6">
        <v>125.77200000000001</v>
      </c>
      <c r="N107" s="6">
        <v>0</v>
      </c>
      <c r="O107" s="6">
        <v>0</v>
      </c>
      <c r="P107" s="6">
        <v>0</v>
      </c>
      <c r="Q107" s="4" t="s">
        <v>58</v>
      </c>
      <c r="R107" s="4">
        <v>0</v>
      </c>
      <c r="S107" s="4" t="s">
        <v>147</v>
      </c>
      <c r="U107" s="4">
        <v>0</v>
      </c>
      <c r="V107" s="4">
        <v>7</v>
      </c>
      <c r="W107" s="4">
        <v>0</v>
      </c>
    </row>
    <row r="108" spans="1:23" ht="11.25" customHeight="1" x14ac:dyDescent="0.25">
      <c r="A108" s="4" t="s">
        <v>21</v>
      </c>
      <c r="B108" s="4" t="s">
        <v>33</v>
      </c>
      <c r="C108" s="4" t="s">
        <v>34</v>
      </c>
      <c r="D108" s="4" t="s">
        <v>40</v>
      </c>
      <c r="E108" s="4" t="s">
        <v>25</v>
      </c>
      <c r="F108" s="4" t="s">
        <v>57</v>
      </c>
      <c r="G108" s="4" t="s">
        <v>25</v>
      </c>
      <c r="H108" s="4" t="s">
        <v>35</v>
      </c>
      <c r="I108" s="5">
        <v>44470</v>
      </c>
      <c r="J108" s="6">
        <v>0</v>
      </c>
      <c r="K108" s="6">
        <v>0</v>
      </c>
      <c r="L108" s="6">
        <v>245.708</v>
      </c>
      <c r="M108" s="6">
        <v>122.854</v>
      </c>
      <c r="N108" s="6">
        <v>0</v>
      </c>
      <c r="O108" s="6">
        <v>0</v>
      </c>
      <c r="P108" s="6">
        <v>0</v>
      </c>
      <c r="Q108" s="4" t="s">
        <v>58</v>
      </c>
      <c r="R108" s="4">
        <v>0</v>
      </c>
      <c r="S108" s="4" t="s">
        <v>148</v>
      </c>
      <c r="U108" s="4">
        <v>0</v>
      </c>
      <c r="V108" s="4">
        <v>7</v>
      </c>
      <c r="W108" s="4">
        <v>0</v>
      </c>
    </row>
    <row r="109" spans="1:23" ht="11.25" customHeight="1" x14ac:dyDescent="0.25">
      <c r="A109" s="4" t="s">
        <v>21</v>
      </c>
      <c r="B109" s="4" t="s">
        <v>33</v>
      </c>
      <c r="C109" s="4" t="s">
        <v>34</v>
      </c>
      <c r="D109" s="4" t="s">
        <v>40</v>
      </c>
      <c r="E109" s="4" t="s">
        <v>25</v>
      </c>
      <c r="F109" s="4" t="s">
        <v>57</v>
      </c>
      <c r="G109" s="4" t="s">
        <v>25</v>
      </c>
      <c r="H109" s="4" t="s">
        <v>35</v>
      </c>
      <c r="I109" s="5">
        <v>44501</v>
      </c>
      <c r="J109" s="6">
        <v>0</v>
      </c>
      <c r="K109" s="6">
        <v>0</v>
      </c>
      <c r="L109" s="6">
        <v>267.46600000000001</v>
      </c>
      <c r="M109" s="6">
        <v>133.733</v>
      </c>
      <c r="N109" s="6">
        <v>0</v>
      </c>
      <c r="O109" s="6">
        <v>0</v>
      </c>
      <c r="P109" s="6">
        <v>0</v>
      </c>
      <c r="Q109" s="4" t="s">
        <v>58</v>
      </c>
      <c r="R109" s="4">
        <v>0</v>
      </c>
      <c r="S109" s="4" t="s">
        <v>149</v>
      </c>
      <c r="U109" s="4">
        <v>0</v>
      </c>
      <c r="V109" s="4">
        <v>7</v>
      </c>
      <c r="W109" s="4">
        <v>0</v>
      </c>
    </row>
    <row r="110" spans="1:23" ht="11.25" customHeight="1" x14ac:dyDescent="0.25">
      <c r="A110" s="4" t="s">
        <v>21</v>
      </c>
      <c r="B110" s="4" t="s">
        <v>33</v>
      </c>
      <c r="C110" s="4" t="s">
        <v>34</v>
      </c>
      <c r="D110" s="4" t="s">
        <v>40</v>
      </c>
      <c r="E110" s="4" t="s">
        <v>25</v>
      </c>
      <c r="F110" s="4" t="s">
        <v>57</v>
      </c>
      <c r="G110" s="4" t="s">
        <v>25</v>
      </c>
      <c r="H110" s="4" t="s">
        <v>35</v>
      </c>
      <c r="I110" s="5">
        <v>44531</v>
      </c>
      <c r="J110" s="6">
        <v>0</v>
      </c>
      <c r="K110" s="6">
        <v>0</v>
      </c>
      <c r="L110" s="6">
        <v>252.32900000000001</v>
      </c>
      <c r="M110" s="6">
        <v>126.1645</v>
      </c>
      <c r="N110" s="6">
        <v>0</v>
      </c>
      <c r="O110" s="6">
        <v>0</v>
      </c>
      <c r="P110" s="6">
        <v>0</v>
      </c>
      <c r="Q110" s="4" t="s">
        <v>58</v>
      </c>
      <c r="R110" s="4">
        <v>0</v>
      </c>
      <c r="S110" s="4" t="s">
        <v>150</v>
      </c>
      <c r="U110" s="4">
        <v>0</v>
      </c>
      <c r="V110" s="4">
        <v>7</v>
      </c>
      <c r="W110" s="4">
        <v>0</v>
      </c>
    </row>
    <row r="111" spans="1:23" ht="11.25" customHeight="1" x14ac:dyDescent="0.25">
      <c r="A111" s="4" t="s">
        <v>21</v>
      </c>
      <c r="B111" s="4" t="s">
        <v>33</v>
      </c>
      <c r="C111" s="4" t="s">
        <v>34</v>
      </c>
      <c r="D111" s="4" t="s">
        <v>40</v>
      </c>
      <c r="E111" s="4" t="s">
        <v>25</v>
      </c>
      <c r="F111" s="4" t="s">
        <v>57</v>
      </c>
      <c r="G111" s="4" t="s">
        <v>25</v>
      </c>
      <c r="H111" s="4" t="s">
        <v>35</v>
      </c>
      <c r="I111" s="5">
        <v>44562</v>
      </c>
      <c r="J111" s="6">
        <v>0</v>
      </c>
      <c r="K111" s="6">
        <v>0</v>
      </c>
      <c r="L111" s="6">
        <v>256.38400000000001</v>
      </c>
      <c r="M111" s="6">
        <v>128.19200000000001</v>
      </c>
      <c r="N111" s="6">
        <v>0</v>
      </c>
      <c r="O111" s="6">
        <v>0</v>
      </c>
      <c r="P111" s="6">
        <v>0</v>
      </c>
      <c r="Q111" s="4" t="s">
        <v>58</v>
      </c>
      <c r="R111" s="4">
        <v>0</v>
      </c>
      <c r="S111" s="4" t="s">
        <v>151</v>
      </c>
      <c r="U111" s="4">
        <v>0</v>
      </c>
      <c r="V111" s="4">
        <v>7</v>
      </c>
      <c r="W111" s="4">
        <v>0</v>
      </c>
    </row>
    <row r="112" spans="1:23" ht="11.25" customHeight="1" x14ac:dyDescent="0.25">
      <c r="A112" s="4" t="s">
        <v>21</v>
      </c>
      <c r="B112" s="4" t="s">
        <v>33</v>
      </c>
      <c r="C112" s="4" t="s">
        <v>34</v>
      </c>
      <c r="D112" s="4" t="s">
        <v>40</v>
      </c>
      <c r="E112" s="4" t="s">
        <v>25</v>
      </c>
      <c r="F112" s="4" t="s">
        <v>57</v>
      </c>
      <c r="G112" s="4" t="s">
        <v>25</v>
      </c>
      <c r="H112" s="4" t="s">
        <v>35</v>
      </c>
      <c r="I112" s="5">
        <v>44593</v>
      </c>
      <c r="J112" s="6">
        <v>0</v>
      </c>
      <c r="K112" s="6">
        <v>0</v>
      </c>
      <c r="L112" s="6">
        <v>242.602</v>
      </c>
      <c r="M112" s="6">
        <v>121.301</v>
      </c>
      <c r="N112" s="6">
        <v>0</v>
      </c>
      <c r="O112" s="6">
        <v>0</v>
      </c>
      <c r="P112" s="6">
        <v>0</v>
      </c>
      <c r="Q112" s="4" t="s">
        <v>58</v>
      </c>
      <c r="R112" s="4">
        <v>0</v>
      </c>
      <c r="S112" s="4" t="s">
        <v>152</v>
      </c>
      <c r="U112" s="4">
        <v>0</v>
      </c>
      <c r="V112" s="4">
        <v>7</v>
      </c>
      <c r="W112" s="4">
        <v>0</v>
      </c>
    </row>
    <row r="113" spans="1:23" ht="11.25" customHeight="1" x14ac:dyDescent="0.25">
      <c r="A113" s="4" t="s">
        <v>21</v>
      </c>
      <c r="B113" s="4" t="s">
        <v>33</v>
      </c>
      <c r="C113" s="4" t="s">
        <v>34</v>
      </c>
      <c r="D113" s="4" t="s">
        <v>40</v>
      </c>
      <c r="E113" s="4" t="s">
        <v>25</v>
      </c>
      <c r="F113" s="4" t="s">
        <v>57</v>
      </c>
      <c r="G113" s="4" t="s">
        <v>25</v>
      </c>
      <c r="H113" s="4" t="s">
        <v>35</v>
      </c>
      <c r="I113" s="5">
        <v>44621</v>
      </c>
      <c r="J113" s="6">
        <v>0</v>
      </c>
      <c r="K113" s="6">
        <v>0</v>
      </c>
      <c r="L113" s="6">
        <v>257.65499999999997</v>
      </c>
      <c r="M113" s="6">
        <v>128.82749999999999</v>
      </c>
      <c r="N113" s="6">
        <v>0</v>
      </c>
      <c r="O113" s="6">
        <v>0</v>
      </c>
      <c r="P113" s="6">
        <v>0</v>
      </c>
      <c r="Q113" s="4" t="s">
        <v>58</v>
      </c>
      <c r="R113" s="4">
        <v>0</v>
      </c>
      <c r="S113" s="4" t="s">
        <v>153</v>
      </c>
      <c r="U113" s="4">
        <v>0</v>
      </c>
      <c r="V113" s="4">
        <v>7</v>
      </c>
      <c r="W113" s="4">
        <v>0</v>
      </c>
    </row>
    <row r="114" spans="1:23" ht="11.25" customHeight="1" x14ac:dyDescent="0.25">
      <c r="A114" s="4" t="s">
        <v>59</v>
      </c>
      <c r="B114" s="4" t="s">
        <v>33</v>
      </c>
      <c r="C114" s="4" t="s">
        <v>34</v>
      </c>
      <c r="D114" s="4" t="s">
        <v>40</v>
      </c>
      <c r="E114" s="4" t="s">
        <v>25</v>
      </c>
      <c r="F114" s="4" t="s">
        <v>57</v>
      </c>
      <c r="G114" s="4" t="s">
        <v>25</v>
      </c>
      <c r="H114" s="4" t="s">
        <v>35</v>
      </c>
      <c r="I114" s="5">
        <v>44652</v>
      </c>
      <c r="J114" s="6">
        <v>0</v>
      </c>
      <c r="K114" s="6">
        <v>0</v>
      </c>
      <c r="L114" s="6">
        <v>257.65499999999997</v>
      </c>
      <c r="M114" s="6">
        <v>128.82749999999999</v>
      </c>
      <c r="N114" s="6">
        <v>0</v>
      </c>
      <c r="O114" s="6">
        <v>0</v>
      </c>
      <c r="P114" s="6">
        <v>0</v>
      </c>
      <c r="Q114" s="4" t="s">
        <v>58</v>
      </c>
      <c r="R114" s="4">
        <v>0</v>
      </c>
      <c r="S114" s="4" t="s">
        <v>154</v>
      </c>
      <c r="U114" s="4">
        <v>0</v>
      </c>
      <c r="V114" s="4">
        <v>7</v>
      </c>
      <c r="W114" s="4">
        <v>0</v>
      </c>
    </row>
    <row r="115" spans="1:23" ht="11.25" customHeight="1" x14ac:dyDescent="0.25">
      <c r="A115" s="4" t="s">
        <v>21</v>
      </c>
      <c r="B115" s="4" t="s">
        <v>33</v>
      </c>
      <c r="C115" s="4" t="s">
        <v>34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36</v>
      </c>
      <c r="I115" s="5">
        <v>44317</v>
      </c>
      <c r="J115" s="6">
        <v>0</v>
      </c>
      <c r="K115" s="6">
        <v>0</v>
      </c>
      <c r="L115" s="6">
        <v>1216.633</v>
      </c>
      <c r="M115" s="6">
        <v>1216.633</v>
      </c>
      <c r="N115" s="6">
        <v>1216.633</v>
      </c>
      <c r="O115" s="6">
        <v>1216.633</v>
      </c>
      <c r="P115" s="6">
        <v>0</v>
      </c>
      <c r="Q115" s="4" t="s">
        <v>26</v>
      </c>
      <c r="R115" s="4">
        <v>0</v>
      </c>
      <c r="S115" s="4" t="s">
        <v>119</v>
      </c>
      <c r="T115" s="4" t="s">
        <v>372</v>
      </c>
      <c r="U115" s="4">
        <v>0</v>
      </c>
      <c r="V115" s="4">
        <v>8</v>
      </c>
      <c r="W115" s="4">
        <v>49</v>
      </c>
    </row>
    <row r="116" spans="1:23" ht="11.25" customHeight="1" x14ac:dyDescent="0.25">
      <c r="A116" s="4" t="s">
        <v>28</v>
      </c>
      <c r="B116" s="4" t="s">
        <v>33</v>
      </c>
      <c r="C116" s="4" t="s">
        <v>34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36</v>
      </c>
      <c r="I116" s="5">
        <v>44317</v>
      </c>
      <c r="J116" s="6">
        <v>0</v>
      </c>
      <c r="K116" s="6">
        <v>0</v>
      </c>
      <c r="L116" s="6">
        <v>19.672000000000001</v>
      </c>
      <c r="M116" s="6">
        <v>19.672000000000001</v>
      </c>
      <c r="N116" s="6">
        <v>19.672000000000001</v>
      </c>
      <c r="O116" s="6">
        <v>19.672000000000001</v>
      </c>
      <c r="P116" s="6">
        <v>0</v>
      </c>
      <c r="Q116" s="4" t="s">
        <v>26</v>
      </c>
      <c r="R116" s="4">
        <v>0</v>
      </c>
      <c r="S116" s="4" t="s">
        <v>119</v>
      </c>
      <c r="T116" s="4" t="s">
        <v>372</v>
      </c>
      <c r="U116" s="4">
        <v>0</v>
      </c>
      <c r="V116" s="4">
        <v>8</v>
      </c>
      <c r="W116" s="4">
        <v>49</v>
      </c>
    </row>
    <row r="117" spans="1:23" ht="11.25" customHeight="1" x14ac:dyDescent="0.25">
      <c r="A117" s="4" t="s">
        <v>21</v>
      </c>
      <c r="B117" s="4" t="s">
        <v>33</v>
      </c>
      <c r="C117" s="4" t="s">
        <v>34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36</v>
      </c>
      <c r="I117" s="5">
        <v>44348</v>
      </c>
      <c r="J117" s="6">
        <v>0</v>
      </c>
      <c r="K117" s="6">
        <v>0</v>
      </c>
      <c r="L117" s="6">
        <v>737.26400000000001</v>
      </c>
      <c r="M117" s="6">
        <v>737.26400000000001</v>
      </c>
      <c r="N117" s="6">
        <v>737.26400000000001</v>
      </c>
      <c r="O117" s="6">
        <v>737.26400000000001</v>
      </c>
      <c r="P117" s="6">
        <v>0</v>
      </c>
      <c r="Q117" s="4" t="s">
        <v>26</v>
      </c>
      <c r="R117" s="4">
        <v>0</v>
      </c>
      <c r="S117" s="4" t="s">
        <v>120</v>
      </c>
      <c r="T117" s="4" t="s">
        <v>373</v>
      </c>
      <c r="U117" s="4">
        <v>0</v>
      </c>
      <c r="V117" s="4">
        <v>8</v>
      </c>
      <c r="W117" s="4">
        <v>49</v>
      </c>
    </row>
    <row r="118" spans="1:23" ht="11.25" customHeight="1" x14ac:dyDescent="0.25">
      <c r="A118" s="4" t="s">
        <v>28</v>
      </c>
      <c r="B118" s="4" t="s">
        <v>33</v>
      </c>
      <c r="C118" s="4" t="s">
        <v>34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36</v>
      </c>
      <c r="I118" s="5">
        <v>44348</v>
      </c>
      <c r="J118" s="6">
        <v>0</v>
      </c>
      <c r="K118" s="6">
        <v>0</v>
      </c>
      <c r="L118" s="6">
        <v>19.667000000000002</v>
      </c>
      <c r="M118" s="6">
        <v>19.667000000000002</v>
      </c>
      <c r="N118" s="6">
        <v>19.667000000000002</v>
      </c>
      <c r="O118" s="6">
        <v>19.667000000000002</v>
      </c>
      <c r="P118" s="6">
        <v>0</v>
      </c>
      <c r="Q118" s="4" t="s">
        <v>26</v>
      </c>
      <c r="R118" s="4">
        <v>0</v>
      </c>
      <c r="S118" s="4" t="s">
        <v>120</v>
      </c>
      <c r="T118" s="4" t="s">
        <v>373</v>
      </c>
      <c r="U118" s="4">
        <v>0</v>
      </c>
      <c r="V118" s="4">
        <v>8</v>
      </c>
      <c r="W118" s="4">
        <v>49</v>
      </c>
    </row>
    <row r="119" spans="1:23" ht="11.25" customHeight="1" x14ac:dyDescent="0.25">
      <c r="A119" s="4" t="s">
        <v>21</v>
      </c>
      <c r="B119" s="4" t="s">
        <v>33</v>
      </c>
      <c r="C119" s="4" t="s">
        <v>34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36</v>
      </c>
      <c r="I119" s="5">
        <v>44378</v>
      </c>
      <c r="J119" s="6">
        <v>0</v>
      </c>
      <c r="K119" s="6">
        <v>0</v>
      </c>
      <c r="L119" s="6">
        <v>535.947</v>
      </c>
      <c r="M119" s="6">
        <v>535.947</v>
      </c>
      <c r="N119" s="6">
        <v>535.947</v>
      </c>
      <c r="O119" s="6">
        <v>535.947</v>
      </c>
      <c r="P119" s="6">
        <v>0</v>
      </c>
      <c r="Q119" s="4" t="s">
        <v>26</v>
      </c>
      <c r="R119" s="4">
        <v>0</v>
      </c>
      <c r="S119" s="4" t="s">
        <v>121</v>
      </c>
      <c r="T119" s="4" t="s">
        <v>374</v>
      </c>
      <c r="U119" s="4">
        <v>0</v>
      </c>
      <c r="V119" s="4">
        <v>8</v>
      </c>
      <c r="W119" s="4">
        <v>49</v>
      </c>
    </row>
    <row r="120" spans="1:23" ht="11.25" customHeight="1" x14ac:dyDescent="0.25">
      <c r="A120" s="4" t="s">
        <v>28</v>
      </c>
      <c r="B120" s="4" t="s">
        <v>33</v>
      </c>
      <c r="C120" s="4" t="s">
        <v>34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36</v>
      </c>
      <c r="I120" s="5">
        <v>44378</v>
      </c>
      <c r="J120" s="6">
        <v>0</v>
      </c>
      <c r="K120" s="6">
        <v>0</v>
      </c>
      <c r="L120" s="6">
        <v>27.774000000000001</v>
      </c>
      <c r="M120" s="6">
        <v>27.774000000000001</v>
      </c>
      <c r="N120" s="6">
        <v>27.774000000000001</v>
      </c>
      <c r="O120" s="6">
        <v>27.774000000000001</v>
      </c>
      <c r="P120" s="6">
        <v>0</v>
      </c>
      <c r="Q120" s="4" t="s">
        <v>26</v>
      </c>
      <c r="R120" s="4">
        <v>0</v>
      </c>
      <c r="S120" s="4" t="s">
        <v>121</v>
      </c>
      <c r="T120" s="4" t="s">
        <v>374</v>
      </c>
      <c r="U120" s="4">
        <v>0</v>
      </c>
      <c r="V120" s="4">
        <v>8</v>
      </c>
      <c r="W120" s="4">
        <v>49</v>
      </c>
    </row>
    <row r="121" spans="1:23" ht="11.25" customHeight="1" x14ac:dyDescent="0.25">
      <c r="A121" s="4" t="s">
        <v>21</v>
      </c>
      <c r="B121" s="4" t="s">
        <v>33</v>
      </c>
      <c r="C121" s="4" t="s">
        <v>34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36</v>
      </c>
      <c r="I121" s="5">
        <v>44409</v>
      </c>
      <c r="J121" s="6">
        <v>0</v>
      </c>
      <c r="K121" s="6">
        <v>0</v>
      </c>
      <c r="L121" s="6">
        <v>578.35299999999995</v>
      </c>
      <c r="M121" s="6">
        <v>578.35299999999995</v>
      </c>
      <c r="N121" s="6">
        <v>578.35299999999995</v>
      </c>
      <c r="O121" s="6">
        <v>578.35299999999995</v>
      </c>
      <c r="P121" s="6">
        <v>0</v>
      </c>
      <c r="Q121" s="4" t="s">
        <v>26</v>
      </c>
      <c r="R121" s="4">
        <v>0</v>
      </c>
      <c r="S121" s="4" t="s">
        <v>122</v>
      </c>
      <c r="T121" s="4" t="s">
        <v>375</v>
      </c>
      <c r="U121" s="4">
        <v>0</v>
      </c>
      <c r="V121" s="4">
        <v>8</v>
      </c>
      <c r="W121" s="4">
        <v>49</v>
      </c>
    </row>
    <row r="122" spans="1:23" ht="11.25" customHeight="1" x14ac:dyDescent="0.25">
      <c r="A122" s="4" t="s">
        <v>28</v>
      </c>
      <c r="B122" s="4" t="s">
        <v>33</v>
      </c>
      <c r="C122" s="4" t="s">
        <v>34</v>
      </c>
      <c r="D122" s="4" t="s">
        <v>40</v>
      </c>
      <c r="E122" s="4" t="s">
        <v>25</v>
      </c>
      <c r="F122" s="4" t="s">
        <v>25</v>
      </c>
      <c r="G122" s="4" t="s">
        <v>25</v>
      </c>
      <c r="H122" s="4" t="s">
        <v>36</v>
      </c>
      <c r="I122" s="5">
        <v>44409</v>
      </c>
      <c r="J122" s="6">
        <v>0</v>
      </c>
      <c r="K122" s="6">
        <v>0</v>
      </c>
      <c r="L122" s="6">
        <v>52.45</v>
      </c>
      <c r="M122" s="6">
        <v>52.45</v>
      </c>
      <c r="N122" s="6">
        <v>52.45</v>
      </c>
      <c r="O122" s="6">
        <v>52.45</v>
      </c>
      <c r="P122" s="6">
        <v>0</v>
      </c>
      <c r="Q122" s="4" t="s">
        <v>26</v>
      </c>
      <c r="R122" s="4">
        <v>0</v>
      </c>
      <c r="S122" s="4" t="s">
        <v>122</v>
      </c>
      <c r="T122" s="4" t="s">
        <v>375</v>
      </c>
      <c r="U122" s="4">
        <v>0</v>
      </c>
      <c r="V122" s="4">
        <v>8</v>
      </c>
      <c r="W122" s="4">
        <v>49</v>
      </c>
    </row>
    <row r="123" spans="1:23" ht="11.25" customHeight="1" x14ac:dyDescent="0.25">
      <c r="A123" s="4" t="s">
        <v>21</v>
      </c>
      <c r="B123" s="4" t="s">
        <v>33</v>
      </c>
      <c r="C123" s="4" t="s">
        <v>34</v>
      </c>
      <c r="D123" s="4" t="s">
        <v>40</v>
      </c>
      <c r="E123" s="4" t="s">
        <v>25</v>
      </c>
      <c r="F123" s="4" t="s">
        <v>25</v>
      </c>
      <c r="G123" s="4" t="s">
        <v>25</v>
      </c>
      <c r="H123" s="4" t="s">
        <v>36</v>
      </c>
      <c r="I123" s="5">
        <v>44440</v>
      </c>
      <c r="J123" s="6">
        <v>0</v>
      </c>
      <c r="K123" s="6">
        <v>0</v>
      </c>
      <c r="L123" s="6">
        <v>572.12699999999995</v>
      </c>
      <c r="M123" s="6">
        <v>572.12699999999995</v>
      </c>
      <c r="N123" s="6">
        <v>572.12699999999995</v>
      </c>
      <c r="O123" s="6">
        <v>572.12699999999995</v>
      </c>
      <c r="P123" s="6">
        <v>0</v>
      </c>
      <c r="Q123" s="4" t="s">
        <v>26</v>
      </c>
      <c r="R123" s="4">
        <v>0</v>
      </c>
      <c r="S123" s="4" t="s">
        <v>123</v>
      </c>
      <c r="T123" s="4" t="s">
        <v>376</v>
      </c>
      <c r="U123" s="4">
        <v>0</v>
      </c>
      <c r="V123" s="4">
        <v>8</v>
      </c>
      <c r="W123" s="4">
        <v>49</v>
      </c>
    </row>
    <row r="124" spans="1:23" ht="11.25" customHeight="1" x14ac:dyDescent="0.25">
      <c r="A124" s="4" t="s">
        <v>28</v>
      </c>
      <c r="B124" s="4" t="s">
        <v>33</v>
      </c>
      <c r="C124" s="4" t="s">
        <v>34</v>
      </c>
      <c r="D124" s="4" t="s">
        <v>40</v>
      </c>
      <c r="E124" s="4" t="s">
        <v>25</v>
      </c>
      <c r="F124" s="4" t="s">
        <v>25</v>
      </c>
      <c r="G124" s="4" t="s">
        <v>25</v>
      </c>
      <c r="H124" s="4" t="s">
        <v>36</v>
      </c>
      <c r="I124" s="5">
        <v>44440</v>
      </c>
      <c r="J124" s="6">
        <v>0</v>
      </c>
      <c r="K124" s="6">
        <v>0</v>
      </c>
      <c r="L124" s="6">
        <v>19.739000000000001</v>
      </c>
      <c r="M124" s="6">
        <v>19.739000000000001</v>
      </c>
      <c r="N124" s="6">
        <v>19.739000000000001</v>
      </c>
      <c r="O124" s="6">
        <v>19.739000000000001</v>
      </c>
      <c r="P124" s="6">
        <v>0</v>
      </c>
      <c r="Q124" s="4" t="s">
        <v>26</v>
      </c>
      <c r="R124" s="4">
        <v>0</v>
      </c>
      <c r="S124" s="4" t="s">
        <v>123</v>
      </c>
      <c r="T124" s="4" t="s">
        <v>376</v>
      </c>
      <c r="U124" s="4">
        <v>0</v>
      </c>
      <c r="V124" s="4">
        <v>8</v>
      </c>
      <c r="W124" s="4">
        <v>49</v>
      </c>
    </row>
    <row r="125" spans="1:23" ht="11.25" customHeight="1" x14ac:dyDescent="0.25">
      <c r="A125" s="4" t="s">
        <v>21</v>
      </c>
      <c r="B125" s="4" t="s">
        <v>33</v>
      </c>
      <c r="C125" s="4" t="s">
        <v>34</v>
      </c>
      <c r="D125" s="4" t="s">
        <v>40</v>
      </c>
      <c r="E125" s="4" t="s">
        <v>25</v>
      </c>
      <c r="F125" s="4" t="s">
        <v>25</v>
      </c>
      <c r="G125" s="4" t="s">
        <v>25</v>
      </c>
      <c r="H125" s="4" t="s">
        <v>36</v>
      </c>
      <c r="I125" s="5">
        <v>44470</v>
      </c>
      <c r="J125" s="6">
        <v>0</v>
      </c>
      <c r="K125" s="6">
        <v>0</v>
      </c>
      <c r="L125" s="6">
        <v>567.31200000000001</v>
      </c>
      <c r="M125" s="6">
        <v>567.31200000000001</v>
      </c>
      <c r="N125" s="6">
        <v>567.31200000000001</v>
      </c>
      <c r="O125" s="6">
        <v>567.31200000000001</v>
      </c>
      <c r="P125" s="6">
        <v>0</v>
      </c>
      <c r="Q125" s="4" t="s">
        <v>26</v>
      </c>
      <c r="R125" s="4">
        <v>0</v>
      </c>
      <c r="S125" s="4" t="s">
        <v>124</v>
      </c>
      <c r="T125" s="4" t="s">
        <v>377</v>
      </c>
      <c r="U125" s="4">
        <v>0</v>
      </c>
      <c r="V125" s="4">
        <v>8</v>
      </c>
      <c r="W125" s="4">
        <v>49</v>
      </c>
    </row>
    <row r="126" spans="1:23" ht="11.25" customHeight="1" x14ac:dyDescent="0.25">
      <c r="A126" s="4" t="s">
        <v>28</v>
      </c>
      <c r="B126" s="4" t="s">
        <v>33</v>
      </c>
      <c r="C126" s="4" t="s">
        <v>34</v>
      </c>
      <c r="D126" s="4" t="s">
        <v>40</v>
      </c>
      <c r="E126" s="4" t="s">
        <v>25</v>
      </c>
      <c r="F126" s="4" t="s">
        <v>25</v>
      </c>
      <c r="G126" s="4" t="s">
        <v>25</v>
      </c>
      <c r="H126" s="4" t="s">
        <v>36</v>
      </c>
      <c r="I126" s="5">
        <v>44470</v>
      </c>
      <c r="J126" s="6">
        <v>0</v>
      </c>
      <c r="K126" s="6">
        <v>0</v>
      </c>
      <c r="L126" s="6">
        <v>28.971</v>
      </c>
      <c r="M126" s="6">
        <v>28.971</v>
      </c>
      <c r="N126" s="6">
        <v>28.971</v>
      </c>
      <c r="O126" s="6">
        <v>28.971</v>
      </c>
      <c r="P126" s="6">
        <v>0</v>
      </c>
      <c r="Q126" s="4" t="s">
        <v>26</v>
      </c>
      <c r="R126" s="4">
        <v>0</v>
      </c>
      <c r="S126" s="4" t="s">
        <v>124</v>
      </c>
      <c r="T126" s="4" t="s">
        <v>377</v>
      </c>
      <c r="U126" s="4">
        <v>0</v>
      </c>
      <c r="V126" s="4">
        <v>8</v>
      </c>
      <c r="W126" s="4">
        <v>49</v>
      </c>
    </row>
    <row r="127" spans="1:23" ht="11.25" customHeight="1" x14ac:dyDescent="0.25">
      <c r="A127" s="4" t="s">
        <v>21</v>
      </c>
      <c r="B127" s="4" t="s">
        <v>33</v>
      </c>
      <c r="C127" s="4" t="s">
        <v>34</v>
      </c>
      <c r="D127" s="4" t="s">
        <v>40</v>
      </c>
      <c r="E127" s="4" t="s">
        <v>25</v>
      </c>
      <c r="F127" s="4" t="s">
        <v>25</v>
      </c>
      <c r="G127" s="4" t="s">
        <v>25</v>
      </c>
      <c r="H127" s="4" t="s">
        <v>36</v>
      </c>
      <c r="I127" s="5">
        <v>44501</v>
      </c>
      <c r="J127" s="6">
        <v>0</v>
      </c>
      <c r="K127" s="6">
        <v>0</v>
      </c>
      <c r="L127" s="6">
        <v>435.51400000000001</v>
      </c>
      <c r="M127" s="6">
        <v>435.51400000000001</v>
      </c>
      <c r="N127" s="6">
        <v>435.51400000000001</v>
      </c>
      <c r="O127" s="6">
        <v>435.51400000000001</v>
      </c>
      <c r="P127" s="6">
        <v>0</v>
      </c>
      <c r="Q127" s="4" t="s">
        <v>26</v>
      </c>
      <c r="R127" s="4">
        <v>0</v>
      </c>
      <c r="S127" s="4" t="s">
        <v>125</v>
      </c>
      <c r="T127" s="4" t="s">
        <v>378</v>
      </c>
      <c r="U127" s="4">
        <v>0</v>
      </c>
      <c r="V127" s="4">
        <v>8</v>
      </c>
      <c r="W127" s="4">
        <v>49</v>
      </c>
    </row>
    <row r="128" spans="1:23" ht="11.25" customHeight="1" x14ac:dyDescent="0.25">
      <c r="A128" s="4" t="s">
        <v>28</v>
      </c>
      <c r="B128" s="4" t="s">
        <v>33</v>
      </c>
      <c r="C128" s="4" t="s">
        <v>34</v>
      </c>
      <c r="D128" s="4" t="s">
        <v>40</v>
      </c>
      <c r="E128" s="4" t="s">
        <v>25</v>
      </c>
      <c r="F128" s="4" t="s">
        <v>25</v>
      </c>
      <c r="G128" s="4" t="s">
        <v>25</v>
      </c>
      <c r="H128" s="4" t="s">
        <v>36</v>
      </c>
      <c r="I128" s="5">
        <v>44501</v>
      </c>
      <c r="J128" s="6">
        <v>0</v>
      </c>
      <c r="K128" s="6">
        <v>0</v>
      </c>
      <c r="L128" s="6">
        <v>28.448</v>
      </c>
      <c r="M128" s="6">
        <v>28.448</v>
      </c>
      <c r="N128" s="6">
        <v>28.448</v>
      </c>
      <c r="O128" s="6">
        <v>28.448</v>
      </c>
      <c r="P128" s="6">
        <v>0</v>
      </c>
      <c r="Q128" s="4" t="s">
        <v>26</v>
      </c>
      <c r="R128" s="4">
        <v>0</v>
      </c>
      <c r="S128" s="4" t="s">
        <v>125</v>
      </c>
      <c r="T128" s="4" t="s">
        <v>378</v>
      </c>
      <c r="U128" s="4">
        <v>0</v>
      </c>
      <c r="V128" s="4">
        <v>8</v>
      </c>
      <c r="W128" s="4">
        <v>49</v>
      </c>
    </row>
    <row r="129" spans="1:23" ht="11.25" customHeight="1" x14ac:dyDescent="0.25">
      <c r="A129" s="4" t="s">
        <v>21</v>
      </c>
      <c r="B129" s="4" t="s">
        <v>33</v>
      </c>
      <c r="C129" s="4" t="s">
        <v>34</v>
      </c>
      <c r="D129" s="4" t="s">
        <v>40</v>
      </c>
      <c r="E129" s="4" t="s">
        <v>25</v>
      </c>
      <c r="F129" s="4" t="s">
        <v>25</v>
      </c>
      <c r="G129" s="4" t="s">
        <v>25</v>
      </c>
      <c r="H129" s="4" t="s">
        <v>36</v>
      </c>
      <c r="I129" s="5">
        <v>44531</v>
      </c>
      <c r="J129" s="6">
        <v>0</v>
      </c>
      <c r="K129" s="6">
        <v>0</v>
      </c>
      <c r="L129" s="6">
        <v>389.58300000000003</v>
      </c>
      <c r="M129" s="6">
        <v>389.58300000000003</v>
      </c>
      <c r="N129" s="6">
        <v>389.58300000000003</v>
      </c>
      <c r="O129" s="6">
        <v>389.58300000000003</v>
      </c>
      <c r="P129" s="6">
        <v>0</v>
      </c>
      <c r="Q129" s="4" t="s">
        <v>26</v>
      </c>
      <c r="R129" s="4">
        <v>0</v>
      </c>
      <c r="S129" s="4" t="s">
        <v>126</v>
      </c>
      <c r="T129" s="4" t="s">
        <v>379</v>
      </c>
      <c r="U129" s="4">
        <v>0</v>
      </c>
      <c r="V129" s="4">
        <v>8</v>
      </c>
      <c r="W129" s="4">
        <v>49</v>
      </c>
    </row>
    <row r="130" spans="1:23" ht="11.25" customHeight="1" x14ac:dyDescent="0.25">
      <c r="A130" s="4" t="s">
        <v>28</v>
      </c>
      <c r="B130" s="4" t="s">
        <v>33</v>
      </c>
      <c r="C130" s="4" t="s">
        <v>34</v>
      </c>
      <c r="D130" s="4" t="s">
        <v>40</v>
      </c>
      <c r="E130" s="4" t="s">
        <v>25</v>
      </c>
      <c r="F130" s="4" t="s">
        <v>25</v>
      </c>
      <c r="G130" s="4" t="s">
        <v>25</v>
      </c>
      <c r="H130" s="4" t="s">
        <v>36</v>
      </c>
      <c r="I130" s="5">
        <v>44531</v>
      </c>
      <c r="J130" s="6">
        <v>0</v>
      </c>
      <c r="K130" s="6">
        <v>0</v>
      </c>
      <c r="L130" s="6">
        <v>36.752000000000002</v>
      </c>
      <c r="M130" s="6">
        <v>36.752000000000002</v>
      </c>
      <c r="N130" s="6">
        <v>36.752000000000002</v>
      </c>
      <c r="O130" s="6">
        <v>36.752000000000002</v>
      </c>
      <c r="P130" s="6">
        <v>0</v>
      </c>
      <c r="Q130" s="4" t="s">
        <v>26</v>
      </c>
      <c r="R130" s="4">
        <v>0</v>
      </c>
      <c r="S130" s="4" t="s">
        <v>126</v>
      </c>
      <c r="T130" s="4" t="s">
        <v>379</v>
      </c>
      <c r="U130" s="4">
        <v>0</v>
      </c>
      <c r="V130" s="4">
        <v>8</v>
      </c>
      <c r="W130" s="4">
        <v>49</v>
      </c>
    </row>
    <row r="131" spans="1:23" ht="11.25" customHeight="1" x14ac:dyDescent="0.25">
      <c r="A131" s="4" t="s">
        <v>21</v>
      </c>
      <c r="B131" s="4" t="s">
        <v>33</v>
      </c>
      <c r="C131" s="4" t="s">
        <v>34</v>
      </c>
      <c r="D131" s="4" t="s">
        <v>40</v>
      </c>
      <c r="E131" s="4" t="s">
        <v>25</v>
      </c>
      <c r="F131" s="4" t="s">
        <v>25</v>
      </c>
      <c r="G131" s="4" t="s">
        <v>25</v>
      </c>
      <c r="H131" s="4" t="s">
        <v>36</v>
      </c>
      <c r="I131" s="5">
        <v>44562</v>
      </c>
      <c r="J131" s="6">
        <v>0</v>
      </c>
      <c r="K131" s="6">
        <v>0</v>
      </c>
      <c r="L131" s="6">
        <v>402.30700000000002</v>
      </c>
      <c r="M131" s="6">
        <v>402.30700000000002</v>
      </c>
      <c r="N131" s="6">
        <v>402.30700000000002</v>
      </c>
      <c r="O131" s="6">
        <v>402.30700000000002</v>
      </c>
      <c r="P131" s="6">
        <v>0</v>
      </c>
      <c r="Q131" s="4" t="s">
        <v>26</v>
      </c>
      <c r="R131" s="4">
        <v>0</v>
      </c>
      <c r="S131" s="4" t="s">
        <v>127</v>
      </c>
      <c r="T131" s="4" t="s">
        <v>380</v>
      </c>
      <c r="U131" s="4">
        <v>0</v>
      </c>
      <c r="V131" s="4">
        <v>8</v>
      </c>
      <c r="W131" s="4">
        <v>49</v>
      </c>
    </row>
    <row r="132" spans="1:23" ht="11.25" customHeight="1" x14ac:dyDescent="0.25">
      <c r="A132" s="4" t="s">
        <v>28</v>
      </c>
      <c r="B132" s="4" t="s">
        <v>33</v>
      </c>
      <c r="C132" s="4" t="s">
        <v>34</v>
      </c>
      <c r="D132" s="4" t="s">
        <v>40</v>
      </c>
      <c r="E132" s="4" t="s">
        <v>25</v>
      </c>
      <c r="F132" s="4" t="s">
        <v>25</v>
      </c>
      <c r="G132" s="4" t="s">
        <v>25</v>
      </c>
      <c r="H132" s="4" t="s">
        <v>36</v>
      </c>
      <c r="I132" s="5">
        <v>44562</v>
      </c>
      <c r="J132" s="6">
        <v>0</v>
      </c>
      <c r="K132" s="6">
        <v>0</v>
      </c>
      <c r="L132" s="6">
        <v>41.837000000000003</v>
      </c>
      <c r="M132" s="6">
        <v>41.837000000000003</v>
      </c>
      <c r="N132" s="6">
        <v>41.837000000000003</v>
      </c>
      <c r="O132" s="6">
        <v>41.837000000000003</v>
      </c>
      <c r="P132" s="6">
        <v>0</v>
      </c>
      <c r="Q132" s="4" t="s">
        <v>26</v>
      </c>
      <c r="R132" s="4">
        <v>0</v>
      </c>
      <c r="S132" s="4" t="s">
        <v>127</v>
      </c>
      <c r="T132" s="4" t="s">
        <v>380</v>
      </c>
      <c r="U132" s="4">
        <v>0</v>
      </c>
      <c r="V132" s="4">
        <v>8</v>
      </c>
      <c r="W132" s="4">
        <v>49</v>
      </c>
    </row>
    <row r="133" spans="1:23" ht="11.25" customHeight="1" x14ac:dyDescent="0.25">
      <c r="A133" s="4" t="s">
        <v>21</v>
      </c>
      <c r="B133" s="4" t="s">
        <v>33</v>
      </c>
      <c r="C133" s="4" t="s">
        <v>34</v>
      </c>
      <c r="D133" s="4" t="s">
        <v>40</v>
      </c>
      <c r="E133" s="4" t="s">
        <v>25</v>
      </c>
      <c r="F133" s="4" t="s">
        <v>25</v>
      </c>
      <c r="G133" s="4" t="s">
        <v>25</v>
      </c>
      <c r="H133" s="4" t="s">
        <v>36</v>
      </c>
      <c r="I133" s="5">
        <v>44593</v>
      </c>
      <c r="J133" s="6">
        <v>0</v>
      </c>
      <c r="K133" s="6">
        <v>0</v>
      </c>
      <c r="L133" s="6">
        <v>396.483</v>
      </c>
      <c r="M133" s="6">
        <v>396.483</v>
      </c>
      <c r="N133" s="6">
        <v>396.483</v>
      </c>
      <c r="O133" s="6">
        <v>396.483</v>
      </c>
      <c r="P133" s="6">
        <v>0</v>
      </c>
      <c r="Q133" s="4" t="s">
        <v>26</v>
      </c>
      <c r="R133" s="4">
        <v>0</v>
      </c>
      <c r="S133" s="4" t="s">
        <v>128</v>
      </c>
      <c r="T133" s="4" t="s">
        <v>381</v>
      </c>
      <c r="U133" s="4">
        <v>0</v>
      </c>
      <c r="V133" s="4">
        <v>8</v>
      </c>
      <c r="W133" s="4">
        <v>49</v>
      </c>
    </row>
    <row r="134" spans="1:23" ht="11.25" customHeight="1" x14ac:dyDescent="0.25">
      <c r="A134" s="4" t="s">
        <v>28</v>
      </c>
      <c r="B134" s="4" t="s">
        <v>33</v>
      </c>
      <c r="C134" s="4" t="s">
        <v>34</v>
      </c>
      <c r="D134" s="4" t="s">
        <v>40</v>
      </c>
      <c r="E134" s="4" t="s">
        <v>25</v>
      </c>
      <c r="F134" s="4" t="s">
        <v>25</v>
      </c>
      <c r="G134" s="4" t="s">
        <v>25</v>
      </c>
      <c r="H134" s="4" t="s">
        <v>36</v>
      </c>
      <c r="I134" s="5">
        <v>44593</v>
      </c>
      <c r="J134" s="6">
        <v>0</v>
      </c>
      <c r="K134" s="6">
        <v>0</v>
      </c>
      <c r="L134" s="6">
        <v>39.941000000000003</v>
      </c>
      <c r="M134" s="6">
        <v>39.941000000000003</v>
      </c>
      <c r="N134" s="6">
        <v>39.941000000000003</v>
      </c>
      <c r="O134" s="6">
        <v>39.941000000000003</v>
      </c>
      <c r="P134" s="6">
        <v>0</v>
      </c>
      <c r="Q134" s="4" t="s">
        <v>26</v>
      </c>
      <c r="R134" s="4">
        <v>0</v>
      </c>
      <c r="S134" s="4" t="s">
        <v>128</v>
      </c>
      <c r="T134" s="4" t="s">
        <v>381</v>
      </c>
      <c r="U134" s="4">
        <v>0</v>
      </c>
      <c r="V134" s="4">
        <v>8</v>
      </c>
      <c r="W134" s="4">
        <v>49</v>
      </c>
    </row>
    <row r="135" spans="1:23" ht="11.25" customHeight="1" x14ac:dyDescent="0.25">
      <c r="A135" s="4" t="s">
        <v>21</v>
      </c>
      <c r="B135" s="4" t="s">
        <v>33</v>
      </c>
      <c r="C135" s="4" t="s">
        <v>34</v>
      </c>
      <c r="D135" s="4" t="s">
        <v>40</v>
      </c>
      <c r="E135" s="4" t="s">
        <v>25</v>
      </c>
      <c r="F135" s="4" t="s">
        <v>25</v>
      </c>
      <c r="G135" s="4" t="s">
        <v>25</v>
      </c>
      <c r="H135" s="4" t="s">
        <v>36</v>
      </c>
      <c r="I135" s="5">
        <v>44621</v>
      </c>
      <c r="J135" s="6">
        <v>0</v>
      </c>
      <c r="K135" s="6">
        <v>0</v>
      </c>
      <c r="L135" s="6">
        <v>460.94200000000001</v>
      </c>
      <c r="M135" s="6">
        <v>460.94200000000001</v>
      </c>
      <c r="N135" s="6">
        <v>460.94200000000001</v>
      </c>
      <c r="O135" s="6">
        <v>460.94200000000001</v>
      </c>
      <c r="P135" s="6">
        <v>0</v>
      </c>
      <c r="Q135" s="4" t="s">
        <v>26</v>
      </c>
      <c r="R135" s="4">
        <v>0</v>
      </c>
      <c r="S135" s="4" t="s">
        <v>129</v>
      </c>
      <c r="T135" s="4" t="s">
        <v>382</v>
      </c>
      <c r="U135" s="4">
        <v>0</v>
      </c>
      <c r="V135" s="4">
        <v>8</v>
      </c>
      <c r="W135" s="4">
        <v>49</v>
      </c>
    </row>
    <row r="136" spans="1:23" ht="11.25" customHeight="1" x14ac:dyDescent="0.25">
      <c r="A136" s="4" t="s">
        <v>28</v>
      </c>
      <c r="B136" s="4" t="s">
        <v>33</v>
      </c>
      <c r="C136" s="4" t="s">
        <v>34</v>
      </c>
      <c r="D136" s="4" t="s">
        <v>40</v>
      </c>
      <c r="E136" s="4" t="s">
        <v>25</v>
      </c>
      <c r="F136" s="4" t="s">
        <v>25</v>
      </c>
      <c r="G136" s="4" t="s">
        <v>25</v>
      </c>
      <c r="H136" s="4" t="s">
        <v>36</v>
      </c>
      <c r="I136" s="5">
        <v>44621</v>
      </c>
      <c r="J136" s="6">
        <v>0</v>
      </c>
      <c r="K136" s="6">
        <v>0</v>
      </c>
      <c r="L136" s="6">
        <v>49.756</v>
      </c>
      <c r="M136" s="6">
        <v>49.756</v>
      </c>
      <c r="N136" s="6">
        <v>49.756</v>
      </c>
      <c r="O136" s="6">
        <v>49.756</v>
      </c>
      <c r="P136" s="6">
        <v>0</v>
      </c>
      <c r="Q136" s="4" t="s">
        <v>26</v>
      </c>
      <c r="R136" s="4">
        <v>0</v>
      </c>
      <c r="S136" s="4" t="s">
        <v>129</v>
      </c>
      <c r="T136" s="4" t="s">
        <v>382</v>
      </c>
      <c r="U136" s="4">
        <v>0</v>
      </c>
      <c r="V136" s="4">
        <v>8</v>
      </c>
      <c r="W136" s="4">
        <v>49</v>
      </c>
    </row>
    <row r="137" spans="1:23" ht="11.25" customHeight="1" x14ac:dyDescent="0.25">
      <c r="A137" s="4" t="s">
        <v>21</v>
      </c>
      <c r="B137" s="4" t="s">
        <v>33</v>
      </c>
      <c r="C137" s="4" t="s">
        <v>34</v>
      </c>
      <c r="D137" s="4" t="s">
        <v>40</v>
      </c>
      <c r="E137" s="4" t="s">
        <v>25</v>
      </c>
      <c r="F137" s="4" t="s">
        <v>25</v>
      </c>
      <c r="G137" s="4" t="s">
        <v>25</v>
      </c>
      <c r="H137" s="4" t="s">
        <v>36</v>
      </c>
      <c r="I137" s="5">
        <v>44652</v>
      </c>
      <c r="J137" s="6">
        <v>0</v>
      </c>
      <c r="K137" s="6">
        <v>0</v>
      </c>
      <c r="L137" s="6">
        <v>400.85599999999999</v>
      </c>
      <c r="M137" s="6">
        <v>400.85599999999999</v>
      </c>
      <c r="N137" s="6">
        <v>400.85599999999999</v>
      </c>
      <c r="O137" s="6">
        <v>400.85599999999999</v>
      </c>
      <c r="P137" s="6">
        <v>0</v>
      </c>
      <c r="Q137" s="4" t="s">
        <v>26</v>
      </c>
      <c r="R137" s="4">
        <v>0</v>
      </c>
      <c r="S137" s="4" t="s">
        <v>130</v>
      </c>
      <c r="T137" s="4" t="s">
        <v>383</v>
      </c>
      <c r="U137" s="4">
        <v>0</v>
      </c>
      <c r="V137" s="4">
        <v>8</v>
      </c>
      <c r="W137" s="4">
        <v>49</v>
      </c>
    </row>
    <row r="138" spans="1:23" ht="11.25" customHeight="1" x14ac:dyDescent="0.25">
      <c r="A138" s="4" t="s">
        <v>21</v>
      </c>
      <c r="B138" s="4" t="s">
        <v>33</v>
      </c>
      <c r="C138" s="4" t="s">
        <v>34</v>
      </c>
      <c r="D138" s="4" t="s">
        <v>40</v>
      </c>
      <c r="E138" s="4" t="s">
        <v>25</v>
      </c>
      <c r="F138" s="4" t="s">
        <v>25</v>
      </c>
      <c r="G138" s="4" t="s">
        <v>25</v>
      </c>
      <c r="H138" s="4" t="s">
        <v>25</v>
      </c>
      <c r="I138" s="5">
        <v>44317</v>
      </c>
      <c r="J138" s="6">
        <v>5980</v>
      </c>
      <c r="K138" s="6">
        <v>5980</v>
      </c>
      <c r="L138" s="6">
        <v>0</v>
      </c>
      <c r="M138" s="6">
        <v>0</v>
      </c>
      <c r="N138" s="6">
        <v>0</v>
      </c>
      <c r="O138" s="6">
        <v>0</v>
      </c>
      <c r="P138" s="6">
        <v>28</v>
      </c>
      <c r="Q138" s="4" t="s">
        <v>26</v>
      </c>
      <c r="R138" s="4">
        <v>0</v>
      </c>
      <c r="S138" s="4" t="s">
        <v>131</v>
      </c>
      <c r="U138" s="4">
        <v>6</v>
      </c>
      <c r="V138" s="4">
        <v>0</v>
      </c>
      <c r="W138" s="4">
        <v>0</v>
      </c>
    </row>
    <row r="139" spans="1:23" ht="11.25" customHeight="1" x14ac:dyDescent="0.25">
      <c r="A139" s="4" t="s">
        <v>28</v>
      </c>
      <c r="B139" s="4" t="s">
        <v>33</v>
      </c>
      <c r="C139" s="4" t="s">
        <v>34</v>
      </c>
      <c r="D139" s="4" t="s">
        <v>40</v>
      </c>
      <c r="E139" s="4" t="s">
        <v>25</v>
      </c>
      <c r="F139" s="4" t="s">
        <v>25</v>
      </c>
      <c r="G139" s="4" t="s">
        <v>25</v>
      </c>
      <c r="H139" s="4" t="s">
        <v>25</v>
      </c>
      <c r="I139" s="5">
        <v>44317</v>
      </c>
      <c r="J139" s="6">
        <v>300</v>
      </c>
      <c r="K139" s="6">
        <v>300</v>
      </c>
      <c r="L139" s="6">
        <v>0</v>
      </c>
      <c r="M139" s="6">
        <v>0</v>
      </c>
      <c r="N139" s="6">
        <v>0</v>
      </c>
      <c r="O139" s="6">
        <v>0</v>
      </c>
      <c r="P139" s="6">
        <v>1</v>
      </c>
      <c r="Q139" s="4" t="s">
        <v>26</v>
      </c>
      <c r="R139" s="4">
        <v>0</v>
      </c>
      <c r="S139" s="4" t="s">
        <v>131</v>
      </c>
      <c r="U139" s="4">
        <v>6</v>
      </c>
      <c r="V139" s="4">
        <v>0</v>
      </c>
      <c r="W139" s="4">
        <v>0</v>
      </c>
    </row>
    <row r="140" spans="1:23" ht="11.25" customHeight="1" x14ac:dyDescent="0.25">
      <c r="A140" s="4" t="s">
        <v>21</v>
      </c>
      <c r="B140" s="4" t="s">
        <v>33</v>
      </c>
      <c r="C140" s="4" t="s">
        <v>34</v>
      </c>
      <c r="D140" s="4" t="s">
        <v>40</v>
      </c>
      <c r="E140" s="4" t="s">
        <v>25</v>
      </c>
      <c r="F140" s="4" t="s">
        <v>25</v>
      </c>
      <c r="G140" s="4" t="s">
        <v>25</v>
      </c>
      <c r="H140" s="4" t="s">
        <v>25</v>
      </c>
      <c r="I140" s="5">
        <v>44348</v>
      </c>
      <c r="J140" s="6">
        <v>4945</v>
      </c>
      <c r="K140" s="6">
        <v>4945</v>
      </c>
      <c r="L140" s="6">
        <v>0</v>
      </c>
      <c r="M140" s="6">
        <v>0</v>
      </c>
      <c r="N140" s="6">
        <v>0</v>
      </c>
      <c r="O140" s="6">
        <v>0</v>
      </c>
      <c r="P140" s="6">
        <v>27</v>
      </c>
      <c r="Q140" s="4" t="s">
        <v>26</v>
      </c>
      <c r="R140" s="4">
        <v>0</v>
      </c>
      <c r="S140" s="4" t="s">
        <v>132</v>
      </c>
      <c r="U140" s="4">
        <v>6</v>
      </c>
      <c r="V140" s="4">
        <v>0</v>
      </c>
      <c r="W140" s="4">
        <v>0</v>
      </c>
    </row>
    <row r="141" spans="1:23" ht="11.25" customHeight="1" x14ac:dyDescent="0.25">
      <c r="A141" s="4" t="s">
        <v>28</v>
      </c>
      <c r="B141" s="4" t="s">
        <v>33</v>
      </c>
      <c r="C141" s="4" t="s">
        <v>34</v>
      </c>
      <c r="D141" s="4" t="s">
        <v>40</v>
      </c>
      <c r="E141" s="4" t="s">
        <v>25</v>
      </c>
      <c r="F141" s="4" t="s">
        <v>25</v>
      </c>
      <c r="G141" s="4" t="s">
        <v>25</v>
      </c>
      <c r="H141" s="4" t="s">
        <v>25</v>
      </c>
      <c r="I141" s="5">
        <v>44348</v>
      </c>
      <c r="J141" s="6">
        <v>300</v>
      </c>
      <c r="K141" s="6">
        <v>300</v>
      </c>
      <c r="L141" s="6">
        <v>0</v>
      </c>
      <c r="M141" s="6">
        <v>0</v>
      </c>
      <c r="N141" s="6">
        <v>0</v>
      </c>
      <c r="O141" s="6">
        <v>0</v>
      </c>
      <c r="P141" s="6">
        <v>1</v>
      </c>
      <c r="Q141" s="4" t="s">
        <v>26</v>
      </c>
      <c r="R141" s="4">
        <v>0</v>
      </c>
      <c r="S141" s="4" t="s">
        <v>132</v>
      </c>
      <c r="U141" s="4">
        <v>6</v>
      </c>
      <c r="V141" s="4">
        <v>0</v>
      </c>
      <c r="W141" s="4">
        <v>0</v>
      </c>
    </row>
    <row r="142" spans="1:23" ht="11.25" customHeight="1" x14ac:dyDescent="0.25">
      <c r="A142" s="4" t="s">
        <v>21</v>
      </c>
      <c r="B142" s="4" t="s">
        <v>33</v>
      </c>
      <c r="C142" s="4" t="s">
        <v>34</v>
      </c>
      <c r="D142" s="4" t="s">
        <v>40</v>
      </c>
      <c r="E142" s="4" t="s">
        <v>25</v>
      </c>
      <c r="F142" s="4" t="s">
        <v>25</v>
      </c>
      <c r="G142" s="4" t="s">
        <v>25</v>
      </c>
      <c r="H142" s="4" t="s">
        <v>25</v>
      </c>
      <c r="I142" s="5">
        <v>44378</v>
      </c>
      <c r="J142" s="6">
        <v>3859</v>
      </c>
      <c r="K142" s="6">
        <v>3859</v>
      </c>
      <c r="L142" s="6">
        <v>0</v>
      </c>
      <c r="M142" s="6">
        <v>0</v>
      </c>
      <c r="N142" s="6">
        <v>0</v>
      </c>
      <c r="O142" s="6">
        <v>0</v>
      </c>
      <c r="P142" s="6">
        <v>26</v>
      </c>
      <c r="Q142" s="4" t="s">
        <v>26</v>
      </c>
      <c r="R142" s="4">
        <v>0</v>
      </c>
      <c r="S142" s="4" t="s">
        <v>133</v>
      </c>
      <c r="U142" s="4">
        <v>6</v>
      </c>
      <c r="V142" s="4">
        <v>0</v>
      </c>
      <c r="W142" s="4">
        <v>0</v>
      </c>
    </row>
    <row r="143" spans="1:23" ht="11.25" customHeight="1" x14ac:dyDescent="0.25">
      <c r="A143" s="4" t="s">
        <v>28</v>
      </c>
      <c r="B143" s="4" t="s">
        <v>33</v>
      </c>
      <c r="C143" s="4" t="s">
        <v>34</v>
      </c>
      <c r="D143" s="4" t="s">
        <v>40</v>
      </c>
      <c r="E143" s="4" t="s">
        <v>25</v>
      </c>
      <c r="F143" s="4" t="s">
        <v>25</v>
      </c>
      <c r="G143" s="4" t="s">
        <v>25</v>
      </c>
      <c r="H143" s="4" t="s">
        <v>25</v>
      </c>
      <c r="I143" s="5">
        <v>44378</v>
      </c>
      <c r="J143" s="6">
        <v>300</v>
      </c>
      <c r="K143" s="6">
        <v>300</v>
      </c>
      <c r="L143" s="6">
        <v>0</v>
      </c>
      <c r="M143" s="6">
        <v>0</v>
      </c>
      <c r="N143" s="6">
        <v>0</v>
      </c>
      <c r="O143" s="6">
        <v>0</v>
      </c>
      <c r="P143" s="6">
        <v>1</v>
      </c>
      <c r="Q143" s="4" t="s">
        <v>26</v>
      </c>
      <c r="R143" s="4">
        <v>0</v>
      </c>
      <c r="S143" s="4" t="s">
        <v>133</v>
      </c>
      <c r="U143" s="4">
        <v>6</v>
      </c>
      <c r="V143" s="4">
        <v>0</v>
      </c>
      <c r="W143" s="4">
        <v>0</v>
      </c>
    </row>
    <row r="144" spans="1:23" ht="11.25" customHeight="1" x14ac:dyDescent="0.25">
      <c r="A144" s="4" t="s">
        <v>21</v>
      </c>
      <c r="B144" s="4" t="s">
        <v>33</v>
      </c>
      <c r="C144" s="4" t="s">
        <v>34</v>
      </c>
      <c r="D144" s="4" t="s">
        <v>40</v>
      </c>
      <c r="E144" s="4" t="s">
        <v>25</v>
      </c>
      <c r="F144" s="4" t="s">
        <v>25</v>
      </c>
      <c r="G144" s="4" t="s">
        <v>25</v>
      </c>
      <c r="H144" s="4" t="s">
        <v>25</v>
      </c>
      <c r="I144" s="5">
        <v>44409</v>
      </c>
      <c r="J144" s="6">
        <v>4018</v>
      </c>
      <c r="K144" s="6">
        <v>4018</v>
      </c>
      <c r="L144" s="6">
        <v>0</v>
      </c>
      <c r="M144" s="6">
        <v>0</v>
      </c>
      <c r="N144" s="6">
        <v>0</v>
      </c>
      <c r="O144" s="6">
        <v>0</v>
      </c>
      <c r="P144" s="6">
        <v>28</v>
      </c>
      <c r="Q144" s="4" t="s">
        <v>26</v>
      </c>
      <c r="R144" s="4">
        <v>0</v>
      </c>
      <c r="S144" s="4" t="s">
        <v>134</v>
      </c>
      <c r="U144" s="4">
        <v>6</v>
      </c>
      <c r="V144" s="4">
        <v>0</v>
      </c>
      <c r="W144" s="4">
        <v>0</v>
      </c>
    </row>
    <row r="145" spans="1:23" ht="11.25" customHeight="1" x14ac:dyDescent="0.25">
      <c r="A145" s="4" t="s">
        <v>28</v>
      </c>
      <c r="B145" s="4" t="s">
        <v>33</v>
      </c>
      <c r="C145" s="4" t="s">
        <v>34</v>
      </c>
      <c r="D145" s="4" t="s">
        <v>40</v>
      </c>
      <c r="E145" s="4" t="s">
        <v>25</v>
      </c>
      <c r="F145" s="4" t="s">
        <v>25</v>
      </c>
      <c r="G145" s="4" t="s">
        <v>25</v>
      </c>
      <c r="H145" s="4" t="s">
        <v>25</v>
      </c>
      <c r="I145" s="5">
        <v>44409</v>
      </c>
      <c r="J145" s="6">
        <v>300</v>
      </c>
      <c r="K145" s="6">
        <v>300</v>
      </c>
      <c r="L145" s="6">
        <v>0</v>
      </c>
      <c r="M145" s="6">
        <v>0</v>
      </c>
      <c r="N145" s="6">
        <v>0</v>
      </c>
      <c r="O145" s="6">
        <v>0</v>
      </c>
      <c r="P145" s="6">
        <v>1</v>
      </c>
      <c r="Q145" s="4" t="s">
        <v>26</v>
      </c>
      <c r="R145" s="4">
        <v>0</v>
      </c>
      <c r="S145" s="4" t="s">
        <v>134</v>
      </c>
      <c r="U145" s="4">
        <v>6</v>
      </c>
      <c r="V145" s="4">
        <v>0</v>
      </c>
      <c r="W145" s="4">
        <v>0</v>
      </c>
    </row>
    <row r="146" spans="1:23" ht="11.25" customHeight="1" x14ac:dyDescent="0.25">
      <c r="A146" s="4" t="s">
        <v>21</v>
      </c>
      <c r="B146" s="4" t="s">
        <v>33</v>
      </c>
      <c r="C146" s="4" t="s">
        <v>34</v>
      </c>
      <c r="D146" s="4" t="s">
        <v>40</v>
      </c>
      <c r="E146" s="4" t="s">
        <v>25</v>
      </c>
      <c r="F146" s="4" t="s">
        <v>25</v>
      </c>
      <c r="G146" s="4" t="s">
        <v>25</v>
      </c>
      <c r="H146" s="4" t="s">
        <v>25</v>
      </c>
      <c r="I146" s="5">
        <v>44440</v>
      </c>
      <c r="J146" s="6">
        <v>3998</v>
      </c>
      <c r="K146" s="6">
        <v>3998</v>
      </c>
      <c r="L146" s="6">
        <v>0</v>
      </c>
      <c r="M146" s="6">
        <v>0</v>
      </c>
      <c r="N146" s="6">
        <v>0</v>
      </c>
      <c r="O146" s="6">
        <v>0</v>
      </c>
      <c r="P146" s="6">
        <v>29</v>
      </c>
      <c r="Q146" s="4" t="s">
        <v>26</v>
      </c>
      <c r="R146" s="4">
        <v>0</v>
      </c>
      <c r="S146" s="4" t="s">
        <v>135</v>
      </c>
      <c r="U146" s="4">
        <v>6</v>
      </c>
      <c r="V146" s="4">
        <v>0</v>
      </c>
      <c r="W146" s="4">
        <v>0</v>
      </c>
    </row>
    <row r="147" spans="1:23" ht="11.25" customHeight="1" x14ac:dyDescent="0.25">
      <c r="A147" s="4" t="s">
        <v>28</v>
      </c>
      <c r="B147" s="4" t="s">
        <v>33</v>
      </c>
      <c r="C147" s="4" t="s">
        <v>34</v>
      </c>
      <c r="D147" s="4" t="s">
        <v>40</v>
      </c>
      <c r="E147" s="4" t="s">
        <v>25</v>
      </c>
      <c r="F147" s="4" t="s">
        <v>25</v>
      </c>
      <c r="G147" s="4" t="s">
        <v>25</v>
      </c>
      <c r="H147" s="4" t="s">
        <v>25</v>
      </c>
      <c r="I147" s="5">
        <v>44440</v>
      </c>
      <c r="J147" s="6">
        <v>300</v>
      </c>
      <c r="K147" s="6">
        <v>300</v>
      </c>
      <c r="L147" s="6">
        <v>0</v>
      </c>
      <c r="M147" s="6">
        <v>0</v>
      </c>
      <c r="N147" s="6">
        <v>0</v>
      </c>
      <c r="O147" s="6">
        <v>0</v>
      </c>
      <c r="P147" s="6">
        <v>1</v>
      </c>
      <c r="Q147" s="4" t="s">
        <v>26</v>
      </c>
      <c r="R147" s="4">
        <v>0</v>
      </c>
      <c r="S147" s="4" t="s">
        <v>135</v>
      </c>
      <c r="U147" s="4">
        <v>6</v>
      </c>
      <c r="V147" s="4">
        <v>0</v>
      </c>
      <c r="W147" s="4">
        <v>0</v>
      </c>
    </row>
    <row r="148" spans="1:23" ht="11.25" customHeight="1" x14ac:dyDescent="0.25">
      <c r="A148" s="4" t="s">
        <v>21</v>
      </c>
      <c r="B148" s="4" t="s">
        <v>33</v>
      </c>
      <c r="C148" s="4" t="s">
        <v>34</v>
      </c>
      <c r="D148" s="4" t="s">
        <v>40</v>
      </c>
      <c r="E148" s="4" t="s">
        <v>25</v>
      </c>
      <c r="F148" s="4" t="s">
        <v>25</v>
      </c>
      <c r="G148" s="4" t="s">
        <v>25</v>
      </c>
      <c r="H148" s="4" t="s">
        <v>25</v>
      </c>
      <c r="I148" s="5">
        <v>44470</v>
      </c>
      <c r="J148" s="6">
        <v>4203</v>
      </c>
      <c r="K148" s="6">
        <v>4203</v>
      </c>
      <c r="L148" s="6">
        <v>0</v>
      </c>
      <c r="M148" s="6">
        <v>0</v>
      </c>
      <c r="N148" s="6">
        <v>0</v>
      </c>
      <c r="O148" s="6">
        <v>0</v>
      </c>
      <c r="P148" s="6">
        <v>30</v>
      </c>
      <c r="Q148" s="4" t="s">
        <v>26</v>
      </c>
      <c r="R148" s="4">
        <v>0</v>
      </c>
      <c r="S148" s="4" t="s">
        <v>136</v>
      </c>
      <c r="U148" s="4">
        <v>6</v>
      </c>
      <c r="V148" s="4">
        <v>0</v>
      </c>
      <c r="W148" s="4">
        <v>0</v>
      </c>
    </row>
    <row r="149" spans="1:23" ht="11.25" customHeight="1" x14ac:dyDescent="0.25">
      <c r="A149" s="4" t="s">
        <v>28</v>
      </c>
      <c r="B149" s="4" t="s">
        <v>33</v>
      </c>
      <c r="C149" s="4" t="s">
        <v>34</v>
      </c>
      <c r="D149" s="4" t="s">
        <v>40</v>
      </c>
      <c r="E149" s="4" t="s">
        <v>25</v>
      </c>
      <c r="F149" s="4" t="s">
        <v>25</v>
      </c>
      <c r="G149" s="4" t="s">
        <v>25</v>
      </c>
      <c r="H149" s="4" t="s">
        <v>25</v>
      </c>
      <c r="I149" s="5">
        <v>44470</v>
      </c>
      <c r="J149" s="6">
        <v>345</v>
      </c>
      <c r="K149" s="6">
        <v>345</v>
      </c>
      <c r="L149" s="6">
        <v>0</v>
      </c>
      <c r="M149" s="6">
        <v>0</v>
      </c>
      <c r="N149" s="6">
        <v>0</v>
      </c>
      <c r="O149" s="6">
        <v>0</v>
      </c>
      <c r="P149" s="6">
        <v>2</v>
      </c>
      <c r="Q149" s="4" t="s">
        <v>26</v>
      </c>
      <c r="R149" s="4">
        <v>0</v>
      </c>
      <c r="S149" s="4" t="s">
        <v>136</v>
      </c>
      <c r="U149" s="4">
        <v>6</v>
      </c>
      <c r="V149" s="4">
        <v>0</v>
      </c>
      <c r="W149" s="4">
        <v>0</v>
      </c>
    </row>
    <row r="150" spans="1:23" ht="11.25" customHeight="1" x14ac:dyDescent="0.25">
      <c r="A150" s="4" t="s">
        <v>21</v>
      </c>
      <c r="B150" s="4" t="s">
        <v>33</v>
      </c>
      <c r="C150" s="4" t="s">
        <v>34</v>
      </c>
      <c r="D150" s="4" t="s">
        <v>40</v>
      </c>
      <c r="E150" s="4" t="s">
        <v>25</v>
      </c>
      <c r="F150" s="4" t="s">
        <v>25</v>
      </c>
      <c r="G150" s="4" t="s">
        <v>25</v>
      </c>
      <c r="H150" s="4" t="s">
        <v>25</v>
      </c>
      <c r="I150" s="5">
        <v>44501</v>
      </c>
      <c r="J150" s="6">
        <v>3737</v>
      </c>
      <c r="K150" s="6">
        <v>3737</v>
      </c>
      <c r="L150" s="6">
        <v>0</v>
      </c>
      <c r="M150" s="6">
        <v>0</v>
      </c>
      <c r="N150" s="6">
        <v>0</v>
      </c>
      <c r="O150" s="6">
        <v>0</v>
      </c>
      <c r="P150" s="6">
        <v>29</v>
      </c>
      <c r="Q150" s="4" t="s">
        <v>26</v>
      </c>
      <c r="R150" s="4">
        <v>0</v>
      </c>
      <c r="S150" s="4" t="s">
        <v>137</v>
      </c>
      <c r="U150" s="4">
        <v>6</v>
      </c>
      <c r="V150" s="4">
        <v>0</v>
      </c>
      <c r="W150" s="4">
        <v>0</v>
      </c>
    </row>
    <row r="151" spans="1:23" ht="11.25" customHeight="1" x14ac:dyDescent="0.25">
      <c r="A151" s="4" t="s">
        <v>28</v>
      </c>
      <c r="B151" s="4" t="s">
        <v>33</v>
      </c>
      <c r="C151" s="4" t="s">
        <v>34</v>
      </c>
      <c r="D151" s="4" t="s">
        <v>40</v>
      </c>
      <c r="E151" s="4" t="s">
        <v>25</v>
      </c>
      <c r="F151" s="4" t="s">
        <v>25</v>
      </c>
      <c r="G151" s="4" t="s">
        <v>25</v>
      </c>
      <c r="H151" s="4" t="s">
        <v>25</v>
      </c>
      <c r="I151" s="5">
        <v>44501</v>
      </c>
      <c r="J151" s="6">
        <v>349</v>
      </c>
      <c r="K151" s="6">
        <v>349</v>
      </c>
      <c r="L151" s="6">
        <v>0</v>
      </c>
      <c r="M151" s="6">
        <v>0</v>
      </c>
      <c r="N151" s="6">
        <v>0</v>
      </c>
      <c r="O151" s="6">
        <v>0</v>
      </c>
      <c r="P151" s="6">
        <v>2</v>
      </c>
      <c r="Q151" s="4" t="s">
        <v>26</v>
      </c>
      <c r="R151" s="4">
        <v>0</v>
      </c>
      <c r="S151" s="4" t="s">
        <v>137</v>
      </c>
      <c r="U151" s="4">
        <v>6</v>
      </c>
      <c r="V151" s="4">
        <v>0</v>
      </c>
      <c r="W151" s="4">
        <v>0</v>
      </c>
    </row>
    <row r="152" spans="1:23" ht="11.25" customHeight="1" x14ac:dyDescent="0.25">
      <c r="A152" s="4" t="s">
        <v>21</v>
      </c>
      <c r="B152" s="4" t="s">
        <v>33</v>
      </c>
      <c r="C152" s="4" t="s">
        <v>34</v>
      </c>
      <c r="D152" s="4" t="s">
        <v>40</v>
      </c>
      <c r="E152" s="4" t="s">
        <v>25</v>
      </c>
      <c r="F152" s="4" t="s">
        <v>25</v>
      </c>
      <c r="G152" s="4" t="s">
        <v>25</v>
      </c>
      <c r="H152" s="4" t="s">
        <v>25</v>
      </c>
      <c r="I152" s="5">
        <v>44531</v>
      </c>
      <c r="J152" s="6">
        <v>3702</v>
      </c>
      <c r="K152" s="6">
        <v>3702</v>
      </c>
      <c r="L152" s="6">
        <v>0</v>
      </c>
      <c r="M152" s="6">
        <v>0</v>
      </c>
      <c r="N152" s="6">
        <v>0</v>
      </c>
      <c r="O152" s="6">
        <v>0</v>
      </c>
      <c r="P152" s="6">
        <v>28</v>
      </c>
      <c r="Q152" s="4" t="s">
        <v>26</v>
      </c>
      <c r="R152" s="4">
        <v>0</v>
      </c>
      <c r="S152" s="4" t="s">
        <v>138</v>
      </c>
      <c r="U152" s="4">
        <v>6</v>
      </c>
      <c r="V152" s="4">
        <v>0</v>
      </c>
      <c r="W152" s="4">
        <v>0</v>
      </c>
    </row>
    <row r="153" spans="1:23" ht="11.25" customHeight="1" x14ac:dyDescent="0.25">
      <c r="A153" s="4" t="s">
        <v>28</v>
      </c>
      <c r="B153" s="4" t="s">
        <v>33</v>
      </c>
      <c r="C153" s="4" t="s">
        <v>34</v>
      </c>
      <c r="D153" s="4" t="s">
        <v>40</v>
      </c>
      <c r="E153" s="4" t="s">
        <v>25</v>
      </c>
      <c r="F153" s="4" t="s">
        <v>25</v>
      </c>
      <c r="G153" s="4" t="s">
        <v>25</v>
      </c>
      <c r="H153" s="4" t="s">
        <v>25</v>
      </c>
      <c r="I153" s="5">
        <v>44531</v>
      </c>
      <c r="J153" s="6">
        <v>360</v>
      </c>
      <c r="K153" s="6">
        <v>360</v>
      </c>
      <c r="L153" s="6">
        <v>0</v>
      </c>
      <c r="M153" s="6">
        <v>0</v>
      </c>
      <c r="N153" s="6">
        <v>0</v>
      </c>
      <c r="O153" s="6">
        <v>0</v>
      </c>
      <c r="P153" s="6">
        <v>2</v>
      </c>
      <c r="Q153" s="4" t="s">
        <v>26</v>
      </c>
      <c r="R153" s="4">
        <v>0</v>
      </c>
      <c r="S153" s="4" t="s">
        <v>138</v>
      </c>
      <c r="U153" s="4">
        <v>6</v>
      </c>
      <c r="V153" s="4">
        <v>0</v>
      </c>
      <c r="W153" s="4">
        <v>0</v>
      </c>
    </row>
    <row r="154" spans="1:23" ht="11.25" customHeight="1" x14ac:dyDescent="0.25">
      <c r="A154" s="4" t="s">
        <v>21</v>
      </c>
      <c r="B154" s="4" t="s">
        <v>33</v>
      </c>
      <c r="C154" s="4" t="s">
        <v>34</v>
      </c>
      <c r="D154" s="4" t="s">
        <v>40</v>
      </c>
      <c r="E154" s="4" t="s">
        <v>25</v>
      </c>
      <c r="F154" s="4" t="s">
        <v>25</v>
      </c>
      <c r="G154" s="4" t="s">
        <v>25</v>
      </c>
      <c r="H154" s="4" t="s">
        <v>25</v>
      </c>
      <c r="I154" s="5">
        <v>44562</v>
      </c>
      <c r="J154" s="6">
        <v>3686</v>
      </c>
      <c r="K154" s="6">
        <v>3686</v>
      </c>
      <c r="L154" s="6">
        <v>0</v>
      </c>
      <c r="M154" s="6">
        <v>0</v>
      </c>
      <c r="N154" s="6">
        <v>0</v>
      </c>
      <c r="O154" s="6">
        <v>0</v>
      </c>
      <c r="P154" s="6">
        <v>28</v>
      </c>
      <c r="Q154" s="4" t="s">
        <v>26</v>
      </c>
      <c r="R154" s="4">
        <v>0</v>
      </c>
      <c r="S154" s="4" t="s">
        <v>139</v>
      </c>
      <c r="U154" s="4">
        <v>6</v>
      </c>
      <c r="V154" s="4">
        <v>0</v>
      </c>
      <c r="W154" s="4">
        <v>0</v>
      </c>
    </row>
    <row r="155" spans="1:23" ht="11.25" customHeight="1" x14ac:dyDescent="0.25">
      <c r="A155" s="4" t="s">
        <v>28</v>
      </c>
      <c r="B155" s="4" t="s">
        <v>33</v>
      </c>
      <c r="C155" s="4" t="s">
        <v>34</v>
      </c>
      <c r="D155" s="4" t="s">
        <v>40</v>
      </c>
      <c r="E155" s="4" t="s">
        <v>25</v>
      </c>
      <c r="F155" s="4" t="s">
        <v>25</v>
      </c>
      <c r="G155" s="4" t="s">
        <v>25</v>
      </c>
      <c r="H155" s="4" t="s">
        <v>25</v>
      </c>
      <c r="I155" s="5">
        <v>44562</v>
      </c>
      <c r="J155" s="6">
        <v>362</v>
      </c>
      <c r="K155" s="6">
        <v>362</v>
      </c>
      <c r="L155" s="6">
        <v>0</v>
      </c>
      <c r="M155" s="6">
        <v>0</v>
      </c>
      <c r="N155" s="6">
        <v>0</v>
      </c>
      <c r="O155" s="6">
        <v>0</v>
      </c>
      <c r="P155" s="6">
        <v>2</v>
      </c>
      <c r="Q155" s="4" t="s">
        <v>26</v>
      </c>
      <c r="R155" s="4">
        <v>0</v>
      </c>
      <c r="S155" s="4" t="s">
        <v>139</v>
      </c>
      <c r="U155" s="4">
        <v>6</v>
      </c>
      <c r="V155" s="4">
        <v>0</v>
      </c>
      <c r="W155" s="4">
        <v>0</v>
      </c>
    </row>
    <row r="156" spans="1:23" ht="11.25" customHeight="1" x14ac:dyDescent="0.25">
      <c r="A156" s="4" t="s">
        <v>21</v>
      </c>
      <c r="B156" s="4" t="s">
        <v>33</v>
      </c>
      <c r="C156" s="4" t="s">
        <v>34</v>
      </c>
      <c r="D156" s="4" t="s">
        <v>40</v>
      </c>
      <c r="E156" s="4" t="s">
        <v>25</v>
      </c>
      <c r="F156" s="4" t="s">
        <v>25</v>
      </c>
      <c r="G156" s="4" t="s">
        <v>25</v>
      </c>
      <c r="H156" s="4" t="s">
        <v>25</v>
      </c>
      <c r="I156" s="5">
        <v>44593</v>
      </c>
      <c r="J156" s="6">
        <v>3604</v>
      </c>
      <c r="K156" s="6">
        <v>3604</v>
      </c>
      <c r="L156" s="6">
        <v>0</v>
      </c>
      <c r="M156" s="6">
        <v>0</v>
      </c>
      <c r="N156" s="6">
        <v>0</v>
      </c>
      <c r="O156" s="6">
        <v>0</v>
      </c>
      <c r="P156" s="6">
        <v>27</v>
      </c>
      <c r="Q156" s="4" t="s">
        <v>26</v>
      </c>
      <c r="R156" s="4">
        <v>0</v>
      </c>
      <c r="S156" s="4" t="s">
        <v>140</v>
      </c>
      <c r="U156" s="4">
        <v>6</v>
      </c>
      <c r="V156" s="4">
        <v>0</v>
      </c>
      <c r="W156" s="4">
        <v>0</v>
      </c>
    </row>
    <row r="157" spans="1:23" ht="11.25" customHeight="1" x14ac:dyDescent="0.25">
      <c r="A157" s="4" t="s">
        <v>28</v>
      </c>
      <c r="B157" s="4" t="s">
        <v>33</v>
      </c>
      <c r="C157" s="4" t="s">
        <v>34</v>
      </c>
      <c r="D157" s="4" t="s">
        <v>40</v>
      </c>
      <c r="E157" s="4" t="s">
        <v>25</v>
      </c>
      <c r="F157" s="4" t="s">
        <v>25</v>
      </c>
      <c r="G157" s="4" t="s">
        <v>25</v>
      </c>
      <c r="H157" s="4" t="s">
        <v>25</v>
      </c>
      <c r="I157" s="5">
        <v>44593</v>
      </c>
      <c r="J157" s="6">
        <v>364</v>
      </c>
      <c r="K157" s="6">
        <v>364</v>
      </c>
      <c r="L157" s="6">
        <v>0</v>
      </c>
      <c r="M157" s="6">
        <v>0</v>
      </c>
      <c r="N157" s="6">
        <v>0</v>
      </c>
      <c r="O157" s="6">
        <v>0</v>
      </c>
      <c r="P157" s="6">
        <v>2</v>
      </c>
      <c r="Q157" s="4" t="s">
        <v>26</v>
      </c>
      <c r="R157" s="4">
        <v>0</v>
      </c>
      <c r="S157" s="4" t="s">
        <v>140</v>
      </c>
      <c r="U157" s="4">
        <v>6</v>
      </c>
      <c r="V157" s="4">
        <v>0</v>
      </c>
      <c r="W157" s="4">
        <v>0</v>
      </c>
    </row>
    <row r="158" spans="1:23" ht="11.25" customHeight="1" x14ac:dyDescent="0.25">
      <c r="A158" s="4" t="s">
        <v>21</v>
      </c>
      <c r="B158" s="4" t="s">
        <v>33</v>
      </c>
      <c r="C158" s="4" t="s">
        <v>34</v>
      </c>
      <c r="D158" s="4" t="s">
        <v>40</v>
      </c>
      <c r="E158" s="4" t="s">
        <v>25</v>
      </c>
      <c r="F158" s="4" t="s">
        <v>25</v>
      </c>
      <c r="G158" s="4" t="s">
        <v>25</v>
      </c>
      <c r="H158" s="4" t="s">
        <v>25</v>
      </c>
      <c r="I158" s="5">
        <v>44621</v>
      </c>
      <c r="J158" s="6">
        <v>3662</v>
      </c>
      <c r="K158" s="6">
        <v>3662</v>
      </c>
      <c r="L158" s="6">
        <v>0</v>
      </c>
      <c r="M158" s="6">
        <v>0</v>
      </c>
      <c r="N158" s="6">
        <v>0</v>
      </c>
      <c r="O158" s="6">
        <v>0</v>
      </c>
      <c r="P158" s="6">
        <v>27</v>
      </c>
      <c r="Q158" s="4" t="s">
        <v>26</v>
      </c>
      <c r="R158" s="4">
        <v>0</v>
      </c>
      <c r="S158" s="4" t="s">
        <v>141</v>
      </c>
      <c r="U158" s="4">
        <v>6</v>
      </c>
      <c r="V158" s="4">
        <v>0</v>
      </c>
      <c r="W158" s="4">
        <v>0</v>
      </c>
    </row>
    <row r="159" spans="1:23" ht="11.25" customHeight="1" x14ac:dyDescent="0.25">
      <c r="A159" s="4" t="s">
        <v>28</v>
      </c>
      <c r="B159" s="4" t="s">
        <v>33</v>
      </c>
      <c r="C159" s="4" t="s">
        <v>34</v>
      </c>
      <c r="D159" s="4" t="s">
        <v>40</v>
      </c>
      <c r="E159" s="4" t="s">
        <v>25</v>
      </c>
      <c r="F159" s="4" t="s">
        <v>25</v>
      </c>
      <c r="G159" s="4" t="s">
        <v>25</v>
      </c>
      <c r="H159" s="4" t="s">
        <v>25</v>
      </c>
      <c r="I159" s="5">
        <v>44621</v>
      </c>
      <c r="J159" s="6">
        <v>371</v>
      </c>
      <c r="K159" s="6">
        <v>371</v>
      </c>
      <c r="L159" s="6">
        <v>0</v>
      </c>
      <c r="M159" s="6">
        <v>0</v>
      </c>
      <c r="N159" s="6">
        <v>0</v>
      </c>
      <c r="O159" s="6">
        <v>0</v>
      </c>
      <c r="P159" s="6">
        <v>2</v>
      </c>
      <c r="Q159" s="4" t="s">
        <v>26</v>
      </c>
      <c r="R159" s="4">
        <v>0</v>
      </c>
      <c r="S159" s="4" t="s">
        <v>141</v>
      </c>
      <c r="U159" s="4">
        <v>6</v>
      </c>
      <c r="V159" s="4">
        <v>0</v>
      </c>
      <c r="W159" s="4">
        <v>0</v>
      </c>
    </row>
    <row r="160" spans="1:23" ht="11.25" customHeight="1" x14ac:dyDescent="0.25">
      <c r="A160" s="4" t="s">
        <v>21</v>
      </c>
      <c r="B160" s="4" t="s">
        <v>33</v>
      </c>
      <c r="C160" s="4" t="s">
        <v>34</v>
      </c>
      <c r="D160" s="4" t="s">
        <v>40</v>
      </c>
      <c r="E160" s="4" t="s">
        <v>25</v>
      </c>
      <c r="F160" s="4" t="s">
        <v>25</v>
      </c>
      <c r="G160" s="4" t="s">
        <v>25</v>
      </c>
      <c r="H160" s="4" t="s">
        <v>25</v>
      </c>
      <c r="I160" s="5">
        <v>44652</v>
      </c>
      <c r="J160" s="6">
        <v>3582</v>
      </c>
      <c r="K160" s="6">
        <v>3582</v>
      </c>
      <c r="L160" s="6">
        <v>0</v>
      </c>
      <c r="M160" s="6">
        <v>0</v>
      </c>
      <c r="N160" s="6">
        <v>0</v>
      </c>
      <c r="O160" s="6">
        <v>0</v>
      </c>
      <c r="P160" s="6">
        <v>27</v>
      </c>
      <c r="Q160" s="4" t="s">
        <v>26</v>
      </c>
      <c r="R160" s="4">
        <v>0</v>
      </c>
      <c r="S160" s="4" t="s">
        <v>142</v>
      </c>
      <c r="U160" s="4">
        <v>6</v>
      </c>
      <c r="V160" s="4">
        <v>0</v>
      </c>
      <c r="W160" s="4">
        <v>0</v>
      </c>
    </row>
    <row r="161" spans="1:23" ht="11.25" customHeight="1" x14ac:dyDescent="0.25">
      <c r="A161" s="4" t="s">
        <v>21</v>
      </c>
      <c r="B161" s="4" t="s">
        <v>33</v>
      </c>
      <c r="C161" s="4" t="s">
        <v>34</v>
      </c>
      <c r="D161" s="4" t="s">
        <v>40</v>
      </c>
      <c r="E161" s="4" t="s">
        <v>25</v>
      </c>
      <c r="F161" s="4" t="s">
        <v>25</v>
      </c>
      <c r="G161" s="4" t="s">
        <v>25</v>
      </c>
      <c r="H161" s="4" t="s">
        <v>35</v>
      </c>
      <c r="I161" s="5">
        <v>44317</v>
      </c>
      <c r="J161" s="6">
        <v>0</v>
      </c>
      <c r="K161" s="6">
        <v>0</v>
      </c>
      <c r="L161" s="6">
        <v>95.543000000000006</v>
      </c>
      <c r="M161" s="6">
        <v>95.543000000000006</v>
      </c>
      <c r="N161" s="6">
        <v>95.543000000000006</v>
      </c>
      <c r="O161" s="6">
        <v>95.543000000000006</v>
      </c>
      <c r="P161" s="6">
        <v>0</v>
      </c>
      <c r="Q161" s="4" t="s">
        <v>26</v>
      </c>
      <c r="R161" s="4">
        <v>0</v>
      </c>
      <c r="S161" s="4" t="s">
        <v>143</v>
      </c>
      <c r="T161" s="4" t="s">
        <v>384</v>
      </c>
      <c r="U161" s="4">
        <v>0</v>
      </c>
      <c r="V161" s="4">
        <v>7</v>
      </c>
      <c r="W161" s="4">
        <v>48</v>
      </c>
    </row>
    <row r="162" spans="1:23" ht="11.25" customHeight="1" x14ac:dyDescent="0.25">
      <c r="A162" s="4" t="s">
        <v>28</v>
      </c>
      <c r="B162" s="4" t="s">
        <v>33</v>
      </c>
      <c r="C162" s="4" t="s">
        <v>34</v>
      </c>
      <c r="D162" s="4" t="s">
        <v>40</v>
      </c>
      <c r="E162" s="4" t="s">
        <v>25</v>
      </c>
      <c r="F162" s="4" t="s">
        <v>25</v>
      </c>
      <c r="G162" s="4" t="s">
        <v>25</v>
      </c>
      <c r="H162" s="4" t="s">
        <v>35</v>
      </c>
      <c r="I162" s="5">
        <v>44317</v>
      </c>
      <c r="J162" s="6">
        <v>0</v>
      </c>
      <c r="K162" s="6">
        <v>0</v>
      </c>
      <c r="L162" s="6">
        <v>0.184</v>
      </c>
      <c r="M162" s="6">
        <v>0.184</v>
      </c>
      <c r="N162" s="6">
        <v>0.184</v>
      </c>
      <c r="O162" s="6">
        <v>0.184</v>
      </c>
      <c r="P162" s="6">
        <v>0</v>
      </c>
      <c r="Q162" s="4" t="s">
        <v>26</v>
      </c>
      <c r="R162" s="4">
        <v>0</v>
      </c>
      <c r="S162" s="4" t="s">
        <v>143</v>
      </c>
      <c r="T162" s="4" t="s">
        <v>384</v>
      </c>
      <c r="U162" s="4">
        <v>0</v>
      </c>
      <c r="V162" s="4">
        <v>7</v>
      </c>
      <c r="W162" s="4">
        <v>48</v>
      </c>
    </row>
    <row r="163" spans="1:23" ht="11.25" customHeight="1" x14ac:dyDescent="0.25">
      <c r="A163" s="4" t="s">
        <v>21</v>
      </c>
      <c r="B163" s="4" t="s">
        <v>33</v>
      </c>
      <c r="C163" s="4" t="s">
        <v>34</v>
      </c>
      <c r="D163" s="4" t="s">
        <v>40</v>
      </c>
      <c r="E163" s="4" t="s">
        <v>25</v>
      </c>
      <c r="F163" s="4" t="s">
        <v>25</v>
      </c>
      <c r="G163" s="4" t="s">
        <v>25</v>
      </c>
      <c r="H163" s="4" t="s">
        <v>35</v>
      </c>
      <c r="I163" s="5">
        <v>44348</v>
      </c>
      <c r="J163" s="6">
        <v>0</v>
      </c>
      <c r="K163" s="6">
        <v>0</v>
      </c>
      <c r="L163" s="6">
        <v>47.712000000000003</v>
      </c>
      <c r="M163" s="6">
        <v>47.712000000000003</v>
      </c>
      <c r="N163" s="6">
        <v>47.712000000000003</v>
      </c>
      <c r="O163" s="6">
        <v>47.712000000000003</v>
      </c>
      <c r="P163" s="6">
        <v>0</v>
      </c>
      <c r="Q163" s="4" t="s">
        <v>26</v>
      </c>
      <c r="R163" s="4">
        <v>0</v>
      </c>
      <c r="S163" s="4" t="s">
        <v>144</v>
      </c>
      <c r="T163" s="4" t="s">
        <v>385</v>
      </c>
      <c r="U163" s="4">
        <v>0</v>
      </c>
      <c r="V163" s="4">
        <v>7</v>
      </c>
      <c r="W163" s="4">
        <v>48</v>
      </c>
    </row>
    <row r="164" spans="1:23" ht="11.25" customHeight="1" x14ac:dyDescent="0.25">
      <c r="A164" s="4" t="s">
        <v>28</v>
      </c>
      <c r="B164" s="4" t="s">
        <v>33</v>
      </c>
      <c r="C164" s="4" t="s">
        <v>34</v>
      </c>
      <c r="D164" s="4" t="s">
        <v>40</v>
      </c>
      <c r="E164" s="4" t="s">
        <v>25</v>
      </c>
      <c r="F164" s="4" t="s">
        <v>25</v>
      </c>
      <c r="G164" s="4" t="s">
        <v>25</v>
      </c>
      <c r="H164" s="4" t="s">
        <v>35</v>
      </c>
      <c r="I164" s="5">
        <v>44348</v>
      </c>
      <c r="J164" s="6">
        <v>0</v>
      </c>
      <c r="K164" s="6">
        <v>0</v>
      </c>
      <c r="L164" s="6">
        <v>0.189</v>
      </c>
      <c r="M164" s="6">
        <v>0.189</v>
      </c>
      <c r="N164" s="6">
        <v>0.189</v>
      </c>
      <c r="O164" s="6">
        <v>0.189</v>
      </c>
      <c r="P164" s="6">
        <v>0</v>
      </c>
      <c r="Q164" s="4" t="s">
        <v>26</v>
      </c>
      <c r="R164" s="4">
        <v>0</v>
      </c>
      <c r="S164" s="4" t="s">
        <v>144</v>
      </c>
      <c r="T164" s="4" t="s">
        <v>385</v>
      </c>
      <c r="U164" s="4">
        <v>0</v>
      </c>
      <c r="V164" s="4">
        <v>7</v>
      </c>
      <c r="W164" s="4">
        <v>48</v>
      </c>
    </row>
    <row r="165" spans="1:23" ht="11.25" customHeight="1" x14ac:dyDescent="0.25">
      <c r="A165" s="4" t="s">
        <v>21</v>
      </c>
      <c r="B165" s="4" t="s">
        <v>33</v>
      </c>
      <c r="C165" s="4" t="s">
        <v>34</v>
      </c>
      <c r="D165" s="4" t="s">
        <v>40</v>
      </c>
      <c r="E165" s="4" t="s">
        <v>25</v>
      </c>
      <c r="F165" s="4" t="s">
        <v>25</v>
      </c>
      <c r="G165" s="4" t="s">
        <v>25</v>
      </c>
      <c r="H165" s="4" t="s">
        <v>35</v>
      </c>
      <c r="I165" s="5">
        <v>44378</v>
      </c>
      <c r="J165" s="6">
        <v>0</v>
      </c>
      <c r="K165" s="6">
        <v>0</v>
      </c>
      <c r="L165" s="6">
        <v>33.139000000000003</v>
      </c>
      <c r="M165" s="6">
        <v>33.139000000000003</v>
      </c>
      <c r="N165" s="6">
        <v>33.139000000000003</v>
      </c>
      <c r="O165" s="6">
        <v>33.139000000000003</v>
      </c>
      <c r="P165" s="6">
        <v>0</v>
      </c>
      <c r="Q165" s="4" t="s">
        <v>26</v>
      </c>
      <c r="R165" s="4">
        <v>0</v>
      </c>
      <c r="S165" s="4" t="s">
        <v>145</v>
      </c>
      <c r="T165" s="4" t="s">
        <v>386</v>
      </c>
      <c r="U165" s="4">
        <v>0</v>
      </c>
      <c r="V165" s="4">
        <v>7</v>
      </c>
      <c r="W165" s="4">
        <v>48</v>
      </c>
    </row>
    <row r="166" spans="1:23" ht="11.25" customHeight="1" x14ac:dyDescent="0.25">
      <c r="A166" s="4" t="s">
        <v>28</v>
      </c>
      <c r="B166" s="4" t="s">
        <v>33</v>
      </c>
      <c r="C166" s="4" t="s">
        <v>34</v>
      </c>
      <c r="D166" s="4" t="s">
        <v>40</v>
      </c>
      <c r="E166" s="4" t="s">
        <v>25</v>
      </c>
      <c r="F166" s="4" t="s">
        <v>25</v>
      </c>
      <c r="G166" s="4" t="s">
        <v>25</v>
      </c>
      <c r="H166" s="4" t="s">
        <v>35</v>
      </c>
      <c r="I166" s="5">
        <v>44378</v>
      </c>
      <c r="J166" s="6">
        <v>0</v>
      </c>
      <c r="K166" s="6">
        <v>0</v>
      </c>
      <c r="L166" s="6">
        <v>0.122</v>
      </c>
      <c r="M166" s="6">
        <v>0.122</v>
      </c>
      <c r="N166" s="6">
        <v>0.122</v>
      </c>
      <c r="O166" s="6">
        <v>0.122</v>
      </c>
      <c r="P166" s="6">
        <v>0</v>
      </c>
      <c r="Q166" s="4" t="s">
        <v>26</v>
      </c>
      <c r="R166" s="4">
        <v>0</v>
      </c>
      <c r="S166" s="4" t="s">
        <v>145</v>
      </c>
      <c r="T166" s="4" t="s">
        <v>386</v>
      </c>
      <c r="U166" s="4">
        <v>0</v>
      </c>
      <c r="V166" s="4">
        <v>7</v>
      </c>
      <c r="W166" s="4">
        <v>48</v>
      </c>
    </row>
    <row r="167" spans="1:23" ht="11.25" customHeight="1" x14ac:dyDescent="0.25">
      <c r="A167" s="4" t="s">
        <v>21</v>
      </c>
      <c r="B167" s="4" t="s">
        <v>33</v>
      </c>
      <c r="C167" s="4" t="s">
        <v>34</v>
      </c>
      <c r="D167" s="4" t="s">
        <v>40</v>
      </c>
      <c r="E167" s="4" t="s">
        <v>25</v>
      </c>
      <c r="F167" s="4" t="s">
        <v>25</v>
      </c>
      <c r="G167" s="4" t="s">
        <v>25</v>
      </c>
      <c r="H167" s="4" t="s">
        <v>35</v>
      </c>
      <c r="I167" s="5">
        <v>44409</v>
      </c>
      <c r="J167" s="6">
        <v>0</v>
      </c>
      <c r="K167" s="6">
        <v>0</v>
      </c>
      <c r="L167" s="6">
        <v>37.155999999999999</v>
      </c>
      <c r="M167" s="6">
        <v>37.155999999999999</v>
      </c>
      <c r="N167" s="6">
        <v>37.155999999999999</v>
      </c>
      <c r="O167" s="6">
        <v>37.155999999999999</v>
      </c>
      <c r="P167" s="6">
        <v>0</v>
      </c>
      <c r="Q167" s="4" t="s">
        <v>26</v>
      </c>
      <c r="R167" s="4">
        <v>0</v>
      </c>
      <c r="S167" s="4" t="s">
        <v>146</v>
      </c>
      <c r="T167" s="4" t="s">
        <v>387</v>
      </c>
      <c r="U167" s="4">
        <v>0</v>
      </c>
      <c r="V167" s="4">
        <v>7</v>
      </c>
      <c r="W167" s="4">
        <v>48</v>
      </c>
    </row>
    <row r="168" spans="1:23" ht="11.25" customHeight="1" x14ac:dyDescent="0.25">
      <c r="A168" s="4" t="s">
        <v>28</v>
      </c>
      <c r="B168" s="4" t="s">
        <v>33</v>
      </c>
      <c r="C168" s="4" t="s">
        <v>34</v>
      </c>
      <c r="D168" s="4" t="s">
        <v>40</v>
      </c>
      <c r="E168" s="4" t="s">
        <v>25</v>
      </c>
      <c r="F168" s="4" t="s">
        <v>25</v>
      </c>
      <c r="G168" s="4" t="s">
        <v>25</v>
      </c>
      <c r="H168" s="4" t="s">
        <v>35</v>
      </c>
      <c r="I168" s="5">
        <v>44409</v>
      </c>
      <c r="J168" s="6">
        <v>0</v>
      </c>
      <c r="K168" s="6">
        <v>0</v>
      </c>
      <c r="L168" s="6">
        <v>9.7000000000000003E-2</v>
      </c>
      <c r="M168" s="6">
        <v>9.7000000000000003E-2</v>
      </c>
      <c r="N168" s="6">
        <v>9.7000000000000003E-2</v>
      </c>
      <c r="O168" s="6">
        <v>9.7000000000000003E-2</v>
      </c>
      <c r="P168" s="6">
        <v>0</v>
      </c>
      <c r="Q168" s="4" t="s">
        <v>26</v>
      </c>
      <c r="R168" s="4">
        <v>0</v>
      </c>
      <c r="S168" s="4" t="s">
        <v>146</v>
      </c>
      <c r="T168" s="4" t="s">
        <v>387</v>
      </c>
      <c r="U168" s="4">
        <v>0</v>
      </c>
      <c r="V168" s="4">
        <v>7</v>
      </c>
      <c r="W168" s="4">
        <v>48</v>
      </c>
    </row>
    <row r="169" spans="1:23" ht="11.25" customHeight="1" x14ac:dyDescent="0.25">
      <c r="A169" s="4" t="s">
        <v>21</v>
      </c>
      <c r="B169" s="4" t="s">
        <v>33</v>
      </c>
      <c r="C169" s="4" t="s">
        <v>34</v>
      </c>
      <c r="D169" s="4" t="s">
        <v>40</v>
      </c>
      <c r="E169" s="4" t="s">
        <v>25</v>
      </c>
      <c r="F169" s="4" t="s">
        <v>25</v>
      </c>
      <c r="G169" s="4" t="s">
        <v>25</v>
      </c>
      <c r="H169" s="4" t="s">
        <v>35</v>
      </c>
      <c r="I169" s="5">
        <v>44440</v>
      </c>
      <c r="J169" s="6">
        <v>0</v>
      </c>
      <c r="K169" s="6">
        <v>0</v>
      </c>
      <c r="L169" s="6">
        <v>37.816000000000003</v>
      </c>
      <c r="M169" s="6">
        <v>37.816000000000003</v>
      </c>
      <c r="N169" s="6">
        <v>37.816000000000003</v>
      </c>
      <c r="O169" s="6">
        <v>37.816000000000003</v>
      </c>
      <c r="P169" s="6">
        <v>0</v>
      </c>
      <c r="Q169" s="4" t="s">
        <v>26</v>
      </c>
      <c r="R169" s="4">
        <v>0</v>
      </c>
      <c r="S169" s="4" t="s">
        <v>147</v>
      </c>
      <c r="T169" s="4" t="s">
        <v>388</v>
      </c>
      <c r="U169" s="4">
        <v>0</v>
      </c>
      <c r="V169" s="4">
        <v>7</v>
      </c>
      <c r="W169" s="4">
        <v>48</v>
      </c>
    </row>
    <row r="170" spans="1:23" ht="11.25" customHeight="1" x14ac:dyDescent="0.25">
      <c r="A170" s="4" t="s">
        <v>28</v>
      </c>
      <c r="B170" s="4" t="s">
        <v>33</v>
      </c>
      <c r="C170" s="4" t="s">
        <v>34</v>
      </c>
      <c r="D170" s="4" t="s">
        <v>40</v>
      </c>
      <c r="E170" s="4" t="s">
        <v>25</v>
      </c>
      <c r="F170" s="4" t="s">
        <v>25</v>
      </c>
      <c r="G170" s="4" t="s">
        <v>25</v>
      </c>
      <c r="H170" s="4" t="s">
        <v>35</v>
      </c>
      <c r="I170" s="5">
        <v>44440</v>
      </c>
      <c r="J170" s="6">
        <v>0</v>
      </c>
      <c r="K170" s="6">
        <v>0</v>
      </c>
      <c r="L170" s="6">
        <v>0.187</v>
      </c>
      <c r="M170" s="6">
        <v>0.187</v>
      </c>
      <c r="N170" s="6">
        <v>0.187</v>
      </c>
      <c r="O170" s="6">
        <v>0.187</v>
      </c>
      <c r="P170" s="6">
        <v>0</v>
      </c>
      <c r="Q170" s="4" t="s">
        <v>26</v>
      </c>
      <c r="R170" s="4">
        <v>0</v>
      </c>
      <c r="S170" s="4" t="s">
        <v>147</v>
      </c>
      <c r="T170" s="4" t="s">
        <v>388</v>
      </c>
      <c r="U170" s="4">
        <v>0</v>
      </c>
      <c r="V170" s="4">
        <v>7</v>
      </c>
      <c r="W170" s="4">
        <v>48</v>
      </c>
    </row>
    <row r="171" spans="1:23" ht="11.25" customHeight="1" x14ac:dyDescent="0.25">
      <c r="A171" s="4" t="s">
        <v>21</v>
      </c>
      <c r="B171" s="4" t="s">
        <v>33</v>
      </c>
      <c r="C171" s="4" t="s">
        <v>34</v>
      </c>
      <c r="D171" s="4" t="s">
        <v>40</v>
      </c>
      <c r="E171" s="4" t="s">
        <v>25</v>
      </c>
      <c r="F171" s="4" t="s">
        <v>25</v>
      </c>
      <c r="G171" s="4" t="s">
        <v>25</v>
      </c>
      <c r="H171" s="4" t="s">
        <v>35</v>
      </c>
      <c r="I171" s="5">
        <v>44470</v>
      </c>
      <c r="J171" s="6">
        <v>0</v>
      </c>
      <c r="K171" s="6">
        <v>0</v>
      </c>
      <c r="L171" s="6">
        <v>36.625</v>
      </c>
      <c r="M171" s="6">
        <v>36.625</v>
      </c>
      <c r="N171" s="6">
        <v>36.625</v>
      </c>
      <c r="O171" s="6">
        <v>36.625</v>
      </c>
      <c r="P171" s="6">
        <v>0</v>
      </c>
      <c r="Q171" s="4" t="s">
        <v>26</v>
      </c>
      <c r="R171" s="4">
        <v>0</v>
      </c>
      <c r="S171" s="4" t="s">
        <v>148</v>
      </c>
      <c r="T171" s="4" t="s">
        <v>389</v>
      </c>
      <c r="U171" s="4">
        <v>0</v>
      </c>
      <c r="V171" s="4">
        <v>7</v>
      </c>
      <c r="W171" s="4">
        <v>48</v>
      </c>
    </row>
    <row r="172" spans="1:23" ht="11.25" customHeight="1" x14ac:dyDescent="0.25">
      <c r="A172" s="4" t="s">
        <v>28</v>
      </c>
      <c r="B172" s="4" t="s">
        <v>33</v>
      </c>
      <c r="C172" s="4" t="s">
        <v>34</v>
      </c>
      <c r="D172" s="4" t="s">
        <v>40</v>
      </c>
      <c r="E172" s="4" t="s">
        <v>25</v>
      </c>
      <c r="F172" s="4" t="s">
        <v>25</v>
      </c>
      <c r="G172" s="4" t="s">
        <v>25</v>
      </c>
      <c r="H172" s="4" t="s">
        <v>35</v>
      </c>
      <c r="I172" s="5">
        <v>44470</v>
      </c>
      <c r="J172" s="6">
        <v>0</v>
      </c>
      <c r="K172" s="6">
        <v>0</v>
      </c>
      <c r="L172" s="6">
        <v>1.3160000000000001</v>
      </c>
      <c r="M172" s="6">
        <v>1.3160000000000001</v>
      </c>
      <c r="N172" s="6">
        <v>1.3160000000000001</v>
      </c>
      <c r="O172" s="6">
        <v>1.3160000000000001</v>
      </c>
      <c r="P172" s="6">
        <v>0</v>
      </c>
      <c r="Q172" s="4" t="s">
        <v>26</v>
      </c>
      <c r="R172" s="4">
        <v>0</v>
      </c>
      <c r="S172" s="4" t="s">
        <v>148</v>
      </c>
      <c r="T172" s="4" t="s">
        <v>389</v>
      </c>
      <c r="U172" s="4">
        <v>0</v>
      </c>
      <c r="V172" s="4">
        <v>7</v>
      </c>
      <c r="W172" s="4">
        <v>48</v>
      </c>
    </row>
    <row r="173" spans="1:23" ht="11.25" customHeight="1" x14ac:dyDescent="0.25">
      <c r="A173" s="4" t="s">
        <v>21</v>
      </c>
      <c r="B173" s="4" t="s">
        <v>33</v>
      </c>
      <c r="C173" s="4" t="s">
        <v>34</v>
      </c>
      <c r="D173" s="4" t="s">
        <v>40</v>
      </c>
      <c r="E173" s="4" t="s">
        <v>25</v>
      </c>
      <c r="F173" s="4" t="s">
        <v>25</v>
      </c>
      <c r="G173" s="4" t="s">
        <v>25</v>
      </c>
      <c r="H173" s="4" t="s">
        <v>35</v>
      </c>
      <c r="I173" s="5">
        <v>44501</v>
      </c>
      <c r="J173" s="6">
        <v>0</v>
      </c>
      <c r="K173" s="6">
        <v>0</v>
      </c>
      <c r="L173" s="6">
        <v>17.518000000000001</v>
      </c>
      <c r="M173" s="6">
        <v>17.518000000000001</v>
      </c>
      <c r="N173" s="6">
        <v>17.518000000000001</v>
      </c>
      <c r="O173" s="6">
        <v>17.518000000000001</v>
      </c>
      <c r="P173" s="6">
        <v>0</v>
      </c>
      <c r="Q173" s="4" t="s">
        <v>26</v>
      </c>
      <c r="R173" s="4">
        <v>0</v>
      </c>
      <c r="S173" s="4" t="s">
        <v>149</v>
      </c>
      <c r="T173" s="4" t="s">
        <v>390</v>
      </c>
      <c r="U173" s="4">
        <v>0</v>
      </c>
      <c r="V173" s="4">
        <v>7</v>
      </c>
      <c r="W173" s="4">
        <v>48</v>
      </c>
    </row>
    <row r="174" spans="1:23" ht="11.25" customHeight="1" x14ac:dyDescent="0.25">
      <c r="A174" s="4" t="s">
        <v>28</v>
      </c>
      <c r="B174" s="4" t="s">
        <v>33</v>
      </c>
      <c r="C174" s="4" t="s">
        <v>34</v>
      </c>
      <c r="D174" s="4" t="s">
        <v>40</v>
      </c>
      <c r="E174" s="4" t="s">
        <v>25</v>
      </c>
      <c r="F174" s="4" t="s">
        <v>25</v>
      </c>
      <c r="G174" s="4" t="s">
        <v>25</v>
      </c>
      <c r="H174" s="4" t="s">
        <v>35</v>
      </c>
      <c r="I174" s="5">
        <v>44501</v>
      </c>
      <c r="J174" s="6">
        <v>0</v>
      </c>
      <c r="K174" s="6">
        <v>0</v>
      </c>
      <c r="L174" s="6">
        <v>2.1080000000000001</v>
      </c>
      <c r="M174" s="6">
        <v>2.1080000000000001</v>
      </c>
      <c r="N174" s="6">
        <v>2.1080000000000001</v>
      </c>
      <c r="O174" s="6">
        <v>2.1080000000000001</v>
      </c>
      <c r="P174" s="6">
        <v>0</v>
      </c>
      <c r="Q174" s="4" t="s">
        <v>26</v>
      </c>
      <c r="R174" s="4">
        <v>0</v>
      </c>
      <c r="S174" s="4" t="s">
        <v>149</v>
      </c>
      <c r="T174" s="4" t="s">
        <v>390</v>
      </c>
      <c r="U174" s="4">
        <v>0</v>
      </c>
      <c r="V174" s="4">
        <v>7</v>
      </c>
      <c r="W174" s="4">
        <v>48</v>
      </c>
    </row>
    <row r="175" spans="1:23" ht="11.25" customHeight="1" x14ac:dyDescent="0.25">
      <c r="A175" s="4" t="s">
        <v>21</v>
      </c>
      <c r="B175" s="4" t="s">
        <v>33</v>
      </c>
      <c r="C175" s="4" t="s">
        <v>34</v>
      </c>
      <c r="D175" s="4" t="s">
        <v>40</v>
      </c>
      <c r="E175" s="4" t="s">
        <v>25</v>
      </c>
      <c r="F175" s="4" t="s">
        <v>25</v>
      </c>
      <c r="G175" s="4" t="s">
        <v>25</v>
      </c>
      <c r="H175" s="4" t="s">
        <v>35</v>
      </c>
      <c r="I175" s="5">
        <v>44531</v>
      </c>
      <c r="J175" s="6">
        <v>0</v>
      </c>
      <c r="K175" s="6">
        <v>0</v>
      </c>
      <c r="L175" s="6">
        <v>21.923999999999999</v>
      </c>
      <c r="M175" s="6">
        <v>21.923999999999999</v>
      </c>
      <c r="N175" s="6">
        <v>21.923999999999999</v>
      </c>
      <c r="O175" s="6">
        <v>21.923999999999999</v>
      </c>
      <c r="P175" s="6">
        <v>0</v>
      </c>
      <c r="Q175" s="4" t="s">
        <v>26</v>
      </c>
      <c r="R175" s="4">
        <v>0</v>
      </c>
      <c r="S175" s="4" t="s">
        <v>150</v>
      </c>
      <c r="T175" s="4" t="s">
        <v>391</v>
      </c>
      <c r="U175" s="4">
        <v>0</v>
      </c>
      <c r="V175" s="4">
        <v>7</v>
      </c>
      <c r="W175" s="4">
        <v>48</v>
      </c>
    </row>
    <row r="176" spans="1:23" ht="11.25" customHeight="1" x14ac:dyDescent="0.25">
      <c r="A176" s="4" t="s">
        <v>28</v>
      </c>
      <c r="B176" s="4" t="s">
        <v>33</v>
      </c>
      <c r="C176" s="4" t="s">
        <v>34</v>
      </c>
      <c r="D176" s="4" t="s">
        <v>40</v>
      </c>
      <c r="E176" s="4" t="s">
        <v>25</v>
      </c>
      <c r="F176" s="4" t="s">
        <v>25</v>
      </c>
      <c r="G176" s="4" t="s">
        <v>25</v>
      </c>
      <c r="H176" s="4" t="s">
        <v>35</v>
      </c>
      <c r="I176" s="5">
        <v>44531</v>
      </c>
      <c r="J176" s="6">
        <v>0</v>
      </c>
      <c r="K176" s="6">
        <v>0</v>
      </c>
      <c r="L176" s="6">
        <v>1.857</v>
      </c>
      <c r="M176" s="6">
        <v>1.857</v>
      </c>
      <c r="N176" s="6">
        <v>1.857</v>
      </c>
      <c r="O176" s="6">
        <v>1.857</v>
      </c>
      <c r="P176" s="6">
        <v>0</v>
      </c>
      <c r="Q176" s="4" t="s">
        <v>26</v>
      </c>
      <c r="R176" s="4">
        <v>0</v>
      </c>
      <c r="S176" s="4" t="s">
        <v>150</v>
      </c>
      <c r="T176" s="4" t="s">
        <v>391</v>
      </c>
      <c r="U176" s="4">
        <v>0</v>
      </c>
      <c r="V176" s="4">
        <v>7</v>
      </c>
      <c r="W176" s="4">
        <v>48</v>
      </c>
    </row>
    <row r="177" spans="1:23" ht="11.25" customHeight="1" x14ac:dyDescent="0.25">
      <c r="A177" s="4" t="s">
        <v>21</v>
      </c>
      <c r="B177" s="4" t="s">
        <v>33</v>
      </c>
      <c r="C177" s="4" t="s">
        <v>34</v>
      </c>
      <c r="D177" s="4" t="s">
        <v>40</v>
      </c>
      <c r="E177" s="4" t="s">
        <v>25</v>
      </c>
      <c r="F177" s="4" t="s">
        <v>25</v>
      </c>
      <c r="G177" s="4" t="s">
        <v>25</v>
      </c>
      <c r="H177" s="4" t="s">
        <v>35</v>
      </c>
      <c r="I177" s="5">
        <v>44562</v>
      </c>
      <c r="J177" s="6">
        <v>0</v>
      </c>
      <c r="K177" s="6">
        <v>0</v>
      </c>
      <c r="L177" s="6">
        <v>17.774000000000001</v>
      </c>
      <c r="M177" s="6">
        <v>17.774000000000001</v>
      </c>
      <c r="N177" s="6">
        <v>17.774000000000001</v>
      </c>
      <c r="O177" s="6">
        <v>17.774000000000001</v>
      </c>
      <c r="P177" s="6">
        <v>0</v>
      </c>
      <c r="Q177" s="4" t="s">
        <v>26</v>
      </c>
      <c r="R177" s="4">
        <v>0</v>
      </c>
      <c r="S177" s="4" t="s">
        <v>151</v>
      </c>
      <c r="T177" s="4" t="s">
        <v>392</v>
      </c>
      <c r="U177" s="4">
        <v>0</v>
      </c>
      <c r="V177" s="4">
        <v>7</v>
      </c>
      <c r="W177" s="4">
        <v>48</v>
      </c>
    </row>
    <row r="178" spans="1:23" ht="11.25" customHeight="1" x14ac:dyDescent="0.25">
      <c r="A178" s="4" t="s">
        <v>28</v>
      </c>
      <c r="B178" s="4" t="s">
        <v>33</v>
      </c>
      <c r="C178" s="4" t="s">
        <v>34</v>
      </c>
      <c r="D178" s="4" t="s">
        <v>40</v>
      </c>
      <c r="E178" s="4" t="s">
        <v>25</v>
      </c>
      <c r="F178" s="4" t="s">
        <v>25</v>
      </c>
      <c r="G178" s="4" t="s">
        <v>25</v>
      </c>
      <c r="H178" s="4" t="s">
        <v>35</v>
      </c>
      <c r="I178" s="5">
        <v>44562</v>
      </c>
      <c r="J178" s="6">
        <v>0</v>
      </c>
      <c r="K178" s="6">
        <v>0</v>
      </c>
      <c r="L178" s="6">
        <v>2.823</v>
      </c>
      <c r="M178" s="6">
        <v>2.823</v>
      </c>
      <c r="N178" s="6">
        <v>2.823</v>
      </c>
      <c r="O178" s="6">
        <v>2.823</v>
      </c>
      <c r="P178" s="6">
        <v>0</v>
      </c>
      <c r="Q178" s="4" t="s">
        <v>26</v>
      </c>
      <c r="R178" s="4">
        <v>0</v>
      </c>
      <c r="S178" s="4" t="s">
        <v>151</v>
      </c>
      <c r="T178" s="4" t="s">
        <v>392</v>
      </c>
      <c r="U178" s="4">
        <v>0</v>
      </c>
      <c r="V178" s="4">
        <v>7</v>
      </c>
      <c r="W178" s="4">
        <v>48</v>
      </c>
    </row>
    <row r="179" spans="1:23" ht="11.25" customHeight="1" x14ac:dyDescent="0.25">
      <c r="A179" s="4" t="s">
        <v>21</v>
      </c>
      <c r="B179" s="4" t="s">
        <v>33</v>
      </c>
      <c r="C179" s="4" t="s">
        <v>34</v>
      </c>
      <c r="D179" s="4" t="s">
        <v>40</v>
      </c>
      <c r="E179" s="4" t="s">
        <v>25</v>
      </c>
      <c r="F179" s="4" t="s">
        <v>25</v>
      </c>
      <c r="G179" s="4" t="s">
        <v>25</v>
      </c>
      <c r="H179" s="4" t="s">
        <v>35</v>
      </c>
      <c r="I179" s="5">
        <v>44593</v>
      </c>
      <c r="J179" s="6">
        <v>0</v>
      </c>
      <c r="K179" s="6">
        <v>0</v>
      </c>
      <c r="L179" s="6">
        <v>19.298999999999999</v>
      </c>
      <c r="M179" s="6">
        <v>19.298999999999999</v>
      </c>
      <c r="N179" s="6">
        <v>19.298999999999999</v>
      </c>
      <c r="O179" s="6">
        <v>19.298999999999999</v>
      </c>
      <c r="P179" s="6">
        <v>0</v>
      </c>
      <c r="Q179" s="4" t="s">
        <v>26</v>
      </c>
      <c r="R179" s="4">
        <v>0</v>
      </c>
      <c r="S179" s="4" t="s">
        <v>152</v>
      </c>
      <c r="T179" s="4" t="s">
        <v>393</v>
      </c>
      <c r="U179" s="4">
        <v>0</v>
      </c>
      <c r="V179" s="4">
        <v>7</v>
      </c>
      <c r="W179" s="4">
        <v>48</v>
      </c>
    </row>
    <row r="180" spans="1:23" ht="11.25" customHeight="1" x14ac:dyDescent="0.25">
      <c r="A180" s="4" t="s">
        <v>28</v>
      </c>
      <c r="B180" s="4" t="s">
        <v>33</v>
      </c>
      <c r="C180" s="4" t="s">
        <v>34</v>
      </c>
      <c r="D180" s="4" t="s">
        <v>40</v>
      </c>
      <c r="E180" s="4" t="s">
        <v>25</v>
      </c>
      <c r="F180" s="4" t="s">
        <v>25</v>
      </c>
      <c r="G180" s="4" t="s">
        <v>25</v>
      </c>
      <c r="H180" s="4" t="s">
        <v>35</v>
      </c>
      <c r="I180" s="5">
        <v>44593</v>
      </c>
      <c r="J180" s="6">
        <v>0</v>
      </c>
      <c r="K180" s="6">
        <v>0</v>
      </c>
      <c r="L180" s="6">
        <v>3.24</v>
      </c>
      <c r="M180" s="6">
        <v>3.24</v>
      </c>
      <c r="N180" s="6">
        <v>3.24</v>
      </c>
      <c r="O180" s="6">
        <v>3.24</v>
      </c>
      <c r="P180" s="6">
        <v>0</v>
      </c>
      <c r="Q180" s="4" t="s">
        <v>26</v>
      </c>
      <c r="R180" s="4">
        <v>0</v>
      </c>
      <c r="S180" s="4" t="s">
        <v>152</v>
      </c>
      <c r="T180" s="4" t="s">
        <v>393</v>
      </c>
      <c r="U180" s="4">
        <v>0</v>
      </c>
      <c r="V180" s="4">
        <v>7</v>
      </c>
      <c r="W180" s="4">
        <v>48</v>
      </c>
    </row>
    <row r="181" spans="1:23" ht="11.25" customHeight="1" x14ac:dyDescent="0.25">
      <c r="A181" s="4" t="s">
        <v>21</v>
      </c>
      <c r="B181" s="4" t="s">
        <v>33</v>
      </c>
      <c r="C181" s="4" t="s">
        <v>34</v>
      </c>
      <c r="D181" s="4" t="s">
        <v>40</v>
      </c>
      <c r="E181" s="4" t="s">
        <v>25</v>
      </c>
      <c r="F181" s="4" t="s">
        <v>25</v>
      </c>
      <c r="G181" s="4" t="s">
        <v>25</v>
      </c>
      <c r="H181" s="4" t="s">
        <v>35</v>
      </c>
      <c r="I181" s="5">
        <v>44621</v>
      </c>
      <c r="J181" s="6">
        <v>0</v>
      </c>
      <c r="K181" s="6">
        <v>0</v>
      </c>
      <c r="L181" s="6">
        <v>20.027000000000001</v>
      </c>
      <c r="M181" s="6">
        <v>20.027000000000001</v>
      </c>
      <c r="N181" s="6">
        <v>20.027000000000001</v>
      </c>
      <c r="O181" s="6">
        <v>20.027000000000001</v>
      </c>
      <c r="P181" s="6">
        <v>0</v>
      </c>
      <c r="Q181" s="4" t="s">
        <v>26</v>
      </c>
      <c r="R181" s="4">
        <v>0</v>
      </c>
      <c r="S181" s="4" t="s">
        <v>153</v>
      </c>
      <c r="T181" s="4" t="s">
        <v>394</v>
      </c>
      <c r="U181" s="4">
        <v>0</v>
      </c>
      <c r="V181" s="4">
        <v>7</v>
      </c>
      <c r="W181" s="4">
        <v>48</v>
      </c>
    </row>
    <row r="182" spans="1:23" ht="11.25" customHeight="1" x14ac:dyDescent="0.25">
      <c r="A182" s="4" t="s">
        <v>28</v>
      </c>
      <c r="B182" s="4" t="s">
        <v>33</v>
      </c>
      <c r="C182" s="4" t="s">
        <v>34</v>
      </c>
      <c r="D182" s="4" t="s">
        <v>40</v>
      </c>
      <c r="E182" s="4" t="s">
        <v>25</v>
      </c>
      <c r="F182" s="4" t="s">
        <v>25</v>
      </c>
      <c r="G182" s="4" t="s">
        <v>25</v>
      </c>
      <c r="H182" s="4" t="s">
        <v>35</v>
      </c>
      <c r="I182" s="5">
        <v>44621</v>
      </c>
      <c r="J182" s="6">
        <v>0</v>
      </c>
      <c r="K182" s="6">
        <v>0</v>
      </c>
      <c r="L182" s="6">
        <v>6.1390000000000002</v>
      </c>
      <c r="M182" s="6">
        <v>6.1390000000000002</v>
      </c>
      <c r="N182" s="6">
        <v>6.1390000000000002</v>
      </c>
      <c r="O182" s="6">
        <v>6.1390000000000002</v>
      </c>
      <c r="P182" s="6">
        <v>0</v>
      </c>
      <c r="Q182" s="4" t="s">
        <v>26</v>
      </c>
      <c r="R182" s="4">
        <v>0</v>
      </c>
      <c r="S182" s="4" t="s">
        <v>153</v>
      </c>
      <c r="T182" s="4" t="s">
        <v>394</v>
      </c>
      <c r="U182" s="4">
        <v>0</v>
      </c>
      <c r="V182" s="4">
        <v>7</v>
      </c>
      <c r="W182" s="4">
        <v>48</v>
      </c>
    </row>
    <row r="183" spans="1:23" ht="11.25" customHeight="1" x14ac:dyDescent="0.25">
      <c r="A183" s="4" t="s">
        <v>21</v>
      </c>
      <c r="B183" s="4" t="s">
        <v>33</v>
      </c>
      <c r="C183" s="4" t="s">
        <v>34</v>
      </c>
      <c r="D183" s="4" t="s">
        <v>40</v>
      </c>
      <c r="E183" s="4" t="s">
        <v>25</v>
      </c>
      <c r="F183" s="4" t="s">
        <v>25</v>
      </c>
      <c r="G183" s="4" t="s">
        <v>25</v>
      </c>
      <c r="H183" s="4" t="s">
        <v>35</v>
      </c>
      <c r="I183" s="5">
        <v>44652</v>
      </c>
      <c r="J183" s="6">
        <v>0</v>
      </c>
      <c r="K183" s="6">
        <v>0</v>
      </c>
      <c r="L183" s="6">
        <v>17.465</v>
      </c>
      <c r="M183" s="6">
        <v>17.465</v>
      </c>
      <c r="N183" s="6">
        <v>17.465</v>
      </c>
      <c r="O183" s="6">
        <v>17.465</v>
      </c>
      <c r="P183" s="6">
        <v>0</v>
      </c>
      <c r="Q183" s="4" t="s">
        <v>26</v>
      </c>
      <c r="R183" s="4">
        <v>0</v>
      </c>
      <c r="S183" s="4" t="s">
        <v>154</v>
      </c>
      <c r="T183" s="4" t="s">
        <v>395</v>
      </c>
      <c r="U183" s="4">
        <v>0</v>
      </c>
      <c r="V183" s="4">
        <v>7</v>
      </c>
      <c r="W183" s="4">
        <v>48</v>
      </c>
    </row>
    <row r="184" spans="1:23" ht="11.25" customHeight="1" x14ac:dyDescent="0.25">
      <c r="A184" s="4" t="s">
        <v>21</v>
      </c>
      <c r="B184" s="4" t="s">
        <v>33</v>
      </c>
      <c r="C184" s="4" t="s">
        <v>34</v>
      </c>
      <c r="D184" s="4" t="s">
        <v>24</v>
      </c>
      <c r="E184" s="4" t="s">
        <v>24</v>
      </c>
      <c r="F184" s="4" t="s">
        <v>25</v>
      </c>
      <c r="G184" s="4" t="s">
        <v>25</v>
      </c>
      <c r="H184" s="4" t="s">
        <v>36</v>
      </c>
      <c r="I184" s="5">
        <v>44317</v>
      </c>
      <c r="J184" s="6">
        <v>0</v>
      </c>
      <c r="K184" s="6">
        <v>0</v>
      </c>
      <c r="L184" s="6">
        <v>2.9929999999999999</v>
      </c>
      <c r="M184" s="6">
        <v>2.9929999999999999</v>
      </c>
      <c r="N184" s="6">
        <v>2.9929999999999999</v>
      </c>
      <c r="O184" s="6">
        <v>2.9929999999999999</v>
      </c>
      <c r="P184" s="6">
        <v>0</v>
      </c>
      <c r="Q184" s="4" t="s">
        <v>26</v>
      </c>
      <c r="R184" s="4">
        <v>0</v>
      </c>
      <c r="S184" s="4" t="s">
        <v>119</v>
      </c>
      <c r="T184" s="4" t="s">
        <v>372</v>
      </c>
      <c r="U184" s="4">
        <v>0</v>
      </c>
      <c r="V184" s="4">
        <v>8</v>
      </c>
      <c r="W184" s="4">
        <v>49</v>
      </c>
    </row>
    <row r="185" spans="1:23" ht="11.25" customHeight="1" x14ac:dyDescent="0.25">
      <c r="A185" s="4" t="s">
        <v>21</v>
      </c>
      <c r="B185" s="4" t="s">
        <v>33</v>
      </c>
      <c r="C185" s="4" t="s">
        <v>34</v>
      </c>
      <c r="D185" s="4" t="s">
        <v>24</v>
      </c>
      <c r="E185" s="4" t="s">
        <v>24</v>
      </c>
      <c r="F185" s="4" t="s">
        <v>25</v>
      </c>
      <c r="G185" s="4" t="s">
        <v>25</v>
      </c>
      <c r="H185" s="4" t="s">
        <v>36</v>
      </c>
      <c r="I185" s="5">
        <v>44348</v>
      </c>
      <c r="J185" s="6">
        <v>0</v>
      </c>
      <c r="K185" s="6">
        <v>0</v>
      </c>
      <c r="L185" s="6">
        <v>2.645</v>
      </c>
      <c r="M185" s="6">
        <v>2.645</v>
      </c>
      <c r="N185" s="6">
        <v>2.645</v>
      </c>
      <c r="O185" s="6">
        <v>2.645</v>
      </c>
      <c r="P185" s="6">
        <v>0</v>
      </c>
      <c r="Q185" s="4" t="s">
        <v>26</v>
      </c>
      <c r="R185" s="4">
        <v>0</v>
      </c>
      <c r="S185" s="4" t="s">
        <v>120</v>
      </c>
      <c r="T185" s="4" t="s">
        <v>373</v>
      </c>
      <c r="U185" s="4">
        <v>0</v>
      </c>
      <c r="V185" s="4">
        <v>8</v>
      </c>
      <c r="W185" s="4">
        <v>49</v>
      </c>
    </row>
    <row r="186" spans="1:23" ht="11.25" customHeight="1" x14ac:dyDescent="0.25">
      <c r="A186" s="4" t="s">
        <v>21</v>
      </c>
      <c r="B186" s="4" t="s">
        <v>33</v>
      </c>
      <c r="C186" s="4" t="s">
        <v>34</v>
      </c>
      <c r="D186" s="4" t="s">
        <v>24</v>
      </c>
      <c r="E186" s="4" t="s">
        <v>24</v>
      </c>
      <c r="F186" s="4" t="s">
        <v>25</v>
      </c>
      <c r="G186" s="4" t="s">
        <v>25</v>
      </c>
      <c r="H186" s="4" t="s">
        <v>36</v>
      </c>
      <c r="I186" s="5">
        <v>44378</v>
      </c>
      <c r="J186" s="6">
        <v>0</v>
      </c>
      <c r="K186" s="6">
        <v>0</v>
      </c>
      <c r="L186" s="6">
        <v>4.4420000000000002</v>
      </c>
      <c r="M186" s="6">
        <v>4.4420000000000002</v>
      </c>
      <c r="N186" s="6">
        <v>4.4420000000000002</v>
      </c>
      <c r="O186" s="6">
        <v>4.4420000000000002</v>
      </c>
      <c r="P186" s="6">
        <v>0</v>
      </c>
      <c r="Q186" s="4" t="s">
        <v>26</v>
      </c>
      <c r="R186" s="4">
        <v>0</v>
      </c>
      <c r="S186" s="4" t="s">
        <v>121</v>
      </c>
      <c r="T186" s="4" t="s">
        <v>374</v>
      </c>
      <c r="U186" s="4">
        <v>0</v>
      </c>
      <c r="V186" s="4">
        <v>8</v>
      </c>
      <c r="W186" s="4">
        <v>49</v>
      </c>
    </row>
    <row r="187" spans="1:23" ht="11.25" customHeight="1" x14ac:dyDescent="0.25">
      <c r="A187" s="4" t="s">
        <v>21</v>
      </c>
      <c r="B187" s="4" t="s">
        <v>33</v>
      </c>
      <c r="C187" s="4" t="s">
        <v>34</v>
      </c>
      <c r="D187" s="4" t="s">
        <v>24</v>
      </c>
      <c r="E187" s="4" t="s">
        <v>24</v>
      </c>
      <c r="F187" s="4" t="s">
        <v>25</v>
      </c>
      <c r="G187" s="4" t="s">
        <v>25</v>
      </c>
      <c r="H187" s="4" t="s">
        <v>36</v>
      </c>
      <c r="I187" s="5">
        <v>44409</v>
      </c>
      <c r="J187" s="6">
        <v>0</v>
      </c>
      <c r="K187" s="6">
        <v>0</v>
      </c>
      <c r="L187" s="6">
        <v>4.109</v>
      </c>
      <c r="M187" s="6">
        <v>4.109</v>
      </c>
      <c r="N187" s="6">
        <v>4.109</v>
      </c>
      <c r="O187" s="6">
        <v>4.109</v>
      </c>
      <c r="P187" s="6">
        <v>0</v>
      </c>
      <c r="Q187" s="4" t="s">
        <v>26</v>
      </c>
      <c r="R187" s="4">
        <v>0</v>
      </c>
      <c r="S187" s="4" t="s">
        <v>122</v>
      </c>
      <c r="T187" s="4" t="s">
        <v>375</v>
      </c>
      <c r="U187" s="4">
        <v>0</v>
      </c>
      <c r="V187" s="4">
        <v>8</v>
      </c>
      <c r="W187" s="4">
        <v>49</v>
      </c>
    </row>
    <row r="188" spans="1:23" ht="11.25" customHeight="1" x14ac:dyDescent="0.25">
      <c r="A188" s="4" t="s">
        <v>21</v>
      </c>
      <c r="B188" s="4" t="s">
        <v>33</v>
      </c>
      <c r="C188" s="4" t="s">
        <v>34</v>
      </c>
      <c r="D188" s="4" t="s">
        <v>24</v>
      </c>
      <c r="E188" s="4" t="s">
        <v>24</v>
      </c>
      <c r="F188" s="4" t="s">
        <v>25</v>
      </c>
      <c r="G188" s="4" t="s">
        <v>25</v>
      </c>
      <c r="H188" s="4" t="s">
        <v>36</v>
      </c>
      <c r="I188" s="5">
        <v>44440</v>
      </c>
      <c r="J188" s="6">
        <v>0</v>
      </c>
      <c r="K188" s="6">
        <v>0</v>
      </c>
      <c r="L188" s="6">
        <v>3.056</v>
      </c>
      <c r="M188" s="6">
        <v>3.056</v>
      </c>
      <c r="N188" s="6">
        <v>3.056</v>
      </c>
      <c r="O188" s="6">
        <v>3.056</v>
      </c>
      <c r="P188" s="6">
        <v>0</v>
      </c>
      <c r="Q188" s="4" t="s">
        <v>26</v>
      </c>
      <c r="R188" s="4">
        <v>0</v>
      </c>
      <c r="S188" s="4" t="s">
        <v>123</v>
      </c>
      <c r="T188" s="4" t="s">
        <v>376</v>
      </c>
      <c r="U188" s="4">
        <v>0</v>
      </c>
      <c r="V188" s="4">
        <v>8</v>
      </c>
      <c r="W188" s="4">
        <v>49</v>
      </c>
    </row>
    <row r="189" spans="1:23" ht="11.25" customHeight="1" x14ac:dyDescent="0.25">
      <c r="A189" s="4" t="s">
        <v>21</v>
      </c>
      <c r="B189" s="4" t="s">
        <v>33</v>
      </c>
      <c r="C189" s="4" t="s">
        <v>34</v>
      </c>
      <c r="D189" s="4" t="s">
        <v>24</v>
      </c>
      <c r="E189" s="4" t="s">
        <v>24</v>
      </c>
      <c r="F189" s="4" t="s">
        <v>25</v>
      </c>
      <c r="G189" s="4" t="s">
        <v>25</v>
      </c>
      <c r="H189" s="4" t="s">
        <v>36</v>
      </c>
      <c r="I189" s="5">
        <v>44470</v>
      </c>
      <c r="J189" s="6">
        <v>0</v>
      </c>
      <c r="K189" s="6">
        <v>0</v>
      </c>
      <c r="L189" s="6">
        <v>5.4539999999999997</v>
      </c>
      <c r="M189" s="6">
        <v>5.4539999999999997</v>
      </c>
      <c r="N189" s="6">
        <v>5.4539999999999997</v>
      </c>
      <c r="O189" s="6">
        <v>5.4539999999999997</v>
      </c>
      <c r="P189" s="6">
        <v>0</v>
      </c>
      <c r="Q189" s="4" t="s">
        <v>26</v>
      </c>
      <c r="R189" s="4">
        <v>0</v>
      </c>
      <c r="S189" s="4" t="s">
        <v>124</v>
      </c>
      <c r="T189" s="4" t="s">
        <v>377</v>
      </c>
      <c r="U189" s="4">
        <v>0</v>
      </c>
      <c r="V189" s="4">
        <v>8</v>
      </c>
      <c r="W189" s="4">
        <v>49</v>
      </c>
    </row>
    <row r="190" spans="1:23" ht="11.25" customHeight="1" x14ac:dyDescent="0.25">
      <c r="A190" s="4" t="s">
        <v>21</v>
      </c>
      <c r="B190" s="4" t="s">
        <v>33</v>
      </c>
      <c r="C190" s="4" t="s">
        <v>34</v>
      </c>
      <c r="D190" s="4" t="s">
        <v>24</v>
      </c>
      <c r="E190" s="4" t="s">
        <v>24</v>
      </c>
      <c r="F190" s="4" t="s">
        <v>25</v>
      </c>
      <c r="G190" s="4" t="s">
        <v>25</v>
      </c>
      <c r="H190" s="4" t="s">
        <v>36</v>
      </c>
      <c r="I190" s="5">
        <v>44501</v>
      </c>
      <c r="J190" s="6">
        <v>0</v>
      </c>
      <c r="K190" s="6">
        <v>0</v>
      </c>
      <c r="L190" s="6">
        <v>5.1210000000000004</v>
      </c>
      <c r="M190" s="6">
        <v>5.1210000000000004</v>
      </c>
      <c r="N190" s="6">
        <v>5.1210000000000004</v>
      </c>
      <c r="O190" s="6">
        <v>5.1210000000000004</v>
      </c>
      <c r="P190" s="6">
        <v>0</v>
      </c>
      <c r="Q190" s="4" t="s">
        <v>26</v>
      </c>
      <c r="R190" s="4">
        <v>0</v>
      </c>
      <c r="S190" s="4" t="s">
        <v>125</v>
      </c>
      <c r="T190" s="4" t="s">
        <v>378</v>
      </c>
      <c r="U190" s="4">
        <v>0</v>
      </c>
      <c r="V190" s="4">
        <v>8</v>
      </c>
      <c r="W190" s="4">
        <v>49</v>
      </c>
    </row>
    <row r="191" spans="1:23" ht="11.25" customHeight="1" x14ac:dyDescent="0.25">
      <c r="A191" s="4" t="s">
        <v>21</v>
      </c>
      <c r="B191" s="4" t="s">
        <v>33</v>
      </c>
      <c r="C191" s="4" t="s">
        <v>34</v>
      </c>
      <c r="D191" s="4" t="s">
        <v>24</v>
      </c>
      <c r="E191" s="4" t="s">
        <v>24</v>
      </c>
      <c r="F191" s="4" t="s">
        <v>25</v>
      </c>
      <c r="G191" s="4" t="s">
        <v>25</v>
      </c>
      <c r="H191" s="4" t="s">
        <v>36</v>
      </c>
      <c r="I191" s="5">
        <v>44531</v>
      </c>
      <c r="J191" s="6">
        <v>0</v>
      </c>
      <c r="K191" s="6">
        <v>0</v>
      </c>
      <c r="L191" s="6">
        <v>3.5230000000000001</v>
      </c>
      <c r="M191" s="6">
        <v>3.5230000000000001</v>
      </c>
      <c r="N191" s="6">
        <v>3.5230000000000001</v>
      </c>
      <c r="O191" s="6">
        <v>3.5230000000000001</v>
      </c>
      <c r="P191" s="6">
        <v>0</v>
      </c>
      <c r="Q191" s="4" t="s">
        <v>26</v>
      </c>
      <c r="R191" s="4">
        <v>0</v>
      </c>
      <c r="S191" s="4" t="s">
        <v>126</v>
      </c>
      <c r="T191" s="4" t="s">
        <v>379</v>
      </c>
      <c r="U191" s="4">
        <v>0</v>
      </c>
      <c r="V191" s="4">
        <v>8</v>
      </c>
      <c r="W191" s="4">
        <v>49</v>
      </c>
    </row>
    <row r="192" spans="1:23" ht="11.25" customHeight="1" x14ac:dyDescent="0.25">
      <c r="A192" s="4" t="s">
        <v>21</v>
      </c>
      <c r="B192" s="4" t="s">
        <v>33</v>
      </c>
      <c r="C192" s="4" t="s">
        <v>34</v>
      </c>
      <c r="D192" s="4" t="s">
        <v>24</v>
      </c>
      <c r="E192" s="4" t="s">
        <v>24</v>
      </c>
      <c r="F192" s="4" t="s">
        <v>25</v>
      </c>
      <c r="G192" s="4" t="s">
        <v>25</v>
      </c>
      <c r="H192" s="4" t="s">
        <v>36</v>
      </c>
      <c r="I192" s="5">
        <v>44562</v>
      </c>
      <c r="J192" s="6">
        <v>0</v>
      </c>
      <c r="K192" s="6">
        <v>0</v>
      </c>
      <c r="L192" s="6">
        <v>3.3450000000000002</v>
      </c>
      <c r="M192" s="6">
        <v>3.3450000000000002</v>
      </c>
      <c r="N192" s="6">
        <v>3.3450000000000002</v>
      </c>
      <c r="O192" s="6">
        <v>3.3450000000000002</v>
      </c>
      <c r="P192" s="6">
        <v>0</v>
      </c>
      <c r="Q192" s="4" t="s">
        <v>26</v>
      </c>
      <c r="R192" s="4">
        <v>0</v>
      </c>
      <c r="S192" s="4" t="s">
        <v>127</v>
      </c>
      <c r="T192" s="4" t="s">
        <v>380</v>
      </c>
      <c r="U192" s="4">
        <v>0</v>
      </c>
      <c r="V192" s="4">
        <v>8</v>
      </c>
      <c r="W192" s="4">
        <v>49</v>
      </c>
    </row>
    <row r="193" spans="1:23" ht="11.25" customHeight="1" x14ac:dyDescent="0.25">
      <c r="A193" s="4" t="s">
        <v>21</v>
      </c>
      <c r="B193" s="4" t="s">
        <v>33</v>
      </c>
      <c r="C193" s="4" t="s">
        <v>34</v>
      </c>
      <c r="D193" s="4" t="s">
        <v>24</v>
      </c>
      <c r="E193" s="4" t="s">
        <v>24</v>
      </c>
      <c r="F193" s="4" t="s">
        <v>25</v>
      </c>
      <c r="G193" s="4" t="s">
        <v>25</v>
      </c>
      <c r="H193" s="4" t="s">
        <v>36</v>
      </c>
      <c r="I193" s="5">
        <v>44593</v>
      </c>
      <c r="J193" s="6">
        <v>0</v>
      </c>
      <c r="K193" s="6">
        <v>0</v>
      </c>
      <c r="L193" s="6">
        <v>3.5070000000000001</v>
      </c>
      <c r="M193" s="6">
        <v>3.5070000000000001</v>
      </c>
      <c r="N193" s="6">
        <v>3.5070000000000001</v>
      </c>
      <c r="O193" s="6">
        <v>3.5070000000000001</v>
      </c>
      <c r="P193" s="6">
        <v>0</v>
      </c>
      <c r="Q193" s="4" t="s">
        <v>26</v>
      </c>
      <c r="R193" s="4">
        <v>0</v>
      </c>
      <c r="S193" s="4" t="s">
        <v>128</v>
      </c>
      <c r="T193" s="4" t="s">
        <v>381</v>
      </c>
      <c r="U193" s="4">
        <v>0</v>
      </c>
      <c r="V193" s="4">
        <v>8</v>
      </c>
      <c r="W193" s="4">
        <v>49</v>
      </c>
    </row>
    <row r="194" spans="1:23" ht="11.25" customHeight="1" x14ac:dyDescent="0.25">
      <c r="A194" s="4" t="s">
        <v>21</v>
      </c>
      <c r="B194" s="4" t="s">
        <v>33</v>
      </c>
      <c r="C194" s="4" t="s">
        <v>34</v>
      </c>
      <c r="D194" s="4" t="s">
        <v>24</v>
      </c>
      <c r="E194" s="4" t="s">
        <v>24</v>
      </c>
      <c r="F194" s="4" t="s">
        <v>25</v>
      </c>
      <c r="G194" s="4" t="s">
        <v>25</v>
      </c>
      <c r="H194" s="4" t="s">
        <v>36</v>
      </c>
      <c r="I194" s="5">
        <v>44621</v>
      </c>
      <c r="J194" s="6">
        <v>0</v>
      </c>
      <c r="K194" s="6">
        <v>0</v>
      </c>
      <c r="L194" s="6">
        <v>4.3849999999999998</v>
      </c>
      <c r="M194" s="6">
        <v>4.3849999999999998</v>
      </c>
      <c r="N194" s="6">
        <v>4.3849999999999998</v>
      </c>
      <c r="O194" s="6">
        <v>4.3849999999999998</v>
      </c>
      <c r="P194" s="6">
        <v>0</v>
      </c>
      <c r="Q194" s="4" t="s">
        <v>26</v>
      </c>
      <c r="R194" s="4">
        <v>0</v>
      </c>
      <c r="S194" s="4" t="s">
        <v>129</v>
      </c>
      <c r="T194" s="4" t="s">
        <v>382</v>
      </c>
      <c r="U194" s="4">
        <v>0</v>
      </c>
      <c r="V194" s="4">
        <v>8</v>
      </c>
      <c r="W194" s="4">
        <v>49</v>
      </c>
    </row>
    <row r="195" spans="1:23" ht="11.25" customHeight="1" x14ac:dyDescent="0.25">
      <c r="A195" s="4" t="s">
        <v>21</v>
      </c>
      <c r="B195" s="4" t="s">
        <v>33</v>
      </c>
      <c r="C195" s="4" t="s">
        <v>34</v>
      </c>
      <c r="D195" s="4" t="s">
        <v>24</v>
      </c>
      <c r="E195" s="4" t="s">
        <v>24</v>
      </c>
      <c r="F195" s="4" t="s">
        <v>25</v>
      </c>
      <c r="G195" s="4" t="s">
        <v>25</v>
      </c>
      <c r="H195" s="4" t="s">
        <v>36</v>
      </c>
      <c r="I195" s="5">
        <v>44652</v>
      </c>
      <c r="J195" s="6">
        <v>0</v>
      </c>
      <c r="K195" s="6">
        <v>0</v>
      </c>
      <c r="L195" s="6">
        <v>7.3390000000000004</v>
      </c>
      <c r="M195" s="6">
        <v>7.3390000000000004</v>
      </c>
      <c r="N195" s="6">
        <v>7.3390000000000004</v>
      </c>
      <c r="O195" s="6">
        <v>7.3390000000000004</v>
      </c>
      <c r="P195" s="6">
        <v>0</v>
      </c>
      <c r="Q195" s="4" t="s">
        <v>26</v>
      </c>
      <c r="R195" s="4">
        <v>0</v>
      </c>
      <c r="S195" s="4" t="s">
        <v>130</v>
      </c>
      <c r="T195" s="4" t="s">
        <v>383</v>
      </c>
      <c r="U195" s="4">
        <v>0</v>
      </c>
      <c r="V195" s="4">
        <v>8</v>
      </c>
      <c r="W195" s="4">
        <v>49</v>
      </c>
    </row>
    <row r="196" spans="1:23" ht="11.25" customHeight="1" x14ac:dyDescent="0.25">
      <c r="A196" s="4" t="s">
        <v>21</v>
      </c>
      <c r="B196" s="4" t="s">
        <v>33</v>
      </c>
      <c r="C196" s="4" t="s">
        <v>34</v>
      </c>
      <c r="D196" s="4" t="s">
        <v>24</v>
      </c>
      <c r="E196" s="4" t="s">
        <v>24</v>
      </c>
      <c r="F196" s="4" t="s">
        <v>25</v>
      </c>
      <c r="G196" s="4" t="s">
        <v>25</v>
      </c>
      <c r="H196" s="4" t="s">
        <v>25</v>
      </c>
      <c r="I196" s="5">
        <v>44317</v>
      </c>
      <c r="J196" s="6">
        <v>50</v>
      </c>
      <c r="K196" s="6">
        <v>50</v>
      </c>
      <c r="L196" s="6">
        <v>0</v>
      </c>
      <c r="M196" s="6">
        <v>0</v>
      </c>
      <c r="N196" s="6">
        <v>0</v>
      </c>
      <c r="O196" s="6">
        <v>0</v>
      </c>
      <c r="P196" s="6">
        <v>1</v>
      </c>
      <c r="Q196" s="4" t="s">
        <v>26</v>
      </c>
      <c r="R196" s="4">
        <v>0</v>
      </c>
      <c r="S196" s="4" t="s">
        <v>131</v>
      </c>
      <c r="U196" s="4">
        <v>6</v>
      </c>
      <c r="V196" s="4">
        <v>0</v>
      </c>
      <c r="W196" s="4">
        <v>0</v>
      </c>
    </row>
    <row r="197" spans="1:23" ht="11.25" customHeight="1" x14ac:dyDescent="0.25">
      <c r="A197" s="4" t="s">
        <v>21</v>
      </c>
      <c r="B197" s="4" t="s">
        <v>33</v>
      </c>
      <c r="C197" s="4" t="s">
        <v>34</v>
      </c>
      <c r="D197" s="4" t="s">
        <v>24</v>
      </c>
      <c r="E197" s="4" t="s">
        <v>24</v>
      </c>
      <c r="F197" s="4" t="s">
        <v>25</v>
      </c>
      <c r="G197" s="4" t="s">
        <v>25</v>
      </c>
      <c r="H197" s="4" t="s">
        <v>25</v>
      </c>
      <c r="I197" s="5">
        <v>44348</v>
      </c>
      <c r="J197" s="6">
        <v>50</v>
      </c>
      <c r="K197" s="6">
        <v>50</v>
      </c>
      <c r="L197" s="6">
        <v>0</v>
      </c>
      <c r="M197" s="6">
        <v>0</v>
      </c>
      <c r="N197" s="6">
        <v>0</v>
      </c>
      <c r="O197" s="6">
        <v>0</v>
      </c>
      <c r="P197" s="6">
        <v>1</v>
      </c>
      <c r="Q197" s="4" t="s">
        <v>26</v>
      </c>
      <c r="R197" s="4">
        <v>0</v>
      </c>
      <c r="S197" s="4" t="s">
        <v>132</v>
      </c>
      <c r="U197" s="4">
        <v>6</v>
      </c>
      <c r="V197" s="4">
        <v>0</v>
      </c>
      <c r="W197" s="4">
        <v>0</v>
      </c>
    </row>
    <row r="198" spans="1:23" ht="11.25" customHeight="1" x14ac:dyDescent="0.25">
      <c r="A198" s="4" t="s">
        <v>21</v>
      </c>
      <c r="B198" s="4" t="s">
        <v>33</v>
      </c>
      <c r="C198" s="4" t="s">
        <v>34</v>
      </c>
      <c r="D198" s="4" t="s">
        <v>24</v>
      </c>
      <c r="E198" s="4" t="s">
        <v>24</v>
      </c>
      <c r="F198" s="4" t="s">
        <v>25</v>
      </c>
      <c r="G198" s="4" t="s">
        <v>25</v>
      </c>
      <c r="H198" s="4" t="s">
        <v>25</v>
      </c>
      <c r="I198" s="5">
        <v>44378</v>
      </c>
      <c r="J198" s="6">
        <v>50</v>
      </c>
      <c r="K198" s="6">
        <v>50</v>
      </c>
      <c r="L198" s="6">
        <v>0</v>
      </c>
      <c r="M198" s="6">
        <v>0</v>
      </c>
      <c r="N198" s="6">
        <v>0</v>
      </c>
      <c r="O198" s="6">
        <v>0</v>
      </c>
      <c r="P198" s="6">
        <v>1</v>
      </c>
      <c r="Q198" s="4" t="s">
        <v>26</v>
      </c>
      <c r="R198" s="4">
        <v>0</v>
      </c>
      <c r="S198" s="4" t="s">
        <v>133</v>
      </c>
      <c r="U198" s="4">
        <v>6</v>
      </c>
      <c r="V198" s="4">
        <v>0</v>
      </c>
      <c r="W198" s="4">
        <v>0</v>
      </c>
    </row>
    <row r="199" spans="1:23" ht="11.25" customHeight="1" x14ac:dyDescent="0.25">
      <c r="A199" s="4" t="s">
        <v>21</v>
      </c>
      <c r="B199" s="4" t="s">
        <v>33</v>
      </c>
      <c r="C199" s="4" t="s">
        <v>34</v>
      </c>
      <c r="D199" s="4" t="s">
        <v>24</v>
      </c>
      <c r="E199" s="4" t="s">
        <v>24</v>
      </c>
      <c r="F199" s="4" t="s">
        <v>25</v>
      </c>
      <c r="G199" s="4" t="s">
        <v>25</v>
      </c>
      <c r="H199" s="4" t="s">
        <v>25</v>
      </c>
      <c r="I199" s="5">
        <v>44409</v>
      </c>
      <c r="J199" s="6">
        <v>50</v>
      </c>
      <c r="K199" s="6">
        <v>50</v>
      </c>
      <c r="L199" s="6">
        <v>0</v>
      </c>
      <c r="M199" s="6">
        <v>0</v>
      </c>
      <c r="N199" s="6">
        <v>0</v>
      </c>
      <c r="O199" s="6">
        <v>0</v>
      </c>
      <c r="P199" s="6">
        <v>1</v>
      </c>
      <c r="Q199" s="4" t="s">
        <v>26</v>
      </c>
      <c r="R199" s="4">
        <v>0</v>
      </c>
      <c r="S199" s="4" t="s">
        <v>134</v>
      </c>
      <c r="U199" s="4">
        <v>6</v>
      </c>
      <c r="V199" s="4">
        <v>0</v>
      </c>
      <c r="W199" s="4">
        <v>0</v>
      </c>
    </row>
    <row r="200" spans="1:23" ht="11.25" customHeight="1" x14ac:dyDescent="0.25">
      <c r="A200" s="4" t="s">
        <v>21</v>
      </c>
      <c r="B200" s="4" t="s">
        <v>33</v>
      </c>
      <c r="C200" s="4" t="s">
        <v>34</v>
      </c>
      <c r="D200" s="4" t="s">
        <v>24</v>
      </c>
      <c r="E200" s="4" t="s">
        <v>24</v>
      </c>
      <c r="F200" s="4" t="s">
        <v>25</v>
      </c>
      <c r="G200" s="4" t="s">
        <v>25</v>
      </c>
      <c r="H200" s="4" t="s">
        <v>25</v>
      </c>
      <c r="I200" s="5">
        <v>44440</v>
      </c>
      <c r="J200" s="6">
        <v>50</v>
      </c>
      <c r="K200" s="6">
        <v>50</v>
      </c>
      <c r="L200" s="6">
        <v>0</v>
      </c>
      <c r="M200" s="6">
        <v>0</v>
      </c>
      <c r="N200" s="6">
        <v>0</v>
      </c>
      <c r="O200" s="6">
        <v>0</v>
      </c>
      <c r="P200" s="6">
        <v>1</v>
      </c>
      <c r="Q200" s="4" t="s">
        <v>26</v>
      </c>
      <c r="R200" s="4">
        <v>0</v>
      </c>
      <c r="S200" s="4" t="s">
        <v>135</v>
      </c>
      <c r="U200" s="4">
        <v>6</v>
      </c>
      <c r="V200" s="4">
        <v>0</v>
      </c>
      <c r="W200" s="4">
        <v>0</v>
      </c>
    </row>
    <row r="201" spans="1:23" ht="11.25" customHeight="1" x14ac:dyDescent="0.25">
      <c r="A201" s="4" t="s">
        <v>21</v>
      </c>
      <c r="B201" s="4" t="s">
        <v>33</v>
      </c>
      <c r="C201" s="4" t="s">
        <v>34</v>
      </c>
      <c r="D201" s="4" t="s">
        <v>24</v>
      </c>
      <c r="E201" s="4" t="s">
        <v>24</v>
      </c>
      <c r="F201" s="4" t="s">
        <v>25</v>
      </c>
      <c r="G201" s="4" t="s">
        <v>25</v>
      </c>
      <c r="H201" s="4" t="s">
        <v>25</v>
      </c>
      <c r="I201" s="5">
        <v>44470</v>
      </c>
      <c r="J201" s="6">
        <v>50</v>
      </c>
      <c r="K201" s="6">
        <v>50</v>
      </c>
      <c r="L201" s="6">
        <v>0</v>
      </c>
      <c r="M201" s="6">
        <v>0</v>
      </c>
      <c r="N201" s="6">
        <v>0</v>
      </c>
      <c r="O201" s="6">
        <v>0</v>
      </c>
      <c r="P201" s="6">
        <v>1</v>
      </c>
      <c r="Q201" s="4" t="s">
        <v>26</v>
      </c>
      <c r="R201" s="4">
        <v>0</v>
      </c>
      <c r="S201" s="4" t="s">
        <v>136</v>
      </c>
      <c r="U201" s="4">
        <v>6</v>
      </c>
      <c r="V201" s="4">
        <v>0</v>
      </c>
      <c r="W201" s="4">
        <v>0</v>
      </c>
    </row>
    <row r="202" spans="1:23" ht="11.25" customHeight="1" x14ac:dyDescent="0.25">
      <c r="A202" s="4" t="s">
        <v>21</v>
      </c>
      <c r="B202" s="4" t="s">
        <v>33</v>
      </c>
      <c r="C202" s="4" t="s">
        <v>34</v>
      </c>
      <c r="D202" s="4" t="s">
        <v>24</v>
      </c>
      <c r="E202" s="4" t="s">
        <v>24</v>
      </c>
      <c r="F202" s="4" t="s">
        <v>25</v>
      </c>
      <c r="G202" s="4" t="s">
        <v>25</v>
      </c>
      <c r="H202" s="4" t="s">
        <v>25</v>
      </c>
      <c r="I202" s="5">
        <v>44501</v>
      </c>
      <c r="J202" s="6">
        <v>50</v>
      </c>
      <c r="K202" s="6">
        <v>50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4" t="s">
        <v>26</v>
      </c>
      <c r="R202" s="4">
        <v>0</v>
      </c>
      <c r="S202" s="4" t="s">
        <v>137</v>
      </c>
      <c r="U202" s="4">
        <v>6</v>
      </c>
      <c r="V202" s="4">
        <v>0</v>
      </c>
      <c r="W202" s="4">
        <v>0</v>
      </c>
    </row>
    <row r="203" spans="1:23" ht="11.25" customHeight="1" x14ac:dyDescent="0.25">
      <c r="A203" s="4" t="s">
        <v>21</v>
      </c>
      <c r="B203" s="4" t="s">
        <v>33</v>
      </c>
      <c r="C203" s="4" t="s">
        <v>34</v>
      </c>
      <c r="D203" s="4" t="s">
        <v>24</v>
      </c>
      <c r="E203" s="4" t="s">
        <v>24</v>
      </c>
      <c r="F203" s="4" t="s">
        <v>25</v>
      </c>
      <c r="G203" s="4" t="s">
        <v>25</v>
      </c>
      <c r="H203" s="4" t="s">
        <v>25</v>
      </c>
      <c r="I203" s="5">
        <v>44531</v>
      </c>
      <c r="J203" s="6">
        <v>50</v>
      </c>
      <c r="K203" s="6">
        <v>50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4" t="s">
        <v>26</v>
      </c>
      <c r="R203" s="4">
        <v>0</v>
      </c>
      <c r="S203" s="4" t="s">
        <v>138</v>
      </c>
      <c r="U203" s="4">
        <v>6</v>
      </c>
      <c r="V203" s="4">
        <v>0</v>
      </c>
      <c r="W203" s="4">
        <v>0</v>
      </c>
    </row>
    <row r="204" spans="1:23" ht="11.25" customHeight="1" x14ac:dyDescent="0.25">
      <c r="A204" s="4" t="s">
        <v>21</v>
      </c>
      <c r="B204" s="4" t="s">
        <v>33</v>
      </c>
      <c r="C204" s="4" t="s">
        <v>34</v>
      </c>
      <c r="D204" s="4" t="s">
        <v>24</v>
      </c>
      <c r="E204" s="4" t="s">
        <v>24</v>
      </c>
      <c r="F204" s="4" t="s">
        <v>25</v>
      </c>
      <c r="G204" s="4" t="s">
        <v>25</v>
      </c>
      <c r="H204" s="4" t="s">
        <v>25</v>
      </c>
      <c r="I204" s="5">
        <v>44562</v>
      </c>
      <c r="J204" s="6">
        <v>50</v>
      </c>
      <c r="K204" s="6">
        <v>50</v>
      </c>
      <c r="L204" s="6">
        <v>0</v>
      </c>
      <c r="M204" s="6">
        <v>0</v>
      </c>
      <c r="N204" s="6">
        <v>0</v>
      </c>
      <c r="O204" s="6">
        <v>0</v>
      </c>
      <c r="P204" s="6">
        <v>1</v>
      </c>
      <c r="Q204" s="4" t="s">
        <v>26</v>
      </c>
      <c r="R204" s="4">
        <v>0</v>
      </c>
      <c r="S204" s="4" t="s">
        <v>139</v>
      </c>
      <c r="U204" s="4">
        <v>6</v>
      </c>
      <c r="V204" s="4">
        <v>0</v>
      </c>
      <c r="W204" s="4">
        <v>0</v>
      </c>
    </row>
    <row r="205" spans="1:23" ht="11.25" customHeight="1" x14ac:dyDescent="0.25">
      <c r="A205" s="4" t="s">
        <v>21</v>
      </c>
      <c r="B205" s="4" t="s">
        <v>33</v>
      </c>
      <c r="C205" s="4" t="s">
        <v>34</v>
      </c>
      <c r="D205" s="4" t="s">
        <v>24</v>
      </c>
      <c r="E205" s="4" t="s">
        <v>24</v>
      </c>
      <c r="F205" s="4" t="s">
        <v>25</v>
      </c>
      <c r="G205" s="4" t="s">
        <v>25</v>
      </c>
      <c r="H205" s="4" t="s">
        <v>25</v>
      </c>
      <c r="I205" s="5">
        <v>44593</v>
      </c>
      <c r="J205" s="6">
        <v>50</v>
      </c>
      <c r="K205" s="6">
        <v>50</v>
      </c>
      <c r="L205" s="6">
        <v>0</v>
      </c>
      <c r="M205" s="6">
        <v>0</v>
      </c>
      <c r="N205" s="6">
        <v>0</v>
      </c>
      <c r="O205" s="6">
        <v>0</v>
      </c>
      <c r="P205" s="6">
        <v>1</v>
      </c>
      <c r="Q205" s="4" t="s">
        <v>26</v>
      </c>
      <c r="R205" s="4">
        <v>0</v>
      </c>
      <c r="S205" s="4" t="s">
        <v>140</v>
      </c>
      <c r="U205" s="4">
        <v>6</v>
      </c>
      <c r="V205" s="4">
        <v>0</v>
      </c>
      <c r="W205" s="4">
        <v>0</v>
      </c>
    </row>
    <row r="206" spans="1:23" ht="11.25" customHeight="1" x14ac:dyDescent="0.25">
      <c r="A206" s="4" t="s">
        <v>21</v>
      </c>
      <c r="B206" s="4" t="s">
        <v>33</v>
      </c>
      <c r="C206" s="4" t="s">
        <v>34</v>
      </c>
      <c r="D206" s="4" t="s">
        <v>24</v>
      </c>
      <c r="E206" s="4" t="s">
        <v>24</v>
      </c>
      <c r="F206" s="4" t="s">
        <v>25</v>
      </c>
      <c r="G206" s="4" t="s">
        <v>25</v>
      </c>
      <c r="H206" s="4" t="s">
        <v>25</v>
      </c>
      <c r="I206" s="5">
        <v>44621</v>
      </c>
      <c r="J206" s="6">
        <v>50</v>
      </c>
      <c r="K206" s="6">
        <v>50</v>
      </c>
      <c r="L206" s="6">
        <v>0</v>
      </c>
      <c r="M206" s="6">
        <v>0</v>
      </c>
      <c r="N206" s="6">
        <v>0</v>
      </c>
      <c r="O206" s="6">
        <v>0</v>
      </c>
      <c r="P206" s="6">
        <v>1</v>
      </c>
      <c r="Q206" s="4" t="s">
        <v>26</v>
      </c>
      <c r="R206" s="4">
        <v>0</v>
      </c>
      <c r="S206" s="4" t="s">
        <v>141</v>
      </c>
      <c r="U206" s="4">
        <v>6</v>
      </c>
      <c r="V206" s="4">
        <v>0</v>
      </c>
      <c r="W206" s="4">
        <v>0</v>
      </c>
    </row>
    <row r="207" spans="1:23" ht="11.25" customHeight="1" x14ac:dyDescent="0.25">
      <c r="A207" s="4" t="s">
        <v>21</v>
      </c>
      <c r="B207" s="4" t="s">
        <v>33</v>
      </c>
      <c r="C207" s="4" t="s">
        <v>34</v>
      </c>
      <c r="D207" s="4" t="s">
        <v>24</v>
      </c>
      <c r="E207" s="4" t="s">
        <v>24</v>
      </c>
      <c r="F207" s="4" t="s">
        <v>25</v>
      </c>
      <c r="G207" s="4" t="s">
        <v>25</v>
      </c>
      <c r="H207" s="4" t="s">
        <v>25</v>
      </c>
      <c r="I207" s="5">
        <v>44652</v>
      </c>
      <c r="J207" s="6">
        <v>51</v>
      </c>
      <c r="K207" s="6">
        <v>51</v>
      </c>
      <c r="L207" s="6">
        <v>0</v>
      </c>
      <c r="M207" s="6">
        <v>0</v>
      </c>
      <c r="N207" s="6">
        <v>0</v>
      </c>
      <c r="O207" s="6">
        <v>0</v>
      </c>
      <c r="P207" s="6">
        <v>1</v>
      </c>
      <c r="Q207" s="4" t="s">
        <v>26</v>
      </c>
      <c r="R207" s="4">
        <v>0</v>
      </c>
      <c r="S207" s="4" t="s">
        <v>142</v>
      </c>
      <c r="U207" s="4">
        <v>6</v>
      </c>
      <c r="V207" s="4">
        <v>0</v>
      </c>
      <c r="W207" s="4">
        <v>0</v>
      </c>
    </row>
    <row r="208" spans="1:23" ht="11.25" customHeight="1" x14ac:dyDescent="0.25">
      <c r="A208" s="4" t="s">
        <v>21</v>
      </c>
      <c r="B208" s="4" t="s">
        <v>33</v>
      </c>
      <c r="C208" s="4" t="s">
        <v>34</v>
      </c>
      <c r="D208" s="4" t="s">
        <v>24</v>
      </c>
      <c r="E208" s="4" t="s">
        <v>24</v>
      </c>
      <c r="F208" s="4" t="s">
        <v>25</v>
      </c>
      <c r="G208" s="4" t="s">
        <v>25</v>
      </c>
      <c r="H208" s="4" t="s">
        <v>35</v>
      </c>
      <c r="I208" s="5">
        <v>44317</v>
      </c>
      <c r="J208" s="6">
        <v>0</v>
      </c>
      <c r="K208" s="6">
        <v>0</v>
      </c>
      <c r="L208" s="6">
        <v>0.313</v>
      </c>
      <c r="M208" s="6">
        <v>0.313</v>
      </c>
      <c r="N208" s="6">
        <v>0.313</v>
      </c>
      <c r="O208" s="6">
        <v>0.313</v>
      </c>
      <c r="P208" s="6">
        <v>0</v>
      </c>
      <c r="Q208" s="4" t="s">
        <v>26</v>
      </c>
      <c r="R208" s="4">
        <v>0</v>
      </c>
      <c r="S208" s="4" t="s">
        <v>143</v>
      </c>
      <c r="T208" s="4" t="s">
        <v>384</v>
      </c>
      <c r="U208" s="4">
        <v>0</v>
      </c>
      <c r="V208" s="4">
        <v>7</v>
      </c>
      <c r="W208" s="4">
        <v>48</v>
      </c>
    </row>
    <row r="209" spans="1:23" ht="11.25" customHeight="1" x14ac:dyDescent="0.25">
      <c r="A209" s="4" t="s">
        <v>21</v>
      </c>
      <c r="B209" s="4" t="s">
        <v>33</v>
      </c>
      <c r="C209" s="4" t="s">
        <v>34</v>
      </c>
      <c r="D209" s="4" t="s">
        <v>24</v>
      </c>
      <c r="E209" s="4" t="s">
        <v>24</v>
      </c>
      <c r="F209" s="4" t="s">
        <v>25</v>
      </c>
      <c r="G209" s="4" t="s">
        <v>25</v>
      </c>
      <c r="H209" s="4" t="s">
        <v>35</v>
      </c>
      <c r="I209" s="5">
        <v>44348</v>
      </c>
      <c r="J209" s="6">
        <v>0</v>
      </c>
      <c r="K209" s="6">
        <v>0</v>
      </c>
      <c r="L209" s="6">
        <v>0.28899999999999998</v>
      </c>
      <c r="M209" s="6">
        <v>0.28899999999999998</v>
      </c>
      <c r="N209" s="6">
        <v>0.28899999999999998</v>
      </c>
      <c r="O209" s="6">
        <v>0.28899999999999998</v>
      </c>
      <c r="P209" s="6">
        <v>0</v>
      </c>
      <c r="Q209" s="4" t="s">
        <v>26</v>
      </c>
      <c r="R209" s="4">
        <v>0</v>
      </c>
      <c r="S209" s="4" t="s">
        <v>144</v>
      </c>
      <c r="T209" s="4" t="s">
        <v>385</v>
      </c>
      <c r="U209" s="4">
        <v>0</v>
      </c>
      <c r="V209" s="4">
        <v>7</v>
      </c>
      <c r="W209" s="4">
        <v>48</v>
      </c>
    </row>
    <row r="210" spans="1:23" ht="11.25" customHeight="1" x14ac:dyDescent="0.25">
      <c r="A210" s="4" t="s">
        <v>21</v>
      </c>
      <c r="B210" s="4" t="s">
        <v>33</v>
      </c>
      <c r="C210" s="4" t="s">
        <v>34</v>
      </c>
      <c r="D210" s="4" t="s">
        <v>24</v>
      </c>
      <c r="E210" s="4" t="s">
        <v>24</v>
      </c>
      <c r="F210" s="4" t="s">
        <v>25</v>
      </c>
      <c r="G210" s="4" t="s">
        <v>25</v>
      </c>
      <c r="H210" s="4" t="s">
        <v>35</v>
      </c>
      <c r="I210" s="5">
        <v>44378</v>
      </c>
      <c r="J210" s="6">
        <v>0</v>
      </c>
      <c r="K210" s="6">
        <v>0</v>
      </c>
      <c r="L210" s="6">
        <v>0.43</v>
      </c>
      <c r="M210" s="6">
        <v>0.43</v>
      </c>
      <c r="N210" s="6">
        <v>0.43</v>
      </c>
      <c r="O210" s="6">
        <v>0.43</v>
      </c>
      <c r="P210" s="6">
        <v>0</v>
      </c>
      <c r="Q210" s="4" t="s">
        <v>26</v>
      </c>
      <c r="R210" s="4">
        <v>0</v>
      </c>
      <c r="S210" s="4" t="s">
        <v>145</v>
      </c>
      <c r="T210" s="4" t="s">
        <v>386</v>
      </c>
      <c r="U210" s="4">
        <v>0</v>
      </c>
      <c r="V210" s="4">
        <v>7</v>
      </c>
      <c r="W210" s="4">
        <v>48</v>
      </c>
    </row>
    <row r="211" spans="1:23" ht="11.25" customHeight="1" x14ac:dyDescent="0.25">
      <c r="A211" s="4" t="s">
        <v>21</v>
      </c>
      <c r="B211" s="4" t="s">
        <v>33</v>
      </c>
      <c r="C211" s="4" t="s">
        <v>34</v>
      </c>
      <c r="D211" s="4" t="s">
        <v>24</v>
      </c>
      <c r="E211" s="4" t="s">
        <v>24</v>
      </c>
      <c r="F211" s="4" t="s">
        <v>25</v>
      </c>
      <c r="G211" s="4" t="s">
        <v>25</v>
      </c>
      <c r="H211" s="4" t="s">
        <v>35</v>
      </c>
      <c r="I211" s="5">
        <v>44409</v>
      </c>
      <c r="J211" s="6">
        <v>0</v>
      </c>
      <c r="K211" s="6">
        <v>0</v>
      </c>
      <c r="L211" s="6">
        <v>0.46800000000000003</v>
      </c>
      <c r="M211" s="6">
        <v>0.46800000000000003</v>
      </c>
      <c r="N211" s="6">
        <v>0.46800000000000003</v>
      </c>
      <c r="O211" s="6">
        <v>0.46800000000000003</v>
      </c>
      <c r="P211" s="6">
        <v>0</v>
      </c>
      <c r="Q211" s="4" t="s">
        <v>26</v>
      </c>
      <c r="R211" s="4">
        <v>0</v>
      </c>
      <c r="S211" s="4" t="s">
        <v>146</v>
      </c>
      <c r="T211" s="4" t="s">
        <v>387</v>
      </c>
      <c r="U211" s="4">
        <v>0</v>
      </c>
      <c r="V211" s="4">
        <v>7</v>
      </c>
      <c r="W211" s="4">
        <v>48</v>
      </c>
    </row>
    <row r="212" spans="1:23" ht="11.25" customHeight="1" x14ac:dyDescent="0.25">
      <c r="A212" s="4" t="s">
        <v>21</v>
      </c>
      <c r="B212" s="4" t="s">
        <v>33</v>
      </c>
      <c r="C212" s="4" t="s">
        <v>34</v>
      </c>
      <c r="D212" s="4" t="s">
        <v>24</v>
      </c>
      <c r="E212" s="4" t="s">
        <v>24</v>
      </c>
      <c r="F212" s="4" t="s">
        <v>25</v>
      </c>
      <c r="G212" s="4" t="s">
        <v>25</v>
      </c>
      <c r="H212" s="4" t="s">
        <v>35</v>
      </c>
      <c r="I212" s="5">
        <v>44440</v>
      </c>
      <c r="J212" s="6">
        <v>0</v>
      </c>
      <c r="K212" s="6">
        <v>0</v>
      </c>
      <c r="L212" s="6">
        <v>0.33300000000000002</v>
      </c>
      <c r="M212" s="6">
        <v>0.33300000000000002</v>
      </c>
      <c r="N212" s="6">
        <v>0.33300000000000002</v>
      </c>
      <c r="O212" s="6">
        <v>0.33300000000000002</v>
      </c>
      <c r="P212" s="6">
        <v>0</v>
      </c>
      <c r="Q212" s="4" t="s">
        <v>26</v>
      </c>
      <c r="R212" s="4">
        <v>0</v>
      </c>
      <c r="S212" s="4" t="s">
        <v>147</v>
      </c>
      <c r="T212" s="4" t="s">
        <v>388</v>
      </c>
      <c r="U212" s="4">
        <v>0</v>
      </c>
      <c r="V212" s="4">
        <v>7</v>
      </c>
      <c r="W212" s="4">
        <v>48</v>
      </c>
    </row>
    <row r="213" spans="1:23" ht="11.25" customHeight="1" x14ac:dyDescent="0.25">
      <c r="A213" s="4" t="s">
        <v>21</v>
      </c>
      <c r="B213" s="4" t="s">
        <v>33</v>
      </c>
      <c r="C213" s="4" t="s">
        <v>34</v>
      </c>
      <c r="D213" s="4" t="s">
        <v>24</v>
      </c>
      <c r="E213" s="4" t="s">
        <v>24</v>
      </c>
      <c r="F213" s="4" t="s">
        <v>25</v>
      </c>
      <c r="G213" s="4" t="s">
        <v>25</v>
      </c>
      <c r="H213" s="4" t="s">
        <v>35</v>
      </c>
      <c r="I213" s="5">
        <v>44470</v>
      </c>
      <c r="J213" s="6">
        <v>0</v>
      </c>
      <c r="K213" s="6">
        <v>0</v>
      </c>
      <c r="L213" s="6">
        <v>0.501</v>
      </c>
      <c r="M213" s="6">
        <v>0.501</v>
      </c>
      <c r="N213" s="6">
        <v>0.501</v>
      </c>
      <c r="O213" s="6">
        <v>0.501</v>
      </c>
      <c r="P213" s="6">
        <v>0</v>
      </c>
      <c r="Q213" s="4" t="s">
        <v>26</v>
      </c>
      <c r="R213" s="4">
        <v>0</v>
      </c>
      <c r="S213" s="4" t="s">
        <v>148</v>
      </c>
      <c r="T213" s="4" t="s">
        <v>389</v>
      </c>
      <c r="U213" s="4">
        <v>0</v>
      </c>
      <c r="V213" s="4">
        <v>7</v>
      </c>
      <c r="W213" s="4">
        <v>48</v>
      </c>
    </row>
    <row r="214" spans="1:23" ht="11.25" customHeight="1" x14ac:dyDescent="0.25">
      <c r="A214" s="4" t="s">
        <v>21</v>
      </c>
      <c r="B214" s="4" t="s">
        <v>33</v>
      </c>
      <c r="C214" s="4" t="s">
        <v>34</v>
      </c>
      <c r="D214" s="4" t="s">
        <v>24</v>
      </c>
      <c r="E214" s="4" t="s">
        <v>24</v>
      </c>
      <c r="F214" s="4" t="s">
        <v>25</v>
      </c>
      <c r="G214" s="4" t="s">
        <v>25</v>
      </c>
      <c r="H214" s="4" t="s">
        <v>35</v>
      </c>
      <c r="I214" s="5">
        <v>44501</v>
      </c>
      <c r="J214" s="6">
        <v>0</v>
      </c>
      <c r="K214" s="6">
        <v>0</v>
      </c>
      <c r="L214" s="6">
        <v>0.437</v>
      </c>
      <c r="M214" s="6">
        <v>0.437</v>
      </c>
      <c r="N214" s="6">
        <v>0.437</v>
      </c>
      <c r="O214" s="6">
        <v>0.437</v>
      </c>
      <c r="P214" s="6">
        <v>0</v>
      </c>
      <c r="Q214" s="4" t="s">
        <v>26</v>
      </c>
      <c r="R214" s="4">
        <v>0</v>
      </c>
      <c r="S214" s="4" t="s">
        <v>149</v>
      </c>
      <c r="T214" s="4" t="s">
        <v>390</v>
      </c>
      <c r="U214" s="4">
        <v>0</v>
      </c>
      <c r="V214" s="4">
        <v>7</v>
      </c>
      <c r="W214" s="4">
        <v>48</v>
      </c>
    </row>
    <row r="215" spans="1:23" ht="11.25" customHeight="1" x14ac:dyDescent="0.25">
      <c r="A215" s="4" t="s">
        <v>21</v>
      </c>
      <c r="B215" s="4" t="s">
        <v>33</v>
      </c>
      <c r="C215" s="4" t="s">
        <v>34</v>
      </c>
      <c r="D215" s="4" t="s">
        <v>24</v>
      </c>
      <c r="E215" s="4" t="s">
        <v>24</v>
      </c>
      <c r="F215" s="4" t="s">
        <v>25</v>
      </c>
      <c r="G215" s="4" t="s">
        <v>25</v>
      </c>
      <c r="H215" s="4" t="s">
        <v>35</v>
      </c>
      <c r="I215" s="5">
        <v>44531</v>
      </c>
      <c r="J215" s="6">
        <v>0</v>
      </c>
      <c r="K215" s="6">
        <v>0</v>
      </c>
      <c r="L215" s="6">
        <v>0.36</v>
      </c>
      <c r="M215" s="6">
        <v>0.36</v>
      </c>
      <c r="N215" s="6">
        <v>0.36</v>
      </c>
      <c r="O215" s="6">
        <v>0.36</v>
      </c>
      <c r="P215" s="6">
        <v>0</v>
      </c>
      <c r="Q215" s="4" t="s">
        <v>26</v>
      </c>
      <c r="R215" s="4">
        <v>0</v>
      </c>
      <c r="S215" s="4" t="s">
        <v>150</v>
      </c>
      <c r="T215" s="4" t="s">
        <v>391</v>
      </c>
      <c r="U215" s="4">
        <v>0</v>
      </c>
      <c r="V215" s="4">
        <v>7</v>
      </c>
      <c r="W215" s="4">
        <v>48</v>
      </c>
    </row>
    <row r="216" spans="1:23" ht="11.25" customHeight="1" x14ac:dyDescent="0.25">
      <c r="A216" s="4" t="s">
        <v>21</v>
      </c>
      <c r="B216" s="4" t="s">
        <v>33</v>
      </c>
      <c r="C216" s="4" t="s">
        <v>34</v>
      </c>
      <c r="D216" s="4" t="s">
        <v>24</v>
      </c>
      <c r="E216" s="4" t="s">
        <v>24</v>
      </c>
      <c r="F216" s="4" t="s">
        <v>25</v>
      </c>
      <c r="G216" s="4" t="s">
        <v>25</v>
      </c>
      <c r="H216" s="4" t="s">
        <v>35</v>
      </c>
      <c r="I216" s="5">
        <v>44562</v>
      </c>
      <c r="J216" s="6">
        <v>0</v>
      </c>
      <c r="K216" s="6">
        <v>0</v>
      </c>
      <c r="L216" s="6">
        <v>0.33600000000000002</v>
      </c>
      <c r="M216" s="6">
        <v>0.33600000000000002</v>
      </c>
      <c r="N216" s="6">
        <v>0.33600000000000002</v>
      </c>
      <c r="O216" s="6">
        <v>0.33600000000000002</v>
      </c>
      <c r="P216" s="6">
        <v>0</v>
      </c>
      <c r="Q216" s="4" t="s">
        <v>26</v>
      </c>
      <c r="R216" s="4">
        <v>0</v>
      </c>
      <c r="S216" s="4" t="s">
        <v>151</v>
      </c>
      <c r="T216" s="4" t="s">
        <v>392</v>
      </c>
      <c r="U216" s="4">
        <v>0</v>
      </c>
      <c r="V216" s="4">
        <v>7</v>
      </c>
      <c r="W216" s="4">
        <v>48</v>
      </c>
    </row>
    <row r="217" spans="1:23" ht="11.25" customHeight="1" x14ac:dyDescent="0.25">
      <c r="A217" s="4" t="s">
        <v>21</v>
      </c>
      <c r="B217" s="4" t="s">
        <v>33</v>
      </c>
      <c r="C217" s="4" t="s">
        <v>34</v>
      </c>
      <c r="D217" s="4" t="s">
        <v>24</v>
      </c>
      <c r="E217" s="4" t="s">
        <v>24</v>
      </c>
      <c r="F217" s="4" t="s">
        <v>25</v>
      </c>
      <c r="G217" s="4" t="s">
        <v>25</v>
      </c>
      <c r="H217" s="4" t="s">
        <v>35</v>
      </c>
      <c r="I217" s="5">
        <v>44593</v>
      </c>
      <c r="J217" s="6">
        <v>0</v>
      </c>
      <c r="K217" s="6">
        <v>0</v>
      </c>
      <c r="L217" s="6">
        <v>0.255</v>
      </c>
      <c r="M217" s="6">
        <v>0.255</v>
      </c>
      <c r="N217" s="6">
        <v>0.255</v>
      </c>
      <c r="O217" s="6">
        <v>0.255</v>
      </c>
      <c r="P217" s="6">
        <v>0</v>
      </c>
      <c r="Q217" s="4" t="s">
        <v>26</v>
      </c>
      <c r="R217" s="4">
        <v>0</v>
      </c>
      <c r="S217" s="4" t="s">
        <v>152</v>
      </c>
      <c r="T217" s="4" t="s">
        <v>393</v>
      </c>
      <c r="U217" s="4">
        <v>0</v>
      </c>
      <c r="V217" s="4">
        <v>7</v>
      </c>
      <c r="W217" s="4">
        <v>48</v>
      </c>
    </row>
    <row r="218" spans="1:23" ht="11.25" customHeight="1" x14ac:dyDescent="0.25">
      <c r="A218" s="4" t="s">
        <v>21</v>
      </c>
      <c r="B218" s="4" t="s">
        <v>33</v>
      </c>
      <c r="C218" s="4" t="s">
        <v>34</v>
      </c>
      <c r="D218" s="4" t="s">
        <v>24</v>
      </c>
      <c r="E218" s="4" t="s">
        <v>24</v>
      </c>
      <c r="F218" s="4" t="s">
        <v>25</v>
      </c>
      <c r="G218" s="4" t="s">
        <v>25</v>
      </c>
      <c r="H218" s="4" t="s">
        <v>35</v>
      </c>
      <c r="I218" s="5">
        <v>44621</v>
      </c>
      <c r="J218" s="6">
        <v>0</v>
      </c>
      <c r="K218" s="6">
        <v>0</v>
      </c>
      <c r="L218" s="6">
        <v>0.36899999999999999</v>
      </c>
      <c r="M218" s="6">
        <v>0.36899999999999999</v>
      </c>
      <c r="N218" s="6">
        <v>0.36899999999999999</v>
      </c>
      <c r="O218" s="6">
        <v>0.36899999999999999</v>
      </c>
      <c r="P218" s="6">
        <v>0</v>
      </c>
      <c r="Q218" s="4" t="s">
        <v>26</v>
      </c>
      <c r="R218" s="4">
        <v>0</v>
      </c>
      <c r="S218" s="4" t="s">
        <v>153</v>
      </c>
      <c r="T218" s="4" t="s">
        <v>394</v>
      </c>
      <c r="U218" s="4">
        <v>0</v>
      </c>
      <c r="V218" s="4">
        <v>7</v>
      </c>
      <c r="W218" s="4">
        <v>48</v>
      </c>
    </row>
    <row r="219" spans="1:23" ht="11.25" customHeight="1" x14ac:dyDescent="0.25">
      <c r="A219" s="4" t="s">
        <v>21</v>
      </c>
      <c r="B219" s="4" t="s">
        <v>33</v>
      </c>
      <c r="C219" s="4" t="s">
        <v>34</v>
      </c>
      <c r="D219" s="4" t="s">
        <v>24</v>
      </c>
      <c r="E219" s="4" t="s">
        <v>24</v>
      </c>
      <c r="F219" s="4" t="s">
        <v>25</v>
      </c>
      <c r="G219" s="4" t="s">
        <v>25</v>
      </c>
      <c r="H219" s="4" t="s">
        <v>35</v>
      </c>
      <c r="I219" s="5">
        <v>44652</v>
      </c>
      <c r="J219" s="6">
        <v>0</v>
      </c>
      <c r="K219" s="6">
        <v>0</v>
      </c>
      <c r="L219" s="6">
        <v>0.56399999999999995</v>
      </c>
      <c r="M219" s="6">
        <v>0.56399999999999995</v>
      </c>
      <c r="N219" s="6">
        <v>0.56399999999999995</v>
      </c>
      <c r="O219" s="6">
        <v>0.56399999999999995</v>
      </c>
      <c r="P219" s="6">
        <v>0</v>
      </c>
      <c r="Q219" s="4" t="s">
        <v>26</v>
      </c>
      <c r="R219" s="4">
        <v>0</v>
      </c>
      <c r="S219" s="4" t="s">
        <v>154</v>
      </c>
      <c r="T219" s="4" t="s">
        <v>395</v>
      </c>
      <c r="U219" s="4">
        <v>0</v>
      </c>
      <c r="V219" s="4">
        <v>7</v>
      </c>
      <c r="W219" s="4">
        <v>48</v>
      </c>
    </row>
    <row r="220" spans="1:23" ht="11.25" customHeight="1" x14ac:dyDescent="0.25">
      <c r="A220" s="4" t="s">
        <v>21</v>
      </c>
      <c r="B220" s="4" t="s">
        <v>33</v>
      </c>
      <c r="C220" s="4" t="s">
        <v>34</v>
      </c>
      <c r="D220" s="4" t="s">
        <v>44</v>
      </c>
      <c r="E220" s="4" t="s">
        <v>53</v>
      </c>
      <c r="F220" s="4" t="s">
        <v>55</v>
      </c>
      <c r="G220" s="4" t="s">
        <v>25</v>
      </c>
      <c r="H220" s="4" t="s">
        <v>36</v>
      </c>
      <c r="I220" s="5">
        <v>44317</v>
      </c>
      <c r="J220" s="6">
        <v>0</v>
      </c>
      <c r="K220" s="6">
        <v>0</v>
      </c>
      <c r="L220" s="6">
        <v>35.371000000000002</v>
      </c>
      <c r="M220" s="6">
        <v>10.6113</v>
      </c>
      <c r="N220" s="6">
        <v>35.371000000000002</v>
      </c>
      <c r="O220" s="6">
        <v>10.6113</v>
      </c>
      <c r="P220" s="6">
        <v>0</v>
      </c>
      <c r="Q220" s="4" t="s">
        <v>26</v>
      </c>
      <c r="R220" s="4">
        <v>0</v>
      </c>
      <c r="S220" s="4" t="s">
        <v>119</v>
      </c>
      <c r="T220" s="4" t="s">
        <v>372</v>
      </c>
      <c r="U220" s="4">
        <v>0</v>
      </c>
      <c r="V220" s="4">
        <v>8</v>
      </c>
      <c r="W220" s="4">
        <v>49</v>
      </c>
    </row>
    <row r="221" spans="1:23" ht="11.25" customHeight="1" x14ac:dyDescent="0.25">
      <c r="A221" s="4" t="s">
        <v>21</v>
      </c>
      <c r="B221" s="4" t="s">
        <v>33</v>
      </c>
      <c r="C221" s="4" t="s">
        <v>34</v>
      </c>
      <c r="D221" s="4" t="s">
        <v>44</v>
      </c>
      <c r="E221" s="4" t="s">
        <v>53</v>
      </c>
      <c r="F221" s="4" t="s">
        <v>55</v>
      </c>
      <c r="G221" s="4" t="s">
        <v>25</v>
      </c>
      <c r="H221" s="4" t="s">
        <v>36</v>
      </c>
      <c r="I221" s="5">
        <v>44348</v>
      </c>
      <c r="J221" s="6">
        <v>0</v>
      </c>
      <c r="K221" s="6">
        <v>0</v>
      </c>
      <c r="L221" s="6">
        <v>6.79</v>
      </c>
      <c r="M221" s="6">
        <v>2.0369999999999999</v>
      </c>
      <c r="N221" s="6">
        <v>6.79</v>
      </c>
      <c r="O221" s="6">
        <v>2.0369999999999999</v>
      </c>
      <c r="P221" s="6">
        <v>0</v>
      </c>
      <c r="Q221" s="4" t="s">
        <v>26</v>
      </c>
      <c r="R221" s="4">
        <v>0</v>
      </c>
      <c r="S221" s="4" t="s">
        <v>120</v>
      </c>
      <c r="T221" s="4" t="s">
        <v>373</v>
      </c>
      <c r="U221" s="4">
        <v>0</v>
      </c>
      <c r="V221" s="4">
        <v>8</v>
      </c>
      <c r="W221" s="4">
        <v>49</v>
      </c>
    </row>
    <row r="222" spans="1:23" ht="11.25" customHeight="1" x14ac:dyDescent="0.25">
      <c r="A222" s="4" t="s">
        <v>21</v>
      </c>
      <c r="B222" s="4" t="s">
        <v>33</v>
      </c>
      <c r="C222" s="4" t="s">
        <v>34</v>
      </c>
      <c r="D222" s="4" t="s">
        <v>44</v>
      </c>
      <c r="E222" s="4" t="s">
        <v>53</v>
      </c>
      <c r="F222" s="4" t="s">
        <v>55</v>
      </c>
      <c r="G222" s="4" t="s">
        <v>25</v>
      </c>
      <c r="H222" s="4" t="s">
        <v>36</v>
      </c>
      <c r="I222" s="5">
        <v>44378</v>
      </c>
      <c r="J222" s="6">
        <v>0</v>
      </c>
      <c r="K222" s="6">
        <v>0</v>
      </c>
      <c r="L222" s="6">
        <v>16.233000000000001</v>
      </c>
      <c r="M222" s="6">
        <v>4.8699000000000003</v>
      </c>
      <c r="N222" s="6">
        <v>16.233000000000001</v>
      </c>
      <c r="O222" s="6">
        <v>4.8699000000000003</v>
      </c>
      <c r="P222" s="6">
        <v>0</v>
      </c>
      <c r="Q222" s="4" t="s">
        <v>26</v>
      </c>
      <c r="R222" s="4">
        <v>0</v>
      </c>
      <c r="S222" s="4" t="s">
        <v>121</v>
      </c>
      <c r="T222" s="4" t="s">
        <v>374</v>
      </c>
      <c r="U222" s="4">
        <v>0</v>
      </c>
      <c r="V222" s="4">
        <v>8</v>
      </c>
      <c r="W222" s="4">
        <v>49</v>
      </c>
    </row>
    <row r="223" spans="1:23" ht="11.25" customHeight="1" x14ac:dyDescent="0.25">
      <c r="A223" s="4" t="s">
        <v>21</v>
      </c>
      <c r="B223" s="4" t="s">
        <v>33</v>
      </c>
      <c r="C223" s="4" t="s">
        <v>34</v>
      </c>
      <c r="D223" s="4" t="s">
        <v>44</v>
      </c>
      <c r="E223" s="4" t="s">
        <v>53</v>
      </c>
      <c r="F223" s="4" t="s">
        <v>55</v>
      </c>
      <c r="G223" s="4" t="s">
        <v>25</v>
      </c>
      <c r="H223" s="4" t="s">
        <v>36</v>
      </c>
      <c r="I223" s="5">
        <v>44409</v>
      </c>
      <c r="J223" s="6">
        <v>0</v>
      </c>
      <c r="K223" s="6">
        <v>0</v>
      </c>
      <c r="L223" s="6">
        <v>19.994</v>
      </c>
      <c r="M223" s="6">
        <v>5.9981999999999998</v>
      </c>
      <c r="N223" s="6">
        <v>19.994</v>
      </c>
      <c r="O223" s="6">
        <v>5.9981999999999998</v>
      </c>
      <c r="P223" s="6">
        <v>0</v>
      </c>
      <c r="Q223" s="4" t="s">
        <v>26</v>
      </c>
      <c r="R223" s="4">
        <v>0</v>
      </c>
      <c r="S223" s="4" t="s">
        <v>122</v>
      </c>
      <c r="T223" s="4" t="s">
        <v>375</v>
      </c>
      <c r="U223" s="4">
        <v>0</v>
      </c>
      <c r="V223" s="4">
        <v>8</v>
      </c>
      <c r="W223" s="4">
        <v>49</v>
      </c>
    </row>
    <row r="224" spans="1:23" ht="11.25" customHeight="1" x14ac:dyDescent="0.25">
      <c r="A224" s="4" t="s">
        <v>21</v>
      </c>
      <c r="B224" s="4" t="s">
        <v>33</v>
      </c>
      <c r="C224" s="4" t="s">
        <v>34</v>
      </c>
      <c r="D224" s="4" t="s">
        <v>44</v>
      </c>
      <c r="E224" s="4" t="s">
        <v>53</v>
      </c>
      <c r="F224" s="4" t="s">
        <v>55</v>
      </c>
      <c r="G224" s="4" t="s">
        <v>25</v>
      </c>
      <c r="H224" s="4" t="s">
        <v>36</v>
      </c>
      <c r="I224" s="5">
        <v>44440</v>
      </c>
      <c r="J224" s="6">
        <v>0</v>
      </c>
      <c r="K224" s="6">
        <v>0</v>
      </c>
      <c r="L224" s="6">
        <v>42.274000000000001</v>
      </c>
      <c r="M224" s="6">
        <v>12.6822</v>
      </c>
      <c r="N224" s="6">
        <v>42.274000000000001</v>
      </c>
      <c r="O224" s="6">
        <v>12.6822</v>
      </c>
      <c r="P224" s="6">
        <v>0</v>
      </c>
      <c r="Q224" s="4" t="s">
        <v>26</v>
      </c>
      <c r="R224" s="4">
        <v>0</v>
      </c>
      <c r="S224" s="4" t="s">
        <v>123</v>
      </c>
      <c r="T224" s="4" t="s">
        <v>376</v>
      </c>
      <c r="U224" s="4">
        <v>0</v>
      </c>
      <c r="V224" s="4">
        <v>8</v>
      </c>
      <c r="W224" s="4">
        <v>49</v>
      </c>
    </row>
    <row r="225" spans="1:23" ht="11.25" customHeight="1" x14ac:dyDescent="0.25">
      <c r="A225" s="4" t="s">
        <v>21</v>
      </c>
      <c r="B225" s="4" t="s">
        <v>33</v>
      </c>
      <c r="C225" s="4" t="s">
        <v>34</v>
      </c>
      <c r="D225" s="4" t="s">
        <v>44</v>
      </c>
      <c r="E225" s="4" t="s">
        <v>53</v>
      </c>
      <c r="F225" s="4" t="s">
        <v>55</v>
      </c>
      <c r="G225" s="4" t="s">
        <v>25</v>
      </c>
      <c r="H225" s="4" t="s">
        <v>36</v>
      </c>
      <c r="I225" s="5">
        <v>44470</v>
      </c>
      <c r="J225" s="6">
        <v>0</v>
      </c>
      <c r="K225" s="6">
        <v>0</v>
      </c>
      <c r="L225" s="6">
        <v>2.4</v>
      </c>
      <c r="M225" s="6">
        <v>0.72</v>
      </c>
      <c r="N225" s="6">
        <v>2.4</v>
      </c>
      <c r="O225" s="6">
        <v>0.72</v>
      </c>
      <c r="P225" s="6">
        <v>0</v>
      </c>
      <c r="Q225" s="4" t="s">
        <v>26</v>
      </c>
      <c r="R225" s="4">
        <v>0</v>
      </c>
      <c r="S225" s="4" t="s">
        <v>124</v>
      </c>
      <c r="T225" s="4" t="s">
        <v>377</v>
      </c>
      <c r="U225" s="4">
        <v>0</v>
      </c>
      <c r="V225" s="4">
        <v>8</v>
      </c>
      <c r="W225" s="4">
        <v>49</v>
      </c>
    </row>
    <row r="226" spans="1:23" ht="11.25" customHeight="1" x14ac:dyDescent="0.25">
      <c r="A226" s="4" t="s">
        <v>21</v>
      </c>
      <c r="B226" s="4" t="s">
        <v>33</v>
      </c>
      <c r="C226" s="4" t="s">
        <v>34</v>
      </c>
      <c r="D226" s="4" t="s">
        <v>44</v>
      </c>
      <c r="E226" s="4" t="s">
        <v>53</v>
      </c>
      <c r="F226" s="4" t="s">
        <v>55</v>
      </c>
      <c r="G226" s="4" t="s">
        <v>25</v>
      </c>
      <c r="H226" s="4" t="s">
        <v>36</v>
      </c>
      <c r="I226" s="5">
        <v>44501</v>
      </c>
      <c r="J226" s="6">
        <v>0</v>
      </c>
      <c r="K226" s="6">
        <v>0</v>
      </c>
      <c r="L226" s="6">
        <v>3.2000000000000001E-2</v>
      </c>
      <c r="M226" s="6">
        <v>9.5999999999999992E-3</v>
      </c>
      <c r="N226" s="6">
        <v>3.2000000000000001E-2</v>
      </c>
      <c r="O226" s="6">
        <v>9.5999999999999992E-3</v>
      </c>
      <c r="P226" s="6">
        <v>0</v>
      </c>
      <c r="Q226" s="4" t="s">
        <v>26</v>
      </c>
      <c r="R226" s="4">
        <v>0</v>
      </c>
      <c r="S226" s="4" t="s">
        <v>125</v>
      </c>
      <c r="T226" s="4" t="s">
        <v>378</v>
      </c>
      <c r="U226" s="4">
        <v>0</v>
      </c>
      <c r="V226" s="4">
        <v>8</v>
      </c>
      <c r="W226" s="4">
        <v>49</v>
      </c>
    </row>
    <row r="227" spans="1:23" ht="11.25" customHeight="1" x14ac:dyDescent="0.25">
      <c r="A227" s="4" t="s">
        <v>21</v>
      </c>
      <c r="B227" s="4" t="s">
        <v>33</v>
      </c>
      <c r="C227" s="4" t="s">
        <v>34</v>
      </c>
      <c r="D227" s="4" t="s">
        <v>44</v>
      </c>
      <c r="E227" s="4" t="s">
        <v>53</v>
      </c>
      <c r="F227" s="4" t="s">
        <v>55</v>
      </c>
      <c r="G227" s="4" t="s">
        <v>25</v>
      </c>
      <c r="H227" s="4" t="s">
        <v>36</v>
      </c>
      <c r="I227" s="5">
        <v>44531</v>
      </c>
      <c r="J227" s="6">
        <v>0</v>
      </c>
      <c r="K227" s="6">
        <v>0</v>
      </c>
      <c r="L227" s="6">
        <v>6.6000000000000003E-2</v>
      </c>
      <c r="M227" s="6">
        <v>1.9800000000000002E-2</v>
      </c>
      <c r="N227" s="6">
        <v>6.6000000000000003E-2</v>
      </c>
      <c r="O227" s="6">
        <v>1.9800000000000002E-2</v>
      </c>
      <c r="P227" s="6">
        <v>0</v>
      </c>
      <c r="Q227" s="4" t="s">
        <v>26</v>
      </c>
      <c r="R227" s="4">
        <v>0</v>
      </c>
      <c r="S227" s="4" t="s">
        <v>126</v>
      </c>
      <c r="T227" s="4" t="s">
        <v>379</v>
      </c>
      <c r="U227" s="4">
        <v>0</v>
      </c>
      <c r="V227" s="4">
        <v>8</v>
      </c>
      <c r="W227" s="4">
        <v>49</v>
      </c>
    </row>
    <row r="228" spans="1:23" ht="11.25" customHeight="1" x14ac:dyDescent="0.25">
      <c r="A228" s="4" t="s">
        <v>21</v>
      </c>
      <c r="B228" s="4" t="s">
        <v>33</v>
      </c>
      <c r="C228" s="4" t="s">
        <v>34</v>
      </c>
      <c r="D228" s="4" t="s">
        <v>44</v>
      </c>
      <c r="E228" s="4" t="s">
        <v>53</v>
      </c>
      <c r="F228" s="4" t="s">
        <v>55</v>
      </c>
      <c r="G228" s="4" t="s">
        <v>25</v>
      </c>
      <c r="H228" s="4" t="s">
        <v>36</v>
      </c>
      <c r="I228" s="5">
        <v>44562</v>
      </c>
      <c r="J228" s="6">
        <v>0</v>
      </c>
      <c r="K228" s="6">
        <v>0</v>
      </c>
      <c r="L228" s="6">
        <v>0.10199999999999999</v>
      </c>
      <c r="M228" s="6">
        <v>3.0599999999999999E-2</v>
      </c>
      <c r="N228" s="6">
        <v>0.10199999999999999</v>
      </c>
      <c r="O228" s="6">
        <v>3.0599999999999999E-2</v>
      </c>
      <c r="P228" s="6">
        <v>0</v>
      </c>
      <c r="Q228" s="4" t="s">
        <v>26</v>
      </c>
      <c r="R228" s="4">
        <v>0</v>
      </c>
      <c r="S228" s="4" t="s">
        <v>127</v>
      </c>
      <c r="T228" s="4" t="s">
        <v>380</v>
      </c>
      <c r="U228" s="4">
        <v>0</v>
      </c>
      <c r="V228" s="4">
        <v>8</v>
      </c>
      <c r="W228" s="4">
        <v>49</v>
      </c>
    </row>
    <row r="229" spans="1:23" ht="11.25" customHeight="1" x14ac:dyDescent="0.25">
      <c r="A229" s="4" t="s">
        <v>21</v>
      </c>
      <c r="B229" s="4" t="s">
        <v>33</v>
      </c>
      <c r="C229" s="4" t="s">
        <v>34</v>
      </c>
      <c r="D229" s="4" t="s">
        <v>44</v>
      </c>
      <c r="E229" s="4" t="s">
        <v>53</v>
      </c>
      <c r="F229" s="4" t="s">
        <v>55</v>
      </c>
      <c r="G229" s="4" t="s">
        <v>25</v>
      </c>
      <c r="H229" s="4" t="s">
        <v>36</v>
      </c>
      <c r="I229" s="5">
        <v>44593</v>
      </c>
      <c r="J229" s="6">
        <v>0</v>
      </c>
      <c r="K229" s="6">
        <v>0</v>
      </c>
      <c r="L229" s="6">
        <v>0.25700000000000001</v>
      </c>
      <c r="M229" s="6">
        <v>7.7100000000000002E-2</v>
      </c>
      <c r="N229" s="6">
        <v>0.25700000000000001</v>
      </c>
      <c r="O229" s="6">
        <v>7.7100000000000002E-2</v>
      </c>
      <c r="P229" s="6">
        <v>0</v>
      </c>
      <c r="Q229" s="4" t="s">
        <v>26</v>
      </c>
      <c r="R229" s="4">
        <v>0</v>
      </c>
      <c r="S229" s="4" t="s">
        <v>128</v>
      </c>
      <c r="T229" s="4" t="s">
        <v>381</v>
      </c>
      <c r="U229" s="4">
        <v>0</v>
      </c>
      <c r="V229" s="4">
        <v>8</v>
      </c>
      <c r="W229" s="4">
        <v>49</v>
      </c>
    </row>
    <row r="230" spans="1:23" ht="11.25" customHeight="1" x14ac:dyDescent="0.25">
      <c r="A230" s="4" t="s">
        <v>21</v>
      </c>
      <c r="B230" s="4" t="s">
        <v>33</v>
      </c>
      <c r="C230" s="4" t="s">
        <v>34</v>
      </c>
      <c r="D230" s="4" t="s">
        <v>44</v>
      </c>
      <c r="E230" s="4" t="s">
        <v>53</v>
      </c>
      <c r="F230" s="4" t="s">
        <v>55</v>
      </c>
      <c r="G230" s="4" t="s">
        <v>25</v>
      </c>
      <c r="H230" s="4" t="s">
        <v>36</v>
      </c>
      <c r="I230" s="5">
        <v>44621</v>
      </c>
      <c r="J230" s="6">
        <v>0</v>
      </c>
      <c r="K230" s="6">
        <v>0</v>
      </c>
      <c r="L230" s="6">
        <v>3.399</v>
      </c>
      <c r="M230" s="6">
        <v>1.0197000000000001</v>
      </c>
      <c r="N230" s="6">
        <v>3.399</v>
      </c>
      <c r="O230" s="6">
        <v>1.0197000000000001</v>
      </c>
      <c r="P230" s="6">
        <v>0</v>
      </c>
      <c r="Q230" s="4" t="s">
        <v>26</v>
      </c>
      <c r="R230" s="4">
        <v>0</v>
      </c>
      <c r="S230" s="4" t="s">
        <v>129</v>
      </c>
      <c r="T230" s="4" t="s">
        <v>382</v>
      </c>
      <c r="U230" s="4">
        <v>0</v>
      </c>
      <c r="V230" s="4">
        <v>8</v>
      </c>
      <c r="W230" s="4">
        <v>49</v>
      </c>
    </row>
    <row r="231" spans="1:23" ht="11.25" customHeight="1" x14ac:dyDescent="0.25">
      <c r="A231" s="4" t="s">
        <v>21</v>
      </c>
      <c r="B231" s="4" t="s">
        <v>33</v>
      </c>
      <c r="C231" s="4" t="s">
        <v>34</v>
      </c>
      <c r="D231" s="4" t="s">
        <v>44</v>
      </c>
      <c r="E231" s="4" t="s">
        <v>53</v>
      </c>
      <c r="F231" s="4" t="s">
        <v>55</v>
      </c>
      <c r="G231" s="4" t="s">
        <v>25</v>
      </c>
      <c r="H231" s="4" t="s">
        <v>36</v>
      </c>
      <c r="I231" s="5">
        <v>44652</v>
      </c>
      <c r="J231" s="6">
        <v>0</v>
      </c>
      <c r="K231" s="6">
        <v>0</v>
      </c>
      <c r="L231" s="6">
        <v>5.7000000000000002E-2</v>
      </c>
      <c r="M231" s="6">
        <v>1.7100000000000001E-2</v>
      </c>
      <c r="N231" s="6">
        <v>5.7000000000000002E-2</v>
      </c>
      <c r="O231" s="6">
        <v>1.7100000000000001E-2</v>
      </c>
      <c r="P231" s="6">
        <v>0</v>
      </c>
      <c r="Q231" s="4" t="s">
        <v>26</v>
      </c>
      <c r="R231" s="4">
        <v>0</v>
      </c>
      <c r="S231" s="4" t="s">
        <v>130</v>
      </c>
      <c r="T231" s="4" t="s">
        <v>383</v>
      </c>
      <c r="U231" s="4">
        <v>0</v>
      </c>
      <c r="V231" s="4">
        <v>8</v>
      </c>
      <c r="W231" s="4">
        <v>49</v>
      </c>
    </row>
    <row r="232" spans="1:23" ht="11.25" customHeight="1" x14ac:dyDescent="0.25">
      <c r="A232" s="4" t="s">
        <v>21</v>
      </c>
      <c r="B232" s="4" t="s">
        <v>33</v>
      </c>
      <c r="C232" s="4" t="s">
        <v>34</v>
      </c>
      <c r="D232" s="4" t="s">
        <v>44</v>
      </c>
      <c r="E232" s="4" t="s">
        <v>53</v>
      </c>
      <c r="F232" s="4" t="s">
        <v>25</v>
      </c>
      <c r="G232" s="4" t="s">
        <v>25</v>
      </c>
      <c r="H232" s="4" t="s">
        <v>36</v>
      </c>
      <c r="I232" s="5">
        <v>44317</v>
      </c>
      <c r="J232" s="6">
        <v>0</v>
      </c>
      <c r="K232" s="6">
        <v>0</v>
      </c>
      <c r="L232" s="6">
        <v>81.334000000000003</v>
      </c>
      <c r="M232" s="6">
        <v>78.080640000000002</v>
      </c>
      <c r="N232" s="6">
        <v>81.334000000000003</v>
      </c>
      <c r="O232" s="6">
        <v>78.080640000000002</v>
      </c>
      <c r="P232" s="6">
        <v>0</v>
      </c>
      <c r="Q232" s="4" t="s">
        <v>26</v>
      </c>
      <c r="R232" s="4">
        <v>0</v>
      </c>
      <c r="S232" s="4" t="s">
        <v>119</v>
      </c>
      <c r="T232" s="4" t="s">
        <v>372</v>
      </c>
      <c r="U232" s="4">
        <v>0</v>
      </c>
      <c r="V232" s="4">
        <v>8</v>
      </c>
      <c r="W232" s="4">
        <v>49</v>
      </c>
    </row>
    <row r="233" spans="1:23" ht="11.25" customHeight="1" x14ac:dyDescent="0.25">
      <c r="A233" s="4" t="s">
        <v>21</v>
      </c>
      <c r="B233" s="4" t="s">
        <v>33</v>
      </c>
      <c r="C233" s="4" t="s">
        <v>34</v>
      </c>
      <c r="D233" s="4" t="s">
        <v>44</v>
      </c>
      <c r="E233" s="4" t="s">
        <v>53</v>
      </c>
      <c r="F233" s="4" t="s">
        <v>25</v>
      </c>
      <c r="G233" s="4" t="s">
        <v>25</v>
      </c>
      <c r="H233" s="4" t="s">
        <v>36</v>
      </c>
      <c r="I233" s="5">
        <v>44348</v>
      </c>
      <c r="J233" s="6">
        <v>0</v>
      </c>
      <c r="K233" s="6">
        <v>0</v>
      </c>
      <c r="L233" s="6">
        <v>26.411000000000001</v>
      </c>
      <c r="M233" s="6">
        <v>25.354559999999999</v>
      </c>
      <c r="N233" s="6">
        <v>26.411000000000001</v>
      </c>
      <c r="O233" s="6">
        <v>25.354559999999999</v>
      </c>
      <c r="P233" s="6">
        <v>0</v>
      </c>
      <c r="Q233" s="4" t="s">
        <v>26</v>
      </c>
      <c r="R233" s="4">
        <v>0</v>
      </c>
      <c r="S233" s="4" t="s">
        <v>120</v>
      </c>
      <c r="T233" s="4" t="s">
        <v>373</v>
      </c>
      <c r="U233" s="4">
        <v>0</v>
      </c>
      <c r="V233" s="4">
        <v>8</v>
      </c>
      <c r="W233" s="4">
        <v>49</v>
      </c>
    </row>
    <row r="234" spans="1:23" ht="11.25" customHeight="1" x14ac:dyDescent="0.25">
      <c r="A234" s="4" t="s">
        <v>21</v>
      </c>
      <c r="B234" s="4" t="s">
        <v>33</v>
      </c>
      <c r="C234" s="4" t="s">
        <v>34</v>
      </c>
      <c r="D234" s="4" t="s">
        <v>44</v>
      </c>
      <c r="E234" s="4" t="s">
        <v>53</v>
      </c>
      <c r="F234" s="4" t="s">
        <v>25</v>
      </c>
      <c r="G234" s="4" t="s">
        <v>25</v>
      </c>
      <c r="H234" s="4" t="s">
        <v>36</v>
      </c>
      <c r="I234" s="5">
        <v>44378</v>
      </c>
      <c r="J234" s="6">
        <v>0</v>
      </c>
      <c r="K234" s="6">
        <v>0</v>
      </c>
      <c r="L234" s="6">
        <v>42.161000000000001</v>
      </c>
      <c r="M234" s="6">
        <v>40.474559999999997</v>
      </c>
      <c r="N234" s="6">
        <v>42.161000000000001</v>
      </c>
      <c r="O234" s="6">
        <v>40.474559999999997</v>
      </c>
      <c r="P234" s="6">
        <v>0</v>
      </c>
      <c r="Q234" s="4" t="s">
        <v>26</v>
      </c>
      <c r="R234" s="4">
        <v>0</v>
      </c>
      <c r="S234" s="4" t="s">
        <v>121</v>
      </c>
      <c r="T234" s="4" t="s">
        <v>374</v>
      </c>
      <c r="U234" s="4">
        <v>0</v>
      </c>
      <c r="V234" s="4">
        <v>8</v>
      </c>
      <c r="W234" s="4">
        <v>49</v>
      </c>
    </row>
    <row r="235" spans="1:23" ht="11.25" customHeight="1" x14ac:dyDescent="0.25">
      <c r="A235" s="4" t="s">
        <v>21</v>
      </c>
      <c r="B235" s="4" t="s">
        <v>33</v>
      </c>
      <c r="C235" s="4" t="s">
        <v>34</v>
      </c>
      <c r="D235" s="4" t="s">
        <v>44</v>
      </c>
      <c r="E235" s="4" t="s">
        <v>53</v>
      </c>
      <c r="F235" s="4" t="s">
        <v>25</v>
      </c>
      <c r="G235" s="4" t="s">
        <v>25</v>
      </c>
      <c r="H235" s="4" t="s">
        <v>36</v>
      </c>
      <c r="I235" s="5">
        <v>44409</v>
      </c>
      <c r="J235" s="6">
        <v>0</v>
      </c>
      <c r="K235" s="6">
        <v>0</v>
      </c>
      <c r="L235" s="6">
        <v>63.097000000000001</v>
      </c>
      <c r="M235" s="6">
        <v>60.573120000000003</v>
      </c>
      <c r="N235" s="6">
        <v>63.097000000000001</v>
      </c>
      <c r="O235" s="6">
        <v>60.573120000000003</v>
      </c>
      <c r="P235" s="6">
        <v>0</v>
      </c>
      <c r="Q235" s="4" t="s">
        <v>26</v>
      </c>
      <c r="R235" s="4">
        <v>0</v>
      </c>
      <c r="S235" s="4" t="s">
        <v>122</v>
      </c>
      <c r="T235" s="4" t="s">
        <v>375</v>
      </c>
      <c r="U235" s="4">
        <v>0</v>
      </c>
      <c r="V235" s="4">
        <v>8</v>
      </c>
      <c r="W235" s="4">
        <v>49</v>
      </c>
    </row>
    <row r="236" spans="1:23" ht="11.25" customHeight="1" x14ac:dyDescent="0.25">
      <c r="A236" s="4" t="s">
        <v>21</v>
      </c>
      <c r="B236" s="4" t="s">
        <v>33</v>
      </c>
      <c r="C236" s="4" t="s">
        <v>34</v>
      </c>
      <c r="D236" s="4" t="s">
        <v>44</v>
      </c>
      <c r="E236" s="4" t="s">
        <v>53</v>
      </c>
      <c r="F236" s="4" t="s">
        <v>25</v>
      </c>
      <c r="G236" s="4" t="s">
        <v>25</v>
      </c>
      <c r="H236" s="4" t="s">
        <v>36</v>
      </c>
      <c r="I236" s="5">
        <v>44440</v>
      </c>
      <c r="J236" s="6">
        <v>0</v>
      </c>
      <c r="K236" s="6">
        <v>0</v>
      </c>
      <c r="L236" s="6">
        <v>77.786000000000001</v>
      </c>
      <c r="M236" s="6">
        <v>74.67456</v>
      </c>
      <c r="N236" s="6">
        <v>77.786000000000001</v>
      </c>
      <c r="O236" s="6">
        <v>74.67456</v>
      </c>
      <c r="P236" s="6">
        <v>0</v>
      </c>
      <c r="Q236" s="4" t="s">
        <v>26</v>
      </c>
      <c r="R236" s="4">
        <v>0</v>
      </c>
      <c r="S236" s="4" t="s">
        <v>123</v>
      </c>
      <c r="T236" s="4" t="s">
        <v>376</v>
      </c>
      <c r="U236" s="4">
        <v>0</v>
      </c>
      <c r="V236" s="4">
        <v>8</v>
      </c>
      <c r="W236" s="4">
        <v>49</v>
      </c>
    </row>
    <row r="237" spans="1:23" ht="11.25" customHeight="1" x14ac:dyDescent="0.25">
      <c r="A237" s="4" t="s">
        <v>21</v>
      </c>
      <c r="B237" s="4" t="s">
        <v>33</v>
      </c>
      <c r="C237" s="4" t="s">
        <v>34</v>
      </c>
      <c r="D237" s="4" t="s">
        <v>44</v>
      </c>
      <c r="E237" s="4" t="s">
        <v>53</v>
      </c>
      <c r="F237" s="4" t="s">
        <v>25</v>
      </c>
      <c r="G237" s="4" t="s">
        <v>25</v>
      </c>
      <c r="H237" s="4" t="s">
        <v>36</v>
      </c>
      <c r="I237" s="5">
        <v>44470</v>
      </c>
      <c r="J237" s="6">
        <v>0</v>
      </c>
      <c r="K237" s="6">
        <v>0</v>
      </c>
      <c r="L237" s="6">
        <v>10.853999999999999</v>
      </c>
      <c r="M237" s="6">
        <v>10.419840000000001</v>
      </c>
      <c r="N237" s="6">
        <v>10.853999999999999</v>
      </c>
      <c r="O237" s="6">
        <v>10.419840000000001</v>
      </c>
      <c r="P237" s="6">
        <v>0</v>
      </c>
      <c r="Q237" s="4" t="s">
        <v>26</v>
      </c>
      <c r="R237" s="4">
        <v>0</v>
      </c>
      <c r="S237" s="4" t="s">
        <v>124</v>
      </c>
      <c r="T237" s="4" t="s">
        <v>377</v>
      </c>
      <c r="U237" s="4">
        <v>0</v>
      </c>
      <c r="V237" s="4">
        <v>8</v>
      </c>
      <c r="W237" s="4">
        <v>49</v>
      </c>
    </row>
    <row r="238" spans="1:23" ht="11.25" customHeight="1" x14ac:dyDescent="0.25">
      <c r="A238" s="4" t="s">
        <v>21</v>
      </c>
      <c r="B238" s="4" t="s">
        <v>33</v>
      </c>
      <c r="C238" s="4" t="s">
        <v>34</v>
      </c>
      <c r="D238" s="4" t="s">
        <v>44</v>
      </c>
      <c r="E238" s="4" t="s">
        <v>53</v>
      </c>
      <c r="F238" s="4" t="s">
        <v>25</v>
      </c>
      <c r="G238" s="4" t="s">
        <v>25</v>
      </c>
      <c r="H238" s="4" t="s">
        <v>36</v>
      </c>
      <c r="I238" s="5">
        <v>44501</v>
      </c>
      <c r="J238" s="6">
        <v>0</v>
      </c>
      <c r="K238" s="6">
        <v>0</v>
      </c>
      <c r="L238" s="6">
        <v>11.193</v>
      </c>
      <c r="M238" s="6">
        <v>10.745279999999999</v>
      </c>
      <c r="N238" s="6">
        <v>11.193</v>
      </c>
      <c r="O238" s="6">
        <v>10.745279999999999</v>
      </c>
      <c r="P238" s="6">
        <v>0</v>
      </c>
      <c r="Q238" s="4" t="s">
        <v>26</v>
      </c>
      <c r="R238" s="4">
        <v>0</v>
      </c>
      <c r="S238" s="4" t="s">
        <v>125</v>
      </c>
      <c r="T238" s="4" t="s">
        <v>378</v>
      </c>
      <c r="U238" s="4">
        <v>0</v>
      </c>
      <c r="V238" s="4">
        <v>8</v>
      </c>
      <c r="W238" s="4">
        <v>49</v>
      </c>
    </row>
    <row r="239" spans="1:23" ht="11.25" customHeight="1" x14ac:dyDescent="0.25">
      <c r="A239" s="4" t="s">
        <v>21</v>
      </c>
      <c r="B239" s="4" t="s">
        <v>33</v>
      </c>
      <c r="C239" s="4" t="s">
        <v>34</v>
      </c>
      <c r="D239" s="4" t="s">
        <v>44</v>
      </c>
      <c r="E239" s="4" t="s">
        <v>53</v>
      </c>
      <c r="F239" s="4" t="s">
        <v>25</v>
      </c>
      <c r="G239" s="4" t="s">
        <v>25</v>
      </c>
      <c r="H239" s="4" t="s">
        <v>36</v>
      </c>
      <c r="I239" s="5">
        <v>44531</v>
      </c>
      <c r="J239" s="6">
        <v>0</v>
      </c>
      <c r="K239" s="6">
        <v>0</v>
      </c>
      <c r="L239" s="6">
        <v>7.9580000000000002</v>
      </c>
      <c r="M239" s="6">
        <v>7.6396800000000002</v>
      </c>
      <c r="N239" s="6">
        <v>7.9580000000000002</v>
      </c>
      <c r="O239" s="6">
        <v>7.6396800000000002</v>
      </c>
      <c r="P239" s="6">
        <v>0</v>
      </c>
      <c r="Q239" s="4" t="s">
        <v>26</v>
      </c>
      <c r="R239" s="4">
        <v>0</v>
      </c>
      <c r="S239" s="4" t="s">
        <v>126</v>
      </c>
      <c r="T239" s="4" t="s">
        <v>379</v>
      </c>
      <c r="U239" s="4">
        <v>0</v>
      </c>
      <c r="V239" s="4">
        <v>8</v>
      </c>
      <c r="W239" s="4">
        <v>49</v>
      </c>
    </row>
    <row r="240" spans="1:23" ht="11.25" customHeight="1" x14ac:dyDescent="0.25">
      <c r="A240" s="4" t="s">
        <v>21</v>
      </c>
      <c r="B240" s="4" t="s">
        <v>33</v>
      </c>
      <c r="C240" s="4" t="s">
        <v>34</v>
      </c>
      <c r="D240" s="4" t="s">
        <v>44</v>
      </c>
      <c r="E240" s="4" t="s">
        <v>53</v>
      </c>
      <c r="F240" s="4" t="s">
        <v>25</v>
      </c>
      <c r="G240" s="4" t="s">
        <v>25</v>
      </c>
      <c r="H240" s="4" t="s">
        <v>36</v>
      </c>
      <c r="I240" s="5">
        <v>44562</v>
      </c>
      <c r="J240" s="6">
        <v>0</v>
      </c>
      <c r="K240" s="6">
        <v>0</v>
      </c>
      <c r="L240" s="6">
        <v>6.7270000000000003</v>
      </c>
      <c r="M240" s="6">
        <v>6.4579199999999997</v>
      </c>
      <c r="N240" s="6">
        <v>6.7270000000000003</v>
      </c>
      <c r="O240" s="6">
        <v>6.4579199999999997</v>
      </c>
      <c r="P240" s="6">
        <v>0</v>
      </c>
      <c r="Q240" s="4" t="s">
        <v>26</v>
      </c>
      <c r="R240" s="4">
        <v>0</v>
      </c>
      <c r="S240" s="4" t="s">
        <v>127</v>
      </c>
      <c r="T240" s="4" t="s">
        <v>380</v>
      </c>
      <c r="U240" s="4">
        <v>0</v>
      </c>
      <c r="V240" s="4">
        <v>8</v>
      </c>
      <c r="W240" s="4">
        <v>49</v>
      </c>
    </row>
    <row r="241" spans="1:23" ht="11.25" customHeight="1" x14ac:dyDescent="0.25">
      <c r="A241" s="4" t="s">
        <v>21</v>
      </c>
      <c r="B241" s="4" t="s">
        <v>33</v>
      </c>
      <c r="C241" s="4" t="s">
        <v>34</v>
      </c>
      <c r="D241" s="4" t="s">
        <v>44</v>
      </c>
      <c r="E241" s="4" t="s">
        <v>53</v>
      </c>
      <c r="F241" s="4" t="s">
        <v>25</v>
      </c>
      <c r="G241" s="4" t="s">
        <v>25</v>
      </c>
      <c r="H241" s="4" t="s">
        <v>36</v>
      </c>
      <c r="I241" s="5">
        <v>44593</v>
      </c>
      <c r="J241" s="6">
        <v>0</v>
      </c>
      <c r="K241" s="6">
        <v>0</v>
      </c>
      <c r="L241" s="6">
        <v>11.124000000000001</v>
      </c>
      <c r="M241" s="6">
        <v>10.679040000000001</v>
      </c>
      <c r="N241" s="6">
        <v>11.124000000000001</v>
      </c>
      <c r="O241" s="6">
        <v>10.679040000000001</v>
      </c>
      <c r="P241" s="6">
        <v>0</v>
      </c>
      <c r="Q241" s="4" t="s">
        <v>26</v>
      </c>
      <c r="R241" s="4">
        <v>0</v>
      </c>
      <c r="S241" s="4" t="s">
        <v>128</v>
      </c>
      <c r="T241" s="4" t="s">
        <v>381</v>
      </c>
      <c r="U241" s="4">
        <v>0</v>
      </c>
      <c r="V241" s="4">
        <v>8</v>
      </c>
      <c r="W241" s="4">
        <v>49</v>
      </c>
    </row>
    <row r="242" spans="1:23" ht="11.25" customHeight="1" x14ac:dyDescent="0.25">
      <c r="A242" s="4" t="s">
        <v>21</v>
      </c>
      <c r="B242" s="4" t="s">
        <v>33</v>
      </c>
      <c r="C242" s="4" t="s">
        <v>34</v>
      </c>
      <c r="D242" s="4" t="s">
        <v>44</v>
      </c>
      <c r="E242" s="4" t="s">
        <v>53</v>
      </c>
      <c r="F242" s="4" t="s">
        <v>25</v>
      </c>
      <c r="G242" s="4" t="s">
        <v>25</v>
      </c>
      <c r="H242" s="4" t="s">
        <v>36</v>
      </c>
      <c r="I242" s="5">
        <v>44621</v>
      </c>
      <c r="J242" s="6">
        <v>0</v>
      </c>
      <c r="K242" s="6">
        <v>0</v>
      </c>
      <c r="L242" s="6">
        <v>18.661999999999999</v>
      </c>
      <c r="M242" s="6">
        <v>17.915520000000001</v>
      </c>
      <c r="N242" s="6">
        <v>18.661999999999999</v>
      </c>
      <c r="O242" s="6">
        <v>17.915520000000001</v>
      </c>
      <c r="P242" s="6">
        <v>0</v>
      </c>
      <c r="Q242" s="4" t="s">
        <v>26</v>
      </c>
      <c r="R242" s="4">
        <v>0</v>
      </c>
      <c r="S242" s="4" t="s">
        <v>129</v>
      </c>
      <c r="T242" s="4" t="s">
        <v>382</v>
      </c>
      <c r="U242" s="4">
        <v>0</v>
      </c>
      <c r="V242" s="4">
        <v>8</v>
      </c>
      <c r="W242" s="4">
        <v>49</v>
      </c>
    </row>
    <row r="243" spans="1:23" ht="11.25" customHeight="1" x14ac:dyDescent="0.25">
      <c r="A243" s="4" t="s">
        <v>21</v>
      </c>
      <c r="B243" s="4" t="s">
        <v>33</v>
      </c>
      <c r="C243" s="4" t="s">
        <v>34</v>
      </c>
      <c r="D243" s="4" t="s">
        <v>44</v>
      </c>
      <c r="E243" s="4" t="s">
        <v>53</v>
      </c>
      <c r="F243" s="4" t="s">
        <v>25</v>
      </c>
      <c r="G243" s="4" t="s">
        <v>25</v>
      </c>
      <c r="H243" s="4" t="s">
        <v>36</v>
      </c>
      <c r="I243" s="5">
        <v>44652</v>
      </c>
      <c r="J243" s="6">
        <v>0</v>
      </c>
      <c r="K243" s="6">
        <v>0</v>
      </c>
      <c r="L243" s="6">
        <v>7.1369999999999996</v>
      </c>
      <c r="M243" s="6">
        <v>6.8515199999999998</v>
      </c>
      <c r="N243" s="6">
        <v>7.1369999999999996</v>
      </c>
      <c r="O243" s="6">
        <v>6.8515199999999998</v>
      </c>
      <c r="P243" s="6">
        <v>0</v>
      </c>
      <c r="Q243" s="4" t="s">
        <v>26</v>
      </c>
      <c r="R243" s="4">
        <v>0</v>
      </c>
      <c r="S243" s="4" t="s">
        <v>130</v>
      </c>
      <c r="T243" s="4" t="s">
        <v>383</v>
      </c>
      <c r="U243" s="4">
        <v>0</v>
      </c>
      <c r="V243" s="4">
        <v>8</v>
      </c>
      <c r="W243" s="4">
        <v>49</v>
      </c>
    </row>
    <row r="244" spans="1:23" ht="11.25" customHeight="1" x14ac:dyDescent="0.25">
      <c r="A244" s="4" t="s">
        <v>21</v>
      </c>
      <c r="B244" s="4" t="s">
        <v>33</v>
      </c>
      <c r="C244" s="4" t="s">
        <v>34</v>
      </c>
      <c r="D244" s="4" t="s">
        <v>44</v>
      </c>
      <c r="E244" s="4" t="s">
        <v>53</v>
      </c>
      <c r="F244" s="4" t="s">
        <v>25</v>
      </c>
      <c r="G244" s="4" t="s">
        <v>25</v>
      </c>
      <c r="H244" s="4" t="s">
        <v>25</v>
      </c>
      <c r="I244" s="5">
        <v>44317</v>
      </c>
      <c r="J244" s="6">
        <v>487</v>
      </c>
      <c r="K244" s="6">
        <v>467.52</v>
      </c>
      <c r="L244" s="6">
        <v>0</v>
      </c>
      <c r="M244" s="6">
        <v>0</v>
      </c>
      <c r="N244" s="6">
        <v>0</v>
      </c>
      <c r="O244" s="6">
        <v>0</v>
      </c>
      <c r="P244" s="6">
        <v>5</v>
      </c>
      <c r="Q244" s="4" t="s">
        <v>26</v>
      </c>
      <c r="R244" s="4">
        <v>0</v>
      </c>
      <c r="S244" s="4" t="s">
        <v>131</v>
      </c>
      <c r="U244" s="4">
        <v>6</v>
      </c>
      <c r="V244" s="4">
        <v>0</v>
      </c>
      <c r="W244" s="4">
        <v>0</v>
      </c>
    </row>
    <row r="245" spans="1:23" ht="11.25" customHeight="1" x14ac:dyDescent="0.25">
      <c r="A245" s="4" t="s">
        <v>21</v>
      </c>
      <c r="B245" s="4" t="s">
        <v>33</v>
      </c>
      <c r="C245" s="4" t="s">
        <v>34</v>
      </c>
      <c r="D245" s="4" t="s">
        <v>44</v>
      </c>
      <c r="E245" s="4" t="s">
        <v>53</v>
      </c>
      <c r="F245" s="4" t="s">
        <v>25</v>
      </c>
      <c r="G245" s="4" t="s">
        <v>25</v>
      </c>
      <c r="H245" s="4" t="s">
        <v>25</v>
      </c>
      <c r="I245" s="5">
        <v>44348</v>
      </c>
      <c r="J245" s="6">
        <v>385</v>
      </c>
      <c r="K245" s="6">
        <v>369.6</v>
      </c>
      <c r="L245" s="6">
        <v>0</v>
      </c>
      <c r="M245" s="6">
        <v>0</v>
      </c>
      <c r="N245" s="6">
        <v>0</v>
      </c>
      <c r="O245" s="6">
        <v>0</v>
      </c>
      <c r="P245" s="6">
        <v>5</v>
      </c>
      <c r="Q245" s="4" t="s">
        <v>26</v>
      </c>
      <c r="R245" s="4">
        <v>0</v>
      </c>
      <c r="S245" s="4" t="s">
        <v>132</v>
      </c>
      <c r="U245" s="4">
        <v>6</v>
      </c>
      <c r="V245" s="4">
        <v>0</v>
      </c>
      <c r="W245" s="4">
        <v>0</v>
      </c>
    </row>
    <row r="246" spans="1:23" ht="11.25" customHeight="1" x14ac:dyDescent="0.25">
      <c r="A246" s="4" t="s">
        <v>21</v>
      </c>
      <c r="B246" s="4" t="s">
        <v>33</v>
      </c>
      <c r="C246" s="4" t="s">
        <v>34</v>
      </c>
      <c r="D246" s="4" t="s">
        <v>44</v>
      </c>
      <c r="E246" s="4" t="s">
        <v>53</v>
      </c>
      <c r="F246" s="4" t="s">
        <v>25</v>
      </c>
      <c r="G246" s="4" t="s">
        <v>25</v>
      </c>
      <c r="H246" s="4" t="s">
        <v>25</v>
      </c>
      <c r="I246" s="5">
        <v>44378</v>
      </c>
      <c r="J246" s="6">
        <v>389</v>
      </c>
      <c r="K246" s="6">
        <v>373.44</v>
      </c>
      <c r="L246" s="6">
        <v>0</v>
      </c>
      <c r="M246" s="6">
        <v>0</v>
      </c>
      <c r="N246" s="6">
        <v>0</v>
      </c>
      <c r="O246" s="6">
        <v>0</v>
      </c>
      <c r="P246" s="6">
        <v>5</v>
      </c>
      <c r="Q246" s="4" t="s">
        <v>26</v>
      </c>
      <c r="R246" s="4">
        <v>0</v>
      </c>
      <c r="S246" s="4" t="s">
        <v>133</v>
      </c>
      <c r="U246" s="4">
        <v>6</v>
      </c>
      <c r="V246" s="4">
        <v>0</v>
      </c>
      <c r="W246" s="4">
        <v>0</v>
      </c>
    </row>
    <row r="247" spans="1:23" ht="11.25" customHeight="1" x14ac:dyDescent="0.25">
      <c r="A247" s="4" t="s">
        <v>21</v>
      </c>
      <c r="B247" s="4" t="s">
        <v>33</v>
      </c>
      <c r="C247" s="4" t="s">
        <v>34</v>
      </c>
      <c r="D247" s="4" t="s">
        <v>44</v>
      </c>
      <c r="E247" s="4" t="s">
        <v>53</v>
      </c>
      <c r="F247" s="4" t="s">
        <v>25</v>
      </c>
      <c r="G247" s="4" t="s">
        <v>25</v>
      </c>
      <c r="H247" s="4" t="s">
        <v>25</v>
      </c>
      <c r="I247" s="5">
        <v>44409</v>
      </c>
      <c r="J247" s="6">
        <v>502</v>
      </c>
      <c r="K247" s="6">
        <v>481.92</v>
      </c>
      <c r="L247" s="6">
        <v>0</v>
      </c>
      <c r="M247" s="6">
        <v>0</v>
      </c>
      <c r="N247" s="6">
        <v>0</v>
      </c>
      <c r="O247" s="6">
        <v>0</v>
      </c>
      <c r="P247" s="6">
        <v>5</v>
      </c>
      <c r="Q247" s="4" t="s">
        <v>26</v>
      </c>
      <c r="R247" s="4">
        <v>0</v>
      </c>
      <c r="S247" s="4" t="s">
        <v>134</v>
      </c>
      <c r="U247" s="4">
        <v>6</v>
      </c>
      <c r="V247" s="4">
        <v>0</v>
      </c>
      <c r="W247" s="4">
        <v>0</v>
      </c>
    </row>
    <row r="248" spans="1:23" ht="11.25" customHeight="1" x14ac:dyDescent="0.25">
      <c r="A248" s="4" t="s">
        <v>21</v>
      </c>
      <c r="B248" s="4" t="s">
        <v>33</v>
      </c>
      <c r="C248" s="4" t="s">
        <v>34</v>
      </c>
      <c r="D248" s="4" t="s">
        <v>44</v>
      </c>
      <c r="E248" s="4" t="s">
        <v>53</v>
      </c>
      <c r="F248" s="4" t="s">
        <v>25</v>
      </c>
      <c r="G248" s="4" t="s">
        <v>25</v>
      </c>
      <c r="H248" s="4" t="s">
        <v>25</v>
      </c>
      <c r="I248" s="5">
        <v>44440</v>
      </c>
      <c r="J248" s="6">
        <v>496</v>
      </c>
      <c r="K248" s="6">
        <v>476.16</v>
      </c>
      <c r="L248" s="6">
        <v>0</v>
      </c>
      <c r="M248" s="6">
        <v>0</v>
      </c>
      <c r="N248" s="6">
        <v>0</v>
      </c>
      <c r="O248" s="6">
        <v>0</v>
      </c>
      <c r="P248" s="6">
        <v>5</v>
      </c>
      <c r="Q248" s="4" t="s">
        <v>26</v>
      </c>
      <c r="R248" s="4">
        <v>0</v>
      </c>
      <c r="S248" s="4" t="s">
        <v>135</v>
      </c>
      <c r="U248" s="4">
        <v>6</v>
      </c>
      <c r="V248" s="4">
        <v>0</v>
      </c>
      <c r="W248" s="4">
        <v>0</v>
      </c>
    </row>
    <row r="249" spans="1:23" ht="11.25" customHeight="1" x14ac:dyDescent="0.25">
      <c r="A249" s="4" t="s">
        <v>21</v>
      </c>
      <c r="B249" s="4" t="s">
        <v>33</v>
      </c>
      <c r="C249" s="4" t="s">
        <v>34</v>
      </c>
      <c r="D249" s="4" t="s">
        <v>44</v>
      </c>
      <c r="E249" s="4" t="s">
        <v>53</v>
      </c>
      <c r="F249" s="4" t="s">
        <v>25</v>
      </c>
      <c r="G249" s="4" t="s">
        <v>25</v>
      </c>
      <c r="H249" s="4" t="s">
        <v>25</v>
      </c>
      <c r="I249" s="5">
        <v>44470</v>
      </c>
      <c r="J249" s="6">
        <v>466</v>
      </c>
      <c r="K249" s="6">
        <v>447.36</v>
      </c>
      <c r="L249" s="6">
        <v>0</v>
      </c>
      <c r="M249" s="6">
        <v>0</v>
      </c>
      <c r="N249" s="6">
        <v>0</v>
      </c>
      <c r="O249" s="6">
        <v>0</v>
      </c>
      <c r="P249" s="6">
        <v>5</v>
      </c>
      <c r="Q249" s="4" t="s">
        <v>26</v>
      </c>
      <c r="R249" s="4">
        <v>0</v>
      </c>
      <c r="S249" s="4" t="s">
        <v>136</v>
      </c>
      <c r="U249" s="4">
        <v>6</v>
      </c>
      <c r="V249" s="4">
        <v>0</v>
      </c>
      <c r="W249" s="4">
        <v>0</v>
      </c>
    </row>
    <row r="250" spans="1:23" ht="11.25" customHeight="1" x14ac:dyDescent="0.25">
      <c r="A250" s="4" t="s">
        <v>21</v>
      </c>
      <c r="B250" s="4" t="s">
        <v>33</v>
      </c>
      <c r="C250" s="4" t="s">
        <v>34</v>
      </c>
      <c r="D250" s="4" t="s">
        <v>44</v>
      </c>
      <c r="E250" s="4" t="s">
        <v>53</v>
      </c>
      <c r="F250" s="4" t="s">
        <v>25</v>
      </c>
      <c r="G250" s="4" t="s">
        <v>25</v>
      </c>
      <c r="H250" s="4" t="s">
        <v>25</v>
      </c>
      <c r="I250" s="5">
        <v>44501</v>
      </c>
      <c r="J250" s="6">
        <v>311</v>
      </c>
      <c r="K250" s="6">
        <v>298.56</v>
      </c>
      <c r="L250" s="6">
        <v>0</v>
      </c>
      <c r="M250" s="6">
        <v>0</v>
      </c>
      <c r="N250" s="6">
        <v>0</v>
      </c>
      <c r="O250" s="6">
        <v>0</v>
      </c>
      <c r="P250" s="6">
        <v>4</v>
      </c>
      <c r="Q250" s="4" t="s">
        <v>26</v>
      </c>
      <c r="R250" s="4">
        <v>0</v>
      </c>
      <c r="S250" s="4" t="s">
        <v>137</v>
      </c>
      <c r="U250" s="4">
        <v>6</v>
      </c>
      <c r="V250" s="4">
        <v>0</v>
      </c>
      <c r="W250" s="4">
        <v>0</v>
      </c>
    </row>
    <row r="251" spans="1:23" ht="11.25" customHeight="1" x14ac:dyDescent="0.25">
      <c r="A251" s="4" t="s">
        <v>21</v>
      </c>
      <c r="B251" s="4" t="s">
        <v>33</v>
      </c>
      <c r="C251" s="4" t="s">
        <v>34</v>
      </c>
      <c r="D251" s="4" t="s">
        <v>44</v>
      </c>
      <c r="E251" s="4" t="s">
        <v>53</v>
      </c>
      <c r="F251" s="4" t="s">
        <v>25</v>
      </c>
      <c r="G251" s="4" t="s">
        <v>25</v>
      </c>
      <c r="H251" s="4" t="s">
        <v>25</v>
      </c>
      <c r="I251" s="5">
        <v>44531</v>
      </c>
      <c r="J251" s="6">
        <v>307</v>
      </c>
      <c r="K251" s="6">
        <v>294.72000000000003</v>
      </c>
      <c r="L251" s="6">
        <v>0</v>
      </c>
      <c r="M251" s="6">
        <v>0</v>
      </c>
      <c r="N251" s="6">
        <v>0</v>
      </c>
      <c r="O251" s="6">
        <v>0</v>
      </c>
      <c r="P251" s="6">
        <v>4</v>
      </c>
      <c r="Q251" s="4" t="s">
        <v>26</v>
      </c>
      <c r="R251" s="4">
        <v>0</v>
      </c>
      <c r="S251" s="4" t="s">
        <v>138</v>
      </c>
      <c r="U251" s="4">
        <v>6</v>
      </c>
      <c r="V251" s="4">
        <v>0</v>
      </c>
      <c r="W251" s="4">
        <v>0</v>
      </c>
    </row>
    <row r="252" spans="1:23" ht="11.25" customHeight="1" x14ac:dyDescent="0.25">
      <c r="A252" s="4" t="s">
        <v>21</v>
      </c>
      <c r="B252" s="4" t="s">
        <v>33</v>
      </c>
      <c r="C252" s="4" t="s">
        <v>34</v>
      </c>
      <c r="D252" s="4" t="s">
        <v>44</v>
      </c>
      <c r="E252" s="4" t="s">
        <v>53</v>
      </c>
      <c r="F252" s="4" t="s">
        <v>25</v>
      </c>
      <c r="G252" s="4" t="s">
        <v>25</v>
      </c>
      <c r="H252" s="4" t="s">
        <v>25</v>
      </c>
      <c r="I252" s="5">
        <v>44562</v>
      </c>
      <c r="J252" s="6">
        <v>403</v>
      </c>
      <c r="K252" s="6">
        <v>386.88</v>
      </c>
      <c r="L252" s="6">
        <v>0</v>
      </c>
      <c r="M252" s="6">
        <v>0</v>
      </c>
      <c r="N252" s="6">
        <v>0</v>
      </c>
      <c r="O252" s="6">
        <v>0</v>
      </c>
      <c r="P252" s="6">
        <v>4</v>
      </c>
      <c r="Q252" s="4" t="s">
        <v>26</v>
      </c>
      <c r="R252" s="4">
        <v>0</v>
      </c>
      <c r="S252" s="4" t="s">
        <v>139</v>
      </c>
      <c r="U252" s="4">
        <v>6</v>
      </c>
      <c r="V252" s="4">
        <v>0</v>
      </c>
      <c r="W252" s="4">
        <v>0</v>
      </c>
    </row>
    <row r="253" spans="1:23" ht="11.25" customHeight="1" x14ac:dyDescent="0.25">
      <c r="A253" s="4" t="s">
        <v>21</v>
      </c>
      <c r="B253" s="4" t="s">
        <v>33</v>
      </c>
      <c r="C253" s="4" t="s">
        <v>34</v>
      </c>
      <c r="D253" s="4" t="s">
        <v>44</v>
      </c>
      <c r="E253" s="4" t="s">
        <v>53</v>
      </c>
      <c r="F253" s="4" t="s">
        <v>25</v>
      </c>
      <c r="G253" s="4" t="s">
        <v>25</v>
      </c>
      <c r="H253" s="4" t="s">
        <v>25</v>
      </c>
      <c r="I253" s="5">
        <v>44593</v>
      </c>
      <c r="J253" s="6">
        <v>319</v>
      </c>
      <c r="K253" s="6">
        <v>306.24</v>
      </c>
      <c r="L253" s="6">
        <v>0</v>
      </c>
      <c r="M253" s="6">
        <v>0</v>
      </c>
      <c r="N253" s="6">
        <v>0</v>
      </c>
      <c r="O253" s="6">
        <v>0</v>
      </c>
      <c r="P253" s="6">
        <v>4</v>
      </c>
      <c r="Q253" s="4" t="s">
        <v>26</v>
      </c>
      <c r="R253" s="4">
        <v>0</v>
      </c>
      <c r="S253" s="4" t="s">
        <v>140</v>
      </c>
      <c r="U253" s="4">
        <v>6</v>
      </c>
      <c r="V253" s="4">
        <v>0</v>
      </c>
      <c r="W253" s="4">
        <v>0</v>
      </c>
    </row>
    <row r="254" spans="1:23" ht="11.25" customHeight="1" x14ac:dyDescent="0.25">
      <c r="A254" s="4" t="s">
        <v>21</v>
      </c>
      <c r="B254" s="4" t="s">
        <v>33</v>
      </c>
      <c r="C254" s="4" t="s">
        <v>34</v>
      </c>
      <c r="D254" s="4" t="s">
        <v>44</v>
      </c>
      <c r="E254" s="4" t="s">
        <v>53</v>
      </c>
      <c r="F254" s="4" t="s">
        <v>25</v>
      </c>
      <c r="G254" s="4" t="s">
        <v>25</v>
      </c>
      <c r="H254" s="4" t="s">
        <v>25</v>
      </c>
      <c r="I254" s="5">
        <v>44621</v>
      </c>
      <c r="J254" s="6">
        <v>767</v>
      </c>
      <c r="K254" s="6">
        <v>736.32</v>
      </c>
      <c r="L254" s="6">
        <v>0</v>
      </c>
      <c r="M254" s="6">
        <v>0</v>
      </c>
      <c r="N254" s="6">
        <v>0</v>
      </c>
      <c r="O254" s="6">
        <v>0</v>
      </c>
      <c r="P254" s="6">
        <v>4</v>
      </c>
      <c r="Q254" s="4" t="s">
        <v>26</v>
      </c>
      <c r="R254" s="4">
        <v>0</v>
      </c>
      <c r="S254" s="4" t="s">
        <v>141</v>
      </c>
      <c r="U254" s="4">
        <v>6</v>
      </c>
      <c r="V254" s="4">
        <v>0</v>
      </c>
      <c r="W254" s="4">
        <v>0</v>
      </c>
    </row>
    <row r="255" spans="1:23" ht="11.25" customHeight="1" x14ac:dyDescent="0.25">
      <c r="A255" s="4" t="s">
        <v>21</v>
      </c>
      <c r="B255" s="4" t="s">
        <v>33</v>
      </c>
      <c r="C255" s="4" t="s">
        <v>34</v>
      </c>
      <c r="D255" s="4" t="s">
        <v>44</v>
      </c>
      <c r="E255" s="4" t="s">
        <v>53</v>
      </c>
      <c r="F255" s="4" t="s">
        <v>25</v>
      </c>
      <c r="G255" s="4" t="s">
        <v>25</v>
      </c>
      <c r="H255" s="4" t="s">
        <v>25</v>
      </c>
      <c r="I255" s="5">
        <v>44652</v>
      </c>
      <c r="J255" s="6">
        <v>367</v>
      </c>
      <c r="K255" s="6">
        <v>352.32</v>
      </c>
      <c r="L255" s="6">
        <v>0</v>
      </c>
      <c r="M255" s="6">
        <v>0</v>
      </c>
      <c r="N255" s="6">
        <v>0</v>
      </c>
      <c r="O255" s="6">
        <v>0</v>
      </c>
      <c r="P255" s="6">
        <v>4</v>
      </c>
      <c r="Q255" s="4" t="s">
        <v>26</v>
      </c>
      <c r="R255" s="4">
        <v>0</v>
      </c>
      <c r="S255" s="4" t="s">
        <v>142</v>
      </c>
      <c r="U255" s="4">
        <v>6</v>
      </c>
      <c r="V255" s="4">
        <v>0</v>
      </c>
      <c r="W255" s="4">
        <v>0</v>
      </c>
    </row>
    <row r="256" spans="1:23" ht="11.25" customHeight="1" x14ac:dyDescent="0.25">
      <c r="A256" s="4" t="s">
        <v>21</v>
      </c>
      <c r="B256" s="4" t="s">
        <v>33</v>
      </c>
      <c r="C256" s="4" t="s">
        <v>34</v>
      </c>
      <c r="D256" s="4" t="s">
        <v>44</v>
      </c>
      <c r="E256" s="4" t="s">
        <v>53</v>
      </c>
      <c r="F256" s="4" t="s">
        <v>25</v>
      </c>
      <c r="G256" s="4" t="s">
        <v>25</v>
      </c>
      <c r="H256" s="4" t="s">
        <v>35</v>
      </c>
      <c r="I256" s="5">
        <v>44317</v>
      </c>
      <c r="J256" s="6">
        <v>0</v>
      </c>
      <c r="K256" s="6">
        <v>0</v>
      </c>
      <c r="L256" s="6">
        <v>3.048</v>
      </c>
      <c r="M256" s="6">
        <v>2.9260799999999998</v>
      </c>
      <c r="N256" s="6">
        <v>3.048</v>
      </c>
      <c r="O256" s="6">
        <v>2.9260799999999998</v>
      </c>
      <c r="P256" s="6">
        <v>0</v>
      </c>
      <c r="Q256" s="4" t="s">
        <v>26</v>
      </c>
      <c r="R256" s="4">
        <v>0</v>
      </c>
      <c r="S256" s="4" t="s">
        <v>143</v>
      </c>
      <c r="T256" s="4" t="s">
        <v>384</v>
      </c>
      <c r="U256" s="4">
        <v>0</v>
      </c>
      <c r="V256" s="4">
        <v>7</v>
      </c>
      <c r="W256" s="4">
        <v>48</v>
      </c>
    </row>
    <row r="257" spans="1:23" ht="11.25" customHeight="1" x14ac:dyDescent="0.25">
      <c r="A257" s="4" t="s">
        <v>21</v>
      </c>
      <c r="B257" s="4" t="s">
        <v>33</v>
      </c>
      <c r="C257" s="4" t="s">
        <v>34</v>
      </c>
      <c r="D257" s="4" t="s">
        <v>44</v>
      </c>
      <c r="E257" s="4" t="s">
        <v>53</v>
      </c>
      <c r="F257" s="4" t="s">
        <v>25</v>
      </c>
      <c r="G257" s="4" t="s">
        <v>25</v>
      </c>
      <c r="H257" s="4" t="s">
        <v>35</v>
      </c>
      <c r="I257" s="5">
        <v>44348</v>
      </c>
      <c r="J257" s="6">
        <v>0</v>
      </c>
      <c r="K257" s="6">
        <v>0</v>
      </c>
      <c r="L257" s="6">
        <v>0.34399999999999997</v>
      </c>
      <c r="M257" s="6">
        <v>0.33023999999999998</v>
      </c>
      <c r="N257" s="6">
        <v>0.34399999999999997</v>
      </c>
      <c r="O257" s="6">
        <v>0.33023999999999998</v>
      </c>
      <c r="P257" s="6">
        <v>0</v>
      </c>
      <c r="Q257" s="4" t="s">
        <v>26</v>
      </c>
      <c r="R257" s="4">
        <v>0</v>
      </c>
      <c r="S257" s="4" t="s">
        <v>144</v>
      </c>
      <c r="T257" s="4" t="s">
        <v>385</v>
      </c>
      <c r="U257" s="4">
        <v>0</v>
      </c>
      <c r="V257" s="4">
        <v>7</v>
      </c>
      <c r="W257" s="4">
        <v>48</v>
      </c>
    </row>
    <row r="258" spans="1:23" ht="11.25" customHeight="1" x14ac:dyDescent="0.25">
      <c r="A258" s="4" t="s">
        <v>21</v>
      </c>
      <c r="B258" s="4" t="s">
        <v>33</v>
      </c>
      <c r="C258" s="4" t="s">
        <v>34</v>
      </c>
      <c r="D258" s="4" t="s">
        <v>44</v>
      </c>
      <c r="E258" s="4" t="s">
        <v>53</v>
      </c>
      <c r="F258" s="4" t="s">
        <v>25</v>
      </c>
      <c r="G258" s="4" t="s">
        <v>25</v>
      </c>
      <c r="H258" s="4" t="s">
        <v>35</v>
      </c>
      <c r="I258" s="5">
        <v>44378</v>
      </c>
      <c r="J258" s="6">
        <v>0</v>
      </c>
      <c r="K258" s="6">
        <v>0</v>
      </c>
      <c r="L258" s="6">
        <v>1.044</v>
      </c>
      <c r="M258" s="6">
        <v>1.00224</v>
      </c>
      <c r="N258" s="6">
        <v>1.044</v>
      </c>
      <c r="O258" s="6">
        <v>1.00224</v>
      </c>
      <c r="P258" s="6">
        <v>0</v>
      </c>
      <c r="Q258" s="4" t="s">
        <v>26</v>
      </c>
      <c r="R258" s="4">
        <v>0</v>
      </c>
      <c r="S258" s="4" t="s">
        <v>145</v>
      </c>
      <c r="T258" s="4" t="s">
        <v>386</v>
      </c>
      <c r="U258" s="4">
        <v>0</v>
      </c>
      <c r="V258" s="4">
        <v>7</v>
      </c>
      <c r="W258" s="4">
        <v>48</v>
      </c>
    </row>
    <row r="259" spans="1:23" ht="11.25" customHeight="1" x14ac:dyDescent="0.25">
      <c r="A259" s="4" t="s">
        <v>21</v>
      </c>
      <c r="B259" s="4" t="s">
        <v>33</v>
      </c>
      <c r="C259" s="4" t="s">
        <v>34</v>
      </c>
      <c r="D259" s="4" t="s">
        <v>44</v>
      </c>
      <c r="E259" s="4" t="s">
        <v>53</v>
      </c>
      <c r="F259" s="4" t="s">
        <v>25</v>
      </c>
      <c r="G259" s="4" t="s">
        <v>25</v>
      </c>
      <c r="H259" s="4" t="s">
        <v>35</v>
      </c>
      <c r="I259" s="5">
        <v>44409</v>
      </c>
      <c r="J259" s="6">
        <v>0</v>
      </c>
      <c r="K259" s="6">
        <v>0</v>
      </c>
      <c r="L259" s="6">
        <v>1.976</v>
      </c>
      <c r="M259" s="6">
        <v>1.89696</v>
      </c>
      <c r="N259" s="6">
        <v>1.976</v>
      </c>
      <c r="O259" s="6">
        <v>1.89696</v>
      </c>
      <c r="P259" s="6">
        <v>0</v>
      </c>
      <c r="Q259" s="4" t="s">
        <v>26</v>
      </c>
      <c r="R259" s="4">
        <v>0</v>
      </c>
      <c r="S259" s="4" t="s">
        <v>146</v>
      </c>
      <c r="T259" s="4" t="s">
        <v>387</v>
      </c>
      <c r="U259" s="4">
        <v>0</v>
      </c>
      <c r="V259" s="4">
        <v>7</v>
      </c>
      <c r="W259" s="4">
        <v>48</v>
      </c>
    </row>
    <row r="260" spans="1:23" ht="11.25" customHeight="1" x14ac:dyDescent="0.25">
      <c r="A260" s="4" t="s">
        <v>21</v>
      </c>
      <c r="B260" s="4" t="s">
        <v>33</v>
      </c>
      <c r="C260" s="4" t="s">
        <v>34</v>
      </c>
      <c r="D260" s="4" t="s">
        <v>44</v>
      </c>
      <c r="E260" s="4" t="s">
        <v>53</v>
      </c>
      <c r="F260" s="4" t="s">
        <v>25</v>
      </c>
      <c r="G260" s="4" t="s">
        <v>25</v>
      </c>
      <c r="H260" s="4" t="s">
        <v>35</v>
      </c>
      <c r="I260" s="5">
        <v>44440</v>
      </c>
      <c r="J260" s="6">
        <v>0</v>
      </c>
      <c r="K260" s="6">
        <v>0</v>
      </c>
      <c r="L260" s="6">
        <v>2.6779999999999999</v>
      </c>
      <c r="M260" s="6">
        <v>2.5708799999999998</v>
      </c>
      <c r="N260" s="6">
        <v>2.6779999999999999</v>
      </c>
      <c r="O260" s="6">
        <v>2.5708799999999998</v>
      </c>
      <c r="P260" s="6">
        <v>0</v>
      </c>
      <c r="Q260" s="4" t="s">
        <v>26</v>
      </c>
      <c r="R260" s="4">
        <v>0</v>
      </c>
      <c r="S260" s="4" t="s">
        <v>147</v>
      </c>
      <c r="T260" s="4" t="s">
        <v>388</v>
      </c>
      <c r="U260" s="4">
        <v>0</v>
      </c>
      <c r="V260" s="4">
        <v>7</v>
      </c>
      <c r="W260" s="4">
        <v>48</v>
      </c>
    </row>
    <row r="261" spans="1:23" ht="11.25" customHeight="1" x14ac:dyDescent="0.25">
      <c r="A261" s="4" t="s">
        <v>21</v>
      </c>
      <c r="B261" s="4" t="s">
        <v>33</v>
      </c>
      <c r="C261" s="4" t="s">
        <v>34</v>
      </c>
      <c r="D261" s="4" t="s">
        <v>44</v>
      </c>
      <c r="E261" s="4" t="s">
        <v>53</v>
      </c>
      <c r="F261" s="4" t="s">
        <v>25</v>
      </c>
      <c r="G261" s="4" t="s">
        <v>25</v>
      </c>
      <c r="H261" s="4" t="s">
        <v>35</v>
      </c>
      <c r="I261" s="5">
        <v>44470</v>
      </c>
      <c r="J261" s="6">
        <v>0</v>
      </c>
      <c r="K261" s="6">
        <v>0</v>
      </c>
      <c r="L261" s="6">
        <v>1.6E-2</v>
      </c>
      <c r="M261" s="6">
        <v>1.536E-2</v>
      </c>
      <c r="N261" s="6">
        <v>1.6E-2</v>
      </c>
      <c r="O261" s="6">
        <v>1.536E-2</v>
      </c>
      <c r="P261" s="6">
        <v>0</v>
      </c>
      <c r="Q261" s="4" t="s">
        <v>26</v>
      </c>
      <c r="R261" s="4">
        <v>0</v>
      </c>
      <c r="S261" s="4" t="s">
        <v>148</v>
      </c>
      <c r="T261" s="4" t="s">
        <v>389</v>
      </c>
      <c r="U261" s="4">
        <v>0</v>
      </c>
      <c r="V261" s="4">
        <v>7</v>
      </c>
      <c r="W261" s="4">
        <v>48</v>
      </c>
    </row>
    <row r="262" spans="1:23" ht="11.25" customHeight="1" x14ac:dyDescent="0.25">
      <c r="A262" s="4" t="s">
        <v>21</v>
      </c>
      <c r="B262" s="4" t="s">
        <v>33</v>
      </c>
      <c r="C262" s="4" t="s">
        <v>34</v>
      </c>
      <c r="D262" s="4" t="s">
        <v>44</v>
      </c>
      <c r="E262" s="4" t="s">
        <v>53</v>
      </c>
      <c r="F262" s="4" t="s">
        <v>25</v>
      </c>
      <c r="G262" s="4" t="s">
        <v>25</v>
      </c>
      <c r="H262" s="4" t="s">
        <v>35</v>
      </c>
      <c r="I262" s="5">
        <v>44501</v>
      </c>
      <c r="J262" s="6">
        <v>0</v>
      </c>
      <c r="K262" s="6">
        <v>0</v>
      </c>
      <c r="L262" s="6">
        <v>1.7999999999999999E-2</v>
      </c>
      <c r="M262" s="6">
        <v>1.728E-2</v>
      </c>
      <c r="N262" s="6">
        <v>1.7999999999999999E-2</v>
      </c>
      <c r="O262" s="6">
        <v>1.728E-2</v>
      </c>
      <c r="P262" s="6">
        <v>0</v>
      </c>
      <c r="Q262" s="4" t="s">
        <v>26</v>
      </c>
      <c r="R262" s="4">
        <v>0</v>
      </c>
      <c r="S262" s="4" t="s">
        <v>149</v>
      </c>
      <c r="T262" s="4" t="s">
        <v>390</v>
      </c>
      <c r="U262" s="4">
        <v>0</v>
      </c>
      <c r="V262" s="4">
        <v>7</v>
      </c>
      <c r="W262" s="4">
        <v>48</v>
      </c>
    </row>
    <row r="263" spans="1:23" ht="11.25" customHeight="1" x14ac:dyDescent="0.25">
      <c r="A263" s="4" t="s">
        <v>21</v>
      </c>
      <c r="B263" s="4" t="s">
        <v>33</v>
      </c>
      <c r="C263" s="4" t="s">
        <v>34</v>
      </c>
      <c r="D263" s="4" t="s">
        <v>44</v>
      </c>
      <c r="E263" s="4" t="s">
        <v>53</v>
      </c>
      <c r="F263" s="4" t="s">
        <v>25</v>
      </c>
      <c r="G263" s="4" t="s">
        <v>25</v>
      </c>
      <c r="H263" s="4" t="s">
        <v>35</v>
      </c>
      <c r="I263" s="5">
        <v>44531</v>
      </c>
      <c r="J263" s="6">
        <v>0</v>
      </c>
      <c r="K263" s="6">
        <v>0</v>
      </c>
      <c r="L263" s="6">
        <v>0.1</v>
      </c>
      <c r="M263" s="6">
        <v>9.6000000000000002E-2</v>
      </c>
      <c r="N263" s="6">
        <v>0.1</v>
      </c>
      <c r="O263" s="6">
        <v>9.6000000000000002E-2</v>
      </c>
      <c r="P263" s="6">
        <v>0</v>
      </c>
      <c r="Q263" s="4" t="s">
        <v>26</v>
      </c>
      <c r="R263" s="4">
        <v>0</v>
      </c>
      <c r="S263" s="4" t="s">
        <v>150</v>
      </c>
      <c r="T263" s="4" t="s">
        <v>391</v>
      </c>
      <c r="U263" s="4">
        <v>0</v>
      </c>
      <c r="V263" s="4">
        <v>7</v>
      </c>
      <c r="W263" s="4">
        <v>48</v>
      </c>
    </row>
    <row r="264" spans="1:23" ht="11.25" customHeight="1" x14ac:dyDescent="0.25">
      <c r="A264" s="4" t="s">
        <v>21</v>
      </c>
      <c r="B264" s="4" t="s">
        <v>33</v>
      </c>
      <c r="C264" s="4" t="s">
        <v>34</v>
      </c>
      <c r="D264" s="4" t="s">
        <v>44</v>
      </c>
      <c r="E264" s="4" t="s">
        <v>53</v>
      </c>
      <c r="F264" s="4" t="s">
        <v>25</v>
      </c>
      <c r="G264" s="4" t="s">
        <v>25</v>
      </c>
      <c r="H264" s="4" t="s">
        <v>35</v>
      </c>
      <c r="I264" s="5">
        <v>44562</v>
      </c>
      <c r="J264" s="6">
        <v>0</v>
      </c>
      <c r="K264" s="6">
        <v>0</v>
      </c>
      <c r="L264" s="6">
        <v>0.128</v>
      </c>
      <c r="M264" s="6">
        <v>0.12288</v>
      </c>
      <c r="N264" s="6">
        <v>0.128</v>
      </c>
      <c r="O264" s="6">
        <v>0.12288</v>
      </c>
      <c r="P264" s="6">
        <v>0</v>
      </c>
      <c r="Q264" s="4" t="s">
        <v>26</v>
      </c>
      <c r="R264" s="4">
        <v>0</v>
      </c>
      <c r="S264" s="4" t="s">
        <v>151</v>
      </c>
      <c r="T264" s="4" t="s">
        <v>392</v>
      </c>
      <c r="U264" s="4">
        <v>0</v>
      </c>
      <c r="V264" s="4">
        <v>7</v>
      </c>
      <c r="W264" s="4">
        <v>48</v>
      </c>
    </row>
    <row r="265" spans="1:23" ht="11.25" customHeight="1" x14ac:dyDescent="0.25">
      <c r="A265" s="4" t="s">
        <v>21</v>
      </c>
      <c r="B265" s="4" t="s">
        <v>33</v>
      </c>
      <c r="C265" s="4" t="s">
        <v>34</v>
      </c>
      <c r="D265" s="4" t="s">
        <v>44</v>
      </c>
      <c r="E265" s="4" t="s">
        <v>53</v>
      </c>
      <c r="F265" s="4" t="s">
        <v>25</v>
      </c>
      <c r="G265" s="4" t="s">
        <v>25</v>
      </c>
      <c r="H265" s="4" t="s">
        <v>35</v>
      </c>
      <c r="I265" s="5">
        <v>44593</v>
      </c>
      <c r="J265" s="6">
        <v>0</v>
      </c>
      <c r="K265" s="6">
        <v>0</v>
      </c>
      <c r="L265" s="6">
        <v>0.19800000000000001</v>
      </c>
      <c r="M265" s="6">
        <v>0.19008</v>
      </c>
      <c r="N265" s="6">
        <v>0.19800000000000001</v>
      </c>
      <c r="O265" s="6">
        <v>0.19008</v>
      </c>
      <c r="P265" s="6">
        <v>0</v>
      </c>
      <c r="Q265" s="4" t="s">
        <v>26</v>
      </c>
      <c r="R265" s="4">
        <v>0</v>
      </c>
      <c r="S265" s="4" t="s">
        <v>152</v>
      </c>
      <c r="T265" s="4" t="s">
        <v>393</v>
      </c>
      <c r="U265" s="4">
        <v>0</v>
      </c>
      <c r="V265" s="4">
        <v>7</v>
      </c>
      <c r="W265" s="4">
        <v>48</v>
      </c>
    </row>
    <row r="266" spans="1:23" ht="11.25" customHeight="1" x14ac:dyDescent="0.25">
      <c r="A266" s="4" t="s">
        <v>21</v>
      </c>
      <c r="B266" s="4" t="s">
        <v>33</v>
      </c>
      <c r="C266" s="4" t="s">
        <v>34</v>
      </c>
      <c r="D266" s="4" t="s">
        <v>44</v>
      </c>
      <c r="E266" s="4" t="s">
        <v>53</v>
      </c>
      <c r="F266" s="4" t="s">
        <v>25</v>
      </c>
      <c r="G266" s="4" t="s">
        <v>25</v>
      </c>
      <c r="H266" s="4" t="s">
        <v>35</v>
      </c>
      <c r="I266" s="5">
        <v>44621</v>
      </c>
      <c r="J266" s="6">
        <v>0</v>
      </c>
      <c r="K266" s="6">
        <v>0</v>
      </c>
      <c r="L266" s="6">
        <v>0.214</v>
      </c>
      <c r="M266" s="6">
        <v>0.20544000000000001</v>
      </c>
      <c r="N266" s="6">
        <v>0.214</v>
      </c>
      <c r="O266" s="6">
        <v>0.20544000000000001</v>
      </c>
      <c r="P266" s="6">
        <v>0</v>
      </c>
      <c r="Q266" s="4" t="s">
        <v>26</v>
      </c>
      <c r="R266" s="4">
        <v>0</v>
      </c>
      <c r="S266" s="4" t="s">
        <v>153</v>
      </c>
      <c r="T266" s="4" t="s">
        <v>394</v>
      </c>
      <c r="U266" s="4">
        <v>0</v>
      </c>
      <c r="V266" s="4">
        <v>7</v>
      </c>
      <c r="W266" s="4">
        <v>48</v>
      </c>
    </row>
    <row r="267" spans="1:23" ht="11.25" customHeight="1" x14ac:dyDescent="0.25">
      <c r="A267" s="4" t="s">
        <v>21</v>
      </c>
      <c r="B267" s="4" t="s">
        <v>33</v>
      </c>
      <c r="C267" s="4" t="s">
        <v>34</v>
      </c>
      <c r="D267" s="4" t="s">
        <v>44</v>
      </c>
      <c r="E267" s="4" t="s">
        <v>53</v>
      </c>
      <c r="F267" s="4" t="s">
        <v>25</v>
      </c>
      <c r="G267" s="4" t="s">
        <v>25</v>
      </c>
      <c r="H267" s="4" t="s">
        <v>35</v>
      </c>
      <c r="I267" s="5">
        <v>44652</v>
      </c>
      <c r="J267" s="6">
        <v>0</v>
      </c>
      <c r="K267" s="6">
        <v>0</v>
      </c>
      <c r="L267" s="6">
        <v>2.7E-2</v>
      </c>
      <c r="M267" s="6">
        <v>2.5919999999999999E-2</v>
      </c>
      <c r="N267" s="6">
        <v>2.7E-2</v>
      </c>
      <c r="O267" s="6">
        <v>2.5919999999999999E-2</v>
      </c>
      <c r="P267" s="6">
        <v>0</v>
      </c>
      <c r="Q267" s="4" t="s">
        <v>26</v>
      </c>
      <c r="R267" s="4">
        <v>0</v>
      </c>
      <c r="S267" s="4" t="s">
        <v>154</v>
      </c>
      <c r="T267" s="4" t="s">
        <v>395</v>
      </c>
      <c r="U267" s="4">
        <v>0</v>
      </c>
      <c r="V267" s="4">
        <v>7</v>
      </c>
      <c r="W267" s="4">
        <v>48</v>
      </c>
    </row>
    <row r="268" spans="1:23" ht="11.25" customHeight="1" x14ac:dyDescent="0.25">
      <c r="A268" s="4" t="s">
        <v>21</v>
      </c>
      <c r="B268" s="4" t="s">
        <v>33</v>
      </c>
      <c r="C268" s="4" t="s">
        <v>34</v>
      </c>
      <c r="D268" s="4" t="s">
        <v>44</v>
      </c>
      <c r="E268" s="4" t="s">
        <v>25</v>
      </c>
      <c r="F268" s="4" t="s">
        <v>25</v>
      </c>
      <c r="G268" s="4" t="s">
        <v>25</v>
      </c>
      <c r="H268" s="4" t="s">
        <v>36</v>
      </c>
      <c r="I268" s="5">
        <v>44317</v>
      </c>
      <c r="J268" s="6">
        <v>0</v>
      </c>
      <c r="K268" s="6">
        <v>0</v>
      </c>
      <c r="L268" s="6">
        <v>1497.307</v>
      </c>
      <c r="M268" s="6">
        <v>1437.41472</v>
      </c>
      <c r="N268" s="6">
        <v>1497.307</v>
      </c>
      <c r="O268" s="6">
        <v>1437.41472</v>
      </c>
      <c r="P268" s="6">
        <v>0</v>
      </c>
      <c r="Q268" s="4" t="s">
        <v>26</v>
      </c>
      <c r="R268" s="4">
        <v>0</v>
      </c>
      <c r="S268" s="4" t="s">
        <v>119</v>
      </c>
      <c r="T268" s="4" t="s">
        <v>372</v>
      </c>
      <c r="U268" s="4">
        <v>0</v>
      </c>
      <c r="V268" s="4">
        <v>8</v>
      </c>
      <c r="W268" s="4">
        <v>49</v>
      </c>
    </row>
    <row r="269" spans="1:23" ht="11.25" customHeight="1" x14ac:dyDescent="0.25">
      <c r="A269" s="4" t="s">
        <v>21</v>
      </c>
      <c r="B269" s="4" t="s">
        <v>33</v>
      </c>
      <c r="C269" s="4" t="s">
        <v>34</v>
      </c>
      <c r="D269" s="4" t="s">
        <v>44</v>
      </c>
      <c r="E269" s="4" t="s">
        <v>25</v>
      </c>
      <c r="F269" s="4" t="s">
        <v>25</v>
      </c>
      <c r="G269" s="4" t="s">
        <v>25</v>
      </c>
      <c r="H269" s="4" t="s">
        <v>36</v>
      </c>
      <c r="I269" s="5">
        <v>44348</v>
      </c>
      <c r="J269" s="6">
        <v>0</v>
      </c>
      <c r="K269" s="6">
        <v>0</v>
      </c>
      <c r="L269" s="6">
        <v>1484.1410000000001</v>
      </c>
      <c r="M269" s="6">
        <v>1424.7753600000001</v>
      </c>
      <c r="N269" s="6">
        <v>1484.1410000000001</v>
      </c>
      <c r="O269" s="6">
        <v>1424.7753600000001</v>
      </c>
      <c r="P269" s="6">
        <v>0</v>
      </c>
      <c r="Q269" s="4" t="s">
        <v>26</v>
      </c>
      <c r="R269" s="4">
        <v>0</v>
      </c>
      <c r="S269" s="4" t="s">
        <v>120</v>
      </c>
      <c r="T269" s="4" t="s">
        <v>373</v>
      </c>
      <c r="U269" s="4">
        <v>0</v>
      </c>
      <c r="V269" s="4">
        <v>8</v>
      </c>
      <c r="W269" s="4">
        <v>49</v>
      </c>
    </row>
    <row r="270" spans="1:23" ht="11.25" customHeight="1" x14ac:dyDescent="0.25">
      <c r="A270" s="4" t="s">
        <v>21</v>
      </c>
      <c r="B270" s="4" t="s">
        <v>33</v>
      </c>
      <c r="C270" s="4" t="s">
        <v>34</v>
      </c>
      <c r="D270" s="4" t="s">
        <v>44</v>
      </c>
      <c r="E270" s="4" t="s">
        <v>25</v>
      </c>
      <c r="F270" s="4" t="s">
        <v>25</v>
      </c>
      <c r="G270" s="4" t="s">
        <v>25</v>
      </c>
      <c r="H270" s="4" t="s">
        <v>36</v>
      </c>
      <c r="I270" s="5">
        <v>44378</v>
      </c>
      <c r="J270" s="6">
        <v>0</v>
      </c>
      <c r="K270" s="6">
        <v>0</v>
      </c>
      <c r="L270" s="6">
        <v>1533.3710000000001</v>
      </c>
      <c r="M270" s="6">
        <v>1472.0361600000001</v>
      </c>
      <c r="N270" s="6">
        <v>1533.3710000000001</v>
      </c>
      <c r="O270" s="6">
        <v>1472.0361600000001</v>
      </c>
      <c r="P270" s="6">
        <v>0</v>
      </c>
      <c r="Q270" s="4" t="s">
        <v>26</v>
      </c>
      <c r="R270" s="4">
        <v>0</v>
      </c>
      <c r="S270" s="4" t="s">
        <v>121</v>
      </c>
      <c r="T270" s="4" t="s">
        <v>374</v>
      </c>
      <c r="U270" s="4">
        <v>0</v>
      </c>
      <c r="V270" s="4">
        <v>8</v>
      </c>
      <c r="W270" s="4">
        <v>49</v>
      </c>
    </row>
    <row r="271" spans="1:23" ht="11.25" customHeight="1" x14ac:dyDescent="0.25">
      <c r="A271" s="4" t="s">
        <v>21</v>
      </c>
      <c r="B271" s="4" t="s">
        <v>33</v>
      </c>
      <c r="C271" s="4" t="s">
        <v>34</v>
      </c>
      <c r="D271" s="4" t="s">
        <v>44</v>
      </c>
      <c r="E271" s="4" t="s">
        <v>25</v>
      </c>
      <c r="F271" s="4" t="s">
        <v>25</v>
      </c>
      <c r="G271" s="4" t="s">
        <v>25</v>
      </c>
      <c r="H271" s="4" t="s">
        <v>36</v>
      </c>
      <c r="I271" s="5">
        <v>44409</v>
      </c>
      <c r="J271" s="6">
        <v>0</v>
      </c>
      <c r="K271" s="6">
        <v>0</v>
      </c>
      <c r="L271" s="6">
        <v>1605.268</v>
      </c>
      <c r="M271" s="6">
        <v>1541.05728</v>
      </c>
      <c r="N271" s="6">
        <v>1605.268</v>
      </c>
      <c r="O271" s="6">
        <v>1541.05728</v>
      </c>
      <c r="P271" s="6">
        <v>0</v>
      </c>
      <c r="Q271" s="4" t="s">
        <v>26</v>
      </c>
      <c r="R271" s="4">
        <v>0</v>
      </c>
      <c r="S271" s="4" t="s">
        <v>122</v>
      </c>
      <c r="T271" s="4" t="s">
        <v>375</v>
      </c>
      <c r="U271" s="4">
        <v>0</v>
      </c>
      <c r="V271" s="4">
        <v>8</v>
      </c>
      <c r="W271" s="4">
        <v>49</v>
      </c>
    </row>
    <row r="272" spans="1:23" ht="11.25" customHeight="1" x14ac:dyDescent="0.25">
      <c r="A272" s="4" t="s">
        <v>28</v>
      </c>
      <c r="B272" s="4" t="s">
        <v>33</v>
      </c>
      <c r="C272" s="4" t="s">
        <v>34</v>
      </c>
      <c r="D272" s="4" t="s">
        <v>44</v>
      </c>
      <c r="E272" s="4" t="s">
        <v>25</v>
      </c>
      <c r="F272" s="4" t="s">
        <v>25</v>
      </c>
      <c r="G272" s="4" t="s">
        <v>25</v>
      </c>
      <c r="H272" s="4" t="s">
        <v>36</v>
      </c>
      <c r="I272" s="5">
        <v>44409</v>
      </c>
      <c r="J272" s="6">
        <v>0</v>
      </c>
      <c r="K272" s="6">
        <v>0</v>
      </c>
      <c r="L272" s="6">
        <v>6.8630000000000004</v>
      </c>
      <c r="M272" s="6">
        <v>6.5884800000000006</v>
      </c>
      <c r="N272" s="6">
        <v>6.8630000000000004</v>
      </c>
      <c r="O272" s="6">
        <v>6.5884800000000006</v>
      </c>
      <c r="P272" s="6">
        <v>0</v>
      </c>
      <c r="Q272" s="4" t="s">
        <v>26</v>
      </c>
      <c r="R272" s="4">
        <v>0</v>
      </c>
      <c r="S272" s="4" t="s">
        <v>122</v>
      </c>
      <c r="T272" s="4" t="s">
        <v>375</v>
      </c>
      <c r="U272" s="4">
        <v>0</v>
      </c>
      <c r="V272" s="4">
        <v>8</v>
      </c>
      <c r="W272" s="4">
        <v>49</v>
      </c>
    </row>
    <row r="273" spans="1:23" ht="11.25" customHeight="1" x14ac:dyDescent="0.25">
      <c r="A273" s="4" t="s">
        <v>21</v>
      </c>
      <c r="B273" s="4" t="s">
        <v>33</v>
      </c>
      <c r="C273" s="4" t="s">
        <v>34</v>
      </c>
      <c r="D273" s="4" t="s">
        <v>44</v>
      </c>
      <c r="E273" s="4" t="s">
        <v>25</v>
      </c>
      <c r="F273" s="4" t="s">
        <v>25</v>
      </c>
      <c r="G273" s="4" t="s">
        <v>25</v>
      </c>
      <c r="H273" s="4" t="s">
        <v>36</v>
      </c>
      <c r="I273" s="5">
        <v>44440</v>
      </c>
      <c r="J273" s="6">
        <v>0</v>
      </c>
      <c r="K273" s="6">
        <v>0</v>
      </c>
      <c r="L273" s="6">
        <v>1987.703</v>
      </c>
      <c r="M273" s="6">
        <v>1908.19488</v>
      </c>
      <c r="N273" s="6">
        <v>1987.703</v>
      </c>
      <c r="O273" s="6">
        <v>1908.19488</v>
      </c>
      <c r="P273" s="6">
        <v>0</v>
      </c>
      <c r="Q273" s="4" t="s">
        <v>26</v>
      </c>
      <c r="R273" s="4">
        <v>0</v>
      </c>
      <c r="S273" s="4" t="s">
        <v>123</v>
      </c>
      <c r="T273" s="4" t="s">
        <v>376</v>
      </c>
      <c r="U273" s="4">
        <v>0</v>
      </c>
      <c r="V273" s="4">
        <v>8</v>
      </c>
      <c r="W273" s="4">
        <v>49</v>
      </c>
    </row>
    <row r="274" spans="1:23" ht="11.25" customHeight="1" x14ac:dyDescent="0.25">
      <c r="A274" s="4" t="s">
        <v>28</v>
      </c>
      <c r="B274" s="4" t="s">
        <v>33</v>
      </c>
      <c r="C274" s="4" t="s">
        <v>34</v>
      </c>
      <c r="D274" s="4" t="s">
        <v>44</v>
      </c>
      <c r="E274" s="4" t="s">
        <v>25</v>
      </c>
      <c r="F274" s="4" t="s">
        <v>25</v>
      </c>
      <c r="G274" s="4" t="s">
        <v>25</v>
      </c>
      <c r="H274" s="4" t="s">
        <v>36</v>
      </c>
      <c r="I274" s="5">
        <v>44440</v>
      </c>
      <c r="J274" s="6">
        <v>0</v>
      </c>
      <c r="K274" s="6">
        <v>0</v>
      </c>
      <c r="L274" s="6">
        <v>13.683999999999999</v>
      </c>
      <c r="M274" s="6">
        <v>13.136639999999998</v>
      </c>
      <c r="N274" s="6">
        <v>13.683999999999999</v>
      </c>
      <c r="O274" s="6">
        <v>13.136639999999998</v>
      </c>
      <c r="P274" s="6">
        <v>0</v>
      </c>
      <c r="Q274" s="4" t="s">
        <v>26</v>
      </c>
      <c r="R274" s="4">
        <v>0</v>
      </c>
      <c r="S274" s="4" t="s">
        <v>123</v>
      </c>
      <c r="T274" s="4" t="s">
        <v>376</v>
      </c>
      <c r="U274" s="4">
        <v>0</v>
      </c>
      <c r="V274" s="4">
        <v>8</v>
      </c>
      <c r="W274" s="4">
        <v>49</v>
      </c>
    </row>
    <row r="275" spans="1:23" ht="11.25" customHeight="1" x14ac:dyDescent="0.25">
      <c r="A275" s="4" t="s">
        <v>21</v>
      </c>
      <c r="B275" s="4" t="s">
        <v>33</v>
      </c>
      <c r="C275" s="4" t="s">
        <v>34</v>
      </c>
      <c r="D275" s="4" t="s">
        <v>44</v>
      </c>
      <c r="E275" s="4" t="s">
        <v>25</v>
      </c>
      <c r="F275" s="4" t="s">
        <v>25</v>
      </c>
      <c r="G275" s="4" t="s">
        <v>25</v>
      </c>
      <c r="H275" s="4" t="s">
        <v>36</v>
      </c>
      <c r="I275" s="5">
        <v>44470</v>
      </c>
      <c r="J275" s="6">
        <v>0</v>
      </c>
      <c r="K275" s="6">
        <v>0</v>
      </c>
      <c r="L275" s="6">
        <v>2111.8159999999998</v>
      </c>
      <c r="M275" s="6">
        <v>2027.3433600000001</v>
      </c>
      <c r="N275" s="6">
        <v>2111.8159999999998</v>
      </c>
      <c r="O275" s="6">
        <v>2027.3433600000001</v>
      </c>
      <c r="P275" s="6">
        <v>0</v>
      </c>
      <c r="Q275" s="4" t="s">
        <v>26</v>
      </c>
      <c r="R275" s="4">
        <v>0</v>
      </c>
      <c r="S275" s="4" t="s">
        <v>124</v>
      </c>
      <c r="T275" s="4" t="s">
        <v>377</v>
      </c>
      <c r="U275" s="4">
        <v>0</v>
      </c>
      <c r="V275" s="4">
        <v>8</v>
      </c>
      <c r="W275" s="4">
        <v>49</v>
      </c>
    </row>
    <row r="276" spans="1:23" ht="11.25" customHeight="1" x14ac:dyDescent="0.25">
      <c r="A276" s="4" t="s">
        <v>28</v>
      </c>
      <c r="B276" s="4" t="s">
        <v>33</v>
      </c>
      <c r="C276" s="4" t="s">
        <v>34</v>
      </c>
      <c r="D276" s="4" t="s">
        <v>44</v>
      </c>
      <c r="E276" s="4" t="s">
        <v>25</v>
      </c>
      <c r="F276" s="4" t="s">
        <v>25</v>
      </c>
      <c r="G276" s="4" t="s">
        <v>25</v>
      </c>
      <c r="H276" s="4" t="s">
        <v>36</v>
      </c>
      <c r="I276" s="5">
        <v>44470</v>
      </c>
      <c r="J276" s="6">
        <v>0</v>
      </c>
      <c r="K276" s="6">
        <v>0</v>
      </c>
      <c r="L276" s="6">
        <v>22.838999999999999</v>
      </c>
      <c r="M276" s="6">
        <v>21.925439999999998</v>
      </c>
      <c r="N276" s="6">
        <v>22.838999999999999</v>
      </c>
      <c r="O276" s="6">
        <v>21.925439999999998</v>
      </c>
      <c r="P276" s="6">
        <v>0</v>
      </c>
      <c r="Q276" s="4" t="s">
        <v>26</v>
      </c>
      <c r="R276" s="4">
        <v>0</v>
      </c>
      <c r="S276" s="4" t="s">
        <v>124</v>
      </c>
      <c r="T276" s="4" t="s">
        <v>377</v>
      </c>
      <c r="U276" s="4">
        <v>0</v>
      </c>
      <c r="V276" s="4">
        <v>8</v>
      </c>
      <c r="W276" s="4">
        <v>49</v>
      </c>
    </row>
    <row r="277" spans="1:23" ht="11.25" customHeight="1" x14ac:dyDescent="0.25">
      <c r="A277" s="4" t="s">
        <v>21</v>
      </c>
      <c r="B277" s="4" t="s">
        <v>33</v>
      </c>
      <c r="C277" s="4" t="s">
        <v>34</v>
      </c>
      <c r="D277" s="4" t="s">
        <v>44</v>
      </c>
      <c r="E277" s="4" t="s">
        <v>25</v>
      </c>
      <c r="F277" s="4" t="s">
        <v>25</v>
      </c>
      <c r="G277" s="4" t="s">
        <v>25</v>
      </c>
      <c r="H277" s="4" t="s">
        <v>36</v>
      </c>
      <c r="I277" s="5">
        <v>44501</v>
      </c>
      <c r="J277" s="6">
        <v>0</v>
      </c>
      <c r="K277" s="6">
        <v>0</v>
      </c>
      <c r="L277" s="6">
        <v>2204.989</v>
      </c>
      <c r="M277" s="6">
        <v>2116.78944</v>
      </c>
      <c r="N277" s="6">
        <v>2204.989</v>
      </c>
      <c r="O277" s="6">
        <v>2116.78944</v>
      </c>
      <c r="P277" s="6">
        <v>0</v>
      </c>
      <c r="Q277" s="4" t="s">
        <v>26</v>
      </c>
      <c r="R277" s="4">
        <v>0</v>
      </c>
      <c r="S277" s="4" t="s">
        <v>125</v>
      </c>
      <c r="T277" s="4" t="s">
        <v>378</v>
      </c>
      <c r="U277" s="4">
        <v>0</v>
      </c>
      <c r="V277" s="4">
        <v>8</v>
      </c>
      <c r="W277" s="4">
        <v>49</v>
      </c>
    </row>
    <row r="278" spans="1:23" ht="11.25" customHeight="1" x14ac:dyDescent="0.25">
      <c r="A278" s="4" t="s">
        <v>21</v>
      </c>
      <c r="B278" s="4" t="s">
        <v>33</v>
      </c>
      <c r="C278" s="4" t="s">
        <v>34</v>
      </c>
      <c r="D278" s="4" t="s">
        <v>44</v>
      </c>
      <c r="E278" s="4" t="s">
        <v>25</v>
      </c>
      <c r="F278" s="4" t="s">
        <v>25</v>
      </c>
      <c r="G278" s="4" t="s">
        <v>25</v>
      </c>
      <c r="H278" s="4" t="s">
        <v>36</v>
      </c>
      <c r="I278" s="5">
        <v>44531</v>
      </c>
      <c r="J278" s="6">
        <v>0</v>
      </c>
      <c r="K278" s="6">
        <v>0</v>
      </c>
      <c r="L278" s="6">
        <v>2329.8919999999998</v>
      </c>
      <c r="M278" s="6">
        <v>2236.69632</v>
      </c>
      <c r="N278" s="6">
        <v>2329.8919999999998</v>
      </c>
      <c r="O278" s="6">
        <v>2236.69632</v>
      </c>
      <c r="P278" s="6">
        <v>0</v>
      </c>
      <c r="Q278" s="4" t="s">
        <v>26</v>
      </c>
      <c r="R278" s="4">
        <v>0</v>
      </c>
      <c r="S278" s="4" t="s">
        <v>126</v>
      </c>
      <c r="T278" s="4" t="s">
        <v>379</v>
      </c>
      <c r="U278" s="4">
        <v>0</v>
      </c>
      <c r="V278" s="4">
        <v>8</v>
      </c>
      <c r="W278" s="4">
        <v>49</v>
      </c>
    </row>
    <row r="279" spans="1:23" ht="11.25" customHeight="1" x14ac:dyDescent="0.25">
      <c r="A279" s="4" t="s">
        <v>28</v>
      </c>
      <c r="B279" s="4" t="s">
        <v>33</v>
      </c>
      <c r="C279" s="4" t="s">
        <v>34</v>
      </c>
      <c r="D279" s="4" t="s">
        <v>44</v>
      </c>
      <c r="E279" s="4" t="s">
        <v>25</v>
      </c>
      <c r="F279" s="4" t="s">
        <v>25</v>
      </c>
      <c r="G279" s="4" t="s">
        <v>25</v>
      </c>
      <c r="H279" s="4" t="s">
        <v>36</v>
      </c>
      <c r="I279" s="5">
        <v>44531</v>
      </c>
      <c r="J279" s="6">
        <v>0</v>
      </c>
      <c r="K279" s="6">
        <v>0</v>
      </c>
      <c r="L279" s="6">
        <v>13.545999999999999</v>
      </c>
      <c r="M279" s="6">
        <v>13.004159999999999</v>
      </c>
      <c r="N279" s="6">
        <v>13.545999999999999</v>
      </c>
      <c r="O279" s="6">
        <v>13.004159999999999</v>
      </c>
      <c r="P279" s="6">
        <v>0</v>
      </c>
      <c r="Q279" s="4" t="s">
        <v>26</v>
      </c>
      <c r="R279" s="4">
        <v>0</v>
      </c>
      <c r="S279" s="4" t="s">
        <v>126</v>
      </c>
      <c r="T279" s="4" t="s">
        <v>379</v>
      </c>
      <c r="U279" s="4">
        <v>0</v>
      </c>
      <c r="V279" s="4">
        <v>8</v>
      </c>
      <c r="W279" s="4">
        <v>49</v>
      </c>
    </row>
    <row r="280" spans="1:23" ht="11.25" customHeight="1" x14ac:dyDescent="0.25">
      <c r="A280" s="4" t="s">
        <v>21</v>
      </c>
      <c r="B280" s="4" t="s">
        <v>33</v>
      </c>
      <c r="C280" s="4" t="s">
        <v>34</v>
      </c>
      <c r="D280" s="4" t="s">
        <v>44</v>
      </c>
      <c r="E280" s="4" t="s">
        <v>25</v>
      </c>
      <c r="F280" s="4" t="s">
        <v>25</v>
      </c>
      <c r="G280" s="4" t="s">
        <v>25</v>
      </c>
      <c r="H280" s="4" t="s">
        <v>36</v>
      </c>
      <c r="I280" s="5">
        <v>44562</v>
      </c>
      <c r="J280" s="6">
        <v>0</v>
      </c>
      <c r="K280" s="6">
        <v>0</v>
      </c>
      <c r="L280" s="6">
        <v>2430.29</v>
      </c>
      <c r="M280" s="6">
        <v>2333.0783999999999</v>
      </c>
      <c r="N280" s="6">
        <v>2430.29</v>
      </c>
      <c r="O280" s="6">
        <v>2333.0783999999999</v>
      </c>
      <c r="P280" s="6">
        <v>0</v>
      </c>
      <c r="Q280" s="4" t="s">
        <v>26</v>
      </c>
      <c r="R280" s="4">
        <v>0</v>
      </c>
      <c r="S280" s="4" t="s">
        <v>127</v>
      </c>
      <c r="T280" s="4" t="s">
        <v>380</v>
      </c>
      <c r="U280" s="4">
        <v>0</v>
      </c>
      <c r="V280" s="4">
        <v>8</v>
      </c>
      <c r="W280" s="4">
        <v>49</v>
      </c>
    </row>
    <row r="281" spans="1:23" ht="11.25" customHeight="1" x14ac:dyDescent="0.25">
      <c r="A281" s="4" t="s">
        <v>28</v>
      </c>
      <c r="B281" s="4" t="s">
        <v>33</v>
      </c>
      <c r="C281" s="4" t="s">
        <v>34</v>
      </c>
      <c r="D281" s="4" t="s">
        <v>44</v>
      </c>
      <c r="E281" s="4" t="s">
        <v>25</v>
      </c>
      <c r="F281" s="4" t="s">
        <v>25</v>
      </c>
      <c r="G281" s="4" t="s">
        <v>25</v>
      </c>
      <c r="H281" s="4" t="s">
        <v>36</v>
      </c>
      <c r="I281" s="5">
        <v>44562</v>
      </c>
      <c r="J281" s="6">
        <v>0</v>
      </c>
      <c r="K281" s="6">
        <v>0</v>
      </c>
      <c r="L281" s="6">
        <v>8.6039999999999992</v>
      </c>
      <c r="M281" s="6">
        <v>8.2598399999999987</v>
      </c>
      <c r="N281" s="6">
        <v>8.6039999999999992</v>
      </c>
      <c r="O281" s="6">
        <v>8.2598399999999987</v>
      </c>
      <c r="P281" s="6">
        <v>0</v>
      </c>
      <c r="Q281" s="4" t="s">
        <v>26</v>
      </c>
      <c r="R281" s="4">
        <v>0</v>
      </c>
      <c r="S281" s="4" t="s">
        <v>127</v>
      </c>
      <c r="T281" s="4" t="s">
        <v>380</v>
      </c>
      <c r="U281" s="4">
        <v>0</v>
      </c>
      <c r="V281" s="4">
        <v>8</v>
      </c>
      <c r="W281" s="4">
        <v>49</v>
      </c>
    </row>
    <row r="282" spans="1:23" ht="11.25" customHeight="1" x14ac:dyDescent="0.25">
      <c r="A282" s="4" t="s">
        <v>21</v>
      </c>
      <c r="B282" s="4" t="s">
        <v>33</v>
      </c>
      <c r="C282" s="4" t="s">
        <v>34</v>
      </c>
      <c r="D282" s="4" t="s">
        <v>44</v>
      </c>
      <c r="E282" s="4" t="s">
        <v>25</v>
      </c>
      <c r="F282" s="4" t="s">
        <v>25</v>
      </c>
      <c r="G282" s="4" t="s">
        <v>25</v>
      </c>
      <c r="H282" s="4" t="s">
        <v>36</v>
      </c>
      <c r="I282" s="5">
        <v>44593</v>
      </c>
      <c r="J282" s="6">
        <v>0</v>
      </c>
      <c r="K282" s="6">
        <v>0</v>
      </c>
      <c r="L282" s="6">
        <v>2171.7860000000001</v>
      </c>
      <c r="M282" s="6">
        <v>2084.9145600000002</v>
      </c>
      <c r="N282" s="6">
        <v>2171.7860000000001</v>
      </c>
      <c r="O282" s="6">
        <v>2084.9145600000002</v>
      </c>
      <c r="P282" s="6">
        <v>0</v>
      </c>
      <c r="Q282" s="4" t="s">
        <v>26</v>
      </c>
      <c r="R282" s="4">
        <v>0</v>
      </c>
      <c r="S282" s="4" t="s">
        <v>128</v>
      </c>
      <c r="T282" s="4" t="s">
        <v>381</v>
      </c>
      <c r="U282" s="4">
        <v>0</v>
      </c>
      <c r="V282" s="4">
        <v>8</v>
      </c>
      <c r="W282" s="4">
        <v>49</v>
      </c>
    </row>
    <row r="283" spans="1:23" ht="11.25" customHeight="1" x14ac:dyDescent="0.25">
      <c r="A283" s="4" t="s">
        <v>21</v>
      </c>
      <c r="B283" s="4" t="s">
        <v>33</v>
      </c>
      <c r="C283" s="4" t="s">
        <v>34</v>
      </c>
      <c r="D283" s="4" t="s">
        <v>44</v>
      </c>
      <c r="E283" s="4" t="s">
        <v>25</v>
      </c>
      <c r="F283" s="4" t="s">
        <v>25</v>
      </c>
      <c r="G283" s="4" t="s">
        <v>25</v>
      </c>
      <c r="H283" s="4" t="s">
        <v>36</v>
      </c>
      <c r="I283" s="5">
        <v>44621</v>
      </c>
      <c r="J283" s="6">
        <v>0</v>
      </c>
      <c r="K283" s="6">
        <v>0</v>
      </c>
      <c r="L283" s="6">
        <v>2384.8110000000001</v>
      </c>
      <c r="M283" s="6">
        <v>2289.4185600000001</v>
      </c>
      <c r="N283" s="6">
        <v>2384.8110000000001</v>
      </c>
      <c r="O283" s="6">
        <v>2289.4185600000001</v>
      </c>
      <c r="P283" s="6">
        <v>0</v>
      </c>
      <c r="Q283" s="4" t="s">
        <v>26</v>
      </c>
      <c r="R283" s="4">
        <v>0</v>
      </c>
      <c r="S283" s="4" t="s">
        <v>129</v>
      </c>
      <c r="T283" s="4" t="s">
        <v>382</v>
      </c>
      <c r="U283" s="4">
        <v>0</v>
      </c>
      <c r="V283" s="4">
        <v>8</v>
      </c>
      <c r="W283" s="4">
        <v>49</v>
      </c>
    </row>
    <row r="284" spans="1:23" ht="11.25" customHeight="1" x14ac:dyDescent="0.25">
      <c r="A284" s="4" t="s">
        <v>28</v>
      </c>
      <c r="B284" s="4" t="s">
        <v>33</v>
      </c>
      <c r="C284" s="4" t="s">
        <v>34</v>
      </c>
      <c r="D284" s="4" t="s">
        <v>44</v>
      </c>
      <c r="E284" s="4" t="s">
        <v>25</v>
      </c>
      <c r="F284" s="4" t="s">
        <v>25</v>
      </c>
      <c r="G284" s="4" t="s">
        <v>25</v>
      </c>
      <c r="H284" s="4" t="s">
        <v>36</v>
      </c>
      <c r="I284" s="5">
        <v>44621</v>
      </c>
      <c r="J284" s="6">
        <v>0</v>
      </c>
      <c r="K284" s="6">
        <v>0</v>
      </c>
      <c r="L284" s="6">
        <v>70.647999999999996</v>
      </c>
      <c r="M284" s="6">
        <v>67.82208</v>
      </c>
      <c r="N284" s="6">
        <v>70.647999999999996</v>
      </c>
      <c r="O284" s="6">
        <v>67.82208</v>
      </c>
      <c r="P284" s="6">
        <v>0</v>
      </c>
      <c r="Q284" s="4" t="s">
        <v>26</v>
      </c>
      <c r="R284" s="4">
        <v>0</v>
      </c>
      <c r="S284" s="4" t="s">
        <v>129</v>
      </c>
      <c r="T284" s="4" t="s">
        <v>382</v>
      </c>
      <c r="U284" s="4">
        <v>0</v>
      </c>
      <c r="V284" s="4">
        <v>8</v>
      </c>
      <c r="W284" s="4">
        <v>49</v>
      </c>
    </row>
    <row r="285" spans="1:23" ht="11.25" customHeight="1" x14ac:dyDescent="0.25">
      <c r="A285" s="4" t="s">
        <v>21</v>
      </c>
      <c r="B285" s="4" t="s">
        <v>33</v>
      </c>
      <c r="C285" s="4" t="s">
        <v>34</v>
      </c>
      <c r="D285" s="4" t="s">
        <v>44</v>
      </c>
      <c r="E285" s="4" t="s">
        <v>25</v>
      </c>
      <c r="F285" s="4" t="s">
        <v>25</v>
      </c>
      <c r="G285" s="4" t="s">
        <v>25</v>
      </c>
      <c r="H285" s="4" t="s">
        <v>36</v>
      </c>
      <c r="I285" s="5">
        <v>44652</v>
      </c>
      <c r="J285" s="6">
        <v>0</v>
      </c>
      <c r="K285" s="6">
        <v>0</v>
      </c>
      <c r="L285" s="6">
        <v>1900.2560000000001</v>
      </c>
      <c r="M285" s="6">
        <v>1824.24576</v>
      </c>
      <c r="N285" s="6">
        <v>1900.2560000000001</v>
      </c>
      <c r="O285" s="6">
        <v>1824.24576</v>
      </c>
      <c r="P285" s="6">
        <v>0</v>
      </c>
      <c r="Q285" s="4" t="s">
        <v>26</v>
      </c>
      <c r="R285" s="4">
        <v>0</v>
      </c>
      <c r="S285" s="4" t="s">
        <v>130</v>
      </c>
      <c r="T285" s="4" t="s">
        <v>383</v>
      </c>
      <c r="U285" s="4">
        <v>0</v>
      </c>
      <c r="V285" s="4">
        <v>8</v>
      </c>
      <c r="W285" s="4">
        <v>49</v>
      </c>
    </row>
    <row r="286" spans="1:23" ht="11.25" customHeight="1" x14ac:dyDescent="0.25">
      <c r="A286" s="4" t="s">
        <v>21</v>
      </c>
      <c r="B286" s="4" t="s">
        <v>33</v>
      </c>
      <c r="C286" s="4" t="s">
        <v>34</v>
      </c>
      <c r="D286" s="4" t="s">
        <v>44</v>
      </c>
      <c r="E286" s="4" t="s">
        <v>25</v>
      </c>
      <c r="F286" s="4" t="s">
        <v>25</v>
      </c>
      <c r="G286" s="4" t="s">
        <v>25</v>
      </c>
      <c r="H286" s="4" t="s">
        <v>25</v>
      </c>
      <c r="I286" s="5">
        <v>44317</v>
      </c>
      <c r="J286" s="6">
        <v>6735</v>
      </c>
      <c r="K286" s="6">
        <v>6465.5999999999995</v>
      </c>
      <c r="L286" s="6">
        <v>0</v>
      </c>
      <c r="M286" s="6">
        <v>0</v>
      </c>
      <c r="N286" s="6">
        <v>0</v>
      </c>
      <c r="O286" s="6">
        <v>0</v>
      </c>
      <c r="P286" s="6">
        <v>48</v>
      </c>
      <c r="Q286" s="4" t="s">
        <v>26</v>
      </c>
      <c r="R286" s="4">
        <v>0</v>
      </c>
      <c r="S286" s="4" t="s">
        <v>131</v>
      </c>
      <c r="U286" s="4">
        <v>6</v>
      </c>
      <c r="V286" s="4">
        <v>0</v>
      </c>
      <c r="W286" s="4">
        <v>0</v>
      </c>
    </row>
    <row r="287" spans="1:23" ht="11.25" customHeight="1" x14ac:dyDescent="0.25">
      <c r="A287" s="4" t="s">
        <v>28</v>
      </c>
      <c r="B287" s="4" t="s">
        <v>33</v>
      </c>
      <c r="C287" s="4" t="s">
        <v>34</v>
      </c>
      <c r="D287" s="4" t="s">
        <v>44</v>
      </c>
      <c r="E287" s="4" t="s">
        <v>25</v>
      </c>
      <c r="F287" s="4" t="s">
        <v>25</v>
      </c>
      <c r="G287" s="4" t="s">
        <v>25</v>
      </c>
      <c r="H287" s="4" t="s">
        <v>25</v>
      </c>
      <c r="I287" s="5">
        <v>44317</v>
      </c>
      <c r="J287" s="6">
        <v>63</v>
      </c>
      <c r="K287" s="6">
        <v>60.48</v>
      </c>
      <c r="L287" s="6">
        <v>0</v>
      </c>
      <c r="M287" s="6">
        <v>0</v>
      </c>
      <c r="N287" s="6">
        <v>0</v>
      </c>
      <c r="O287" s="6">
        <v>0</v>
      </c>
      <c r="P287" s="6">
        <v>1</v>
      </c>
      <c r="Q287" s="4" t="s">
        <v>26</v>
      </c>
      <c r="R287" s="4">
        <v>0</v>
      </c>
      <c r="S287" s="4" t="s">
        <v>131</v>
      </c>
      <c r="U287" s="4">
        <v>6</v>
      </c>
      <c r="V287" s="4">
        <v>0</v>
      </c>
      <c r="W287" s="4">
        <v>0</v>
      </c>
    </row>
    <row r="288" spans="1:23" ht="11.25" customHeight="1" x14ac:dyDescent="0.25">
      <c r="A288" s="4" t="s">
        <v>21</v>
      </c>
      <c r="B288" s="4" t="s">
        <v>33</v>
      </c>
      <c r="C288" s="4" t="s">
        <v>34</v>
      </c>
      <c r="D288" s="4" t="s">
        <v>44</v>
      </c>
      <c r="E288" s="4" t="s">
        <v>25</v>
      </c>
      <c r="F288" s="4" t="s">
        <v>25</v>
      </c>
      <c r="G288" s="4" t="s">
        <v>25</v>
      </c>
      <c r="H288" s="4" t="s">
        <v>25</v>
      </c>
      <c r="I288" s="5">
        <v>44348</v>
      </c>
      <c r="J288" s="6">
        <v>6004</v>
      </c>
      <c r="K288" s="6">
        <v>5763.84</v>
      </c>
      <c r="L288" s="6">
        <v>0</v>
      </c>
      <c r="M288" s="6">
        <v>0</v>
      </c>
      <c r="N288" s="6">
        <v>0</v>
      </c>
      <c r="O288" s="6">
        <v>0</v>
      </c>
      <c r="P288" s="6">
        <v>48</v>
      </c>
      <c r="Q288" s="4" t="s">
        <v>26</v>
      </c>
      <c r="R288" s="4">
        <v>0</v>
      </c>
      <c r="S288" s="4" t="s">
        <v>132</v>
      </c>
      <c r="U288" s="4">
        <v>6</v>
      </c>
      <c r="V288" s="4">
        <v>0</v>
      </c>
      <c r="W288" s="4">
        <v>0</v>
      </c>
    </row>
    <row r="289" spans="1:23" ht="11.25" customHeight="1" x14ac:dyDescent="0.25">
      <c r="A289" s="4" t="s">
        <v>28</v>
      </c>
      <c r="B289" s="4" t="s">
        <v>33</v>
      </c>
      <c r="C289" s="4" t="s">
        <v>34</v>
      </c>
      <c r="D289" s="4" t="s">
        <v>44</v>
      </c>
      <c r="E289" s="4" t="s">
        <v>25</v>
      </c>
      <c r="F289" s="4" t="s">
        <v>25</v>
      </c>
      <c r="G289" s="4" t="s">
        <v>25</v>
      </c>
      <c r="H289" s="4" t="s">
        <v>25</v>
      </c>
      <c r="I289" s="5">
        <v>44348</v>
      </c>
      <c r="J289" s="6">
        <v>117</v>
      </c>
      <c r="K289" s="6">
        <v>112.32</v>
      </c>
      <c r="L289" s="6">
        <v>0</v>
      </c>
      <c r="M289" s="6">
        <v>0</v>
      </c>
      <c r="N289" s="6">
        <v>0</v>
      </c>
      <c r="O289" s="6">
        <v>0</v>
      </c>
      <c r="P289" s="6">
        <v>1</v>
      </c>
      <c r="Q289" s="4" t="s">
        <v>26</v>
      </c>
      <c r="R289" s="4">
        <v>0</v>
      </c>
      <c r="S289" s="4" t="s">
        <v>132</v>
      </c>
      <c r="U289" s="4">
        <v>6</v>
      </c>
      <c r="V289" s="4">
        <v>0</v>
      </c>
      <c r="W289" s="4">
        <v>0</v>
      </c>
    </row>
    <row r="290" spans="1:23" ht="11.25" customHeight="1" x14ac:dyDescent="0.25">
      <c r="A290" s="4" t="s">
        <v>21</v>
      </c>
      <c r="B290" s="4" t="s">
        <v>33</v>
      </c>
      <c r="C290" s="4" t="s">
        <v>34</v>
      </c>
      <c r="D290" s="4" t="s">
        <v>44</v>
      </c>
      <c r="E290" s="4" t="s">
        <v>25</v>
      </c>
      <c r="F290" s="4" t="s">
        <v>25</v>
      </c>
      <c r="G290" s="4" t="s">
        <v>25</v>
      </c>
      <c r="H290" s="4" t="s">
        <v>25</v>
      </c>
      <c r="I290" s="5">
        <v>44378</v>
      </c>
      <c r="J290" s="6">
        <v>5704</v>
      </c>
      <c r="K290" s="6">
        <v>5475.84</v>
      </c>
      <c r="L290" s="6">
        <v>0</v>
      </c>
      <c r="M290" s="6">
        <v>0</v>
      </c>
      <c r="N290" s="6">
        <v>0</v>
      </c>
      <c r="O290" s="6">
        <v>0</v>
      </c>
      <c r="P290" s="6">
        <v>48</v>
      </c>
      <c r="Q290" s="4" t="s">
        <v>26</v>
      </c>
      <c r="R290" s="4">
        <v>0</v>
      </c>
      <c r="S290" s="4" t="s">
        <v>133</v>
      </c>
      <c r="U290" s="4">
        <v>6</v>
      </c>
      <c r="V290" s="4">
        <v>0</v>
      </c>
      <c r="W290" s="4">
        <v>0</v>
      </c>
    </row>
    <row r="291" spans="1:23" ht="11.25" customHeight="1" x14ac:dyDescent="0.25">
      <c r="A291" s="4" t="s">
        <v>28</v>
      </c>
      <c r="B291" s="4" t="s">
        <v>33</v>
      </c>
      <c r="C291" s="4" t="s">
        <v>34</v>
      </c>
      <c r="D291" s="4" t="s">
        <v>44</v>
      </c>
      <c r="E291" s="4" t="s">
        <v>25</v>
      </c>
      <c r="F291" s="4" t="s">
        <v>25</v>
      </c>
      <c r="G291" s="4" t="s">
        <v>25</v>
      </c>
      <c r="H291" s="4" t="s">
        <v>25</v>
      </c>
      <c r="I291" s="5">
        <v>44378</v>
      </c>
      <c r="J291" s="6">
        <v>127</v>
      </c>
      <c r="K291" s="6">
        <v>121.92</v>
      </c>
      <c r="L291" s="6">
        <v>0</v>
      </c>
      <c r="M291" s="6">
        <v>0</v>
      </c>
      <c r="N291" s="6">
        <v>0</v>
      </c>
      <c r="O291" s="6">
        <v>0</v>
      </c>
      <c r="P291" s="6">
        <v>1</v>
      </c>
      <c r="Q291" s="4" t="s">
        <v>26</v>
      </c>
      <c r="R291" s="4">
        <v>0</v>
      </c>
      <c r="S291" s="4" t="s">
        <v>133</v>
      </c>
      <c r="U291" s="4">
        <v>6</v>
      </c>
      <c r="V291" s="4">
        <v>0</v>
      </c>
      <c r="W291" s="4">
        <v>0</v>
      </c>
    </row>
    <row r="292" spans="1:23" ht="11.25" customHeight="1" x14ac:dyDescent="0.25">
      <c r="A292" s="4" t="s">
        <v>21</v>
      </c>
      <c r="B292" s="4" t="s">
        <v>33</v>
      </c>
      <c r="C292" s="4" t="s">
        <v>34</v>
      </c>
      <c r="D292" s="4" t="s">
        <v>44</v>
      </c>
      <c r="E292" s="4" t="s">
        <v>25</v>
      </c>
      <c r="F292" s="4" t="s">
        <v>25</v>
      </c>
      <c r="G292" s="4" t="s">
        <v>25</v>
      </c>
      <c r="H292" s="4" t="s">
        <v>25</v>
      </c>
      <c r="I292" s="5">
        <v>44409</v>
      </c>
      <c r="J292" s="6">
        <v>6448</v>
      </c>
      <c r="K292" s="6">
        <v>6190.08</v>
      </c>
      <c r="L292" s="6">
        <v>0</v>
      </c>
      <c r="M292" s="6">
        <v>0</v>
      </c>
      <c r="N292" s="6">
        <v>0</v>
      </c>
      <c r="O292" s="6">
        <v>0</v>
      </c>
      <c r="P292" s="6">
        <v>46</v>
      </c>
      <c r="Q292" s="4" t="s">
        <v>26</v>
      </c>
      <c r="R292" s="4">
        <v>0</v>
      </c>
      <c r="S292" s="4" t="s">
        <v>134</v>
      </c>
      <c r="U292" s="4">
        <v>6</v>
      </c>
      <c r="V292" s="4">
        <v>0</v>
      </c>
      <c r="W292" s="4">
        <v>0</v>
      </c>
    </row>
    <row r="293" spans="1:23" ht="11.25" customHeight="1" x14ac:dyDescent="0.25">
      <c r="A293" s="4" t="s">
        <v>28</v>
      </c>
      <c r="B293" s="4" t="s">
        <v>33</v>
      </c>
      <c r="C293" s="4" t="s">
        <v>34</v>
      </c>
      <c r="D293" s="4" t="s">
        <v>44</v>
      </c>
      <c r="E293" s="4" t="s">
        <v>25</v>
      </c>
      <c r="F293" s="4" t="s">
        <v>25</v>
      </c>
      <c r="G293" s="4" t="s">
        <v>25</v>
      </c>
      <c r="H293" s="4" t="s">
        <v>25</v>
      </c>
      <c r="I293" s="5">
        <v>44409</v>
      </c>
      <c r="J293" s="6">
        <v>279</v>
      </c>
      <c r="K293" s="6">
        <v>267.83999999999997</v>
      </c>
      <c r="L293" s="6">
        <v>0</v>
      </c>
      <c r="M293" s="6">
        <v>0</v>
      </c>
      <c r="N293" s="6">
        <v>0</v>
      </c>
      <c r="O293" s="6">
        <v>0</v>
      </c>
      <c r="P293" s="6">
        <v>2</v>
      </c>
      <c r="Q293" s="4" t="s">
        <v>26</v>
      </c>
      <c r="R293" s="4">
        <v>0</v>
      </c>
      <c r="S293" s="4" t="s">
        <v>134</v>
      </c>
      <c r="U293" s="4">
        <v>6</v>
      </c>
      <c r="V293" s="4">
        <v>0</v>
      </c>
      <c r="W293" s="4">
        <v>0</v>
      </c>
    </row>
    <row r="294" spans="1:23" ht="11.25" customHeight="1" x14ac:dyDescent="0.25">
      <c r="A294" s="4" t="s">
        <v>21</v>
      </c>
      <c r="B294" s="4" t="s">
        <v>33</v>
      </c>
      <c r="C294" s="4" t="s">
        <v>34</v>
      </c>
      <c r="D294" s="4" t="s">
        <v>44</v>
      </c>
      <c r="E294" s="4" t="s">
        <v>25</v>
      </c>
      <c r="F294" s="4" t="s">
        <v>25</v>
      </c>
      <c r="G294" s="4" t="s">
        <v>25</v>
      </c>
      <c r="H294" s="4" t="s">
        <v>25</v>
      </c>
      <c r="I294" s="5">
        <v>44440</v>
      </c>
      <c r="J294" s="6">
        <v>9002</v>
      </c>
      <c r="K294" s="6">
        <v>8641.92</v>
      </c>
      <c r="L294" s="6">
        <v>0</v>
      </c>
      <c r="M294" s="6">
        <v>0</v>
      </c>
      <c r="N294" s="6">
        <v>0</v>
      </c>
      <c r="O294" s="6">
        <v>0</v>
      </c>
      <c r="P294" s="6">
        <v>47</v>
      </c>
      <c r="Q294" s="4" t="s">
        <v>26</v>
      </c>
      <c r="R294" s="4">
        <v>0</v>
      </c>
      <c r="S294" s="4" t="s">
        <v>135</v>
      </c>
      <c r="U294" s="4">
        <v>6</v>
      </c>
      <c r="V294" s="4">
        <v>0</v>
      </c>
      <c r="W294" s="4">
        <v>0</v>
      </c>
    </row>
    <row r="295" spans="1:23" ht="11.25" customHeight="1" x14ac:dyDescent="0.25">
      <c r="A295" s="4" t="s">
        <v>28</v>
      </c>
      <c r="B295" s="4" t="s">
        <v>33</v>
      </c>
      <c r="C295" s="4" t="s">
        <v>34</v>
      </c>
      <c r="D295" s="4" t="s">
        <v>44</v>
      </c>
      <c r="E295" s="4" t="s">
        <v>25</v>
      </c>
      <c r="F295" s="4" t="s">
        <v>25</v>
      </c>
      <c r="G295" s="4" t="s">
        <v>25</v>
      </c>
      <c r="H295" s="4" t="s">
        <v>25</v>
      </c>
      <c r="I295" s="5">
        <v>44440</v>
      </c>
      <c r="J295" s="6">
        <v>320</v>
      </c>
      <c r="K295" s="6">
        <v>307.2</v>
      </c>
      <c r="L295" s="6">
        <v>0</v>
      </c>
      <c r="M295" s="6">
        <v>0</v>
      </c>
      <c r="N295" s="6">
        <v>0</v>
      </c>
      <c r="O295" s="6">
        <v>0</v>
      </c>
      <c r="P295" s="6">
        <v>3</v>
      </c>
      <c r="Q295" s="4" t="s">
        <v>26</v>
      </c>
      <c r="R295" s="4">
        <v>0</v>
      </c>
      <c r="S295" s="4" t="s">
        <v>135</v>
      </c>
      <c r="U295" s="4">
        <v>6</v>
      </c>
      <c r="V295" s="4">
        <v>0</v>
      </c>
      <c r="W295" s="4">
        <v>0</v>
      </c>
    </row>
    <row r="296" spans="1:23" ht="11.25" customHeight="1" x14ac:dyDescent="0.25">
      <c r="A296" s="4" t="s">
        <v>21</v>
      </c>
      <c r="B296" s="4" t="s">
        <v>33</v>
      </c>
      <c r="C296" s="4" t="s">
        <v>34</v>
      </c>
      <c r="D296" s="4" t="s">
        <v>44</v>
      </c>
      <c r="E296" s="4" t="s">
        <v>25</v>
      </c>
      <c r="F296" s="4" t="s">
        <v>25</v>
      </c>
      <c r="G296" s="4" t="s">
        <v>25</v>
      </c>
      <c r="H296" s="4" t="s">
        <v>25</v>
      </c>
      <c r="I296" s="5">
        <v>44470</v>
      </c>
      <c r="J296" s="6">
        <v>8558</v>
      </c>
      <c r="K296" s="6">
        <v>8215.68</v>
      </c>
      <c r="L296" s="6">
        <v>0</v>
      </c>
      <c r="M296" s="6">
        <v>0</v>
      </c>
      <c r="N296" s="6">
        <v>0</v>
      </c>
      <c r="O296" s="6">
        <v>0</v>
      </c>
      <c r="P296" s="6">
        <v>46</v>
      </c>
      <c r="Q296" s="4" t="s">
        <v>26</v>
      </c>
      <c r="R296" s="4">
        <v>0</v>
      </c>
      <c r="S296" s="4" t="s">
        <v>136</v>
      </c>
      <c r="U296" s="4">
        <v>6</v>
      </c>
      <c r="V296" s="4">
        <v>0</v>
      </c>
      <c r="W296" s="4">
        <v>0</v>
      </c>
    </row>
    <row r="297" spans="1:23" ht="11.25" customHeight="1" x14ac:dyDescent="0.25">
      <c r="A297" s="4" t="s">
        <v>28</v>
      </c>
      <c r="B297" s="4" t="s">
        <v>33</v>
      </c>
      <c r="C297" s="4" t="s">
        <v>34</v>
      </c>
      <c r="D297" s="4" t="s">
        <v>44</v>
      </c>
      <c r="E297" s="4" t="s">
        <v>25</v>
      </c>
      <c r="F297" s="4" t="s">
        <v>25</v>
      </c>
      <c r="G297" s="4" t="s">
        <v>25</v>
      </c>
      <c r="H297" s="4" t="s">
        <v>25</v>
      </c>
      <c r="I297" s="5">
        <v>44470</v>
      </c>
      <c r="J297" s="6">
        <v>209</v>
      </c>
      <c r="K297" s="6">
        <v>200.64</v>
      </c>
      <c r="L297" s="6">
        <v>0</v>
      </c>
      <c r="M297" s="6">
        <v>0</v>
      </c>
      <c r="N297" s="6">
        <v>0</v>
      </c>
      <c r="O297" s="6">
        <v>0</v>
      </c>
      <c r="P297" s="6">
        <v>2</v>
      </c>
      <c r="Q297" s="4" t="s">
        <v>26</v>
      </c>
      <c r="R297" s="4">
        <v>0</v>
      </c>
      <c r="S297" s="4" t="s">
        <v>136</v>
      </c>
      <c r="U297" s="4">
        <v>6</v>
      </c>
      <c r="V297" s="4">
        <v>0</v>
      </c>
      <c r="W297" s="4">
        <v>0</v>
      </c>
    </row>
    <row r="298" spans="1:23" ht="11.25" customHeight="1" x14ac:dyDescent="0.25">
      <c r="A298" s="4" t="s">
        <v>21</v>
      </c>
      <c r="B298" s="4" t="s">
        <v>33</v>
      </c>
      <c r="C298" s="4" t="s">
        <v>34</v>
      </c>
      <c r="D298" s="4" t="s">
        <v>44</v>
      </c>
      <c r="E298" s="4" t="s">
        <v>25</v>
      </c>
      <c r="F298" s="4" t="s">
        <v>25</v>
      </c>
      <c r="G298" s="4" t="s">
        <v>25</v>
      </c>
      <c r="H298" s="4" t="s">
        <v>25</v>
      </c>
      <c r="I298" s="5">
        <v>44501</v>
      </c>
      <c r="J298" s="6">
        <v>7866</v>
      </c>
      <c r="K298" s="6">
        <v>7551.36</v>
      </c>
      <c r="L298" s="6">
        <v>0</v>
      </c>
      <c r="M298" s="6">
        <v>0</v>
      </c>
      <c r="N298" s="6">
        <v>0</v>
      </c>
      <c r="O298" s="6">
        <v>0</v>
      </c>
      <c r="P298" s="6">
        <v>47</v>
      </c>
      <c r="Q298" s="4" t="s">
        <v>26</v>
      </c>
      <c r="R298" s="4">
        <v>0</v>
      </c>
      <c r="S298" s="4" t="s">
        <v>137</v>
      </c>
      <c r="U298" s="4">
        <v>6</v>
      </c>
      <c r="V298" s="4">
        <v>0</v>
      </c>
      <c r="W298" s="4">
        <v>0</v>
      </c>
    </row>
    <row r="299" spans="1:23" ht="11.25" customHeight="1" x14ac:dyDescent="0.25">
      <c r="A299" s="4" t="s">
        <v>28</v>
      </c>
      <c r="B299" s="4" t="s">
        <v>33</v>
      </c>
      <c r="C299" s="4" t="s">
        <v>34</v>
      </c>
      <c r="D299" s="4" t="s">
        <v>44</v>
      </c>
      <c r="E299" s="4" t="s">
        <v>25</v>
      </c>
      <c r="F299" s="4" t="s">
        <v>25</v>
      </c>
      <c r="G299" s="4" t="s">
        <v>25</v>
      </c>
      <c r="H299" s="4" t="s">
        <v>25</v>
      </c>
      <c r="I299" s="5">
        <v>44501</v>
      </c>
      <c r="J299" s="6">
        <v>275</v>
      </c>
      <c r="K299" s="6">
        <v>264</v>
      </c>
      <c r="L299" s="6">
        <v>0</v>
      </c>
      <c r="M299" s="6">
        <v>0</v>
      </c>
      <c r="N299" s="6">
        <v>0</v>
      </c>
      <c r="O299" s="6">
        <v>0</v>
      </c>
      <c r="P299" s="6">
        <v>2</v>
      </c>
      <c r="Q299" s="4" t="s">
        <v>26</v>
      </c>
      <c r="R299" s="4">
        <v>0</v>
      </c>
      <c r="S299" s="4" t="s">
        <v>137</v>
      </c>
      <c r="U299" s="4">
        <v>6</v>
      </c>
      <c r="V299" s="4">
        <v>0</v>
      </c>
      <c r="W299" s="4">
        <v>0</v>
      </c>
    </row>
    <row r="300" spans="1:23" ht="11.25" customHeight="1" x14ac:dyDescent="0.25">
      <c r="A300" s="4" t="s">
        <v>21</v>
      </c>
      <c r="B300" s="4" t="s">
        <v>33</v>
      </c>
      <c r="C300" s="4" t="s">
        <v>34</v>
      </c>
      <c r="D300" s="4" t="s">
        <v>44</v>
      </c>
      <c r="E300" s="4" t="s">
        <v>25</v>
      </c>
      <c r="F300" s="4" t="s">
        <v>25</v>
      </c>
      <c r="G300" s="4" t="s">
        <v>25</v>
      </c>
      <c r="H300" s="4" t="s">
        <v>25</v>
      </c>
      <c r="I300" s="5">
        <v>44531</v>
      </c>
      <c r="J300" s="6">
        <v>8612</v>
      </c>
      <c r="K300" s="6">
        <v>8267.52</v>
      </c>
      <c r="L300" s="6">
        <v>0</v>
      </c>
      <c r="M300" s="6">
        <v>0</v>
      </c>
      <c r="N300" s="6">
        <v>0</v>
      </c>
      <c r="O300" s="6">
        <v>0</v>
      </c>
      <c r="P300" s="6">
        <v>47</v>
      </c>
      <c r="Q300" s="4" t="s">
        <v>26</v>
      </c>
      <c r="R300" s="4">
        <v>0</v>
      </c>
      <c r="S300" s="4" t="s">
        <v>138</v>
      </c>
      <c r="U300" s="4">
        <v>6</v>
      </c>
      <c r="V300" s="4">
        <v>0</v>
      </c>
      <c r="W300" s="4">
        <v>0</v>
      </c>
    </row>
    <row r="301" spans="1:23" ht="11.25" customHeight="1" x14ac:dyDescent="0.25">
      <c r="A301" s="4" t="s">
        <v>28</v>
      </c>
      <c r="B301" s="4" t="s">
        <v>33</v>
      </c>
      <c r="C301" s="4" t="s">
        <v>34</v>
      </c>
      <c r="D301" s="4" t="s">
        <v>44</v>
      </c>
      <c r="E301" s="4" t="s">
        <v>25</v>
      </c>
      <c r="F301" s="4" t="s">
        <v>25</v>
      </c>
      <c r="G301" s="4" t="s">
        <v>25</v>
      </c>
      <c r="H301" s="4" t="s">
        <v>25</v>
      </c>
      <c r="I301" s="5">
        <v>44531</v>
      </c>
      <c r="J301" s="6">
        <v>541</v>
      </c>
      <c r="K301" s="6">
        <v>519.36</v>
      </c>
      <c r="L301" s="6">
        <v>0</v>
      </c>
      <c r="M301" s="6">
        <v>0</v>
      </c>
      <c r="N301" s="6">
        <v>0</v>
      </c>
      <c r="O301" s="6">
        <v>0</v>
      </c>
      <c r="P301" s="6">
        <v>2</v>
      </c>
      <c r="Q301" s="4" t="s">
        <v>26</v>
      </c>
      <c r="R301" s="4">
        <v>0</v>
      </c>
      <c r="S301" s="4" t="s">
        <v>138</v>
      </c>
      <c r="U301" s="4">
        <v>6</v>
      </c>
      <c r="V301" s="4">
        <v>0</v>
      </c>
      <c r="W301" s="4">
        <v>0</v>
      </c>
    </row>
    <row r="302" spans="1:23" ht="11.25" customHeight="1" x14ac:dyDescent="0.25">
      <c r="A302" s="4" t="s">
        <v>21</v>
      </c>
      <c r="B302" s="4" t="s">
        <v>33</v>
      </c>
      <c r="C302" s="4" t="s">
        <v>34</v>
      </c>
      <c r="D302" s="4" t="s">
        <v>44</v>
      </c>
      <c r="E302" s="4" t="s">
        <v>25</v>
      </c>
      <c r="F302" s="4" t="s">
        <v>25</v>
      </c>
      <c r="G302" s="4" t="s">
        <v>25</v>
      </c>
      <c r="H302" s="4" t="s">
        <v>25</v>
      </c>
      <c r="I302" s="5">
        <v>44562</v>
      </c>
      <c r="J302" s="6">
        <v>8678</v>
      </c>
      <c r="K302" s="6">
        <v>8330.8799999999992</v>
      </c>
      <c r="L302" s="6">
        <v>0</v>
      </c>
      <c r="M302" s="6">
        <v>0</v>
      </c>
      <c r="N302" s="6">
        <v>0</v>
      </c>
      <c r="O302" s="6">
        <v>0</v>
      </c>
      <c r="P302" s="6">
        <v>45</v>
      </c>
      <c r="Q302" s="4" t="s">
        <v>26</v>
      </c>
      <c r="R302" s="4">
        <v>0</v>
      </c>
      <c r="S302" s="4" t="s">
        <v>139</v>
      </c>
      <c r="U302" s="4">
        <v>6</v>
      </c>
      <c r="V302" s="4">
        <v>0</v>
      </c>
      <c r="W302" s="4">
        <v>0</v>
      </c>
    </row>
    <row r="303" spans="1:23" ht="11.25" customHeight="1" x14ac:dyDescent="0.25">
      <c r="A303" s="4" t="s">
        <v>28</v>
      </c>
      <c r="B303" s="4" t="s">
        <v>33</v>
      </c>
      <c r="C303" s="4" t="s">
        <v>34</v>
      </c>
      <c r="D303" s="4" t="s">
        <v>44</v>
      </c>
      <c r="E303" s="4" t="s">
        <v>25</v>
      </c>
      <c r="F303" s="4" t="s">
        <v>25</v>
      </c>
      <c r="G303" s="4" t="s">
        <v>25</v>
      </c>
      <c r="H303" s="4" t="s">
        <v>25</v>
      </c>
      <c r="I303" s="5">
        <v>44562</v>
      </c>
      <c r="J303" s="6">
        <v>268</v>
      </c>
      <c r="K303" s="6">
        <v>257.27999999999997</v>
      </c>
      <c r="L303" s="6">
        <v>0</v>
      </c>
      <c r="M303" s="6">
        <v>0</v>
      </c>
      <c r="N303" s="6">
        <v>0</v>
      </c>
      <c r="O303" s="6">
        <v>0</v>
      </c>
      <c r="P303" s="6">
        <v>2</v>
      </c>
      <c r="Q303" s="4" t="s">
        <v>26</v>
      </c>
      <c r="R303" s="4">
        <v>0</v>
      </c>
      <c r="S303" s="4" t="s">
        <v>139</v>
      </c>
      <c r="U303" s="4">
        <v>6</v>
      </c>
      <c r="V303" s="4">
        <v>0</v>
      </c>
      <c r="W303" s="4">
        <v>0</v>
      </c>
    </row>
    <row r="304" spans="1:23" ht="11.25" customHeight="1" x14ac:dyDescent="0.25">
      <c r="A304" s="4" t="s">
        <v>21</v>
      </c>
      <c r="B304" s="4" t="s">
        <v>33</v>
      </c>
      <c r="C304" s="4" t="s">
        <v>34</v>
      </c>
      <c r="D304" s="4" t="s">
        <v>44</v>
      </c>
      <c r="E304" s="4" t="s">
        <v>25</v>
      </c>
      <c r="F304" s="4" t="s">
        <v>25</v>
      </c>
      <c r="G304" s="4" t="s">
        <v>25</v>
      </c>
      <c r="H304" s="4" t="s">
        <v>25</v>
      </c>
      <c r="I304" s="5">
        <v>44593</v>
      </c>
      <c r="J304" s="6">
        <v>7872</v>
      </c>
      <c r="K304" s="6">
        <v>7557.12</v>
      </c>
      <c r="L304" s="6">
        <v>0</v>
      </c>
      <c r="M304" s="6">
        <v>0</v>
      </c>
      <c r="N304" s="6">
        <v>0</v>
      </c>
      <c r="O304" s="6">
        <v>0</v>
      </c>
      <c r="P304" s="6">
        <v>41</v>
      </c>
      <c r="Q304" s="4" t="s">
        <v>26</v>
      </c>
      <c r="R304" s="4">
        <v>0</v>
      </c>
      <c r="S304" s="4" t="s">
        <v>140</v>
      </c>
      <c r="U304" s="4">
        <v>6</v>
      </c>
      <c r="V304" s="4">
        <v>0</v>
      </c>
      <c r="W304" s="4">
        <v>0</v>
      </c>
    </row>
    <row r="305" spans="1:23" ht="11.25" customHeight="1" x14ac:dyDescent="0.25">
      <c r="A305" s="4" t="s">
        <v>28</v>
      </c>
      <c r="B305" s="4" t="s">
        <v>33</v>
      </c>
      <c r="C305" s="4" t="s">
        <v>34</v>
      </c>
      <c r="D305" s="4" t="s">
        <v>44</v>
      </c>
      <c r="E305" s="4" t="s">
        <v>25</v>
      </c>
      <c r="F305" s="4" t="s">
        <v>25</v>
      </c>
      <c r="G305" s="4" t="s">
        <v>25</v>
      </c>
      <c r="H305" s="4" t="s">
        <v>25</v>
      </c>
      <c r="I305" s="5">
        <v>44593</v>
      </c>
      <c r="J305" s="6">
        <v>271</v>
      </c>
      <c r="K305" s="6">
        <v>260.15999999999997</v>
      </c>
      <c r="L305" s="6">
        <v>0</v>
      </c>
      <c r="M305" s="6">
        <v>0</v>
      </c>
      <c r="N305" s="6">
        <v>0</v>
      </c>
      <c r="O305" s="6">
        <v>0</v>
      </c>
      <c r="P305" s="6">
        <v>2</v>
      </c>
      <c r="Q305" s="4" t="s">
        <v>26</v>
      </c>
      <c r="R305" s="4">
        <v>0</v>
      </c>
      <c r="S305" s="4" t="s">
        <v>140</v>
      </c>
      <c r="U305" s="4">
        <v>6</v>
      </c>
      <c r="V305" s="4">
        <v>0</v>
      </c>
      <c r="W305" s="4">
        <v>0</v>
      </c>
    </row>
    <row r="306" spans="1:23" ht="11.25" customHeight="1" x14ac:dyDescent="0.25">
      <c r="A306" s="4" t="s">
        <v>21</v>
      </c>
      <c r="B306" s="4" t="s">
        <v>33</v>
      </c>
      <c r="C306" s="4" t="s">
        <v>34</v>
      </c>
      <c r="D306" s="4" t="s">
        <v>44</v>
      </c>
      <c r="E306" s="4" t="s">
        <v>25</v>
      </c>
      <c r="F306" s="4" t="s">
        <v>25</v>
      </c>
      <c r="G306" s="4" t="s">
        <v>25</v>
      </c>
      <c r="H306" s="4" t="s">
        <v>25</v>
      </c>
      <c r="I306" s="5">
        <v>44621</v>
      </c>
      <c r="J306" s="6">
        <v>7637</v>
      </c>
      <c r="K306" s="6">
        <v>7331.52</v>
      </c>
      <c r="L306" s="6">
        <v>0</v>
      </c>
      <c r="M306" s="6">
        <v>0</v>
      </c>
      <c r="N306" s="6">
        <v>0</v>
      </c>
      <c r="O306" s="6">
        <v>0</v>
      </c>
      <c r="P306" s="6">
        <v>39</v>
      </c>
      <c r="Q306" s="4" t="s">
        <v>26</v>
      </c>
      <c r="R306" s="4">
        <v>0</v>
      </c>
      <c r="S306" s="4" t="s">
        <v>141</v>
      </c>
      <c r="U306" s="4">
        <v>6</v>
      </c>
      <c r="V306" s="4">
        <v>0</v>
      </c>
      <c r="W306" s="4">
        <v>0</v>
      </c>
    </row>
    <row r="307" spans="1:23" ht="11.25" customHeight="1" x14ac:dyDescent="0.25">
      <c r="A307" s="4" t="s">
        <v>28</v>
      </c>
      <c r="B307" s="4" t="s">
        <v>33</v>
      </c>
      <c r="C307" s="4" t="s">
        <v>34</v>
      </c>
      <c r="D307" s="4" t="s">
        <v>44</v>
      </c>
      <c r="E307" s="4" t="s">
        <v>25</v>
      </c>
      <c r="F307" s="4" t="s">
        <v>25</v>
      </c>
      <c r="G307" s="4" t="s">
        <v>25</v>
      </c>
      <c r="H307" s="4" t="s">
        <v>25</v>
      </c>
      <c r="I307" s="5">
        <v>44621</v>
      </c>
      <c r="J307" s="6">
        <v>669</v>
      </c>
      <c r="K307" s="6">
        <v>642.24</v>
      </c>
      <c r="L307" s="6">
        <v>0</v>
      </c>
      <c r="M307" s="6">
        <v>0</v>
      </c>
      <c r="N307" s="6">
        <v>0</v>
      </c>
      <c r="O307" s="6">
        <v>0</v>
      </c>
      <c r="P307" s="6">
        <v>4</v>
      </c>
      <c r="Q307" s="4" t="s">
        <v>26</v>
      </c>
      <c r="R307" s="4">
        <v>0</v>
      </c>
      <c r="S307" s="4" t="s">
        <v>141</v>
      </c>
      <c r="U307" s="4">
        <v>6</v>
      </c>
      <c r="V307" s="4">
        <v>0</v>
      </c>
      <c r="W307" s="4">
        <v>0</v>
      </c>
    </row>
    <row r="308" spans="1:23" ht="11.25" customHeight="1" x14ac:dyDescent="0.25">
      <c r="A308" s="4" t="s">
        <v>21</v>
      </c>
      <c r="B308" s="4" t="s">
        <v>33</v>
      </c>
      <c r="C308" s="4" t="s">
        <v>34</v>
      </c>
      <c r="D308" s="4" t="s">
        <v>44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44652</v>
      </c>
      <c r="J308" s="6">
        <v>7118</v>
      </c>
      <c r="K308" s="6">
        <v>6833.28</v>
      </c>
      <c r="L308" s="6">
        <v>0</v>
      </c>
      <c r="M308" s="6">
        <v>0</v>
      </c>
      <c r="N308" s="6">
        <v>0</v>
      </c>
      <c r="O308" s="6">
        <v>0</v>
      </c>
      <c r="P308" s="6">
        <v>39</v>
      </c>
      <c r="Q308" s="4" t="s">
        <v>26</v>
      </c>
      <c r="R308" s="4">
        <v>0</v>
      </c>
      <c r="S308" s="4" t="s">
        <v>142</v>
      </c>
      <c r="U308" s="4">
        <v>6</v>
      </c>
      <c r="V308" s="4">
        <v>0</v>
      </c>
      <c r="W308" s="4">
        <v>0</v>
      </c>
    </row>
    <row r="309" spans="1:23" ht="11.25" customHeight="1" x14ac:dyDescent="0.25">
      <c r="A309" s="4" t="s">
        <v>21</v>
      </c>
      <c r="B309" s="4" t="s">
        <v>33</v>
      </c>
      <c r="C309" s="4" t="s">
        <v>34</v>
      </c>
      <c r="D309" s="4" t="s">
        <v>44</v>
      </c>
      <c r="E309" s="4" t="s">
        <v>25</v>
      </c>
      <c r="F309" s="4" t="s">
        <v>25</v>
      </c>
      <c r="G309" s="4" t="s">
        <v>25</v>
      </c>
      <c r="H309" s="4" t="s">
        <v>35</v>
      </c>
      <c r="I309" s="5">
        <v>44317</v>
      </c>
      <c r="J309" s="6">
        <v>0</v>
      </c>
      <c r="K309" s="6">
        <v>0</v>
      </c>
      <c r="L309" s="6">
        <v>77.981999999999999</v>
      </c>
      <c r="M309" s="6">
        <v>74.862719999999996</v>
      </c>
      <c r="N309" s="6">
        <v>77.981999999999999</v>
      </c>
      <c r="O309" s="6">
        <v>74.862719999999996</v>
      </c>
      <c r="P309" s="6">
        <v>0</v>
      </c>
      <c r="Q309" s="4" t="s">
        <v>26</v>
      </c>
      <c r="R309" s="4">
        <v>0</v>
      </c>
      <c r="S309" s="4" t="s">
        <v>143</v>
      </c>
      <c r="T309" s="4" t="s">
        <v>384</v>
      </c>
      <c r="U309" s="4">
        <v>0</v>
      </c>
      <c r="V309" s="4">
        <v>7</v>
      </c>
      <c r="W309" s="4">
        <v>48</v>
      </c>
    </row>
    <row r="310" spans="1:23" ht="11.25" customHeight="1" x14ac:dyDescent="0.25">
      <c r="A310" s="4" t="s">
        <v>21</v>
      </c>
      <c r="B310" s="4" t="s">
        <v>33</v>
      </c>
      <c r="C310" s="4" t="s">
        <v>34</v>
      </c>
      <c r="D310" s="4" t="s">
        <v>44</v>
      </c>
      <c r="E310" s="4" t="s">
        <v>25</v>
      </c>
      <c r="F310" s="4" t="s">
        <v>25</v>
      </c>
      <c r="G310" s="4" t="s">
        <v>25</v>
      </c>
      <c r="H310" s="4" t="s">
        <v>35</v>
      </c>
      <c r="I310" s="5">
        <v>44348</v>
      </c>
      <c r="J310" s="6">
        <v>0</v>
      </c>
      <c r="K310" s="6">
        <v>0</v>
      </c>
      <c r="L310" s="6">
        <v>63.808</v>
      </c>
      <c r="M310" s="6">
        <v>61.255679999999998</v>
      </c>
      <c r="N310" s="6">
        <v>63.808</v>
      </c>
      <c r="O310" s="6">
        <v>61.255679999999998</v>
      </c>
      <c r="P310" s="6">
        <v>0</v>
      </c>
      <c r="Q310" s="4" t="s">
        <v>26</v>
      </c>
      <c r="R310" s="4">
        <v>0</v>
      </c>
      <c r="S310" s="4" t="s">
        <v>144</v>
      </c>
      <c r="T310" s="4" t="s">
        <v>385</v>
      </c>
      <c r="U310" s="4">
        <v>0</v>
      </c>
      <c r="V310" s="4">
        <v>7</v>
      </c>
      <c r="W310" s="4">
        <v>48</v>
      </c>
    </row>
    <row r="311" spans="1:23" ht="11.25" customHeight="1" x14ac:dyDescent="0.25">
      <c r="A311" s="4" t="s">
        <v>21</v>
      </c>
      <c r="B311" s="4" t="s">
        <v>33</v>
      </c>
      <c r="C311" s="4" t="s">
        <v>34</v>
      </c>
      <c r="D311" s="4" t="s">
        <v>44</v>
      </c>
      <c r="E311" s="4" t="s">
        <v>25</v>
      </c>
      <c r="F311" s="4" t="s">
        <v>25</v>
      </c>
      <c r="G311" s="4" t="s">
        <v>25</v>
      </c>
      <c r="H311" s="4" t="s">
        <v>35</v>
      </c>
      <c r="I311" s="5">
        <v>44378</v>
      </c>
      <c r="J311" s="6">
        <v>0</v>
      </c>
      <c r="K311" s="6">
        <v>0</v>
      </c>
      <c r="L311" s="6">
        <v>64.644999999999996</v>
      </c>
      <c r="M311" s="6">
        <v>62.059199999999997</v>
      </c>
      <c r="N311" s="6">
        <v>64.644999999999996</v>
      </c>
      <c r="O311" s="6">
        <v>62.059199999999997</v>
      </c>
      <c r="P311" s="6">
        <v>0</v>
      </c>
      <c r="Q311" s="4" t="s">
        <v>26</v>
      </c>
      <c r="R311" s="4">
        <v>0</v>
      </c>
      <c r="S311" s="4" t="s">
        <v>145</v>
      </c>
      <c r="T311" s="4" t="s">
        <v>386</v>
      </c>
      <c r="U311" s="4">
        <v>0</v>
      </c>
      <c r="V311" s="4">
        <v>7</v>
      </c>
      <c r="W311" s="4">
        <v>48</v>
      </c>
    </row>
    <row r="312" spans="1:23" ht="11.25" customHeight="1" x14ac:dyDescent="0.25">
      <c r="A312" s="4" t="s">
        <v>21</v>
      </c>
      <c r="B312" s="4" t="s">
        <v>33</v>
      </c>
      <c r="C312" s="4" t="s">
        <v>34</v>
      </c>
      <c r="D312" s="4" t="s">
        <v>44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44409</v>
      </c>
      <c r="J312" s="6">
        <v>0</v>
      </c>
      <c r="K312" s="6">
        <v>0</v>
      </c>
      <c r="L312" s="6">
        <v>65.417000000000002</v>
      </c>
      <c r="M312" s="6">
        <v>62.800319999999999</v>
      </c>
      <c r="N312" s="6">
        <v>65.417000000000002</v>
      </c>
      <c r="O312" s="6">
        <v>62.800319999999999</v>
      </c>
      <c r="P312" s="6">
        <v>0</v>
      </c>
      <c r="Q312" s="4" t="s">
        <v>26</v>
      </c>
      <c r="R312" s="4">
        <v>0</v>
      </c>
      <c r="S312" s="4" t="s">
        <v>146</v>
      </c>
      <c r="T312" s="4" t="s">
        <v>387</v>
      </c>
      <c r="U312" s="4">
        <v>0</v>
      </c>
      <c r="V312" s="4">
        <v>7</v>
      </c>
      <c r="W312" s="4">
        <v>48</v>
      </c>
    </row>
    <row r="313" spans="1:23" ht="11.25" customHeight="1" x14ac:dyDescent="0.25">
      <c r="A313" s="4" t="s">
        <v>28</v>
      </c>
      <c r="B313" s="4" t="s">
        <v>33</v>
      </c>
      <c r="C313" s="4" t="s">
        <v>34</v>
      </c>
      <c r="D313" s="4" t="s">
        <v>44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44409</v>
      </c>
      <c r="J313" s="6">
        <v>0</v>
      </c>
      <c r="K313" s="6">
        <v>0</v>
      </c>
      <c r="L313" s="6">
        <v>0.44500000000000001</v>
      </c>
      <c r="M313" s="6">
        <v>0.42719999999999997</v>
      </c>
      <c r="N313" s="6">
        <v>0.44500000000000001</v>
      </c>
      <c r="O313" s="6">
        <v>0.42719999999999997</v>
      </c>
      <c r="P313" s="6">
        <v>0</v>
      </c>
      <c r="Q313" s="4" t="s">
        <v>26</v>
      </c>
      <c r="R313" s="4">
        <v>0</v>
      </c>
      <c r="S313" s="4" t="s">
        <v>146</v>
      </c>
      <c r="T313" s="4" t="s">
        <v>387</v>
      </c>
      <c r="U313" s="4">
        <v>0</v>
      </c>
      <c r="V313" s="4">
        <v>7</v>
      </c>
      <c r="W313" s="4">
        <v>48</v>
      </c>
    </row>
    <row r="314" spans="1:23" ht="11.25" customHeight="1" x14ac:dyDescent="0.25">
      <c r="A314" s="4" t="s">
        <v>21</v>
      </c>
      <c r="B314" s="4" t="s">
        <v>33</v>
      </c>
      <c r="C314" s="4" t="s">
        <v>34</v>
      </c>
      <c r="D314" s="4" t="s">
        <v>44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44440</v>
      </c>
      <c r="J314" s="6">
        <v>0</v>
      </c>
      <c r="K314" s="6">
        <v>0</v>
      </c>
      <c r="L314" s="6">
        <v>73.748000000000005</v>
      </c>
      <c r="M314" s="6">
        <v>70.798079999999999</v>
      </c>
      <c r="N314" s="6">
        <v>73.748000000000005</v>
      </c>
      <c r="O314" s="6">
        <v>70.798079999999999</v>
      </c>
      <c r="P314" s="6">
        <v>0</v>
      </c>
      <c r="Q314" s="4" t="s">
        <v>26</v>
      </c>
      <c r="R314" s="4">
        <v>0</v>
      </c>
      <c r="S314" s="4" t="s">
        <v>147</v>
      </c>
      <c r="T314" s="4" t="s">
        <v>388</v>
      </c>
      <c r="U314" s="4">
        <v>0</v>
      </c>
      <c r="V314" s="4">
        <v>7</v>
      </c>
      <c r="W314" s="4">
        <v>48</v>
      </c>
    </row>
    <row r="315" spans="1:23" ht="11.25" customHeight="1" x14ac:dyDescent="0.25">
      <c r="A315" s="4" t="s">
        <v>28</v>
      </c>
      <c r="B315" s="4" t="s">
        <v>33</v>
      </c>
      <c r="C315" s="4" t="s">
        <v>34</v>
      </c>
      <c r="D315" s="4" t="s">
        <v>44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44440</v>
      </c>
      <c r="J315" s="6">
        <v>0</v>
      </c>
      <c r="K315" s="6">
        <v>0</v>
      </c>
      <c r="L315" s="6">
        <v>4.085</v>
      </c>
      <c r="M315" s="6">
        <v>3.9215999999999998</v>
      </c>
      <c r="N315" s="6">
        <v>4.085</v>
      </c>
      <c r="O315" s="6">
        <v>3.9215999999999998</v>
      </c>
      <c r="P315" s="6">
        <v>0</v>
      </c>
      <c r="Q315" s="4" t="s">
        <v>26</v>
      </c>
      <c r="R315" s="4">
        <v>0</v>
      </c>
      <c r="S315" s="4" t="s">
        <v>147</v>
      </c>
      <c r="T315" s="4" t="s">
        <v>388</v>
      </c>
      <c r="U315" s="4">
        <v>0</v>
      </c>
      <c r="V315" s="4">
        <v>7</v>
      </c>
      <c r="W315" s="4">
        <v>48</v>
      </c>
    </row>
    <row r="316" spans="1:23" ht="11.25" customHeight="1" x14ac:dyDescent="0.25">
      <c r="A316" s="4" t="s">
        <v>21</v>
      </c>
      <c r="B316" s="4" t="s">
        <v>33</v>
      </c>
      <c r="C316" s="4" t="s">
        <v>34</v>
      </c>
      <c r="D316" s="4" t="s">
        <v>44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44470</v>
      </c>
      <c r="J316" s="6">
        <v>0</v>
      </c>
      <c r="K316" s="6">
        <v>0</v>
      </c>
      <c r="L316" s="6">
        <v>69.872</v>
      </c>
      <c r="M316" s="6">
        <v>67.077119999999994</v>
      </c>
      <c r="N316" s="6">
        <v>69.872</v>
      </c>
      <c r="O316" s="6">
        <v>67.077119999999994</v>
      </c>
      <c r="P316" s="6">
        <v>0</v>
      </c>
      <c r="Q316" s="4" t="s">
        <v>26</v>
      </c>
      <c r="R316" s="4">
        <v>0</v>
      </c>
      <c r="S316" s="4" t="s">
        <v>148</v>
      </c>
      <c r="T316" s="4" t="s">
        <v>389</v>
      </c>
      <c r="U316" s="4">
        <v>0</v>
      </c>
      <c r="V316" s="4">
        <v>7</v>
      </c>
      <c r="W316" s="4">
        <v>48</v>
      </c>
    </row>
    <row r="317" spans="1:23" ht="11.25" customHeight="1" x14ac:dyDescent="0.25">
      <c r="A317" s="4" t="s">
        <v>28</v>
      </c>
      <c r="B317" s="4" t="s">
        <v>33</v>
      </c>
      <c r="C317" s="4" t="s">
        <v>34</v>
      </c>
      <c r="D317" s="4" t="s">
        <v>44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44470</v>
      </c>
      <c r="J317" s="6">
        <v>0</v>
      </c>
      <c r="K317" s="6">
        <v>0</v>
      </c>
      <c r="L317" s="6">
        <v>5.5250000000000004</v>
      </c>
      <c r="M317" s="6">
        <v>5.3040000000000003</v>
      </c>
      <c r="N317" s="6">
        <v>5.5250000000000004</v>
      </c>
      <c r="O317" s="6">
        <v>5.3040000000000003</v>
      </c>
      <c r="P317" s="6">
        <v>0</v>
      </c>
      <c r="Q317" s="4" t="s">
        <v>26</v>
      </c>
      <c r="R317" s="4">
        <v>0</v>
      </c>
      <c r="S317" s="4" t="s">
        <v>148</v>
      </c>
      <c r="T317" s="4" t="s">
        <v>389</v>
      </c>
      <c r="U317" s="4">
        <v>0</v>
      </c>
      <c r="V317" s="4">
        <v>7</v>
      </c>
      <c r="W317" s="4">
        <v>48</v>
      </c>
    </row>
    <row r="318" spans="1:23" ht="11.25" customHeight="1" x14ac:dyDescent="0.25">
      <c r="A318" s="4" t="s">
        <v>21</v>
      </c>
      <c r="B318" s="4" t="s">
        <v>33</v>
      </c>
      <c r="C318" s="4" t="s">
        <v>34</v>
      </c>
      <c r="D318" s="4" t="s">
        <v>44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44501</v>
      </c>
      <c r="J318" s="6">
        <v>0</v>
      </c>
      <c r="K318" s="6">
        <v>0</v>
      </c>
      <c r="L318" s="6">
        <v>75.876999999999995</v>
      </c>
      <c r="M318" s="6">
        <v>72.841920000000002</v>
      </c>
      <c r="N318" s="6">
        <v>75.876999999999995</v>
      </c>
      <c r="O318" s="6">
        <v>72.841920000000002</v>
      </c>
      <c r="P318" s="6">
        <v>0</v>
      </c>
      <c r="Q318" s="4" t="s">
        <v>26</v>
      </c>
      <c r="R318" s="4">
        <v>0</v>
      </c>
      <c r="S318" s="4" t="s">
        <v>149</v>
      </c>
      <c r="T318" s="4" t="s">
        <v>390</v>
      </c>
      <c r="U318" s="4">
        <v>0</v>
      </c>
      <c r="V318" s="4">
        <v>7</v>
      </c>
      <c r="W318" s="4">
        <v>48</v>
      </c>
    </row>
    <row r="319" spans="1:23" ht="11.25" customHeight="1" x14ac:dyDescent="0.25">
      <c r="A319" s="4" t="s">
        <v>28</v>
      </c>
      <c r="B319" s="4" t="s">
        <v>33</v>
      </c>
      <c r="C319" s="4" t="s">
        <v>34</v>
      </c>
      <c r="D319" s="4" t="s">
        <v>44</v>
      </c>
      <c r="E319" s="4" t="s">
        <v>25</v>
      </c>
      <c r="F319" s="4" t="s">
        <v>25</v>
      </c>
      <c r="G319" s="4" t="s">
        <v>25</v>
      </c>
      <c r="H319" s="4" t="s">
        <v>35</v>
      </c>
      <c r="I319" s="5">
        <v>44501</v>
      </c>
      <c r="J319" s="6">
        <v>0</v>
      </c>
      <c r="K319" s="6">
        <v>0</v>
      </c>
      <c r="L319" s="6">
        <v>2.8690000000000002</v>
      </c>
      <c r="M319" s="6">
        <v>2.7542400000000002</v>
      </c>
      <c r="N319" s="6">
        <v>2.8690000000000002</v>
      </c>
      <c r="O319" s="6">
        <v>2.7542400000000002</v>
      </c>
      <c r="P319" s="6">
        <v>0</v>
      </c>
      <c r="Q319" s="4" t="s">
        <v>26</v>
      </c>
      <c r="R319" s="4">
        <v>0</v>
      </c>
      <c r="S319" s="4" t="s">
        <v>149</v>
      </c>
      <c r="T319" s="4" t="s">
        <v>390</v>
      </c>
      <c r="U319" s="4">
        <v>0</v>
      </c>
      <c r="V319" s="4">
        <v>7</v>
      </c>
      <c r="W319" s="4">
        <v>48</v>
      </c>
    </row>
    <row r="320" spans="1:23" ht="11.25" customHeight="1" x14ac:dyDescent="0.25">
      <c r="A320" s="4" t="s">
        <v>21</v>
      </c>
      <c r="B320" s="4" t="s">
        <v>33</v>
      </c>
      <c r="C320" s="4" t="s">
        <v>34</v>
      </c>
      <c r="D320" s="4" t="s">
        <v>44</v>
      </c>
      <c r="E320" s="4" t="s">
        <v>25</v>
      </c>
      <c r="F320" s="4" t="s">
        <v>25</v>
      </c>
      <c r="G320" s="4" t="s">
        <v>25</v>
      </c>
      <c r="H320" s="4" t="s">
        <v>35</v>
      </c>
      <c r="I320" s="5">
        <v>44531</v>
      </c>
      <c r="J320" s="6">
        <v>0</v>
      </c>
      <c r="K320" s="6">
        <v>0</v>
      </c>
      <c r="L320" s="6">
        <v>96.19</v>
      </c>
      <c r="M320" s="6">
        <v>92.342399999999998</v>
      </c>
      <c r="N320" s="6">
        <v>96.19</v>
      </c>
      <c r="O320" s="6">
        <v>92.342399999999998</v>
      </c>
      <c r="P320" s="6">
        <v>0</v>
      </c>
      <c r="Q320" s="4" t="s">
        <v>26</v>
      </c>
      <c r="R320" s="4">
        <v>0</v>
      </c>
      <c r="S320" s="4" t="s">
        <v>150</v>
      </c>
      <c r="T320" s="4" t="s">
        <v>391</v>
      </c>
      <c r="U320" s="4">
        <v>0</v>
      </c>
      <c r="V320" s="4">
        <v>7</v>
      </c>
      <c r="W320" s="4">
        <v>48</v>
      </c>
    </row>
    <row r="321" spans="1:23" ht="11.25" customHeight="1" x14ac:dyDescent="0.25">
      <c r="A321" s="4" t="s">
        <v>28</v>
      </c>
      <c r="B321" s="4" t="s">
        <v>33</v>
      </c>
      <c r="C321" s="4" t="s">
        <v>34</v>
      </c>
      <c r="D321" s="4" t="s">
        <v>44</v>
      </c>
      <c r="E321" s="4" t="s">
        <v>25</v>
      </c>
      <c r="F321" s="4" t="s">
        <v>25</v>
      </c>
      <c r="G321" s="4" t="s">
        <v>25</v>
      </c>
      <c r="H321" s="4" t="s">
        <v>35</v>
      </c>
      <c r="I321" s="5">
        <v>44531</v>
      </c>
      <c r="J321" s="6">
        <v>0</v>
      </c>
      <c r="K321" s="6">
        <v>0</v>
      </c>
      <c r="L321" s="6">
        <v>9.3789999999999996</v>
      </c>
      <c r="M321" s="6">
        <v>9.0038399999999985</v>
      </c>
      <c r="N321" s="6">
        <v>9.3789999999999996</v>
      </c>
      <c r="O321" s="6">
        <v>9.0038399999999985</v>
      </c>
      <c r="P321" s="6">
        <v>0</v>
      </c>
      <c r="Q321" s="4" t="s">
        <v>26</v>
      </c>
      <c r="R321" s="4">
        <v>0</v>
      </c>
      <c r="S321" s="4" t="s">
        <v>150</v>
      </c>
      <c r="T321" s="4" t="s">
        <v>391</v>
      </c>
      <c r="U321" s="4">
        <v>0</v>
      </c>
      <c r="V321" s="4">
        <v>7</v>
      </c>
      <c r="W321" s="4">
        <v>48</v>
      </c>
    </row>
    <row r="322" spans="1:23" ht="11.25" customHeight="1" x14ac:dyDescent="0.25">
      <c r="A322" s="4" t="s">
        <v>21</v>
      </c>
      <c r="B322" s="4" t="s">
        <v>33</v>
      </c>
      <c r="C322" s="4" t="s">
        <v>34</v>
      </c>
      <c r="D322" s="4" t="s">
        <v>44</v>
      </c>
      <c r="E322" s="4" t="s">
        <v>25</v>
      </c>
      <c r="F322" s="4" t="s">
        <v>25</v>
      </c>
      <c r="G322" s="4" t="s">
        <v>25</v>
      </c>
      <c r="H322" s="4" t="s">
        <v>35</v>
      </c>
      <c r="I322" s="5">
        <v>44562</v>
      </c>
      <c r="J322" s="6">
        <v>0</v>
      </c>
      <c r="K322" s="6">
        <v>0</v>
      </c>
      <c r="L322" s="6">
        <v>105.491</v>
      </c>
      <c r="M322" s="6">
        <v>101.27136</v>
      </c>
      <c r="N322" s="6">
        <v>105.491</v>
      </c>
      <c r="O322" s="6">
        <v>101.27136</v>
      </c>
      <c r="P322" s="6">
        <v>0</v>
      </c>
      <c r="Q322" s="4" t="s">
        <v>26</v>
      </c>
      <c r="R322" s="4">
        <v>0</v>
      </c>
      <c r="S322" s="4" t="s">
        <v>151</v>
      </c>
      <c r="T322" s="4" t="s">
        <v>392</v>
      </c>
      <c r="U322" s="4">
        <v>0</v>
      </c>
      <c r="V322" s="4">
        <v>7</v>
      </c>
      <c r="W322" s="4">
        <v>48</v>
      </c>
    </row>
    <row r="323" spans="1:23" ht="11.25" customHeight="1" x14ac:dyDescent="0.25">
      <c r="A323" s="4" t="s">
        <v>28</v>
      </c>
      <c r="B323" s="4" t="s">
        <v>33</v>
      </c>
      <c r="C323" s="4" t="s">
        <v>34</v>
      </c>
      <c r="D323" s="4" t="s">
        <v>44</v>
      </c>
      <c r="E323" s="4" t="s">
        <v>25</v>
      </c>
      <c r="F323" s="4" t="s">
        <v>25</v>
      </c>
      <c r="G323" s="4" t="s">
        <v>25</v>
      </c>
      <c r="H323" s="4" t="s">
        <v>35</v>
      </c>
      <c r="I323" s="5">
        <v>44562</v>
      </c>
      <c r="J323" s="6">
        <v>0</v>
      </c>
      <c r="K323" s="6">
        <v>0</v>
      </c>
      <c r="L323" s="6">
        <v>9.3650000000000002</v>
      </c>
      <c r="M323" s="6">
        <v>8.9903999999999993</v>
      </c>
      <c r="N323" s="6">
        <v>9.3650000000000002</v>
      </c>
      <c r="O323" s="6">
        <v>8.9903999999999993</v>
      </c>
      <c r="P323" s="6">
        <v>0</v>
      </c>
      <c r="Q323" s="4" t="s">
        <v>26</v>
      </c>
      <c r="R323" s="4">
        <v>0</v>
      </c>
      <c r="S323" s="4" t="s">
        <v>151</v>
      </c>
      <c r="T323" s="4" t="s">
        <v>392</v>
      </c>
      <c r="U323" s="4">
        <v>0</v>
      </c>
      <c r="V323" s="4">
        <v>7</v>
      </c>
      <c r="W323" s="4">
        <v>48</v>
      </c>
    </row>
    <row r="324" spans="1:23" ht="11.25" customHeight="1" x14ac:dyDescent="0.25">
      <c r="A324" s="4" t="s">
        <v>21</v>
      </c>
      <c r="B324" s="4" t="s">
        <v>33</v>
      </c>
      <c r="C324" s="4" t="s">
        <v>34</v>
      </c>
      <c r="D324" s="4" t="s">
        <v>44</v>
      </c>
      <c r="E324" s="4" t="s">
        <v>25</v>
      </c>
      <c r="F324" s="4" t="s">
        <v>25</v>
      </c>
      <c r="G324" s="4" t="s">
        <v>25</v>
      </c>
      <c r="H324" s="4" t="s">
        <v>35</v>
      </c>
      <c r="I324" s="5">
        <v>44593</v>
      </c>
      <c r="J324" s="6">
        <v>0</v>
      </c>
      <c r="K324" s="6">
        <v>0</v>
      </c>
      <c r="L324" s="6">
        <v>108.82</v>
      </c>
      <c r="M324" s="6">
        <v>104.46720000000001</v>
      </c>
      <c r="N324" s="6">
        <v>108.82</v>
      </c>
      <c r="O324" s="6">
        <v>104.46720000000001</v>
      </c>
      <c r="P324" s="6">
        <v>0</v>
      </c>
      <c r="Q324" s="4" t="s">
        <v>26</v>
      </c>
      <c r="R324" s="4">
        <v>0</v>
      </c>
      <c r="S324" s="4" t="s">
        <v>152</v>
      </c>
      <c r="T324" s="4" t="s">
        <v>393</v>
      </c>
      <c r="U324" s="4">
        <v>0</v>
      </c>
      <c r="V324" s="4">
        <v>7</v>
      </c>
      <c r="W324" s="4">
        <v>48</v>
      </c>
    </row>
    <row r="325" spans="1:23" ht="11.25" customHeight="1" x14ac:dyDescent="0.25">
      <c r="A325" s="4" t="s">
        <v>21</v>
      </c>
      <c r="B325" s="4" t="s">
        <v>33</v>
      </c>
      <c r="C325" s="4" t="s">
        <v>34</v>
      </c>
      <c r="D325" s="4" t="s">
        <v>44</v>
      </c>
      <c r="E325" s="4" t="s">
        <v>25</v>
      </c>
      <c r="F325" s="4" t="s">
        <v>25</v>
      </c>
      <c r="G325" s="4" t="s">
        <v>25</v>
      </c>
      <c r="H325" s="4" t="s">
        <v>35</v>
      </c>
      <c r="I325" s="5">
        <v>44621</v>
      </c>
      <c r="J325" s="6">
        <v>0</v>
      </c>
      <c r="K325" s="6">
        <v>0</v>
      </c>
      <c r="L325" s="6">
        <v>115.779</v>
      </c>
      <c r="M325" s="6">
        <v>111.14784</v>
      </c>
      <c r="N325" s="6">
        <v>115.779</v>
      </c>
      <c r="O325" s="6">
        <v>111.14784</v>
      </c>
      <c r="P325" s="6">
        <v>0</v>
      </c>
      <c r="Q325" s="4" t="s">
        <v>26</v>
      </c>
      <c r="R325" s="4">
        <v>0</v>
      </c>
      <c r="S325" s="4" t="s">
        <v>153</v>
      </c>
      <c r="T325" s="4" t="s">
        <v>394</v>
      </c>
      <c r="U325" s="4">
        <v>0</v>
      </c>
      <c r="V325" s="4">
        <v>7</v>
      </c>
      <c r="W325" s="4">
        <v>48</v>
      </c>
    </row>
    <row r="326" spans="1:23" ht="11.25" customHeight="1" x14ac:dyDescent="0.25">
      <c r="A326" s="4" t="s">
        <v>28</v>
      </c>
      <c r="B326" s="4" t="s">
        <v>33</v>
      </c>
      <c r="C326" s="4" t="s">
        <v>34</v>
      </c>
      <c r="D326" s="4" t="s">
        <v>44</v>
      </c>
      <c r="E326" s="4" t="s">
        <v>25</v>
      </c>
      <c r="F326" s="4" t="s">
        <v>25</v>
      </c>
      <c r="G326" s="4" t="s">
        <v>25</v>
      </c>
      <c r="H326" s="4" t="s">
        <v>35</v>
      </c>
      <c r="I326" s="5">
        <v>44621</v>
      </c>
      <c r="J326" s="6">
        <v>0</v>
      </c>
      <c r="K326" s="6">
        <v>0</v>
      </c>
      <c r="L326" s="6">
        <v>20.672000000000001</v>
      </c>
      <c r="M326" s="6">
        <v>19.845120000000001</v>
      </c>
      <c r="N326" s="6">
        <v>20.672000000000001</v>
      </c>
      <c r="O326" s="6">
        <v>19.845120000000001</v>
      </c>
      <c r="P326" s="6">
        <v>0</v>
      </c>
      <c r="Q326" s="4" t="s">
        <v>26</v>
      </c>
      <c r="R326" s="4">
        <v>0</v>
      </c>
      <c r="S326" s="4" t="s">
        <v>153</v>
      </c>
      <c r="T326" s="4" t="s">
        <v>394</v>
      </c>
      <c r="U326" s="4">
        <v>0</v>
      </c>
      <c r="V326" s="4">
        <v>7</v>
      </c>
      <c r="W326" s="4">
        <v>48</v>
      </c>
    </row>
    <row r="327" spans="1:23" ht="11.25" customHeight="1" x14ac:dyDescent="0.25">
      <c r="A327" s="4" t="s">
        <v>21</v>
      </c>
      <c r="B327" s="4" t="s">
        <v>33</v>
      </c>
      <c r="C327" s="4" t="s">
        <v>34</v>
      </c>
      <c r="D327" s="4" t="s">
        <v>44</v>
      </c>
      <c r="E327" s="4" t="s">
        <v>25</v>
      </c>
      <c r="F327" s="4" t="s">
        <v>25</v>
      </c>
      <c r="G327" s="4" t="s">
        <v>25</v>
      </c>
      <c r="H327" s="4" t="s">
        <v>35</v>
      </c>
      <c r="I327" s="5">
        <v>44652</v>
      </c>
      <c r="J327" s="6">
        <v>0</v>
      </c>
      <c r="K327" s="6">
        <v>0</v>
      </c>
      <c r="L327" s="6">
        <v>83.061000000000007</v>
      </c>
      <c r="M327" s="6">
        <v>79.738560000000007</v>
      </c>
      <c r="N327" s="6">
        <v>83.061000000000007</v>
      </c>
      <c r="O327" s="6">
        <v>79.738560000000007</v>
      </c>
      <c r="P327" s="6">
        <v>0</v>
      </c>
      <c r="Q327" s="4" t="s">
        <v>26</v>
      </c>
      <c r="R327" s="4">
        <v>0</v>
      </c>
      <c r="S327" s="4" t="s">
        <v>154</v>
      </c>
      <c r="T327" s="4" t="s">
        <v>395</v>
      </c>
      <c r="U327" s="4">
        <v>0</v>
      </c>
      <c r="V327" s="4">
        <v>7</v>
      </c>
      <c r="W327" s="4">
        <v>48</v>
      </c>
    </row>
    <row r="328" spans="1:23" ht="11.25" customHeight="1" x14ac:dyDescent="0.25">
      <c r="A328" s="4" t="s">
        <v>21</v>
      </c>
      <c r="B328" s="4" t="s">
        <v>33</v>
      </c>
      <c r="C328" s="4" t="s">
        <v>34</v>
      </c>
      <c r="D328" s="4" t="s">
        <v>50</v>
      </c>
      <c r="E328" s="4" t="s">
        <v>51</v>
      </c>
      <c r="F328" s="4" t="s">
        <v>25</v>
      </c>
      <c r="G328" s="4" t="s">
        <v>25</v>
      </c>
      <c r="H328" s="4" t="s">
        <v>36</v>
      </c>
      <c r="I328" s="5">
        <v>44317</v>
      </c>
      <c r="J328" s="6">
        <v>0</v>
      </c>
      <c r="K328" s="6">
        <v>0</v>
      </c>
      <c r="L328" s="6">
        <v>73.616</v>
      </c>
      <c r="M328" s="6">
        <v>69.199039999999997</v>
      </c>
      <c r="N328" s="6">
        <v>73.616</v>
      </c>
      <c r="O328" s="6">
        <v>69.199039999999997</v>
      </c>
      <c r="P328" s="6">
        <v>0</v>
      </c>
      <c r="Q328" s="4" t="s">
        <v>26</v>
      </c>
      <c r="R328" s="4">
        <v>0</v>
      </c>
      <c r="S328" s="4" t="s">
        <v>119</v>
      </c>
      <c r="T328" s="4" t="s">
        <v>372</v>
      </c>
      <c r="U328" s="4">
        <v>0</v>
      </c>
      <c r="V328" s="4">
        <v>8</v>
      </c>
      <c r="W328" s="4">
        <v>49</v>
      </c>
    </row>
    <row r="329" spans="1:23" ht="11.25" customHeight="1" x14ac:dyDescent="0.25">
      <c r="A329" s="4" t="s">
        <v>21</v>
      </c>
      <c r="B329" s="4" t="s">
        <v>33</v>
      </c>
      <c r="C329" s="4" t="s">
        <v>34</v>
      </c>
      <c r="D329" s="4" t="s">
        <v>50</v>
      </c>
      <c r="E329" s="4" t="s">
        <v>51</v>
      </c>
      <c r="F329" s="4" t="s">
        <v>25</v>
      </c>
      <c r="G329" s="4" t="s">
        <v>25</v>
      </c>
      <c r="H329" s="4" t="s">
        <v>36</v>
      </c>
      <c r="I329" s="5">
        <v>44348</v>
      </c>
      <c r="J329" s="6">
        <v>0</v>
      </c>
      <c r="K329" s="6">
        <v>0</v>
      </c>
      <c r="L329" s="6">
        <v>85.453000000000003</v>
      </c>
      <c r="M329" s="6">
        <v>80.325819999999993</v>
      </c>
      <c r="N329" s="6">
        <v>85.453000000000003</v>
      </c>
      <c r="O329" s="6">
        <v>80.325819999999993</v>
      </c>
      <c r="P329" s="6">
        <v>0</v>
      </c>
      <c r="Q329" s="4" t="s">
        <v>26</v>
      </c>
      <c r="R329" s="4">
        <v>0</v>
      </c>
      <c r="S329" s="4" t="s">
        <v>120</v>
      </c>
      <c r="T329" s="4" t="s">
        <v>373</v>
      </c>
      <c r="U329" s="4">
        <v>0</v>
      </c>
      <c r="V329" s="4">
        <v>8</v>
      </c>
      <c r="W329" s="4">
        <v>49</v>
      </c>
    </row>
    <row r="330" spans="1:23" ht="11.25" customHeight="1" x14ac:dyDescent="0.25">
      <c r="A330" s="4" t="s">
        <v>21</v>
      </c>
      <c r="B330" s="4" t="s">
        <v>33</v>
      </c>
      <c r="C330" s="4" t="s">
        <v>34</v>
      </c>
      <c r="D330" s="4" t="s">
        <v>50</v>
      </c>
      <c r="E330" s="4" t="s">
        <v>51</v>
      </c>
      <c r="F330" s="4" t="s">
        <v>25</v>
      </c>
      <c r="G330" s="4" t="s">
        <v>25</v>
      </c>
      <c r="H330" s="4" t="s">
        <v>36</v>
      </c>
      <c r="I330" s="5">
        <v>44378</v>
      </c>
      <c r="J330" s="6">
        <v>0</v>
      </c>
      <c r="K330" s="6">
        <v>0</v>
      </c>
      <c r="L330" s="6">
        <v>87.182000000000002</v>
      </c>
      <c r="M330" s="6">
        <v>81.951080000000005</v>
      </c>
      <c r="N330" s="6">
        <v>87.182000000000002</v>
      </c>
      <c r="O330" s="6">
        <v>81.951080000000005</v>
      </c>
      <c r="P330" s="6">
        <v>0</v>
      </c>
      <c r="Q330" s="4" t="s">
        <v>26</v>
      </c>
      <c r="R330" s="4">
        <v>0</v>
      </c>
      <c r="S330" s="4" t="s">
        <v>121</v>
      </c>
      <c r="T330" s="4" t="s">
        <v>374</v>
      </c>
      <c r="U330" s="4">
        <v>0</v>
      </c>
      <c r="V330" s="4">
        <v>8</v>
      </c>
      <c r="W330" s="4">
        <v>49</v>
      </c>
    </row>
    <row r="331" spans="1:23" ht="11.25" customHeight="1" x14ac:dyDescent="0.25">
      <c r="A331" s="4" t="s">
        <v>21</v>
      </c>
      <c r="B331" s="4" t="s">
        <v>33</v>
      </c>
      <c r="C331" s="4" t="s">
        <v>34</v>
      </c>
      <c r="D331" s="4" t="s">
        <v>50</v>
      </c>
      <c r="E331" s="4" t="s">
        <v>51</v>
      </c>
      <c r="F331" s="4" t="s">
        <v>25</v>
      </c>
      <c r="G331" s="4" t="s">
        <v>25</v>
      </c>
      <c r="H331" s="4" t="s">
        <v>36</v>
      </c>
      <c r="I331" s="5">
        <v>44409</v>
      </c>
      <c r="J331" s="6">
        <v>0</v>
      </c>
      <c r="K331" s="6">
        <v>0</v>
      </c>
      <c r="L331" s="6">
        <v>82.013999999999996</v>
      </c>
      <c r="M331" s="6">
        <v>77.093159999999997</v>
      </c>
      <c r="N331" s="6">
        <v>82.013999999999996</v>
      </c>
      <c r="O331" s="6">
        <v>77.093159999999997</v>
      </c>
      <c r="P331" s="6">
        <v>0</v>
      </c>
      <c r="Q331" s="4" t="s">
        <v>26</v>
      </c>
      <c r="R331" s="4">
        <v>0</v>
      </c>
      <c r="S331" s="4" t="s">
        <v>122</v>
      </c>
      <c r="T331" s="4" t="s">
        <v>375</v>
      </c>
      <c r="U331" s="4">
        <v>0</v>
      </c>
      <c r="V331" s="4">
        <v>8</v>
      </c>
      <c r="W331" s="4">
        <v>49</v>
      </c>
    </row>
    <row r="332" spans="1:23" ht="11.25" customHeight="1" x14ac:dyDescent="0.25">
      <c r="A332" s="4" t="s">
        <v>21</v>
      </c>
      <c r="B332" s="4" t="s">
        <v>33</v>
      </c>
      <c r="C332" s="4" t="s">
        <v>34</v>
      </c>
      <c r="D332" s="4" t="s">
        <v>50</v>
      </c>
      <c r="E332" s="4" t="s">
        <v>51</v>
      </c>
      <c r="F332" s="4" t="s">
        <v>25</v>
      </c>
      <c r="G332" s="4" t="s">
        <v>25</v>
      </c>
      <c r="H332" s="4" t="s">
        <v>36</v>
      </c>
      <c r="I332" s="5">
        <v>44440</v>
      </c>
      <c r="J332" s="6">
        <v>0</v>
      </c>
      <c r="K332" s="6">
        <v>0</v>
      </c>
      <c r="L332" s="6">
        <v>76.3</v>
      </c>
      <c r="M332" s="6">
        <v>71.721999999999994</v>
      </c>
      <c r="N332" s="6">
        <v>76.3</v>
      </c>
      <c r="O332" s="6">
        <v>71.721999999999994</v>
      </c>
      <c r="P332" s="6">
        <v>0</v>
      </c>
      <c r="Q332" s="4" t="s">
        <v>26</v>
      </c>
      <c r="R332" s="4">
        <v>0</v>
      </c>
      <c r="S332" s="4" t="s">
        <v>123</v>
      </c>
      <c r="T332" s="4" t="s">
        <v>376</v>
      </c>
      <c r="U332" s="4">
        <v>0</v>
      </c>
      <c r="V332" s="4">
        <v>8</v>
      </c>
      <c r="W332" s="4">
        <v>49</v>
      </c>
    </row>
    <row r="333" spans="1:23" ht="11.25" customHeight="1" x14ac:dyDescent="0.25">
      <c r="A333" s="4" t="s">
        <v>21</v>
      </c>
      <c r="B333" s="4" t="s">
        <v>33</v>
      </c>
      <c r="C333" s="4" t="s">
        <v>34</v>
      </c>
      <c r="D333" s="4" t="s">
        <v>50</v>
      </c>
      <c r="E333" s="4" t="s">
        <v>51</v>
      </c>
      <c r="F333" s="4" t="s">
        <v>25</v>
      </c>
      <c r="G333" s="4" t="s">
        <v>25</v>
      </c>
      <c r="H333" s="4" t="s">
        <v>36</v>
      </c>
      <c r="I333" s="5">
        <v>44470</v>
      </c>
      <c r="J333" s="6">
        <v>0</v>
      </c>
      <c r="K333" s="6">
        <v>0</v>
      </c>
      <c r="L333" s="6">
        <v>82.744</v>
      </c>
      <c r="M333" s="6">
        <v>77.779359999999997</v>
      </c>
      <c r="N333" s="6">
        <v>82.744</v>
      </c>
      <c r="O333" s="6">
        <v>77.779359999999997</v>
      </c>
      <c r="P333" s="6">
        <v>0</v>
      </c>
      <c r="Q333" s="4" t="s">
        <v>26</v>
      </c>
      <c r="R333" s="4">
        <v>0</v>
      </c>
      <c r="S333" s="4" t="s">
        <v>124</v>
      </c>
      <c r="T333" s="4" t="s">
        <v>377</v>
      </c>
      <c r="U333" s="4">
        <v>0</v>
      </c>
      <c r="V333" s="4">
        <v>8</v>
      </c>
      <c r="W333" s="4">
        <v>49</v>
      </c>
    </row>
    <row r="334" spans="1:23" ht="11.25" customHeight="1" x14ac:dyDescent="0.25">
      <c r="A334" s="4" t="s">
        <v>21</v>
      </c>
      <c r="B334" s="4" t="s">
        <v>33</v>
      </c>
      <c r="C334" s="4" t="s">
        <v>34</v>
      </c>
      <c r="D334" s="4" t="s">
        <v>50</v>
      </c>
      <c r="E334" s="4" t="s">
        <v>51</v>
      </c>
      <c r="F334" s="4" t="s">
        <v>25</v>
      </c>
      <c r="G334" s="4" t="s">
        <v>25</v>
      </c>
      <c r="H334" s="4" t="s">
        <v>36</v>
      </c>
      <c r="I334" s="5">
        <v>44501</v>
      </c>
      <c r="J334" s="6">
        <v>0</v>
      </c>
      <c r="K334" s="6">
        <v>0</v>
      </c>
      <c r="L334" s="6">
        <v>92.778999999999996</v>
      </c>
      <c r="M334" s="6">
        <v>87.212259999999986</v>
      </c>
      <c r="N334" s="6">
        <v>92.778999999999996</v>
      </c>
      <c r="O334" s="6">
        <v>87.212259999999986</v>
      </c>
      <c r="P334" s="6">
        <v>0</v>
      </c>
      <c r="Q334" s="4" t="s">
        <v>26</v>
      </c>
      <c r="R334" s="4">
        <v>0</v>
      </c>
      <c r="S334" s="4" t="s">
        <v>125</v>
      </c>
      <c r="T334" s="4" t="s">
        <v>378</v>
      </c>
      <c r="U334" s="4">
        <v>0</v>
      </c>
      <c r="V334" s="4">
        <v>8</v>
      </c>
      <c r="W334" s="4">
        <v>49</v>
      </c>
    </row>
    <row r="335" spans="1:23" ht="11.25" customHeight="1" x14ac:dyDescent="0.25">
      <c r="A335" s="4" t="s">
        <v>21</v>
      </c>
      <c r="B335" s="4" t="s">
        <v>33</v>
      </c>
      <c r="C335" s="4" t="s">
        <v>34</v>
      </c>
      <c r="D335" s="4" t="s">
        <v>50</v>
      </c>
      <c r="E335" s="4" t="s">
        <v>51</v>
      </c>
      <c r="F335" s="4" t="s">
        <v>25</v>
      </c>
      <c r="G335" s="4" t="s">
        <v>25</v>
      </c>
      <c r="H335" s="4" t="s">
        <v>36</v>
      </c>
      <c r="I335" s="5">
        <v>44531</v>
      </c>
      <c r="J335" s="6">
        <v>0</v>
      </c>
      <c r="K335" s="6">
        <v>0</v>
      </c>
      <c r="L335" s="6">
        <v>96.944999999999993</v>
      </c>
      <c r="M335" s="6">
        <v>91.128299999999982</v>
      </c>
      <c r="N335" s="6">
        <v>96.944999999999993</v>
      </c>
      <c r="O335" s="6">
        <v>91.128299999999982</v>
      </c>
      <c r="P335" s="6">
        <v>0</v>
      </c>
      <c r="Q335" s="4" t="s">
        <v>26</v>
      </c>
      <c r="R335" s="4">
        <v>0</v>
      </c>
      <c r="S335" s="4" t="s">
        <v>126</v>
      </c>
      <c r="T335" s="4" t="s">
        <v>379</v>
      </c>
      <c r="U335" s="4">
        <v>0</v>
      </c>
      <c r="V335" s="4">
        <v>8</v>
      </c>
      <c r="W335" s="4">
        <v>49</v>
      </c>
    </row>
    <row r="336" spans="1:23" ht="11.25" customHeight="1" x14ac:dyDescent="0.25">
      <c r="A336" s="4" t="s">
        <v>21</v>
      </c>
      <c r="B336" s="4" t="s">
        <v>33</v>
      </c>
      <c r="C336" s="4" t="s">
        <v>34</v>
      </c>
      <c r="D336" s="4" t="s">
        <v>50</v>
      </c>
      <c r="E336" s="4" t="s">
        <v>51</v>
      </c>
      <c r="F336" s="4" t="s">
        <v>25</v>
      </c>
      <c r="G336" s="4" t="s">
        <v>25</v>
      </c>
      <c r="H336" s="4" t="s">
        <v>36</v>
      </c>
      <c r="I336" s="5">
        <v>44562</v>
      </c>
      <c r="J336" s="6">
        <v>0</v>
      </c>
      <c r="K336" s="6">
        <v>0</v>
      </c>
      <c r="L336" s="6">
        <v>105.916</v>
      </c>
      <c r="M336" s="6">
        <v>99.561039999999991</v>
      </c>
      <c r="N336" s="6">
        <v>105.916</v>
      </c>
      <c r="O336" s="6">
        <v>99.561039999999991</v>
      </c>
      <c r="P336" s="6">
        <v>0</v>
      </c>
      <c r="Q336" s="4" t="s">
        <v>26</v>
      </c>
      <c r="R336" s="4">
        <v>0</v>
      </c>
      <c r="S336" s="4" t="s">
        <v>127</v>
      </c>
      <c r="T336" s="4" t="s">
        <v>380</v>
      </c>
      <c r="U336" s="4">
        <v>0</v>
      </c>
      <c r="V336" s="4">
        <v>8</v>
      </c>
      <c r="W336" s="4">
        <v>49</v>
      </c>
    </row>
    <row r="337" spans="1:23" ht="11.25" customHeight="1" x14ac:dyDescent="0.25">
      <c r="A337" s="4" t="s">
        <v>21</v>
      </c>
      <c r="B337" s="4" t="s">
        <v>33</v>
      </c>
      <c r="C337" s="4" t="s">
        <v>34</v>
      </c>
      <c r="D337" s="4" t="s">
        <v>50</v>
      </c>
      <c r="E337" s="4" t="s">
        <v>51</v>
      </c>
      <c r="F337" s="4" t="s">
        <v>25</v>
      </c>
      <c r="G337" s="4" t="s">
        <v>25</v>
      </c>
      <c r="H337" s="4" t="s">
        <v>36</v>
      </c>
      <c r="I337" s="5">
        <v>44593</v>
      </c>
      <c r="J337" s="6">
        <v>0</v>
      </c>
      <c r="K337" s="6">
        <v>0</v>
      </c>
      <c r="L337" s="6">
        <v>106.723</v>
      </c>
      <c r="M337" s="6">
        <v>100.31961999999999</v>
      </c>
      <c r="N337" s="6">
        <v>106.723</v>
      </c>
      <c r="O337" s="6">
        <v>100.31961999999999</v>
      </c>
      <c r="P337" s="6">
        <v>0</v>
      </c>
      <c r="Q337" s="4" t="s">
        <v>26</v>
      </c>
      <c r="R337" s="4">
        <v>0</v>
      </c>
      <c r="S337" s="4" t="s">
        <v>128</v>
      </c>
      <c r="T337" s="4" t="s">
        <v>381</v>
      </c>
      <c r="U337" s="4">
        <v>0</v>
      </c>
      <c r="V337" s="4">
        <v>8</v>
      </c>
      <c r="W337" s="4">
        <v>49</v>
      </c>
    </row>
    <row r="338" spans="1:23" ht="11.25" customHeight="1" x14ac:dyDescent="0.25">
      <c r="A338" s="4" t="s">
        <v>21</v>
      </c>
      <c r="B338" s="4" t="s">
        <v>33</v>
      </c>
      <c r="C338" s="4" t="s">
        <v>34</v>
      </c>
      <c r="D338" s="4" t="s">
        <v>50</v>
      </c>
      <c r="E338" s="4" t="s">
        <v>51</v>
      </c>
      <c r="F338" s="4" t="s">
        <v>25</v>
      </c>
      <c r="G338" s="4" t="s">
        <v>25</v>
      </c>
      <c r="H338" s="4" t="s">
        <v>36</v>
      </c>
      <c r="I338" s="5">
        <v>44621</v>
      </c>
      <c r="J338" s="6">
        <v>0</v>
      </c>
      <c r="K338" s="6">
        <v>0</v>
      </c>
      <c r="L338" s="6">
        <v>120.622</v>
      </c>
      <c r="M338" s="6">
        <v>113.38467999999999</v>
      </c>
      <c r="N338" s="6">
        <v>120.622</v>
      </c>
      <c r="O338" s="6">
        <v>113.38467999999999</v>
      </c>
      <c r="P338" s="6">
        <v>0</v>
      </c>
      <c r="Q338" s="4" t="s">
        <v>26</v>
      </c>
      <c r="R338" s="4">
        <v>0</v>
      </c>
      <c r="S338" s="4" t="s">
        <v>129</v>
      </c>
      <c r="T338" s="4" t="s">
        <v>382</v>
      </c>
      <c r="U338" s="4">
        <v>0</v>
      </c>
      <c r="V338" s="4">
        <v>8</v>
      </c>
      <c r="W338" s="4">
        <v>49</v>
      </c>
    </row>
    <row r="339" spans="1:23" ht="11.25" customHeight="1" x14ac:dyDescent="0.25">
      <c r="A339" s="4" t="s">
        <v>21</v>
      </c>
      <c r="B339" s="4" t="s">
        <v>33</v>
      </c>
      <c r="C339" s="4" t="s">
        <v>34</v>
      </c>
      <c r="D339" s="4" t="s">
        <v>50</v>
      </c>
      <c r="E339" s="4" t="s">
        <v>51</v>
      </c>
      <c r="F339" s="4" t="s">
        <v>25</v>
      </c>
      <c r="G339" s="4" t="s">
        <v>25</v>
      </c>
      <c r="H339" s="4" t="s">
        <v>36</v>
      </c>
      <c r="I339" s="5">
        <v>44652</v>
      </c>
      <c r="J339" s="6">
        <v>0</v>
      </c>
      <c r="K339" s="6">
        <v>0</v>
      </c>
      <c r="L339" s="6">
        <v>110.827</v>
      </c>
      <c r="M339" s="6">
        <v>104.17738</v>
      </c>
      <c r="N339" s="6">
        <v>110.827</v>
      </c>
      <c r="O339" s="6">
        <v>104.17738</v>
      </c>
      <c r="P339" s="6">
        <v>0</v>
      </c>
      <c r="Q339" s="4" t="s">
        <v>26</v>
      </c>
      <c r="R339" s="4">
        <v>0</v>
      </c>
      <c r="S339" s="4" t="s">
        <v>130</v>
      </c>
      <c r="T339" s="4" t="s">
        <v>383</v>
      </c>
      <c r="U339" s="4">
        <v>0</v>
      </c>
      <c r="V339" s="4">
        <v>8</v>
      </c>
      <c r="W339" s="4">
        <v>49</v>
      </c>
    </row>
    <row r="340" spans="1:23" ht="11.25" customHeight="1" x14ac:dyDescent="0.25">
      <c r="A340" s="4" t="s">
        <v>21</v>
      </c>
      <c r="B340" s="4" t="s">
        <v>33</v>
      </c>
      <c r="C340" s="4" t="s">
        <v>34</v>
      </c>
      <c r="D340" s="4" t="s">
        <v>50</v>
      </c>
      <c r="E340" s="4" t="s">
        <v>51</v>
      </c>
      <c r="F340" s="4" t="s">
        <v>25</v>
      </c>
      <c r="G340" s="4" t="s">
        <v>25</v>
      </c>
      <c r="H340" s="4" t="s">
        <v>25</v>
      </c>
      <c r="I340" s="5">
        <v>44317</v>
      </c>
      <c r="J340" s="6">
        <v>259</v>
      </c>
      <c r="K340" s="6">
        <v>243.45999999999998</v>
      </c>
      <c r="L340" s="6">
        <v>0</v>
      </c>
      <c r="M340" s="6">
        <v>0</v>
      </c>
      <c r="N340" s="6">
        <v>0</v>
      </c>
      <c r="O340" s="6">
        <v>0</v>
      </c>
      <c r="P340" s="6">
        <v>3</v>
      </c>
      <c r="Q340" s="4" t="s">
        <v>26</v>
      </c>
      <c r="R340" s="4">
        <v>0</v>
      </c>
      <c r="S340" s="4" t="s">
        <v>131</v>
      </c>
      <c r="U340" s="4">
        <v>6</v>
      </c>
      <c r="V340" s="4">
        <v>0</v>
      </c>
      <c r="W340" s="4">
        <v>0</v>
      </c>
    </row>
    <row r="341" spans="1:23" ht="11.25" customHeight="1" x14ac:dyDescent="0.25">
      <c r="A341" s="4" t="s">
        <v>21</v>
      </c>
      <c r="B341" s="4" t="s">
        <v>33</v>
      </c>
      <c r="C341" s="4" t="s">
        <v>34</v>
      </c>
      <c r="D341" s="4" t="s">
        <v>50</v>
      </c>
      <c r="E341" s="4" t="s">
        <v>51</v>
      </c>
      <c r="F341" s="4" t="s">
        <v>25</v>
      </c>
      <c r="G341" s="4" t="s">
        <v>25</v>
      </c>
      <c r="H341" s="4" t="s">
        <v>25</v>
      </c>
      <c r="I341" s="5">
        <v>44348</v>
      </c>
      <c r="J341" s="6">
        <v>259</v>
      </c>
      <c r="K341" s="6">
        <v>243.46</v>
      </c>
      <c r="L341" s="6">
        <v>0</v>
      </c>
      <c r="M341" s="6">
        <v>0</v>
      </c>
      <c r="N341" s="6">
        <v>0</v>
      </c>
      <c r="O341" s="6">
        <v>0</v>
      </c>
      <c r="P341" s="6">
        <v>3</v>
      </c>
      <c r="Q341" s="4" t="s">
        <v>26</v>
      </c>
      <c r="R341" s="4">
        <v>0</v>
      </c>
      <c r="S341" s="4" t="s">
        <v>132</v>
      </c>
      <c r="U341" s="4">
        <v>6</v>
      </c>
      <c r="V341" s="4">
        <v>0</v>
      </c>
      <c r="W341" s="4">
        <v>0</v>
      </c>
    </row>
    <row r="342" spans="1:23" ht="11.25" customHeight="1" x14ac:dyDescent="0.25">
      <c r="A342" s="4" t="s">
        <v>21</v>
      </c>
      <c r="B342" s="4" t="s">
        <v>33</v>
      </c>
      <c r="C342" s="4" t="s">
        <v>34</v>
      </c>
      <c r="D342" s="4" t="s">
        <v>50</v>
      </c>
      <c r="E342" s="4" t="s">
        <v>51</v>
      </c>
      <c r="F342" s="4" t="s">
        <v>25</v>
      </c>
      <c r="G342" s="4" t="s">
        <v>25</v>
      </c>
      <c r="H342" s="4" t="s">
        <v>25</v>
      </c>
      <c r="I342" s="5">
        <v>44378</v>
      </c>
      <c r="J342" s="6">
        <v>259</v>
      </c>
      <c r="K342" s="6">
        <v>243.46</v>
      </c>
      <c r="L342" s="6">
        <v>0</v>
      </c>
      <c r="M342" s="6">
        <v>0</v>
      </c>
      <c r="N342" s="6">
        <v>0</v>
      </c>
      <c r="O342" s="6">
        <v>0</v>
      </c>
      <c r="P342" s="6">
        <v>3</v>
      </c>
      <c r="Q342" s="4" t="s">
        <v>26</v>
      </c>
      <c r="R342" s="4">
        <v>0</v>
      </c>
      <c r="S342" s="4" t="s">
        <v>133</v>
      </c>
      <c r="U342" s="4">
        <v>6</v>
      </c>
      <c r="V342" s="4">
        <v>0</v>
      </c>
      <c r="W342" s="4">
        <v>0</v>
      </c>
    </row>
    <row r="343" spans="1:23" ht="11.25" customHeight="1" x14ac:dyDescent="0.25">
      <c r="A343" s="4" t="s">
        <v>21</v>
      </c>
      <c r="B343" s="4" t="s">
        <v>33</v>
      </c>
      <c r="C343" s="4" t="s">
        <v>34</v>
      </c>
      <c r="D343" s="4" t="s">
        <v>50</v>
      </c>
      <c r="E343" s="4" t="s">
        <v>51</v>
      </c>
      <c r="F343" s="4" t="s">
        <v>25</v>
      </c>
      <c r="G343" s="4" t="s">
        <v>25</v>
      </c>
      <c r="H343" s="4" t="s">
        <v>25</v>
      </c>
      <c r="I343" s="5">
        <v>44409</v>
      </c>
      <c r="J343" s="6">
        <v>259</v>
      </c>
      <c r="K343" s="6">
        <v>243.46</v>
      </c>
      <c r="L343" s="6">
        <v>0</v>
      </c>
      <c r="M343" s="6">
        <v>0</v>
      </c>
      <c r="N343" s="6">
        <v>0</v>
      </c>
      <c r="O343" s="6">
        <v>0</v>
      </c>
      <c r="P343" s="6">
        <v>3</v>
      </c>
      <c r="Q343" s="4" t="s">
        <v>26</v>
      </c>
      <c r="R343" s="4">
        <v>0</v>
      </c>
      <c r="S343" s="4" t="s">
        <v>134</v>
      </c>
      <c r="U343" s="4">
        <v>6</v>
      </c>
      <c r="V343" s="4">
        <v>0</v>
      </c>
      <c r="W343" s="4">
        <v>0</v>
      </c>
    </row>
    <row r="344" spans="1:23" ht="11.25" customHeight="1" x14ac:dyDescent="0.25">
      <c r="A344" s="4" t="s">
        <v>21</v>
      </c>
      <c r="B344" s="4" t="s">
        <v>33</v>
      </c>
      <c r="C344" s="4" t="s">
        <v>34</v>
      </c>
      <c r="D344" s="4" t="s">
        <v>50</v>
      </c>
      <c r="E344" s="4" t="s">
        <v>51</v>
      </c>
      <c r="F344" s="4" t="s">
        <v>25</v>
      </c>
      <c r="G344" s="4" t="s">
        <v>25</v>
      </c>
      <c r="H344" s="4" t="s">
        <v>25</v>
      </c>
      <c r="I344" s="5">
        <v>44440</v>
      </c>
      <c r="J344" s="6">
        <v>261</v>
      </c>
      <c r="K344" s="6">
        <v>245.34</v>
      </c>
      <c r="L344" s="6">
        <v>0</v>
      </c>
      <c r="M344" s="6">
        <v>0</v>
      </c>
      <c r="N344" s="6">
        <v>0</v>
      </c>
      <c r="O344" s="6">
        <v>0</v>
      </c>
      <c r="P344" s="6">
        <v>3</v>
      </c>
      <c r="Q344" s="4" t="s">
        <v>26</v>
      </c>
      <c r="R344" s="4">
        <v>0</v>
      </c>
      <c r="S344" s="4" t="s">
        <v>135</v>
      </c>
      <c r="U344" s="4">
        <v>6</v>
      </c>
      <c r="V344" s="4">
        <v>0</v>
      </c>
      <c r="W344" s="4">
        <v>0</v>
      </c>
    </row>
    <row r="345" spans="1:23" ht="11.25" customHeight="1" x14ac:dyDescent="0.25">
      <c r="A345" s="4" t="s">
        <v>21</v>
      </c>
      <c r="B345" s="4" t="s">
        <v>33</v>
      </c>
      <c r="C345" s="4" t="s">
        <v>34</v>
      </c>
      <c r="D345" s="4" t="s">
        <v>50</v>
      </c>
      <c r="E345" s="4" t="s">
        <v>51</v>
      </c>
      <c r="F345" s="4" t="s">
        <v>25</v>
      </c>
      <c r="G345" s="4" t="s">
        <v>25</v>
      </c>
      <c r="H345" s="4" t="s">
        <v>25</v>
      </c>
      <c r="I345" s="5">
        <v>44470</v>
      </c>
      <c r="J345" s="6">
        <v>260</v>
      </c>
      <c r="K345" s="6">
        <v>244.39999999999998</v>
      </c>
      <c r="L345" s="6">
        <v>0</v>
      </c>
      <c r="M345" s="6">
        <v>0</v>
      </c>
      <c r="N345" s="6">
        <v>0</v>
      </c>
      <c r="O345" s="6">
        <v>0</v>
      </c>
      <c r="P345" s="6">
        <v>3</v>
      </c>
      <c r="Q345" s="4" t="s">
        <v>26</v>
      </c>
      <c r="R345" s="4">
        <v>0</v>
      </c>
      <c r="S345" s="4" t="s">
        <v>136</v>
      </c>
      <c r="U345" s="4">
        <v>6</v>
      </c>
      <c r="V345" s="4">
        <v>0</v>
      </c>
      <c r="W345" s="4">
        <v>0</v>
      </c>
    </row>
    <row r="346" spans="1:23" ht="11.25" customHeight="1" x14ac:dyDescent="0.25">
      <c r="A346" s="4" t="s">
        <v>21</v>
      </c>
      <c r="B346" s="4" t="s">
        <v>33</v>
      </c>
      <c r="C346" s="4" t="s">
        <v>34</v>
      </c>
      <c r="D346" s="4" t="s">
        <v>50</v>
      </c>
      <c r="E346" s="4" t="s">
        <v>51</v>
      </c>
      <c r="F346" s="4" t="s">
        <v>25</v>
      </c>
      <c r="G346" s="4" t="s">
        <v>25</v>
      </c>
      <c r="H346" s="4" t="s">
        <v>25</v>
      </c>
      <c r="I346" s="5">
        <v>44501</v>
      </c>
      <c r="J346" s="6">
        <v>259</v>
      </c>
      <c r="K346" s="6">
        <v>243.45999999999998</v>
      </c>
      <c r="L346" s="6">
        <v>0</v>
      </c>
      <c r="M346" s="6">
        <v>0</v>
      </c>
      <c r="N346" s="6">
        <v>0</v>
      </c>
      <c r="O346" s="6">
        <v>0</v>
      </c>
      <c r="P346" s="6">
        <v>3</v>
      </c>
      <c r="Q346" s="4" t="s">
        <v>26</v>
      </c>
      <c r="R346" s="4">
        <v>0</v>
      </c>
      <c r="S346" s="4" t="s">
        <v>137</v>
      </c>
      <c r="U346" s="4">
        <v>6</v>
      </c>
      <c r="V346" s="4">
        <v>0</v>
      </c>
      <c r="W346" s="4">
        <v>0</v>
      </c>
    </row>
    <row r="347" spans="1:23" ht="11.25" customHeight="1" x14ac:dyDescent="0.25">
      <c r="A347" s="4" t="s">
        <v>21</v>
      </c>
      <c r="B347" s="4" t="s">
        <v>33</v>
      </c>
      <c r="C347" s="4" t="s">
        <v>34</v>
      </c>
      <c r="D347" s="4" t="s">
        <v>50</v>
      </c>
      <c r="E347" s="4" t="s">
        <v>51</v>
      </c>
      <c r="F347" s="4" t="s">
        <v>25</v>
      </c>
      <c r="G347" s="4" t="s">
        <v>25</v>
      </c>
      <c r="H347" s="4" t="s">
        <v>25</v>
      </c>
      <c r="I347" s="5">
        <v>44531</v>
      </c>
      <c r="J347" s="6">
        <v>259</v>
      </c>
      <c r="K347" s="6">
        <v>243.45999999999998</v>
      </c>
      <c r="L347" s="6">
        <v>0</v>
      </c>
      <c r="M347" s="6">
        <v>0</v>
      </c>
      <c r="N347" s="6">
        <v>0</v>
      </c>
      <c r="O347" s="6">
        <v>0</v>
      </c>
      <c r="P347" s="6">
        <v>3</v>
      </c>
      <c r="Q347" s="4" t="s">
        <v>26</v>
      </c>
      <c r="R347" s="4">
        <v>0</v>
      </c>
      <c r="S347" s="4" t="s">
        <v>138</v>
      </c>
      <c r="U347" s="4">
        <v>6</v>
      </c>
      <c r="V347" s="4">
        <v>0</v>
      </c>
      <c r="W347" s="4">
        <v>0</v>
      </c>
    </row>
    <row r="348" spans="1:23" ht="11.25" customHeight="1" x14ac:dyDescent="0.25">
      <c r="A348" s="4" t="s">
        <v>21</v>
      </c>
      <c r="B348" s="4" t="s">
        <v>33</v>
      </c>
      <c r="C348" s="4" t="s">
        <v>34</v>
      </c>
      <c r="D348" s="4" t="s">
        <v>50</v>
      </c>
      <c r="E348" s="4" t="s">
        <v>51</v>
      </c>
      <c r="F348" s="4" t="s">
        <v>25</v>
      </c>
      <c r="G348" s="4" t="s">
        <v>25</v>
      </c>
      <c r="H348" s="4" t="s">
        <v>25</v>
      </c>
      <c r="I348" s="5">
        <v>44562</v>
      </c>
      <c r="J348" s="6">
        <v>261</v>
      </c>
      <c r="K348" s="6">
        <v>245.33999999999997</v>
      </c>
      <c r="L348" s="6">
        <v>0</v>
      </c>
      <c r="M348" s="6">
        <v>0</v>
      </c>
      <c r="N348" s="6">
        <v>0</v>
      </c>
      <c r="O348" s="6">
        <v>0</v>
      </c>
      <c r="P348" s="6">
        <v>3</v>
      </c>
      <c r="Q348" s="4" t="s">
        <v>26</v>
      </c>
      <c r="R348" s="4">
        <v>0</v>
      </c>
      <c r="S348" s="4" t="s">
        <v>139</v>
      </c>
      <c r="U348" s="4">
        <v>6</v>
      </c>
      <c r="V348" s="4">
        <v>0</v>
      </c>
      <c r="W348" s="4">
        <v>0</v>
      </c>
    </row>
    <row r="349" spans="1:23" ht="11.25" customHeight="1" x14ac:dyDescent="0.25">
      <c r="A349" s="4" t="s">
        <v>21</v>
      </c>
      <c r="B349" s="4" t="s">
        <v>33</v>
      </c>
      <c r="C349" s="4" t="s">
        <v>34</v>
      </c>
      <c r="D349" s="4" t="s">
        <v>50</v>
      </c>
      <c r="E349" s="4" t="s">
        <v>51</v>
      </c>
      <c r="F349" s="4" t="s">
        <v>25</v>
      </c>
      <c r="G349" s="4" t="s">
        <v>25</v>
      </c>
      <c r="H349" s="4" t="s">
        <v>25</v>
      </c>
      <c r="I349" s="5">
        <v>44593</v>
      </c>
      <c r="J349" s="6">
        <v>264</v>
      </c>
      <c r="K349" s="6">
        <v>248.16</v>
      </c>
      <c r="L349" s="6">
        <v>0</v>
      </c>
      <c r="M349" s="6">
        <v>0</v>
      </c>
      <c r="N349" s="6">
        <v>0</v>
      </c>
      <c r="O349" s="6">
        <v>0</v>
      </c>
      <c r="P349" s="6">
        <v>3</v>
      </c>
      <c r="Q349" s="4" t="s">
        <v>26</v>
      </c>
      <c r="R349" s="4">
        <v>0</v>
      </c>
      <c r="S349" s="4" t="s">
        <v>140</v>
      </c>
      <c r="U349" s="4">
        <v>6</v>
      </c>
      <c r="V349" s="4">
        <v>0</v>
      </c>
      <c r="W349" s="4">
        <v>0</v>
      </c>
    </row>
    <row r="350" spans="1:23" ht="11.25" customHeight="1" x14ac:dyDescent="0.25">
      <c r="A350" s="4" t="s">
        <v>21</v>
      </c>
      <c r="B350" s="4" t="s">
        <v>33</v>
      </c>
      <c r="C350" s="4" t="s">
        <v>34</v>
      </c>
      <c r="D350" s="4" t="s">
        <v>50</v>
      </c>
      <c r="E350" s="4" t="s">
        <v>51</v>
      </c>
      <c r="F350" s="4" t="s">
        <v>25</v>
      </c>
      <c r="G350" s="4" t="s">
        <v>25</v>
      </c>
      <c r="H350" s="4" t="s">
        <v>25</v>
      </c>
      <c r="I350" s="5">
        <v>44621</v>
      </c>
      <c r="J350" s="6">
        <v>269</v>
      </c>
      <c r="K350" s="6">
        <v>252.85999999999999</v>
      </c>
      <c r="L350" s="6">
        <v>0</v>
      </c>
      <c r="M350" s="6">
        <v>0</v>
      </c>
      <c r="N350" s="6">
        <v>0</v>
      </c>
      <c r="O350" s="6">
        <v>0</v>
      </c>
      <c r="P350" s="6">
        <v>3</v>
      </c>
      <c r="Q350" s="4" t="s">
        <v>26</v>
      </c>
      <c r="R350" s="4">
        <v>0</v>
      </c>
      <c r="S350" s="4" t="s">
        <v>141</v>
      </c>
      <c r="U350" s="4">
        <v>6</v>
      </c>
      <c r="V350" s="4">
        <v>0</v>
      </c>
      <c r="W350" s="4">
        <v>0</v>
      </c>
    </row>
    <row r="351" spans="1:23" ht="11.25" customHeight="1" x14ac:dyDescent="0.25">
      <c r="A351" s="4" t="s">
        <v>21</v>
      </c>
      <c r="B351" s="4" t="s">
        <v>33</v>
      </c>
      <c r="C351" s="4" t="s">
        <v>34</v>
      </c>
      <c r="D351" s="4" t="s">
        <v>50</v>
      </c>
      <c r="E351" s="4" t="s">
        <v>51</v>
      </c>
      <c r="F351" s="4" t="s">
        <v>25</v>
      </c>
      <c r="G351" s="4" t="s">
        <v>25</v>
      </c>
      <c r="H351" s="4" t="s">
        <v>25</v>
      </c>
      <c r="I351" s="5">
        <v>44652</v>
      </c>
      <c r="J351" s="6">
        <v>270</v>
      </c>
      <c r="K351" s="6">
        <v>253.79999999999998</v>
      </c>
      <c r="L351" s="6">
        <v>0</v>
      </c>
      <c r="M351" s="6">
        <v>0</v>
      </c>
      <c r="N351" s="6">
        <v>0</v>
      </c>
      <c r="O351" s="6">
        <v>0</v>
      </c>
      <c r="P351" s="6">
        <v>3</v>
      </c>
      <c r="Q351" s="4" t="s">
        <v>26</v>
      </c>
      <c r="R351" s="4">
        <v>0</v>
      </c>
      <c r="S351" s="4" t="s">
        <v>142</v>
      </c>
      <c r="U351" s="4">
        <v>6</v>
      </c>
      <c r="V351" s="4">
        <v>0</v>
      </c>
      <c r="W351" s="4">
        <v>0</v>
      </c>
    </row>
    <row r="352" spans="1:23" ht="11.25" customHeight="1" x14ac:dyDescent="0.25">
      <c r="A352" s="4" t="s">
        <v>21</v>
      </c>
      <c r="B352" s="4" t="s">
        <v>33</v>
      </c>
      <c r="C352" s="4" t="s">
        <v>34</v>
      </c>
      <c r="D352" s="4" t="s">
        <v>50</v>
      </c>
      <c r="E352" s="4" t="s">
        <v>51</v>
      </c>
      <c r="F352" s="4" t="s">
        <v>25</v>
      </c>
      <c r="G352" s="4" t="s">
        <v>25</v>
      </c>
      <c r="H352" s="4" t="s">
        <v>35</v>
      </c>
      <c r="I352" s="5">
        <v>44317</v>
      </c>
      <c r="J352" s="6">
        <v>0</v>
      </c>
      <c r="K352" s="6">
        <v>0</v>
      </c>
      <c r="L352" s="6">
        <v>6.8140000000000001</v>
      </c>
      <c r="M352" s="6">
        <v>6.4051599999999995</v>
      </c>
      <c r="N352" s="6">
        <v>6.8140000000000001</v>
      </c>
      <c r="O352" s="6">
        <v>6.4051599999999995</v>
      </c>
      <c r="P352" s="6">
        <v>0</v>
      </c>
      <c r="Q352" s="4" t="s">
        <v>26</v>
      </c>
      <c r="R352" s="4">
        <v>0</v>
      </c>
      <c r="S352" s="4" t="s">
        <v>143</v>
      </c>
      <c r="T352" s="4" t="s">
        <v>384</v>
      </c>
      <c r="U352" s="4">
        <v>0</v>
      </c>
      <c r="V352" s="4">
        <v>7</v>
      </c>
      <c r="W352" s="4">
        <v>48</v>
      </c>
    </row>
    <row r="353" spans="1:23" ht="11.25" customHeight="1" x14ac:dyDescent="0.25">
      <c r="A353" s="4" t="s">
        <v>21</v>
      </c>
      <c r="B353" s="4" t="s">
        <v>33</v>
      </c>
      <c r="C353" s="4" t="s">
        <v>34</v>
      </c>
      <c r="D353" s="4" t="s">
        <v>50</v>
      </c>
      <c r="E353" s="4" t="s">
        <v>51</v>
      </c>
      <c r="F353" s="4" t="s">
        <v>25</v>
      </c>
      <c r="G353" s="4" t="s">
        <v>25</v>
      </c>
      <c r="H353" s="4" t="s">
        <v>35</v>
      </c>
      <c r="I353" s="5">
        <v>44348</v>
      </c>
      <c r="J353" s="6">
        <v>0</v>
      </c>
      <c r="K353" s="6">
        <v>0</v>
      </c>
      <c r="L353" s="6">
        <v>7.5190000000000001</v>
      </c>
      <c r="M353" s="6">
        <v>7.0678599999999996</v>
      </c>
      <c r="N353" s="6">
        <v>7.5190000000000001</v>
      </c>
      <c r="O353" s="6">
        <v>7.0678599999999996</v>
      </c>
      <c r="P353" s="6">
        <v>0</v>
      </c>
      <c r="Q353" s="4" t="s">
        <v>26</v>
      </c>
      <c r="R353" s="4">
        <v>0</v>
      </c>
      <c r="S353" s="4" t="s">
        <v>144</v>
      </c>
      <c r="T353" s="4" t="s">
        <v>385</v>
      </c>
      <c r="U353" s="4">
        <v>0</v>
      </c>
      <c r="V353" s="4">
        <v>7</v>
      </c>
      <c r="W353" s="4">
        <v>48</v>
      </c>
    </row>
    <row r="354" spans="1:23" ht="11.25" customHeight="1" x14ac:dyDescent="0.25">
      <c r="A354" s="4" t="s">
        <v>21</v>
      </c>
      <c r="B354" s="4" t="s">
        <v>33</v>
      </c>
      <c r="C354" s="4" t="s">
        <v>34</v>
      </c>
      <c r="D354" s="4" t="s">
        <v>50</v>
      </c>
      <c r="E354" s="4" t="s">
        <v>51</v>
      </c>
      <c r="F354" s="4" t="s">
        <v>25</v>
      </c>
      <c r="G354" s="4" t="s">
        <v>25</v>
      </c>
      <c r="H354" s="4" t="s">
        <v>35</v>
      </c>
      <c r="I354" s="5">
        <v>44378</v>
      </c>
      <c r="J354" s="6">
        <v>0</v>
      </c>
      <c r="K354" s="6">
        <v>0</v>
      </c>
      <c r="L354" s="6">
        <v>6.431</v>
      </c>
      <c r="M354" s="6">
        <v>6.04514</v>
      </c>
      <c r="N354" s="6">
        <v>6.431</v>
      </c>
      <c r="O354" s="6">
        <v>6.04514</v>
      </c>
      <c r="P354" s="6">
        <v>0</v>
      </c>
      <c r="Q354" s="4" t="s">
        <v>26</v>
      </c>
      <c r="R354" s="4">
        <v>0</v>
      </c>
      <c r="S354" s="4" t="s">
        <v>145</v>
      </c>
      <c r="T354" s="4" t="s">
        <v>386</v>
      </c>
      <c r="U354" s="4">
        <v>0</v>
      </c>
      <c r="V354" s="4">
        <v>7</v>
      </c>
      <c r="W354" s="4">
        <v>48</v>
      </c>
    </row>
    <row r="355" spans="1:23" ht="11.25" customHeight="1" x14ac:dyDescent="0.25">
      <c r="A355" s="4" t="s">
        <v>21</v>
      </c>
      <c r="B355" s="4" t="s">
        <v>33</v>
      </c>
      <c r="C355" s="4" t="s">
        <v>34</v>
      </c>
      <c r="D355" s="4" t="s">
        <v>50</v>
      </c>
      <c r="E355" s="4" t="s">
        <v>51</v>
      </c>
      <c r="F355" s="4" t="s">
        <v>25</v>
      </c>
      <c r="G355" s="4" t="s">
        <v>25</v>
      </c>
      <c r="H355" s="4" t="s">
        <v>35</v>
      </c>
      <c r="I355" s="5">
        <v>44409</v>
      </c>
      <c r="J355" s="6">
        <v>0</v>
      </c>
      <c r="K355" s="6">
        <v>0</v>
      </c>
      <c r="L355" s="6">
        <v>7.1349999999999998</v>
      </c>
      <c r="M355" s="6">
        <v>6.7069000000000001</v>
      </c>
      <c r="N355" s="6">
        <v>7.1349999999999998</v>
      </c>
      <c r="O355" s="6">
        <v>6.7069000000000001</v>
      </c>
      <c r="P355" s="6">
        <v>0</v>
      </c>
      <c r="Q355" s="4" t="s">
        <v>26</v>
      </c>
      <c r="R355" s="4">
        <v>0</v>
      </c>
      <c r="S355" s="4" t="s">
        <v>146</v>
      </c>
      <c r="T355" s="4" t="s">
        <v>387</v>
      </c>
      <c r="U355" s="4">
        <v>0</v>
      </c>
      <c r="V355" s="4">
        <v>7</v>
      </c>
      <c r="W355" s="4">
        <v>48</v>
      </c>
    </row>
    <row r="356" spans="1:23" ht="11.25" customHeight="1" x14ac:dyDescent="0.25">
      <c r="A356" s="4" t="s">
        <v>21</v>
      </c>
      <c r="B356" s="4" t="s">
        <v>33</v>
      </c>
      <c r="C356" s="4" t="s">
        <v>34</v>
      </c>
      <c r="D356" s="4" t="s">
        <v>50</v>
      </c>
      <c r="E356" s="4" t="s">
        <v>51</v>
      </c>
      <c r="F356" s="4" t="s">
        <v>25</v>
      </c>
      <c r="G356" s="4" t="s">
        <v>25</v>
      </c>
      <c r="H356" s="4" t="s">
        <v>35</v>
      </c>
      <c r="I356" s="5">
        <v>44440</v>
      </c>
      <c r="J356" s="6">
        <v>0</v>
      </c>
      <c r="K356" s="6">
        <v>0</v>
      </c>
      <c r="L356" s="6">
        <v>8.0429999999999993</v>
      </c>
      <c r="M356" s="6">
        <v>7.5604199999999997</v>
      </c>
      <c r="N356" s="6">
        <v>8.0429999999999993</v>
      </c>
      <c r="O356" s="6">
        <v>7.5604199999999997</v>
      </c>
      <c r="P356" s="6">
        <v>0</v>
      </c>
      <c r="Q356" s="4" t="s">
        <v>26</v>
      </c>
      <c r="R356" s="4">
        <v>0</v>
      </c>
      <c r="S356" s="4" t="s">
        <v>147</v>
      </c>
      <c r="T356" s="4" t="s">
        <v>388</v>
      </c>
      <c r="U356" s="4">
        <v>0</v>
      </c>
      <c r="V356" s="4">
        <v>7</v>
      </c>
      <c r="W356" s="4">
        <v>48</v>
      </c>
    </row>
    <row r="357" spans="1:23" ht="11.25" customHeight="1" x14ac:dyDescent="0.25">
      <c r="A357" s="4" t="s">
        <v>21</v>
      </c>
      <c r="B357" s="4" t="s">
        <v>33</v>
      </c>
      <c r="C357" s="4" t="s">
        <v>34</v>
      </c>
      <c r="D357" s="4" t="s">
        <v>50</v>
      </c>
      <c r="E357" s="4" t="s">
        <v>51</v>
      </c>
      <c r="F357" s="4" t="s">
        <v>25</v>
      </c>
      <c r="G357" s="4" t="s">
        <v>25</v>
      </c>
      <c r="H357" s="4" t="s">
        <v>35</v>
      </c>
      <c r="I357" s="5">
        <v>44470</v>
      </c>
      <c r="J357" s="6">
        <v>0</v>
      </c>
      <c r="K357" s="6">
        <v>0</v>
      </c>
      <c r="L357" s="6">
        <v>8.9540000000000006</v>
      </c>
      <c r="M357" s="6">
        <v>8.41676</v>
      </c>
      <c r="N357" s="6">
        <v>8.9540000000000006</v>
      </c>
      <c r="O357" s="6">
        <v>8.41676</v>
      </c>
      <c r="P357" s="6">
        <v>0</v>
      </c>
      <c r="Q357" s="4" t="s">
        <v>26</v>
      </c>
      <c r="R357" s="4">
        <v>0</v>
      </c>
      <c r="S357" s="4" t="s">
        <v>148</v>
      </c>
      <c r="T357" s="4" t="s">
        <v>389</v>
      </c>
      <c r="U357" s="4">
        <v>0</v>
      </c>
      <c r="V357" s="4">
        <v>7</v>
      </c>
      <c r="W357" s="4">
        <v>48</v>
      </c>
    </row>
    <row r="358" spans="1:23" ht="11.25" customHeight="1" x14ac:dyDescent="0.25">
      <c r="A358" s="4" t="s">
        <v>21</v>
      </c>
      <c r="B358" s="4" t="s">
        <v>33</v>
      </c>
      <c r="C358" s="4" t="s">
        <v>34</v>
      </c>
      <c r="D358" s="4" t="s">
        <v>50</v>
      </c>
      <c r="E358" s="4" t="s">
        <v>51</v>
      </c>
      <c r="F358" s="4" t="s">
        <v>25</v>
      </c>
      <c r="G358" s="4" t="s">
        <v>25</v>
      </c>
      <c r="H358" s="4" t="s">
        <v>35</v>
      </c>
      <c r="I358" s="5">
        <v>44501</v>
      </c>
      <c r="J358" s="6">
        <v>0</v>
      </c>
      <c r="K358" s="6">
        <v>0</v>
      </c>
      <c r="L358" s="6">
        <v>9.6679999999999993</v>
      </c>
      <c r="M358" s="6">
        <v>9.0879199999999987</v>
      </c>
      <c r="N358" s="6">
        <v>9.6679999999999993</v>
      </c>
      <c r="O358" s="6">
        <v>9.0879199999999987</v>
      </c>
      <c r="P358" s="6">
        <v>0</v>
      </c>
      <c r="Q358" s="4" t="s">
        <v>26</v>
      </c>
      <c r="R358" s="4">
        <v>0</v>
      </c>
      <c r="S358" s="4" t="s">
        <v>149</v>
      </c>
      <c r="T358" s="4" t="s">
        <v>390</v>
      </c>
      <c r="U358" s="4">
        <v>0</v>
      </c>
      <c r="V358" s="4">
        <v>7</v>
      </c>
      <c r="W358" s="4">
        <v>48</v>
      </c>
    </row>
    <row r="359" spans="1:23" ht="11.25" customHeight="1" x14ac:dyDescent="0.25">
      <c r="A359" s="4" t="s">
        <v>21</v>
      </c>
      <c r="B359" s="4" t="s">
        <v>33</v>
      </c>
      <c r="C359" s="4" t="s">
        <v>34</v>
      </c>
      <c r="D359" s="4" t="s">
        <v>50</v>
      </c>
      <c r="E359" s="4" t="s">
        <v>51</v>
      </c>
      <c r="F359" s="4" t="s">
        <v>25</v>
      </c>
      <c r="G359" s="4" t="s">
        <v>25</v>
      </c>
      <c r="H359" s="4" t="s">
        <v>35</v>
      </c>
      <c r="I359" s="5">
        <v>44531</v>
      </c>
      <c r="J359" s="6">
        <v>0</v>
      </c>
      <c r="K359" s="6">
        <v>0</v>
      </c>
      <c r="L359" s="6">
        <v>11.029</v>
      </c>
      <c r="M359" s="6">
        <v>10.36726</v>
      </c>
      <c r="N359" s="6">
        <v>11.029</v>
      </c>
      <c r="O359" s="6">
        <v>10.36726</v>
      </c>
      <c r="P359" s="6">
        <v>0</v>
      </c>
      <c r="Q359" s="4" t="s">
        <v>26</v>
      </c>
      <c r="R359" s="4">
        <v>0</v>
      </c>
      <c r="S359" s="4" t="s">
        <v>150</v>
      </c>
      <c r="T359" s="4" t="s">
        <v>391</v>
      </c>
      <c r="U359" s="4">
        <v>0</v>
      </c>
      <c r="V359" s="4">
        <v>7</v>
      </c>
      <c r="W359" s="4">
        <v>48</v>
      </c>
    </row>
    <row r="360" spans="1:23" ht="11.25" customHeight="1" x14ac:dyDescent="0.25">
      <c r="A360" s="4" t="s">
        <v>21</v>
      </c>
      <c r="B360" s="4" t="s">
        <v>33</v>
      </c>
      <c r="C360" s="4" t="s">
        <v>34</v>
      </c>
      <c r="D360" s="4" t="s">
        <v>50</v>
      </c>
      <c r="E360" s="4" t="s">
        <v>51</v>
      </c>
      <c r="F360" s="4" t="s">
        <v>25</v>
      </c>
      <c r="G360" s="4" t="s">
        <v>25</v>
      </c>
      <c r="H360" s="4" t="s">
        <v>35</v>
      </c>
      <c r="I360" s="5">
        <v>44562</v>
      </c>
      <c r="J360" s="6">
        <v>0</v>
      </c>
      <c r="K360" s="6">
        <v>0</v>
      </c>
      <c r="L360" s="6">
        <v>10.352</v>
      </c>
      <c r="M360" s="6">
        <v>9.7308799999999991</v>
      </c>
      <c r="N360" s="6">
        <v>10.352</v>
      </c>
      <c r="O360" s="6">
        <v>9.7308799999999991</v>
      </c>
      <c r="P360" s="6">
        <v>0</v>
      </c>
      <c r="Q360" s="4" t="s">
        <v>26</v>
      </c>
      <c r="R360" s="4">
        <v>0</v>
      </c>
      <c r="S360" s="4" t="s">
        <v>151</v>
      </c>
      <c r="T360" s="4" t="s">
        <v>392</v>
      </c>
      <c r="U360" s="4">
        <v>0</v>
      </c>
      <c r="V360" s="4">
        <v>7</v>
      </c>
      <c r="W360" s="4">
        <v>48</v>
      </c>
    </row>
    <row r="361" spans="1:23" ht="11.25" customHeight="1" x14ac:dyDescent="0.25">
      <c r="A361" s="4" t="s">
        <v>21</v>
      </c>
      <c r="B361" s="4" t="s">
        <v>33</v>
      </c>
      <c r="C361" s="4" t="s">
        <v>34</v>
      </c>
      <c r="D361" s="4" t="s">
        <v>50</v>
      </c>
      <c r="E361" s="4" t="s">
        <v>51</v>
      </c>
      <c r="F361" s="4" t="s">
        <v>25</v>
      </c>
      <c r="G361" s="4" t="s">
        <v>25</v>
      </c>
      <c r="H361" s="4" t="s">
        <v>35</v>
      </c>
      <c r="I361" s="5">
        <v>44593</v>
      </c>
      <c r="J361" s="6">
        <v>0</v>
      </c>
      <c r="K361" s="6">
        <v>0</v>
      </c>
      <c r="L361" s="6">
        <v>10.896000000000001</v>
      </c>
      <c r="M361" s="6">
        <v>10.242240000000001</v>
      </c>
      <c r="N361" s="6">
        <v>10.896000000000001</v>
      </c>
      <c r="O361" s="6">
        <v>10.242240000000001</v>
      </c>
      <c r="P361" s="6">
        <v>0</v>
      </c>
      <c r="Q361" s="4" t="s">
        <v>26</v>
      </c>
      <c r="R361" s="4">
        <v>0</v>
      </c>
      <c r="S361" s="4" t="s">
        <v>152</v>
      </c>
      <c r="T361" s="4" t="s">
        <v>393</v>
      </c>
      <c r="U361" s="4">
        <v>0</v>
      </c>
      <c r="V361" s="4">
        <v>7</v>
      </c>
      <c r="W361" s="4">
        <v>48</v>
      </c>
    </row>
    <row r="362" spans="1:23" ht="11.25" customHeight="1" x14ac:dyDescent="0.25">
      <c r="A362" s="4" t="s">
        <v>21</v>
      </c>
      <c r="B362" s="4" t="s">
        <v>33</v>
      </c>
      <c r="C362" s="4" t="s">
        <v>34</v>
      </c>
      <c r="D362" s="4" t="s">
        <v>50</v>
      </c>
      <c r="E362" s="4" t="s">
        <v>51</v>
      </c>
      <c r="F362" s="4" t="s">
        <v>25</v>
      </c>
      <c r="G362" s="4" t="s">
        <v>25</v>
      </c>
      <c r="H362" s="4" t="s">
        <v>35</v>
      </c>
      <c r="I362" s="5">
        <v>44621</v>
      </c>
      <c r="J362" s="6">
        <v>0</v>
      </c>
      <c r="K362" s="6">
        <v>0</v>
      </c>
      <c r="L362" s="6">
        <v>10.621</v>
      </c>
      <c r="M362" s="6">
        <v>9.9837399999999992</v>
      </c>
      <c r="N362" s="6">
        <v>10.621</v>
      </c>
      <c r="O362" s="6">
        <v>9.9837399999999992</v>
      </c>
      <c r="P362" s="6">
        <v>0</v>
      </c>
      <c r="Q362" s="4" t="s">
        <v>26</v>
      </c>
      <c r="R362" s="4">
        <v>0</v>
      </c>
      <c r="S362" s="4" t="s">
        <v>153</v>
      </c>
      <c r="T362" s="4" t="s">
        <v>394</v>
      </c>
      <c r="U362" s="4">
        <v>0</v>
      </c>
      <c r="V362" s="4">
        <v>7</v>
      </c>
      <c r="W362" s="4">
        <v>48</v>
      </c>
    </row>
    <row r="363" spans="1:23" ht="11.25" customHeight="1" x14ac:dyDescent="0.25">
      <c r="A363" s="4" t="s">
        <v>21</v>
      </c>
      <c r="B363" s="4" t="s">
        <v>33</v>
      </c>
      <c r="C363" s="4" t="s">
        <v>34</v>
      </c>
      <c r="D363" s="4" t="s">
        <v>50</v>
      </c>
      <c r="E363" s="4" t="s">
        <v>51</v>
      </c>
      <c r="F363" s="4" t="s">
        <v>25</v>
      </c>
      <c r="G363" s="4" t="s">
        <v>25</v>
      </c>
      <c r="H363" s="4" t="s">
        <v>35</v>
      </c>
      <c r="I363" s="5">
        <v>44652</v>
      </c>
      <c r="J363" s="6">
        <v>0</v>
      </c>
      <c r="K363" s="6">
        <v>0</v>
      </c>
      <c r="L363" s="6">
        <v>10.084</v>
      </c>
      <c r="M363" s="6">
        <v>9.4789599999999989</v>
      </c>
      <c r="N363" s="6">
        <v>10.084</v>
      </c>
      <c r="O363" s="6">
        <v>9.4789599999999989</v>
      </c>
      <c r="P363" s="6">
        <v>0</v>
      </c>
      <c r="Q363" s="4" t="s">
        <v>26</v>
      </c>
      <c r="R363" s="4">
        <v>0</v>
      </c>
      <c r="S363" s="4" t="s">
        <v>154</v>
      </c>
      <c r="T363" s="4" t="s">
        <v>395</v>
      </c>
      <c r="U363" s="4">
        <v>0</v>
      </c>
      <c r="V363" s="4">
        <v>7</v>
      </c>
      <c r="W363" s="4">
        <v>48</v>
      </c>
    </row>
    <row r="364" spans="1:23" ht="11.25" customHeight="1" x14ac:dyDescent="0.25">
      <c r="A364" s="4" t="s">
        <v>21</v>
      </c>
      <c r="B364" s="4" t="s">
        <v>22</v>
      </c>
      <c r="C364" s="4" t="s">
        <v>37</v>
      </c>
      <c r="D364" s="4" t="s">
        <v>24</v>
      </c>
      <c r="E364" s="4" t="s">
        <v>24</v>
      </c>
      <c r="F364" s="4" t="s">
        <v>25</v>
      </c>
      <c r="G364" s="4" t="s">
        <v>25</v>
      </c>
      <c r="H364" s="4" t="s">
        <v>36</v>
      </c>
      <c r="I364" s="5">
        <v>44317</v>
      </c>
      <c r="J364" s="6">
        <v>0</v>
      </c>
      <c r="K364" s="6">
        <v>0</v>
      </c>
      <c r="L364" s="6">
        <v>1.794</v>
      </c>
      <c r="M364" s="6">
        <v>1.794</v>
      </c>
      <c r="N364" s="6">
        <v>1.794</v>
      </c>
      <c r="O364" s="6">
        <v>1.794</v>
      </c>
      <c r="P364" s="6">
        <v>0</v>
      </c>
      <c r="Q364" s="4" t="s">
        <v>26</v>
      </c>
      <c r="R364" s="4">
        <v>0</v>
      </c>
      <c r="S364" s="4" t="s">
        <v>155</v>
      </c>
      <c r="T364" s="4" t="s">
        <v>400</v>
      </c>
      <c r="U364" s="4">
        <v>0</v>
      </c>
      <c r="V364" s="4">
        <v>15</v>
      </c>
      <c r="W364" s="4">
        <v>52</v>
      </c>
    </row>
    <row r="365" spans="1:23" ht="11.25" customHeight="1" x14ac:dyDescent="0.25">
      <c r="A365" s="4" t="s">
        <v>21</v>
      </c>
      <c r="B365" s="4" t="s">
        <v>22</v>
      </c>
      <c r="C365" s="4" t="s">
        <v>37</v>
      </c>
      <c r="D365" s="4" t="s">
        <v>24</v>
      </c>
      <c r="E365" s="4" t="s">
        <v>24</v>
      </c>
      <c r="F365" s="4" t="s">
        <v>25</v>
      </c>
      <c r="G365" s="4" t="s">
        <v>25</v>
      </c>
      <c r="H365" s="4" t="s">
        <v>36</v>
      </c>
      <c r="I365" s="5">
        <v>44348</v>
      </c>
      <c r="J365" s="6">
        <v>0</v>
      </c>
      <c r="K365" s="6">
        <v>0</v>
      </c>
      <c r="L365" s="6">
        <v>1.857</v>
      </c>
      <c r="M365" s="6">
        <v>1.857</v>
      </c>
      <c r="N365" s="6">
        <v>1.857</v>
      </c>
      <c r="O365" s="6">
        <v>1.857</v>
      </c>
      <c r="P365" s="6">
        <v>0</v>
      </c>
      <c r="Q365" s="4" t="s">
        <v>26</v>
      </c>
      <c r="R365" s="4">
        <v>0</v>
      </c>
      <c r="S365" s="4" t="s">
        <v>156</v>
      </c>
      <c r="T365" s="4" t="s">
        <v>401</v>
      </c>
      <c r="U365" s="4">
        <v>0</v>
      </c>
      <c r="V365" s="4">
        <v>15</v>
      </c>
      <c r="W365" s="4">
        <v>52</v>
      </c>
    </row>
    <row r="366" spans="1:23" ht="11.25" customHeight="1" x14ac:dyDescent="0.25">
      <c r="A366" s="4" t="s">
        <v>21</v>
      </c>
      <c r="B366" s="4" t="s">
        <v>22</v>
      </c>
      <c r="C366" s="4" t="s">
        <v>37</v>
      </c>
      <c r="D366" s="4" t="s">
        <v>24</v>
      </c>
      <c r="E366" s="4" t="s">
        <v>24</v>
      </c>
      <c r="F366" s="4" t="s">
        <v>25</v>
      </c>
      <c r="G366" s="4" t="s">
        <v>25</v>
      </c>
      <c r="H366" s="4" t="s">
        <v>36</v>
      </c>
      <c r="I366" s="5">
        <v>44378</v>
      </c>
      <c r="J366" s="6">
        <v>0</v>
      </c>
      <c r="K366" s="6">
        <v>0</v>
      </c>
      <c r="L366" s="6">
        <v>1.9950000000000001</v>
      </c>
      <c r="M366" s="6">
        <v>1.9950000000000001</v>
      </c>
      <c r="N366" s="6">
        <v>1.9950000000000001</v>
      </c>
      <c r="O366" s="6">
        <v>1.9950000000000001</v>
      </c>
      <c r="P366" s="6">
        <v>0</v>
      </c>
      <c r="Q366" s="4" t="s">
        <v>26</v>
      </c>
      <c r="R366" s="4">
        <v>0</v>
      </c>
      <c r="S366" s="4" t="s">
        <v>157</v>
      </c>
      <c r="T366" s="4" t="s">
        <v>402</v>
      </c>
      <c r="U366" s="4">
        <v>0</v>
      </c>
      <c r="V366" s="4">
        <v>15</v>
      </c>
      <c r="W366" s="4">
        <v>52</v>
      </c>
    </row>
    <row r="367" spans="1:23" ht="11.25" customHeight="1" x14ac:dyDescent="0.25">
      <c r="A367" s="4" t="s">
        <v>21</v>
      </c>
      <c r="B367" s="4" t="s">
        <v>22</v>
      </c>
      <c r="C367" s="4" t="s">
        <v>37</v>
      </c>
      <c r="D367" s="4" t="s">
        <v>24</v>
      </c>
      <c r="E367" s="4" t="s">
        <v>24</v>
      </c>
      <c r="F367" s="4" t="s">
        <v>25</v>
      </c>
      <c r="G367" s="4" t="s">
        <v>25</v>
      </c>
      <c r="H367" s="4" t="s">
        <v>36</v>
      </c>
      <c r="I367" s="5">
        <v>44409</v>
      </c>
      <c r="J367" s="6">
        <v>0</v>
      </c>
      <c r="K367" s="6">
        <v>0</v>
      </c>
      <c r="L367" s="6">
        <v>2.456</v>
      </c>
      <c r="M367" s="6">
        <v>2.456</v>
      </c>
      <c r="N367" s="6">
        <v>2.456</v>
      </c>
      <c r="O367" s="6">
        <v>2.456</v>
      </c>
      <c r="P367" s="6">
        <v>0</v>
      </c>
      <c r="Q367" s="4" t="s">
        <v>26</v>
      </c>
      <c r="R367" s="4">
        <v>0</v>
      </c>
      <c r="S367" s="4" t="s">
        <v>158</v>
      </c>
      <c r="T367" s="4" t="s">
        <v>403</v>
      </c>
      <c r="U367" s="4">
        <v>0</v>
      </c>
      <c r="V367" s="4">
        <v>15</v>
      </c>
      <c r="W367" s="4">
        <v>52</v>
      </c>
    </row>
    <row r="368" spans="1:23" ht="11.25" customHeight="1" x14ac:dyDescent="0.25">
      <c r="A368" s="4" t="s">
        <v>21</v>
      </c>
      <c r="B368" s="4" t="s">
        <v>22</v>
      </c>
      <c r="C368" s="4" t="s">
        <v>37</v>
      </c>
      <c r="D368" s="4" t="s">
        <v>24</v>
      </c>
      <c r="E368" s="4" t="s">
        <v>24</v>
      </c>
      <c r="F368" s="4" t="s">
        <v>25</v>
      </c>
      <c r="G368" s="4" t="s">
        <v>25</v>
      </c>
      <c r="H368" s="4" t="s">
        <v>36</v>
      </c>
      <c r="I368" s="5">
        <v>44440</v>
      </c>
      <c r="J368" s="6">
        <v>0</v>
      </c>
      <c r="K368" s="6">
        <v>0</v>
      </c>
      <c r="L368" s="6">
        <v>2.7250000000000001</v>
      </c>
      <c r="M368" s="6">
        <v>2.7250000000000001</v>
      </c>
      <c r="N368" s="6">
        <v>2.7250000000000001</v>
      </c>
      <c r="O368" s="6">
        <v>2.7250000000000001</v>
      </c>
      <c r="P368" s="6">
        <v>0</v>
      </c>
      <c r="Q368" s="4" t="s">
        <v>26</v>
      </c>
      <c r="R368" s="4">
        <v>0</v>
      </c>
      <c r="S368" s="4" t="s">
        <v>159</v>
      </c>
      <c r="T368" s="4" t="s">
        <v>404</v>
      </c>
      <c r="U368" s="4">
        <v>0</v>
      </c>
      <c r="V368" s="4">
        <v>15</v>
      </c>
      <c r="W368" s="4">
        <v>52</v>
      </c>
    </row>
    <row r="369" spans="1:23" ht="11.25" customHeight="1" x14ac:dyDescent="0.25">
      <c r="A369" s="4" t="s">
        <v>21</v>
      </c>
      <c r="B369" s="4" t="s">
        <v>22</v>
      </c>
      <c r="C369" s="4" t="s">
        <v>37</v>
      </c>
      <c r="D369" s="4" t="s">
        <v>24</v>
      </c>
      <c r="E369" s="4" t="s">
        <v>24</v>
      </c>
      <c r="F369" s="4" t="s">
        <v>25</v>
      </c>
      <c r="G369" s="4" t="s">
        <v>25</v>
      </c>
      <c r="H369" s="4" t="s">
        <v>36</v>
      </c>
      <c r="I369" s="5">
        <v>44470</v>
      </c>
      <c r="J369" s="6">
        <v>0</v>
      </c>
      <c r="K369" s="6">
        <v>0</v>
      </c>
      <c r="L369" s="6">
        <v>2.3330000000000002</v>
      </c>
      <c r="M369" s="6">
        <v>2.3330000000000002</v>
      </c>
      <c r="N369" s="6">
        <v>2.3330000000000002</v>
      </c>
      <c r="O369" s="6">
        <v>2.3330000000000002</v>
      </c>
      <c r="P369" s="6">
        <v>0</v>
      </c>
      <c r="Q369" s="4" t="s">
        <v>26</v>
      </c>
      <c r="R369" s="4">
        <v>0</v>
      </c>
      <c r="S369" s="4" t="s">
        <v>160</v>
      </c>
      <c r="T369" s="4" t="s">
        <v>405</v>
      </c>
      <c r="U369" s="4">
        <v>0</v>
      </c>
      <c r="V369" s="4">
        <v>15</v>
      </c>
      <c r="W369" s="4">
        <v>52</v>
      </c>
    </row>
    <row r="370" spans="1:23" ht="11.25" customHeight="1" x14ac:dyDescent="0.25">
      <c r="A370" s="4" t="s">
        <v>21</v>
      </c>
      <c r="B370" s="4" t="s">
        <v>22</v>
      </c>
      <c r="C370" s="4" t="s">
        <v>37</v>
      </c>
      <c r="D370" s="4" t="s">
        <v>24</v>
      </c>
      <c r="E370" s="4" t="s">
        <v>24</v>
      </c>
      <c r="F370" s="4" t="s">
        <v>25</v>
      </c>
      <c r="G370" s="4" t="s">
        <v>25</v>
      </c>
      <c r="H370" s="4" t="s">
        <v>36</v>
      </c>
      <c r="I370" s="5">
        <v>44501</v>
      </c>
      <c r="J370" s="6">
        <v>0</v>
      </c>
      <c r="K370" s="6">
        <v>0</v>
      </c>
      <c r="L370" s="6">
        <v>2.3420000000000001</v>
      </c>
      <c r="M370" s="6">
        <v>2.3420000000000001</v>
      </c>
      <c r="N370" s="6">
        <v>2.3420000000000001</v>
      </c>
      <c r="O370" s="6">
        <v>2.3420000000000001</v>
      </c>
      <c r="P370" s="6">
        <v>0</v>
      </c>
      <c r="Q370" s="4" t="s">
        <v>26</v>
      </c>
      <c r="R370" s="4">
        <v>0</v>
      </c>
      <c r="S370" s="4" t="s">
        <v>161</v>
      </c>
      <c r="T370" s="4" t="s">
        <v>406</v>
      </c>
      <c r="U370" s="4">
        <v>0</v>
      </c>
      <c r="V370" s="4">
        <v>15</v>
      </c>
      <c r="W370" s="4">
        <v>52</v>
      </c>
    </row>
    <row r="371" spans="1:23" ht="11.25" customHeight="1" x14ac:dyDescent="0.25">
      <c r="A371" s="4" t="s">
        <v>21</v>
      </c>
      <c r="B371" s="4" t="s">
        <v>22</v>
      </c>
      <c r="C371" s="4" t="s">
        <v>37</v>
      </c>
      <c r="D371" s="4" t="s">
        <v>24</v>
      </c>
      <c r="E371" s="4" t="s">
        <v>24</v>
      </c>
      <c r="F371" s="4" t="s">
        <v>25</v>
      </c>
      <c r="G371" s="4" t="s">
        <v>25</v>
      </c>
      <c r="H371" s="4" t="s">
        <v>36</v>
      </c>
      <c r="I371" s="5">
        <v>44531</v>
      </c>
      <c r="J371" s="6">
        <v>0</v>
      </c>
      <c r="K371" s="6">
        <v>0</v>
      </c>
      <c r="L371" s="6">
        <v>2.4870000000000001</v>
      </c>
      <c r="M371" s="6">
        <v>2.4870000000000001</v>
      </c>
      <c r="N371" s="6">
        <v>2.4870000000000001</v>
      </c>
      <c r="O371" s="6">
        <v>2.4870000000000001</v>
      </c>
      <c r="P371" s="6">
        <v>0</v>
      </c>
      <c r="Q371" s="4" t="s">
        <v>26</v>
      </c>
      <c r="R371" s="4">
        <v>0</v>
      </c>
      <c r="S371" s="4" t="s">
        <v>162</v>
      </c>
      <c r="T371" s="4" t="s">
        <v>407</v>
      </c>
      <c r="U371" s="4">
        <v>0</v>
      </c>
      <c r="V371" s="4">
        <v>15</v>
      </c>
      <c r="W371" s="4">
        <v>52</v>
      </c>
    </row>
    <row r="372" spans="1:23" ht="11.25" customHeight="1" x14ac:dyDescent="0.25">
      <c r="A372" s="4" t="s">
        <v>21</v>
      </c>
      <c r="B372" s="4" t="s">
        <v>22</v>
      </c>
      <c r="C372" s="4" t="s">
        <v>37</v>
      </c>
      <c r="D372" s="4" t="s">
        <v>24</v>
      </c>
      <c r="E372" s="4" t="s">
        <v>24</v>
      </c>
      <c r="F372" s="4" t="s">
        <v>25</v>
      </c>
      <c r="G372" s="4" t="s">
        <v>25</v>
      </c>
      <c r="H372" s="4" t="s">
        <v>36</v>
      </c>
      <c r="I372" s="5">
        <v>44562</v>
      </c>
      <c r="J372" s="6">
        <v>0</v>
      </c>
      <c r="K372" s="6">
        <v>0</v>
      </c>
      <c r="L372" s="6">
        <v>2.78</v>
      </c>
      <c r="M372" s="6">
        <v>2.78</v>
      </c>
      <c r="N372" s="6">
        <v>2.78</v>
      </c>
      <c r="O372" s="6">
        <v>2.78</v>
      </c>
      <c r="P372" s="6">
        <v>0</v>
      </c>
      <c r="Q372" s="4" t="s">
        <v>26</v>
      </c>
      <c r="R372" s="4">
        <v>0</v>
      </c>
      <c r="S372" s="4" t="s">
        <v>163</v>
      </c>
      <c r="T372" s="4" t="s">
        <v>408</v>
      </c>
      <c r="U372" s="4">
        <v>0</v>
      </c>
      <c r="V372" s="4">
        <v>15</v>
      </c>
      <c r="W372" s="4">
        <v>52</v>
      </c>
    </row>
    <row r="373" spans="1:23" ht="11.25" customHeight="1" x14ac:dyDescent="0.25">
      <c r="A373" s="4" t="s">
        <v>21</v>
      </c>
      <c r="B373" s="4" t="s">
        <v>22</v>
      </c>
      <c r="C373" s="4" t="s">
        <v>37</v>
      </c>
      <c r="D373" s="4" t="s">
        <v>24</v>
      </c>
      <c r="E373" s="4" t="s">
        <v>24</v>
      </c>
      <c r="F373" s="4" t="s">
        <v>25</v>
      </c>
      <c r="G373" s="4" t="s">
        <v>25</v>
      </c>
      <c r="H373" s="4" t="s">
        <v>36</v>
      </c>
      <c r="I373" s="5">
        <v>44593</v>
      </c>
      <c r="J373" s="6">
        <v>0</v>
      </c>
      <c r="K373" s="6">
        <v>0</v>
      </c>
      <c r="L373" s="6">
        <v>2.7229999999999999</v>
      </c>
      <c r="M373" s="6">
        <v>2.7229999999999999</v>
      </c>
      <c r="N373" s="6">
        <v>2.7229999999999999</v>
      </c>
      <c r="O373" s="6">
        <v>2.7229999999999999</v>
      </c>
      <c r="P373" s="6">
        <v>0</v>
      </c>
      <c r="Q373" s="4" t="s">
        <v>26</v>
      </c>
      <c r="R373" s="4">
        <v>0</v>
      </c>
      <c r="S373" s="4" t="s">
        <v>164</v>
      </c>
      <c r="T373" s="4" t="s">
        <v>409</v>
      </c>
      <c r="U373" s="4">
        <v>0</v>
      </c>
      <c r="V373" s="4">
        <v>15</v>
      </c>
      <c r="W373" s="4">
        <v>52</v>
      </c>
    </row>
    <row r="374" spans="1:23" ht="11.25" customHeight="1" x14ac:dyDescent="0.25">
      <c r="A374" s="4" t="s">
        <v>21</v>
      </c>
      <c r="B374" s="4" t="s">
        <v>22</v>
      </c>
      <c r="C374" s="4" t="s">
        <v>37</v>
      </c>
      <c r="D374" s="4" t="s">
        <v>24</v>
      </c>
      <c r="E374" s="4" t="s">
        <v>24</v>
      </c>
      <c r="F374" s="4" t="s">
        <v>25</v>
      </c>
      <c r="G374" s="4" t="s">
        <v>25</v>
      </c>
      <c r="H374" s="4" t="s">
        <v>36</v>
      </c>
      <c r="I374" s="5">
        <v>44621</v>
      </c>
      <c r="J374" s="6">
        <v>0</v>
      </c>
      <c r="K374" s="6">
        <v>0</v>
      </c>
      <c r="L374" s="6">
        <v>3.5790000000000002</v>
      </c>
      <c r="M374" s="6">
        <v>3.5790000000000002</v>
      </c>
      <c r="N374" s="6">
        <v>3.5790000000000002</v>
      </c>
      <c r="O374" s="6">
        <v>3.5790000000000002</v>
      </c>
      <c r="P374" s="6">
        <v>0</v>
      </c>
      <c r="Q374" s="4" t="s">
        <v>26</v>
      </c>
      <c r="R374" s="4">
        <v>0</v>
      </c>
      <c r="S374" s="4" t="s">
        <v>165</v>
      </c>
      <c r="T374" s="4" t="s">
        <v>410</v>
      </c>
      <c r="U374" s="4">
        <v>0</v>
      </c>
      <c r="V374" s="4">
        <v>15</v>
      </c>
      <c r="W374" s="4">
        <v>52</v>
      </c>
    </row>
    <row r="375" spans="1:23" ht="11.25" customHeight="1" x14ac:dyDescent="0.25">
      <c r="A375" s="4" t="s">
        <v>21</v>
      </c>
      <c r="B375" s="4" t="s">
        <v>22</v>
      </c>
      <c r="C375" s="4" t="s">
        <v>37</v>
      </c>
      <c r="D375" s="4" t="s">
        <v>24</v>
      </c>
      <c r="E375" s="4" t="s">
        <v>24</v>
      </c>
      <c r="F375" s="4" t="s">
        <v>25</v>
      </c>
      <c r="G375" s="4" t="s">
        <v>25</v>
      </c>
      <c r="H375" s="4" t="s">
        <v>36</v>
      </c>
      <c r="I375" s="5">
        <v>44652</v>
      </c>
      <c r="J375" s="6">
        <v>0</v>
      </c>
      <c r="K375" s="6">
        <v>0</v>
      </c>
      <c r="L375" s="6">
        <v>2.8010000000000002</v>
      </c>
      <c r="M375" s="6">
        <v>2.8010000000000002</v>
      </c>
      <c r="N375" s="6">
        <v>2.8010000000000002</v>
      </c>
      <c r="O375" s="6">
        <v>2.8010000000000002</v>
      </c>
      <c r="P375" s="6">
        <v>0</v>
      </c>
      <c r="Q375" s="4" t="s">
        <v>26</v>
      </c>
      <c r="R375" s="4">
        <v>0</v>
      </c>
      <c r="S375" s="4" t="s">
        <v>166</v>
      </c>
      <c r="T375" s="4" t="s">
        <v>411</v>
      </c>
      <c r="U375" s="4">
        <v>0</v>
      </c>
      <c r="V375" s="4">
        <v>15</v>
      </c>
      <c r="W375" s="4">
        <v>52</v>
      </c>
    </row>
    <row r="376" spans="1:23" ht="11.25" customHeight="1" x14ac:dyDescent="0.25">
      <c r="A376" s="4" t="s">
        <v>21</v>
      </c>
      <c r="B376" s="4" t="s">
        <v>22</v>
      </c>
      <c r="C376" s="4" t="s">
        <v>37</v>
      </c>
      <c r="D376" s="4" t="s">
        <v>24</v>
      </c>
      <c r="E376" s="4" t="s">
        <v>24</v>
      </c>
      <c r="F376" s="4" t="s">
        <v>25</v>
      </c>
      <c r="G376" s="4" t="s">
        <v>25</v>
      </c>
      <c r="H376" s="4" t="s">
        <v>38</v>
      </c>
      <c r="I376" s="5">
        <v>44317</v>
      </c>
      <c r="J376" s="6">
        <v>0</v>
      </c>
      <c r="K376" s="6">
        <v>0</v>
      </c>
      <c r="L376" s="6">
        <v>0.18</v>
      </c>
      <c r="M376" s="6">
        <v>0.18</v>
      </c>
      <c r="N376" s="6">
        <v>0.18</v>
      </c>
      <c r="O376" s="6">
        <v>0.18</v>
      </c>
      <c r="P376" s="6">
        <v>0</v>
      </c>
      <c r="Q376" s="4" t="s">
        <v>26</v>
      </c>
      <c r="R376" s="4">
        <v>0</v>
      </c>
      <c r="S376" s="4" t="s">
        <v>167</v>
      </c>
      <c r="T376" s="4" t="s">
        <v>412</v>
      </c>
      <c r="U376" s="4">
        <v>0</v>
      </c>
      <c r="V376" s="4">
        <v>14</v>
      </c>
      <c r="W376" s="4">
        <v>51</v>
      </c>
    </row>
    <row r="377" spans="1:23" ht="11.25" customHeight="1" x14ac:dyDescent="0.25">
      <c r="A377" s="4" t="s">
        <v>21</v>
      </c>
      <c r="B377" s="4" t="s">
        <v>22</v>
      </c>
      <c r="C377" s="4" t="s">
        <v>37</v>
      </c>
      <c r="D377" s="4" t="s">
        <v>24</v>
      </c>
      <c r="E377" s="4" t="s">
        <v>24</v>
      </c>
      <c r="F377" s="4" t="s">
        <v>25</v>
      </c>
      <c r="G377" s="4" t="s">
        <v>25</v>
      </c>
      <c r="H377" s="4" t="s">
        <v>38</v>
      </c>
      <c r="I377" s="5">
        <v>44348</v>
      </c>
      <c r="J377" s="6">
        <v>0</v>
      </c>
      <c r="K377" s="6">
        <v>0</v>
      </c>
      <c r="L377" s="6">
        <v>0.21</v>
      </c>
      <c r="M377" s="6">
        <v>0.21</v>
      </c>
      <c r="N377" s="6">
        <v>0.21</v>
      </c>
      <c r="O377" s="6">
        <v>0.21</v>
      </c>
      <c r="P377" s="6">
        <v>0</v>
      </c>
      <c r="Q377" s="4" t="s">
        <v>26</v>
      </c>
      <c r="R377" s="4">
        <v>0</v>
      </c>
      <c r="S377" s="4" t="s">
        <v>168</v>
      </c>
      <c r="T377" s="4" t="s">
        <v>413</v>
      </c>
      <c r="U377" s="4">
        <v>0</v>
      </c>
      <c r="V377" s="4">
        <v>14</v>
      </c>
      <c r="W377" s="4">
        <v>51</v>
      </c>
    </row>
    <row r="378" spans="1:23" ht="11.25" customHeight="1" x14ac:dyDescent="0.25">
      <c r="A378" s="4" t="s">
        <v>21</v>
      </c>
      <c r="B378" s="4" t="s">
        <v>22</v>
      </c>
      <c r="C378" s="4" t="s">
        <v>37</v>
      </c>
      <c r="D378" s="4" t="s">
        <v>24</v>
      </c>
      <c r="E378" s="4" t="s">
        <v>24</v>
      </c>
      <c r="F378" s="4" t="s">
        <v>25</v>
      </c>
      <c r="G378" s="4" t="s">
        <v>25</v>
      </c>
      <c r="H378" s="4" t="s">
        <v>38</v>
      </c>
      <c r="I378" s="5">
        <v>44378</v>
      </c>
      <c r="J378" s="6">
        <v>0</v>
      </c>
      <c r="K378" s="6">
        <v>0</v>
      </c>
      <c r="L378" s="6">
        <v>0.20200000000000001</v>
      </c>
      <c r="M378" s="6">
        <v>0.20200000000000001</v>
      </c>
      <c r="N378" s="6">
        <v>0.20200000000000001</v>
      </c>
      <c r="O378" s="6">
        <v>0.20200000000000001</v>
      </c>
      <c r="P378" s="6">
        <v>0</v>
      </c>
      <c r="Q378" s="4" t="s">
        <v>26</v>
      </c>
      <c r="R378" s="4">
        <v>0</v>
      </c>
      <c r="S378" s="4" t="s">
        <v>169</v>
      </c>
      <c r="T378" s="4" t="s">
        <v>414</v>
      </c>
      <c r="U378" s="4">
        <v>0</v>
      </c>
      <c r="V378" s="4">
        <v>14</v>
      </c>
      <c r="W378" s="4">
        <v>51</v>
      </c>
    </row>
    <row r="379" spans="1:23" ht="11.25" customHeight="1" x14ac:dyDescent="0.25">
      <c r="A379" s="4" t="s">
        <v>21</v>
      </c>
      <c r="B379" s="4" t="s">
        <v>22</v>
      </c>
      <c r="C379" s="4" t="s">
        <v>37</v>
      </c>
      <c r="D379" s="4" t="s">
        <v>24</v>
      </c>
      <c r="E379" s="4" t="s">
        <v>24</v>
      </c>
      <c r="F379" s="4" t="s">
        <v>25</v>
      </c>
      <c r="G379" s="4" t="s">
        <v>25</v>
      </c>
      <c r="H379" s="4" t="s">
        <v>38</v>
      </c>
      <c r="I379" s="5">
        <v>44409</v>
      </c>
      <c r="J379" s="6">
        <v>0</v>
      </c>
      <c r="K379" s="6">
        <v>0</v>
      </c>
      <c r="L379" s="6">
        <v>0.63500000000000001</v>
      </c>
      <c r="M379" s="6">
        <v>0.63500000000000001</v>
      </c>
      <c r="N379" s="6">
        <v>0.63500000000000001</v>
      </c>
      <c r="O379" s="6">
        <v>0.63500000000000001</v>
      </c>
      <c r="P379" s="6">
        <v>0</v>
      </c>
      <c r="Q379" s="4" t="s">
        <v>26</v>
      </c>
      <c r="R379" s="4">
        <v>0</v>
      </c>
      <c r="S379" s="4" t="s">
        <v>170</v>
      </c>
      <c r="T379" s="4" t="s">
        <v>415</v>
      </c>
      <c r="U379" s="4">
        <v>0</v>
      </c>
      <c r="V379" s="4">
        <v>14</v>
      </c>
      <c r="W379" s="4">
        <v>51</v>
      </c>
    </row>
    <row r="380" spans="1:23" ht="11.25" customHeight="1" x14ac:dyDescent="0.25">
      <c r="A380" s="4" t="s">
        <v>21</v>
      </c>
      <c r="B380" s="4" t="s">
        <v>22</v>
      </c>
      <c r="C380" s="4" t="s">
        <v>37</v>
      </c>
      <c r="D380" s="4" t="s">
        <v>24</v>
      </c>
      <c r="E380" s="4" t="s">
        <v>24</v>
      </c>
      <c r="F380" s="4" t="s">
        <v>25</v>
      </c>
      <c r="G380" s="4" t="s">
        <v>25</v>
      </c>
      <c r="H380" s="4" t="s">
        <v>38</v>
      </c>
      <c r="I380" s="5">
        <v>44440</v>
      </c>
      <c r="J380" s="6">
        <v>0</v>
      </c>
      <c r="K380" s="6">
        <v>0</v>
      </c>
      <c r="L380" s="6">
        <v>0.60299999999999998</v>
      </c>
      <c r="M380" s="6">
        <v>0.60299999999999998</v>
      </c>
      <c r="N380" s="6">
        <v>0.60299999999999998</v>
      </c>
      <c r="O380" s="6">
        <v>0.60299999999999998</v>
      </c>
      <c r="P380" s="6">
        <v>0</v>
      </c>
      <c r="Q380" s="4" t="s">
        <v>26</v>
      </c>
      <c r="R380" s="4">
        <v>0</v>
      </c>
      <c r="S380" s="4" t="s">
        <v>171</v>
      </c>
      <c r="T380" s="4" t="s">
        <v>416</v>
      </c>
      <c r="U380" s="4">
        <v>0</v>
      </c>
      <c r="V380" s="4">
        <v>14</v>
      </c>
      <c r="W380" s="4">
        <v>51</v>
      </c>
    </row>
    <row r="381" spans="1:23" ht="11.25" customHeight="1" x14ac:dyDescent="0.25">
      <c r="A381" s="4" t="s">
        <v>21</v>
      </c>
      <c r="B381" s="4" t="s">
        <v>22</v>
      </c>
      <c r="C381" s="4" t="s">
        <v>37</v>
      </c>
      <c r="D381" s="4" t="s">
        <v>24</v>
      </c>
      <c r="E381" s="4" t="s">
        <v>24</v>
      </c>
      <c r="F381" s="4" t="s">
        <v>25</v>
      </c>
      <c r="G381" s="4" t="s">
        <v>25</v>
      </c>
      <c r="H381" s="4" t="s">
        <v>38</v>
      </c>
      <c r="I381" s="5">
        <v>44470</v>
      </c>
      <c r="J381" s="6">
        <v>0</v>
      </c>
      <c r="K381" s="6">
        <v>0</v>
      </c>
      <c r="L381" s="6">
        <v>0.56299999999999994</v>
      </c>
      <c r="M381" s="6">
        <v>0.56299999999999994</v>
      </c>
      <c r="N381" s="6">
        <v>0.56299999999999994</v>
      </c>
      <c r="O381" s="6">
        <v>0.56299999999999994</v>
      </c>
      <c r="P381" s="6">
        <v>0</v>
      </c>
      <c r="Q381" s="4" t="s">
        <v>26</v>
      </c>
      <c r="R381" s="4">
        <v>0</v>
      </c>
      <c r="S381" s="4" t="s">
        <v>172</v>
      </c>
      <c r="T381" s="4" t="s">
        <v>417</v>
      </c>
      <c r="U381" s="4">
        <v>0</v>
      </c>
      <c r="V381" s="4">
        <v>14</v>
      </c>
      <c r="W381" s="4">
        <v>51</v>
      </c>
    </row>
    <row r="382" spans="1:23" ht="11.25" customHeight="1" x14ac:dyDescent="0.25">
      <c r="A382" s="4" t="s">
        <v>21</v>
      </c>
      <c r="B382" s="4" t="s">
        <v>22</v>
      </c>
      <c r="C382" s="4" t="s">
        <v>37</v>
      </c>
      <c r="D382" s="4" t="s">
        <v>24</v>
      </c>
      <c r="E382" s="4" t="s">
        <v>24</v>
      </c>
      <c r="F382" s="4" t="s">
        <v>25</v>
      </c>
      <c r="G382" s="4" t="s">
        <v>25</v>
      </c>
      <c r="H382" s="4" t="s">
        <v>38</v>
      </c>
      <c r="I382" s="5">
        <v>44501</v>
      </c>
      <c r="J382" s="6">
        <v>0</v>
      </c>
      <c r="K382" s="6">
        <v>0</v>
      </c>
      <c r="L382" s="6">
        <v>0.48599999999999999</v>
      </c>
      <c r="M382" s="6">
        <v>0.48599999999999999</v>
      </c>
      <c r="N382" s="6">
        <v>0.48599999999999999</v>
      </c>
      <c r="O382" s="6">
        <v>0.48599999999999999</v>
      </c>
      <c r="P382" s="6">
        <v>0</v>
      </c>
      <c r="Q382" s="4" t="s">
        <v>26</v>
      </c>
      <c r="R382" s="4">
        <v>0</v>
      </c>
      <c r="S382" s="4" t="s">
        <v>173</v>
      </c>
      <c r="T382" s="4" t="s">
        <v>418</v>
      </c>
      <c r="U382" s="4">
        <v>0</v>
      </c>
      <c r="V382" s="4">
        <v>14</v>
      </c>
      <c r="W382" s="4">
        <v>51</v>
      </c>
    </row>
    <row r="383" spans="1:23" ht="11.25" customHeight="1" x14ac:dyDescent="0.25">
      <c r="A383" s="4" t="s">
        <v>21</v>
      </c>
      <c r="B383" s="4" t="s">
        <v>22</v>
      </c>
      <c r="C383" s="4" t="s">
        <v>37</v>
      </c>
      <c r="D383" s="4" t="s">
        <v>24</v>
      </c>
      <c r="E383" s="4" t="s">
        <v>24</v>
      </c>
      <c r="F383" s="4" t="s">
        <v>25</v>
      </c>
      <c r="G383" s="4" t="s">
        <v>25</v>
      </c>
      <c r="H383" s="4" t="s">
        <v>38</v>
      </c>
      <c r="I383" s="5">
        <v>44531</v>
      </c>
      <c r="J383" s="6">
        <v>0</v>
      </c>
      <c r="K383" s="6">
        <v>0</v>
      </c>
      <c r="L383" s="6">
        <v>0.69</v>
      </c>
      <c r="M383" s="6">
        <v>0.69</v>
      </c>
      <c r="N383" s="6">
        <v>0.69</v>
      </c>
      <c r="O383" s="6">
        <v>0.69</v>
      </c>
      <c r="P383" s="6">
        <v>0</v>
      </c>
      <c r="Q383" s="4" t="s">
        <v>26</v>
      </c>
      <c r="R383" s="4">
        <v>0</v>
      </c>
      <c r="S383" s="4" t="s">
        <v>174</v>
      </c>
      <c r="T383" s="4" t="s">
        <v>419</v>
      </c>
      <c r="U383" s="4">
        <v>0</v>
      </c>
      <c r="V383" s="4">
        <v>14</v>
      </c>
      <c r="W383" s="4">
        <v>51</v>
      </c>
    </row>
    <row r="384" spans="1:23" ht="11.25" customHeight="1" x14ac:dyDescent="0.25">
      <c r="A384" s="4" t="s">
        <v>21</v>
      </c>
      <c r="B384" s="4" t="s">
        <v>22</v>
      </c>
      <c r="C384" s="4" t="s">
        <v>37</v>
      </c>
      <c r="D384" s="4" t="s">
        <v>24</v>
      </c>
      <c r="E384" s="4" t="s">
        <v>24</v>
      </c>
      <c r="F384" s="4" t="s">
        <v>25</v>
      </c>
      <c r="G384" s="4" t="s">
        <v>25</v>
      </c>
      <c r="H384" s="4" t="s">
        <v>38</v>
      </c>
      <c r="I384" s="5">
        <v>44562</v>
      </c>
      <c r="J384" s="6">
        <v>0</v>
      </c>
      <c r="K384" s="6">
        <v>0</v>
      </c>
      <c r="L384" s="6">
        <v>0.81699999999999995</v>
      </c>
      <c r="M384" s="6">
        <v>0.81699999999999995</v>
      </c>
      <c r="N384" s="6">
        <v>0.81699999999999995</v>
      </c>
      <c r="O384" s="6">
        <v>0.81699999999999995</v>
      </c>
      <c r="P384" s="6">
        <v>0</v>
      </c>
      <c r="Q384" s="4" t="s">
        <v>26</v>
      </c>
      <c r="R384" s="4">
        <v>0</v>
      </c>
      <c r="S384" s="4" t="s">
        <v>175</v>
      </c>
      <c r="T384" s="4" t="s">
        <v>420</v>
      </c>
      <c r="U384" s="4">
        <v>0</v>
      </c>
      <c r="V384" s="4">
        <v>14</v>
      </c>
      <c r="W384" s="4">
        <v>51</v>
      </c>
    </row>
    <row r="385" spans="1:23" ht="11.25" customHeight="1" x14ac:dyDescent="0.25">
      <c r="A385" s="4" t="s">
        <v>21</v>
      </c>
      <c r="B385" s="4" t="s">
        <v>22</v>
      </c>
      <c r="C385" s="4" t="s">
        <v>37</v>
      </c>
      <c r="D385" s="4" t="s">
        <v>24</v>
      </c>
      <c r="E385" s="4" t="s">
        <v>24</v>
      </c>
      <c r="F385" s="4" t="s">
        <v>25</v>
      </c>
      <c r="G385" s="4" t="s">
        <v>25</v>
      </c>
      <c r="H385" s="4" t="s">
        <v>38</v>
      </c>
      <c r="I385" s="5">
        <v>44593</v>
      </c>
      <c r="J385" s="6">
        <v>0</v>
      </c>
      <c r="K385" s="6">
        <v>0</v>
      </c>
      <c r="L385" s="6">
        <v>0.78</v>
      </c>
      <c r="M385" s="6">
        <v>0.78</v>
      </c>
      <c r="N385" s="6">
        <v>0.78</v>
      </c>
      <c r="O385" s="6">
        <v>0.78</v>
      </c>
      <c r="P385" s="6">
        <v>0</v>
      </c>
      <c r="Q385" s="4" t="s">
        <v>26</v>
      </c>
      <c r="R385" s="4">
        <v>0</v>
      </c>
      <c r="S385" s="4" t="s">
        <v>176</v>
      </c>
      <c r="T385" s="4" t="s">
        <v>421</v>
      </c>
      <c r="U385" s="4">
        <v>0</v>
      </c>
      <c r="V385" s="4">
        <v>14</v>
      </c>
      <c r="W385" s="4">
        <v>51</v>
      </c>
    </row>
    <row r="386" spans="1:23" ht="11.25" customHeight="1" x14ac:dyDescent="0.25">
      <c r="A386" s="4" t="s">
        <v>21</v>
      </c>
      <c r="B386" s="4" t="s">
        <v>22</v>
      </c>
      <c r="C386" s="4" t="s">
        <v>37</v>
      </c>
      <c r="D386" s="4" t="s">
        <v>24</v>
      </c>
      <c r="E386" s="4" t="s">
        <v>24</v>
      </c>
      <c r="F386" s="4" t="s">
        <v>25</v>
      </c>
      <c r="G386" s="4" t="s">
        <v>25</v>
      </c>
      <c r="H386" s="4" t="s">
        <v>38</v>
      </c>
      <c r="I386" s="5">
        <v>44621</v>
      </c>
      <c r="J386" s="6">
        <v>0</v>
      </c>
      <c r="K386" s="6">
        <v>0</v>
      </c>
      <c r="L386" s="6">
        <v>1.012</v>
      </c>
      <c r="M386" s="6">
        <v>1.012</v>
      </c>
      <c r="N386" s="6">
        <v>1.012</v>
      </c>
      <c r="O386" s="6">
        <v>1.012</v>
      </c>
      <c r="P386" s="6">
        <v>0</v>
      </c>
      <c r="Q386" s="4" t="s">
        <v>26</v>
      </c>
      <c r="R386" s="4">
        <v>0</v>
      </c>
      <c r="S386" s="4" t="s">
        <v>177</v>
      </c>
      <c r="T386" s="4" t="s">
        <v>422</v>
      </c>
      <c r="U386" s="4">
        <v>0</v>
      </c>
      <c r="V386" s="4">
        <v>14</v>
      </c>
      <c r="W386" s="4">
        <v>51</v>
      </c>
    </row>
    <row r="387" spans="1:23" ht="11.25" customHeight="1" x14ac:dyDescent="0.25">
      <c r="A387" s="4" t="s">
        <v>21</v>
      </c>
      <c r="B387" s="4" t="s">
        <v>22</v>
      </c>
      <c r="C387" s="4" t="s">
        <v>37</v>
      </c>
      <c r="D387" s="4" t="s">
        <v>24</v>
      </c>
      <c r="E387" s="4" t="s">
        <v>24</v>
      </c>
      <c r="F387" s="4" t="s">
        <v>25</v>
      </c>
      <c r="G387" s="4" t="s">
        <v>25</v>
      </c>
      <c r="H387" s="4" t="s">
        <v>38</v>
      </c>
      <c r="I387" s="5">
        <v>44652</v>
      </c>
      <c r="J387" s="6">
        <v>0</v>
      </c>
      <c r="K387" s="6">
        <v>0</v>
      </c>
      <c r="L387" s="6">
        <v>0.84099999999999997</v>
      </c>
      <c r="M387" s="6">
        <v>0.84099999999999997</v>
      </c>
      <c r="N387" s="6">
        <v>0.84099999999999997</v>
      </c>
      <c r="O387" s="6">
        <v>0.84099999999999997</v>
      </c>
      <c r="P387" s="6">
        <v>0</v>
      </c>
      <c r="Q387" s="4" t="s">
        <v>26</v>
      </c>
      <c r="R387" s="4">
        <v>0</v>
      </c>
      <c r="S387" s="4" t="s">
        <v>178</v>
      </c>
      <c r="T387" s="4" t="s">
        <v>423</v>
      </c>
      <c r="U387" s="4">
        <v>0</v>
      </c>
      <c r="V387" s="4">
        <v>14</v>
      </c>
      <c r="W387" s="4">
        <v>51</v>
      </c>
    </row>
    <row r="388" spans="1:23" ht="11.25" customHeight="1" x14ac:dyDescent="0.25">
      <c r="A388" s="4" t="s">
        <v>21</v>
      </c>
      <c r="B388" s="4" t="s">
        <v>22</v>
      </c>
      <c r="C388" s="4" t="s">
        <v>37</v>
      </c>
      <c r="D388" s="4" t="s">
        <v>24</v>
      </c>
      <c r="E388" s="4" t="s">
        <v>24</v>
      </c>
      <c r="F388" s="4" t="s">
        <v>25</v>
      </c>
      <c r="G388" s="4" t="s">
        <v>25</v>
      </c>
      <c r="H388" s="4" t="s">
        <v>35</v>
      </c>
      <c r="I388" s="5">
        <v>44317</v>
      </c>
      <c r="J388" s="6">
        <v>0</v>
      </c>
      <c r="K388" s="6">
        <v>0</v>
      </c>
      <c r="L388" s="6">
        <v>0.28999999999999998</v>
      </c>
      <c r="M388" s="6">
        <v>0.28999999999999998</v>
      </c>
      <c r="N388" s="6">
        <v>0.28999999999999998</v>
      </c>
      <c r="O388" s="6">
        <v>0.28999999999999998</v>
      </c>
      <c r="P388" s="6">
        <v>0</v>
      </c>
      <c r="Q388" s="4" t="s">
        <v>26</v>
      </c>
      <c r="R388" s="4">
        <v>0</v>
      </c>
      <c r="S388" s="4" t="s">
        <v>179</v>
      </c>
      <c r="T388" s="4" t="s">
        <v>424</v>
      </c>
      <c r="U388" s="4">
        <v>0</v>
      </c>
      <c r="V388" s="4">
        <v>13</v>
      </c>
      <c r="W388" s="4">
        <v>50</v>
      </c>
    </row>
    <row r="389" spans="1:23" ht="11.25" customHeight="1" x14ac:dyDescent="0.25">
      <c r="A389" s="4" t="s">
        <v>21</v>
      </c>
      <c r="B389" s="4" t="s">
        <v>22</v>
      </c>
      <c r="C389" s="4" t="s">
        <v>37</v>
      </c>
      <c r="D389" s="4" t="s">
        <v>24</v>
      </c>
      <c r="E389" s="4" t="s">
        <v>24</v>
      </c>
      <c r="F389" s="4" t="s">
        <v>25</v>
      </c>
      <c r="G389" s="4" t="s">
        <v>25</v>
      </c>
      <c r="H389" s="4" t="s">
        <v>35</v>
      </c>
      <c r="I389" s="5">
        <v>44348</v>
      </c>
      <c r="J389" s="6">
        <v>0</v>
      </c>
      <c r="K389" s="6">
        <v>0</v>
      </c>
      <c r="L389" s="6">
        <v>0.33700000000000002</v>
      </c>
      <c r="M389" s="6">
        <v>0.33700000000000002</v>
      </c>
      <c r="N389" s="6">
        <v>0.33700000000000002</v>
      </c>
      <c r="O389" s="6">
        <v>0.33700000000000002</v>
      </c>
      <c r="P389" s="6">
        <v>0</v>
      </c>
      <c r="Q389" s="4" t="s">
        <v>26</v>
      </c>
      <c r="R389" s="4">
        <v>0</v>
      </c>
      <c r="S389" s="4" t="s">
        <v>180</v>
      </c>
      <c r="T389" s="4" t="s">
        <v>425</v>
      </c>
      <c r="U389" s="4">
        <v>0</v>
      </c>
      <c r="V389" s="4">
        <v>13</v>
      </c>
      <c r="W389" s="4">
        <v>50</v>
      </c>
    </row>
    <row r="390" spans="1:23" ht="11.25" customHeight="1" x14ac:dyDescent="0.25">
      <c r="A390" s="4" t="s">
        <v>21</v>
      </c>
      <c r="B390" s="4" t="s">
        <v>22</v>
      </c>
      <c r="C390" s="4" t="s">
        <v>37</v>
      </c>
      <c r="D390" s="4" t="s">
        <v>24</v>
      </c>
      <c r="E390" s="4" t="s">
        <v>24</v>
      </c>
      <c r="F390" s="4" t="s">
        <v>25</v>
      </c>
      <c r="G390" s="4" t="s">
        <v>25</v>
      </c>
      <c r="H390" s="4" t="s">
        <v>35</v>
      </c>
      <c r="I390" s="5">
        <v>44378</v>
      </c>
      <c r="J390" s="6">
        <v>0</v>
      </c>
      <c r="K390" s="6">
        <v>0</v>
      </c>
      <c r="L390" s="6">
        <v>0.36299999999999999</v>
      </c>
      <c r="M390" s="6">
        <v>0.36299999999999999</v>
      </c>
      <c r="N390" s="6">
        <v>0.36299999999999999</v>
      </c>
      <c r="O390" s="6">
        <v>0.36299999999999999</v>
      </c>
      <c r="P390" s="6">
        <v>0</v>
      </c>
      <c r="Q390" s="4" t="s">
        <v>26</v>
      </c>
      <c r="R390" s="4">
        <v>0</v>
      </c>
      <c r="S390" s="4" t="s">
        <v>181</v>
      </c>
      <c r="T390" s="4" t="s">
        <v>426</v>
      </c>
      <c r="U390" s="4">
        <v>0</v>
      </c>
      <c r="V390" s="4">
        <v>13</v>
      </c>
      <c r="W390" s="4">
        <v>50</v>
      </c>
    </row>
    <row r="391" spans="1:23" ht="11.25" customHeight="1" x14ac:dyDescent="0.25">
      <c r="A391" s="4" t="s">
        <v>21</v>
      </c>
      <c r="B391" s="4" t="s">
        <v>22</v>
      </c>
      <c r="C391" s="4" t="s">
        <v>37</v>
      </c>
      <c r="D391" s="4" t="s">
        <v>24</v>
      </c>
      <c r="E391" s="4" t="s">
        <v>24</v>
      </c>
      <c r="F391" s="4" t="s">
        <v>25</v>
      </c>
      <c r="G391" s="4" t="s">
        <v>25</v>
      </c>
      <c r="H391" s="4" t="s">
        <v>35</v>
      </c>
      <c r="I391" s="5">
        <v>44409</v>
      </c>
      <c r="J391" s="6">
        <v>0</v>
      </c>
      <c r="K391" s="6">
        <v>0</v>
      </c>
      <c r="L391" s="6">
        <v>0.42799999999999999</v>
      </c>
      <c r="M391" s="6">
        <v>0.42799999999999999</v>
      </c>
      <c r="N391" s="6">
        <v>0.42799999999999999</v>
      </c>
      <c r="O391" s="6">
        <v>0.42799999999999999</v>
      </c>
      <c r="P391" s="6">
        <v>0</v>
      </c>
      <c r="Q391" s="4" t="s">
        <v>26</v>
      </c>
      <c r="R391" s="4">
        <v>0</v>
      </c>
      <c r="S391" s="4" t="s">
        <v>182</v>
      </c>
      <c r="T391" s="4" t="s">
        <v>427</v>
      </c>
      <c r="U391" s="4">
        <v>0</v>
      </c>
      <c r="V391" s="4">
        <v>13</v>
      </c>
      <c r="W391" s="4">
        <v>50</v>
      </c>
    </row>
    <row r="392" spans="1:23" ht="11.25" customHeight="1" x14ac:dyDescent="0.25">
      <c r="A392" s="4" t="s">
        <v>21</v>
      </c>
      <c r="B392" s="4" t="s">
        <v>22</v>
      </c>
      <c r="C392" s="4" t="s">
        <v>37</v>
      </c>
      <c r="D392" s="4" t="s">
        <v>24</v>
      </c>
      <c r="E392" s="4" t="s">
        <v>24</v>
      </c>
      <c r="F392" s="4" t="s">
        <v>25</v>
      </c>
      <c r="G392" s="4" t="s">
        <v>25</v>
      </c>
      <c r="H392" s="4" t="s">
        <v>35</v>
      </c>
      <c r="I392" s="5">
        <v>44440</v>
      </c>
      <c r="J392" s="6">
        <v>0</v>
      </c>
      <c r="K392" s="6">
        <v>0</v>
      </c>
      <c r="L392" s="6">
        <v>0.36099999999999999</v>
      </c>
      <c r="M392" s="6">
        <v>0.36099999999999999</v>
      </c>
      <c r="N392" s="6">
        <v>0.36099999999999999</v>
      </c>
      <c r="O392" s="6">
        <v>0.36099999999999999</v>
      </c>
      <c r="P392" s="6">
        <v>0</v>
      </c>
      <c r="Q392" s="4" t="s">
        <v>26</v>
      </c>
      <c r="R392" s="4">
        <v>0</v>
      </c>
      <c r="S392" s="4" t="s">
        <v>183</v>
      </c>
      <c r="T392" s="4" t="s">
        <v>428</v>
      </c>
      <c r="U392" s="4">
        <v>0</v>
      </c>
      <c r="V392" s="4">
        <v>13</v>
      </c>
      <c r="W392" s="4">
        <v>50</v>
      </c>
    </row>
    <row r="393" spans="1:23" ht="11.25" customHeight="1" x14ac:dyDescent="0.25">
      <c r="A393" s="4" t="s">
        <v>21</v>
      </c>
      <c r="B393" s="4" t="s">
        <v>22</v>
      </c>
      <c r="C393" s="4" t="s">
        <v>37</v>
      </c>
      <c r="D393" s="4" t="s">
        <v>24</v>
      </c>
      <c r="E393" s="4" t="s">
        <v>24</v>
      </c>
      <c r="F393" s="4" t="s">
        <v>25</v>
      </c>
      <c r="G393" s="4" t="s">
        <v>25</v>
      </c>
      <c r="H393" s="4" t="s">
        <v>35</v>
      </c>
      <c r="I393" s="5">
        <v>44470</v>
      </c>
      <c r="J393" s="6">
        <v>0</v>
      </c>
      <c r="K393" s="6">
        <v>0</v>
      </c>
      <c r="L393" s="6">
        <v>0.36499999999999999</v>
      </c>
      <c r="M393" s="6">
        <v>0.36499999999999999</v>
      </c>
      <c r="N393" s="6">
        <v>0.36499999999999999</v>
      </c>
      <c r="O393" s="6">
        <v>0.36499999999999999</v>
      </c>
      <c r="P393" s="6">
        <v>0</v>
      </c>
      <c r="Q393" s="4" t="s">
        <v>26</v>
      </c>
      <c r="R393" s="4">
        <v>0</v>
      </c>
      <c r="S393" s="4" t="s">
        <v>184</v>
      </c>
      <c r="T393" s="4" t="s">
        <v>429</v>
      </c>
      <c r="U393" s="4">
        <v>0</v>
      </c>
      <c r="V393" s="4">
        <v>13</v>
      </c>
      <c r="W393" s="4">
        <v>50</v>
      </c>
    </row>
    <row r="394" spans="1:23" ht="11.25" customHeight="1" x14ac:dyDescent="0.25">
      <c r="A394" s="4" t="s">
        <v>21</v>
      </c>
      <c r="B394" s="4" t="s">
        <v>22</v>
      </c>
      <c r="C394" s="4" t="s">
        <v>37</v>
      </c>
      <c r="D394" s="4" t="s">
        <v>24</v>
      </c>
      <c r="E394" s="4" t="s">
        <v>24</v>
      </c>
      <c r="F394" s="4" t="s">
        <v>25</v>
      </c>
      <c r="G394" s="4" t="s">
        <v>25</v>
      </c>
      <c r="H394" s="4" t="s">
        <v>35</v>
      </c>
      <c r="I394" s="5">
        <v>44501</v>
      </c>
      <c r="J394" s="6">
        <v>0</v>
      </c>
      <c r="K394" s="6">
        <v>0</v>
      </c>
      <c r="L394" s="6">
        <v>0.36299999999999999</v>
      </c>
      <c r="M394" s="6">
        <v>0.36299999999999999</v>
      </c>
      <c r="N394" s="6">
        <v>0.36299999999999999</v>
      </c>
      <c r="O394" s="6">
        <v>0.36299999999999999</v>
      </c>
      <c r="P394" s="6">
        <v>0</v>
      </c>
      <c r="Q394" s="4" t="s">
        <v>26</v>
      </c>
      <c r="R394" s="4">
        <v>0</v>
      </c>
      <c r="S394" s="4" t="s">
        <v>185</v>
      </c>
      <c r="T394" s="4" t="s">
        <v>430</v>
      </c>
      <c r="U394" s="4">
        <v>0</v>
      </c>
      <c r="V394" s="4">
        <v>13</v>
      </c>
      <c r="W394" s="4">
        <v>50</v>
      </c>
    </row>
    <row r="395" spans="1:23" ht="11.25" customHeight="1" x14ac:dyDescent="0.25">
      <c r="A395" s="4" t="s">
        <v>21</v>
      </c>
      <c r="B395" s="4" t="s">
        <v>22</v>
      </c>
      <c r="C395" s="4" t="s">
        <v>37</v>
      </c>
      <c r="D395" s="4" t="s">
        <v>24</v>
      </c>
      <c r="E395" s="4" t="s">
        <v>24</v>
      </c>
      <c r="F395" s="4" t="s">
        <v>25</v>
      </c>
      <c r="G395" s="4" t="s">
        <v>25</v>
      </c>
      <c r="H395" s="4" t="s">
        <v>35</v>
      </c>
      <c r="I395" s="5">
        <v>44531</v>
      </c>
      <c r="J395" s="6">
        <v>0</v>
      </c>
      <c r="K395" s="6">
        <v>0</v>
      </c>
      <c r="L395" s="6">
        <v>0.36199999999999999</v>
      </c>
      <c r="M395" s="6">
        <v>0.36199999999999999</v>
      </c>
      <c r="N395" s="6">
        <v>0.36199999999999999</v>
      </c>
      <c r="O395" s="6">
        <v>0.36199999999999999</v>
      </c>
      <c r="P395" s="6">
        <v>0</v>
      </c>
      <c r="Q395" s="4" t="s">
        <v>26</v>
      </c>
      <c r="R395" s="4">
        <v>0</v>
      </c>
      <c r="S395" s="4" t="s">
        <v>186</v>
      </c>
      <c r="T395" s="4" t="s">
        <v>431</v>
      </c>
      <c r="U395" s="4">
        <v>0</v>
      </c>
      <c r="V395" s="4">
        <v>13</v>
      </c>
      <c r="W395" s="4">
        <v>50</v>
      </c>
    </row>
    <row r="396" spans="1:23" ht="11.25" customHeight="1" x14ac:dyDescent="0.25">
      <c r="A396" s="4" t="s">
        <v>21</v>
      </c>
      <c r="B396" s="4" t="s">
        <v>22</v>
      </c>
      <c r="C396" s="4" t="s">
        <v>37</v>
      </c>
      <c r="D396" s="4" t="s">
        <v>24</v>
      </c>
      <c r="E396" s="4" t="s">
        <v>24</v>
      </c>
      <c r="F396" s="4" t="s">
        <v>25</v>
      </c>
      <c r="G396" s="4" t="s">
        <v>25</v>
      </c>
      <c r="H396" s="4" t="s">
        <v>35</v>
      </c>
      <c r="I396" s="5">
        <v>44562</v>
      </c>
      <c r="J396" s="6">
        <v>0</v>
      </c>
      <c r="K396" s="6">
        <v>0</v>
      </c>
      <c r="L396" s="6">
        <v>0.40300000000000002</v>
      </c>
      <c r="M396" s="6">
        <v>0.40300000000000002</v>
      </c>
      <c r="N396" s="6">
        <v>0.40300000000000002</v>
      </c>
      <c r="O396" s="6">
        <v>0.40300000000000002</v>
      </c>
      <c r="P396" s="6">
        <v>0</v>
      </c>
      <c r="Q396" s="4" t="s">
        <v>26</v>
      </c>
      <c r="R396" s="4">
        <v>0</v>
      </c>
      <c r="S396" s="4" t="s">
        <v>187</v>
      </c>
      <c r="T396" s="4" t="s">
        <v>432</v>
      </c>
      <c r="U396" s="4">
        <v>0</v>
      </c>
      <c r="V396" s="4">
        <v>13</v>
      </c>
      <c r="W396" s="4">
        <v>50</v>
      </c>
    </row>
    <row r="397" spans="1:23" ht="11.25" customHeight="1" x14ac:dyDescent="0.25">
      <c r="A397" s="4" t="s">
        <v>21</v>
      </c>
      <c r="B397" s="4" t="s">
        <v>22</v>
      </c>
      <c r="C397" s="4" t="s">
        <v>37</v>
      </c>
      <c r="D397" s="4" t="s">
        <v>24</v>
      </c>
      <c r="E397" s="4" t="s">
        <v>24</v>
      </c>
      <c r="F397" s="4" t="s">
        <v>25</v>
      </c>
      <c r="G397" s="4" t="s">
        <v>25</v>
      </c>
      <c r="H397" s="4" t="s">
        <v>35</v>
      </c>
      <c r="I397" s="5">
        <v>44593</v>
      </c>
      <c r="J397" s="6">
        <v>0</v>
      </c>
      <c r="K397" s="6">
        <v>0</v>
      </c>
      <c r="L397" s="6">
        <v>0.41199999999999998</v>
      </c>
      <c r="M397" s="6">
        <v>0.41199999999999998</v>
      </c>
      <c r="N397" s="6">
        <v>0.41199999999999998</v>
      </c>
      <c r="O397" s="6">
        <v>0.41199999999999998</v>
      </c>
      <c r="P397" s="6">
        <v>0</v>
      </c>
      <c r="Q397" s="4" t="s">
        <v>26</v>
      </c>
      <c r="R397" s="4">
        <v>0</v>
      </c>
      <c r="S397" s="4" t="s">
        <v>188</v>
      </c>
      <c r="T397" s="4" t="s">
        <v>433</v>
      </c>
      <c r="U397" s="4">
        <v>0</v>
      </c>
      <c r="V397" s="4">
        <v>13</v>
      </c>
      <c r="W397" s="4">
        <v>50</v>
      </c>
    </row>
    <row r="398" spans="1:23" ht="11.25" customHeight="1" x14ac:dyDescent="0.25">
      <c r="A398" s="4" t="s">
        <v>21</v>
      </c>
      <c r="B398" s="4" t="s">
        <v>22</v>
      </c>
      <c r="C398" s="4" t="s">
        <v>37</v>
      </c>
      <c r="D398" s="4" t="s">
        <v>24</v>
      </c>
      <c r="E398" s="4" t="s">
        <v>24</v>
      </c>
      <c r="F398" s="4" t="s">
        <v>25</v>
      </c>
      <c r="G398" s="4" t="s">
        <v>25</v>
      </c>
      <c r="H398" s="4" t="s">
        <v>35</v>
      </c>
      <c r="I398" s="5">
        <v>44621</v>
      </c>
      <c r="J398" s="6">
        <v>0</v>
      </c>
      <c r="K398" s="6">
        <v>0</v>
      </c>
      <c r="L398" s="6">
        <v>0.503</v>
      </c>
      <c r="M398" s="6">
        <v>0.503</v>
      </c>
      <c r="N398" s="6">
        <v>0.503</v>
      </c>
      <c r="O398" s="6">
        <v>0.503</v>
      </c>
      <c r="P398" s="6">
        <v>0</v>
      </c>
      <c r="Q398" s="4" t="s">
        <v>26</v>
      </c>
      <c r="R398" s="4">
        <v>0</v>
      </c>
      <c r="S398" s="4" t="s">
        <v>189</v>
      </c>
      <c r="T398" s="4" t="s">
        <v>434</v>
      </c>
      <c r="U398" s="4">
        <v>0</v>
      </c>
      <c r="V398" s="4">
        <v>13</v>
      </c>
      <c r="W398" s="4">
        <v>50</v>
      </c>
    </row>
    <row r="399" spans="1:23" ht="11.25" customHeight="1" x14ac:dyDescent="0.25">
      <c r="A399" s="4" t="s">
        <v>21</v>
      </c>
      <c r="B399" s="4" t="s">
        <v>22</v>
      </c>
      <c r="C399" s="4" t="s">
        <v>37</v>
      </c>
      <c r="D399" s="4" t="s">
        <v>24</v>
      </c>
      <c r="E399" s="4" t="s">
        <v>24</v>
      </c>
      <c r="F399" s="4" t="s">
        <v>25</v>
      </c>
      <c r="G399" s="4" t="s">
        <v>25</v>
      </c>
      <c r="H399" s="4" t="s">
        <v>35</v>
      </c>
      <c r="I399" s="5">
        <v>44652</v>
      </c>
      <c r="J399" s="6">
        <v>0</v>
      </c>
      <c r="K399" s="6">
        <v>0</v>
      </c>
      <c r="L399" s="6">
        <v>0.42699999999999999</v>
      </c>
      <c r="M399" s="6">
        <v>0.42699999999999999</v>
      </c>
      <c r="N399" s="6">
        <v>0.42699999999999999</v>
      </c>
      <c r="O399" s="6">
        <v>0.42699999999999999</v>
      </c>
      <c r="P399" s="6">
        <v>0</v>
      </c>
      <c r="Q399" s="4" t="s">
        <v>26</v>
      </c>
      <c r="R399" s="4">
        <v>0</v>
      </c>
      <c r="S399" s="4" t="s">
        <v>190</v>
      </c>
      <c r="T399" s="4" t="s">
        <v>435</v>
      </c>
      <c r="U399" s="4">
        <v>0</v>
      </c>
      <c r="V399" s="4">
        <v>13</v>
      </c>
      <c r="W399" s="4">
        <v>50</v>
      </c>
    </row>
    <row r="400" spans="1:23" ht="11.25" customHeight="1" x14ac:dyDescent="0.25">
      <c r="A400" s="4" t="s">
        <v>21</v>
      </c>
      <c r="B400" s="4" t="s">
        <v>22</v>
      </c>
      <c r="C400" s="4" t="s">
        <v>23</v>
      </c>
      <c r="D400" s="4" t="s">
        <v>24</v>
      </c>
      <c r="E400" s="4" t="s">
        <v>24</v>
      </c>
      <c r="F400" s="4" t="s">
        <v>25</v>
      </c>
      <c r="G400" s="4" t="s">
        <v>25</v>
      </c>
      <c r="H400" s="4" t="s">
        <v>25</v>
      </c>
      <c r="I400" s="5">
        <v>44317</v>
      </c>
      <c r="J400" s="6">
        <v>0</v>
      </c>
      <c r="K400" s="6">
        <v>0</v>
      </c>
      <c r="L400" s="6">
        <v>1855.4870000000001</v>
      </c>
      <c r="M400" s="6">
        <v>1855.4870000000001</v>
      </c>
      <c r="N400" s="6">
        <v>1855.4870000000001</v>
      </c>
      <c r="O400" s="6">
        <v>1855.4870000000001</v>
      </c>
      <c r="P400" s="6">
        <v>10624</v>
      </c>
      <c r="Q400" s="4" t="s">
        <v>26</v>
      </c>
      <c r="R400" s="4">
        <v>0</v>
      </c>
      <c r="S400" s="4" t="s">
        <v>191</v>
      </c>
      <c r="T400" s="4" t="s">
        <v>436</v>
      </c>
      <c r="U400" s="4">
        <v>0</v>
      </c>
      <c r="V400" s="4">
        <v>16</v>
      </c>
      <c r="W400" s="4">
        <v>53</v>
      </c>
    </row>
    <row r="401" spans="1:23" ht="11.25" customHeight="1" x14ac:dyDescent="0.25">
      <c r="A401" s="4" t="s">
        <v>27</v>
      </c>
      <c r="B401" s="4" t="s">
        <v>22</v>
      </c>
      <c r="C401" s="4" t="s">
        <v>23</v>
      </c>
      <c r="D401" s="4" t="s">
        <v>24</v>
      </c>
      <c r="E401" s="4" t="s">
        <v>24</v>
      </c>
      <c r="F401" s="4" t="s">
        <v>25</v>
      </c>
      <c r="G401" s="4" t="s">
        <v>25</v>
      </c>
      <c r="H401" s="4" t="s">
        <v>25</v>
      </c>
      <c r="I401" s="5">
        <v>44317</v>
      </c>
      <c r="J401" s="6">
        <v>0</v>
      </c>
      <c r="K401" s="6">
        <v>0</v>
      </c>
      <c r="L401" s="6">
        <v>-1.3089999999999999</v>
      </c>
      <c r="M401" s="6">
        <v>-1.3089999999999999</v>
      </c>
      <c r="N401" s="6">
        <v>-1.3089999999999999</v>
      </c>
      <c r="O401" s="6">
        <v>-1.3089999999999999</v>
      </c>
      <c r="P401" s="6">
        <v>0</v>
      </c>
      <c r="Q401" s="4" t="s">
        <v>26</v>
      </c>
      <c r="R401" s="4">
        <v>0</v>
      </c>
      <c r="S401" s="4" t="s">
        <v>191</v>
      </c>
      <c r="T401" s="4" t="s">
        <v>436</v>
      </c>
      <c r="U401" s="4">
        <v>0</v>
      </c>
      <c r="V401" s="4">
        <v>16</v>
      </c>
      <c r="W401" s="4">
        <v>53</v>
      </c>
    </row>
    <row r="402" spans="1:23" ht="11.25" customHeight="1" x14ac:dyDescent="0.25">
      <c r="A402" s="4" t="s">
        <v>28</v>
      </c>
      <c r="B402" s="4" t="s">
        <v>22</v>
      </c>
      <c r="C402" s="4" t="s">
        <v>23</v>
      </c>
      <c r="D402" s="4" t="s">
        <v>24</v>
      </c>
      <c r="E402" s="4" t="s">
        <v>24</v>
      </c>
      <c r="F402" s="4" t="s">
        <v>25</v>
      </c>
      <c r="G402" s="4" t="s">
        <v>25</v>
      </c>
      <c r="H402" s="4" t="s">
        <v>25</v>
      </c>
      <c r="I402" s="5">
        <v>44317</v>
      </c>
      <c r="J402" s="6">
        <v>0</v>
      </c>
      <c r="K402" s="6">
        <v>0</v>
      </c>
      <c r="L402" s="6">
        <v>19.227</v>
      </c>
      <c r="M402" s="6">
        <v>19.227</v>
      </c>
      <c r="N402" s="6">
        <v>19.227</v>
      </c>
      <c r="O402" s="6">
        <v>19.227</v>
      </c>
      <c r="P402" s="6">
        <v>133</v>
      </c>
      <c r="Q402" s="4" t="s">
        <v>26</v>
      </c>
      <c r="R402" s="4">
        <v>0</v>
      </c>
      <c r="S402" s="4" t="s">
        <v>191</v>
      </c>
      <c r="T402" s="4" t="s">
        <v>436</v>
      </c>
      <c r="U402" s="4">
        <v>0</v>
      </c>
      <c r="V402" s="4">
        <v>16</v>
      </c>
      <c r="W402" s="4">
        <v>53</v>
      </c>
    </row>
    <row r="403" spans="1:23" ht="11.25" customHeight="1" x14ac:dyDescent="0.25">
      <c r="A403" s="4" t="s">
        <v>21</v>
      </c>
      <c r="B403" s="4" t="s">
        <v>22</v>
      </c>
      <c r="C403" s="4" t="s">
        <v>23</v>
      </c>
      <c r="D403" s="4" t="s">
        <v>24</v>
      </c>
      <c r="E403" s="4" t="s">
        <v>24</v>
      </c>
      <c r="F403" s="4" t="s">
        <v>25</v>
      </c>
      <c r="G403" s="4" t="s">
        <v>25</v>
      </c>
      <c r="H403" s="4" t="s">
        <v>25</v>
      </c>
      <c r="I403" s="5">
        <v>44348</v>
      </c>
      <c r="J403" s="6">
        <v>0</v>
      </c>
      <c r="K403" s="6">
        <v>0</v>
      </c>
      <c r="L403" s="6">
        <v>1958.2639999999999</v>
      </c>
      <c r="M403" s="6">
        <v>1958.2639999999999</v>
      </c>
      <c r="N403" s="6">
        <v>1958.2639999999999</v>
      </c>
      <c r="O403" s="6">
        <v>1958.2639999999999</v>
      </c>
      <c r="P403" s="6">
        <v>10661</v>
      </c>
      <c r="Q403" s="4" t="s">
        <v>26</v>
      </c>
      <c r="R403" s="4">
        <v>0</v>
      </c>
      <c r="S403" s="4" t="s">
        <v>192</v>
      </c>
      <c r="T403" s="4" t="s">
        <v>437</v>
      </c>
      <c r="U403" s="4">
        <v>0</v>
      </c>
      <c r="V403" s="4">
        <v>16</v>
      </c>
      <c r="W403" s="4">
        <v>53</v>
      </c>
    </row>
    <row r="404" spans="1:23" ht="11.25" customHeight="1" x14ac:dyDescent="0.25">
      <c r="A404" s="4" t="s">
        <v>27</v>
      </c>
      <c r="B404" s="4" t="s">
        <v>22</v>
      </c>
      <c r="C404" s="4" t="s">
        <v>23</v>
      </c>
      <c r="D404" s="4" t="s">
        <v>24</v>
      </c>
      <c r="E404" s="4" t="s">
        <v>24</v>
      </c>
      <c r="F404" s="4" t="s">
        <v>25</v>
      </c>
      <c r="G404" s="4" t="s">
        <v>25</v>
      </c>
      <c r="H404" s="4" t="s">
        <v>25</v>
      </c>
      <c r="I404" s="5">
        <v>44348</v>
      </c>
      <c r="J404" s="6">
        <v>0</v>
      </c>
      <c r="K404" s="6">
        <v>0</v>
      </c>
      <c r="L404" s="6">
        <v>-2.7160000000000002</v>
      </c>
      <c r="M404" s="6">
        <v>-2.7160000000000002</v>
      </c>
      <c r="N404" s="6">
        <v>-2.7160000000000002</v>
      </c>
      <c r="O404" s="6">
        <v>-2.7160000000000002</v>
      </c>
      <c r="P404" s="6">
        <v>0</v>
      </c>
      <c r="Q404" s="4" t="s">
        <v>26</v>
      </c>
      <c r="R404" s="4">
        <v>0</v>
      </c>
      <c r="S404" s="4" t="s">
        <v>192</v>
      </c>
      <c r="T404" s="4" t="s">
        <v>437</v>
      </c>
      <c r="U404" s="4">
        <v>0</v>
      </c>
      <c r="V404" s="4">
        <v>16</v>
      </c>
      <c r="W404" s="4">
        <v>53</v>
      </c>
    </row>
    <row r="405" spans="1:23" ht="11.25" customHeight="1" x14ac:dyDescent="0.25">
      <c r="A405" s="4" t="s">
        <v>28</v>
      </c>
      <c r="B405" s="4" t="s">
        <v>22</v>
      </c>
      <c r="C405" s="4" t="s">
        <v>23</v>
      </c>
      <c r="D405" s="4" t="s">
        <v>24</v>
      </c>
      <c r="E405" s="4" t="s">
        <v>24</v>
      </c>
      <c r="F405" s="4" t="s">
        <v>25</v>
      </c>
      <c r="G405" s="4" t="s">
        <v>25</v>
      </c>
      <c r="H405" s="4" t="s">
        <v>25</v>
      </c>
      <c r="I405" s="5">
        <v>44348</v>
      </c>
      <c r="J405" s="6">
        <v>0</v>
      </c>
      <c r="K405" s="6">
        <v>0</v>
      </c>
      <c r="L405" s="6">
        <v>22.452000000000002</v>
      </c>
      <c r="M405" s="6">
        <v>22.452000000000002</v>
      </c>
      <c r="N405" s="6">
        <v>22.452000000000002</v>
      </c>
      <c r="O405" s="6">
        <v>22.452000000000002</v>
      </c>
      <c r="P405" s="6">
        <v>140</v>
      </c>
      <c r="Q405" s="4" t="s">
        <v>26</v>
      </c>
      <c r="R405" s="4">
        <v>0</v>
      </c>
      <c r="S405" s="4" t="s">
        <v>192</v>
      </c>
      <c r="T405" s="4" t="s">
        <v>437</v>
      </c>
      <c r="U405" s="4">
        <v>0</v>
      </c>
      <c r="V405" s="4">
        <v>16</v>
      </c>
      <c r="W405" s="4">
        <v>53</v>
      </c>
    </row>
    <row r="406" spans="1:23" ht="11.25" customHeight="1" x14ac:dyDescent="0.25">
      <c r="A406" s="4" t="s">
        <v>28</v>
      </c>
      <c r="B406" s="4" t="s">
        <v>22</v>
      </c>
      <c r="C406" s="4" t="s">
        <v>23</v>
      </c>
      <c r="D406" s="4" t="s">
        <v>24</v>
      </c>
      <c r="E406" s="4" t="s">
        <v>24</v>
      </c>
      <c r="F406" s="4" t="s">
        <v>25</v>
      </c>
      <c r="G406" s="4" t="s">
        <v>25</v>
      </c>
      <c r="H406" s="4" t="s">
        <v>25</v>
      </c>
      <c r="I406" s="5">
        <v>44348</v>
      </c>
      <c r="J406" s="6">
        <v>0</v>
      </c>
      <c r="K406" s="6">
        <v>0</v>
      </c>
      <c r="L406" s="6">
        <v>-0.14299999999999999</v>
      </c>
      <c r="M406" s="6">
        <v>-0.14299999999999999</v>
      </c>
      <c r="N406" s="6">
        <v>-0.14299999999999999</v>
      </c>
      <c r="O406" s="6">
        <v>-0.14299999999999999</v>
      </c>
      <c r="P406" s="6">
        <v>1</v>
      </c>
      <c r="Q406" s="4" t="s">
        <v>26</v>
      </c>
      <c r="R406" s="4">
        <v>0</v>
      </c>
      <c r="S406" s="4" t="s">
        <v>192</v>
      </c>
      <c r="T406" s="4" t="s">
        <v>437</v>
      </c>
      <c r="U406" s="4">
        <v>0</v>
      </c>
      <c r="V406" s="4">
        <v>16</v>
      </c>
      <c r="W406" s="4">
        <v>53</v>
      </c>
    </row>
    <row r="407" spans="1:23" ht="11.25" customHeight="1" x14ac:dyDescent="0.25">
      <c r="A407" s="4" t="s">
        <v>21</v>
      </c>
      <c r="B407" s="4" t="s">
        <v>22</v>
      </c>
      <c r="C407" s="4" t="s">
        <v>23</v>
      </c>
      <c r="D407" s="4" t="s">
        <v>24</v>
      </c>
      <c r="E407" s="4" t="s">
        <v>24</v>
      </c>
      <c r="F407" s="4" t="s">
        <v>25</v>
      </c>
      <c r="G407" s="4" t="s">
        <v>25</v>
      </c>
      <c r="H407" s="4" t="s">
        <v>25</v>
      </c>
      <c r="I407" s="5">
        <v>44378</v>
      </c>
      <c r="J407" s="6">
        <v>0</v>
      </c>
      <c r="K407" s="6">
        <v>0</v>
      </c>
      <c r="L407" s="6">
        <v>1909.954</v>
      </c>
      <c r="M407" s="6">
        <v>1909.954</v>
      </c>
      <c r="N407" s="6">
        <v>1909.954</v>
      </c>
      <c r="O407" s="6">
        <v>1909.954</v>
      </c>
      <c r="P407" s="6">
        <v>10723</v>
      </c>
      <c r="Q407" s="4" t="s">
        <v>26</v>
      </c>
      <c r="R407" s="4">
        <v>0</v>
      </c>
      <c r="S407" s="4" t="s">
        <v>193</v>
      </c>
      <c r="T407" s="4" t="s">
        <v>438</v>
      </c>
      <c r="U407" s="4">
        <v>0</v>
      </c>
      <c r="V407" s="4">
        <v>16</v>
      </c>
      <c r="W407" s="4">
        <v>53</v>
      </c>
    </row>
    <row r="408" spans="1:23" ht="11.25" customHeight="1" x14ac:dyDescent="0.25">
      <c r="A408" s="4" t="s">
        <v>27</v>
      </c>
      <c r="B408" s="4" t="s">
        <v>22</v>
      </c>
      <c r="C408" s="4" t="s">
        <v>23</v>
      </c>
      <c r="D408" s="4" t="s">
        <v>24</v>
      </c>
      <c r="E408" s="4" t="s">
        <v>24</v>
      </c>
      <c r="F408" s="4" t="s">
        <v>25</v>
      </c>
      <c r="G408" s="4" t="s">
        <v>25</v>
      </c>
      <c r="H408" s="4" t="s">
        <v>25</v>
      </c>
      <c r="I408" s="5">
        <v>44378</v>
      </c>
      <c r="J408" s="6">
        <v>0</v>
      </c>
      <c r="K408" s="6">
        <v>0</v>
      </c>
      <c r="L408" s="6">
        <v>-2.3650000000000002</v>
      </c>
      <c r="M408" s="6">
        <v>-2.3650000000000002</v>
      </c>
      <c r="N408" s="6">
        <v>-2.3650000000000002</v>
      </c>
      <c r="O408" s="6">
        <v>-2.3650000000000002</v>
      </c>
      <c r="P408" s="6">
        <v>0</v>
      </c>
      <c r="Q408" s="4" t="s">
        <v>26</v>
      </c>
      <c r="R408" s="4">
        <v>0</v>
      </c>
      <c r="S408" s="4" t="s">
        <v>193</v>
      </c>
      <c r="T408" s="4" t="s">
        <v>438</v>
      </c>
      <c r="U408" s="4">
        <v>0</v>
      </c>
      <c r="V408" s="4">
        <v>16</v>
      </c>
      <c r="W408" s="4">
        <v>53</v>
      </c>
    </row>
    <row r="409" spans="1:23" ht="11.25" customHeight="1" x14ac:dyDescent="0.25">
      <c r="A409" s="4" t="s">
        <v>28</v>
      </c>
      <c r="B409" s="4" t="s">
        <v>22</v>
      </c>
      <c r="C409" s="4" t="s">
        <v>23</v>
      </c>
      <c r="D409" s="4" t="s">
        <v>24</v>
      </c>
      <c r="E409" s="4" t="s">
        <v>24</v>
      </c>
      <c r="F409" s="4" t="s">
        <v>25</v>
      </c>
      <c r="G409" s="4" t="s">
        <v>25</v>
      </c>
      <c r="H409" s="4" t="s">
        <v>25</v>
      </c>
      <c r="I409" s="5">
        <v>44378</v>
      </c>
      <c r="J409" s="6">
        <v>0</v>
      </c>
      <c r="K409" s="6">
        <v>0</v>
      </c>
      <c r="L409" s="6">
        <v>22.797999999999998</v>
      </c>
      <c r="M409" s="6">
        <v>22.797999999999998</v>
      </c>
      <c r="N409" s="6">
        <v>22.797999999999998</v>
      </c>
      <c r="O409" s="6">
        <v>22.797999999999998</v>
      </c>
      <c r="P409" s="6">
        <v>143</v>
      </c>
      <c r="Q409" s="4" t="s">
        <v>26</v>
      </c>
      <c r="R409" s="4">
        <v>0</v>
      </c>
      <c r="S409" s="4" t="s">
        <v>193</v>
      </c>
      <c r="T409" s="4" t="s">
        <v>438</v>
      </c>
      <c r="U409" s="4">
        <v>0</v>
      </c>
      <c r="V409" s="4">
        <v>16</v>
      </c>
      <c r="W409" s="4">
        <v>53</v>
      </c>
    </row>
    <row r="410" spans="1:23" ht="11.25" customHeight="1" x14ac:dyDescent="0.25">
      <c r="A410" s="4" t="s">
        <v>21</v>
      </c>
      <c r="B410" s="4" t="s">
        <v>22</v>
      </c>
      <c r="C410" s="4" t="s">
        <v>23</v>
      </c>
      <c r="D410" s="4" t="s">
        <v>24</v>
      </c>
      <c r="E410" s="4" t="s">
        <v>24</v>
      </c>
      <c r="F410" s="4" t="s">
        <v>25</v>
      </c>
      <c r="G410" s="4" t="s">
        <v>25</v>
      </c>
      <c r="H410" s="4" t="s">
        <v>25</v>
      </c>
      <c r="I410" s="5">
        <v>44409</v>
      </c>
      <c r="J410" s="6">
        <v>0</v>
      </c>
      <c r="K410" s="6">
        <v>0</v>
      </c>
      <c r="L410" s="6">
        <v>1987.383</v>
      </c>
      <c r="M410" s="6">
        <v>1987.383</v>
      </c>
      <c r="N410" s="6">
        <v>1987.383</v>
      </c>
      <c r="O410" s="6">
        <v>1987.383</v>
      </c>
      <c r="P410" s="6">
        <v>10766</v>
      </c>
      <c r="Q410" s="4" t="s">
        <v>26</v>
      </c>
      <c r="R410" s="4">
        <v>0</v>
      </c>
      <c r="S410" s="4" t="s">
        <v>194</v>
      </c>
      <c r="T410" s="4" t="s">
        <v>439</v>
      </c>
      <c r="U410" s="4">
        <v>0</v>
      </c>
      <c r="V410" s="4">
        <v>16</v>
      </c>
      <c r="W410" s="4">
        <v>53</v>
      </c>
    </row>
    <row r="411" spans="1:23" ht="11.25" customHeight="1" x14ac:dyDescent="0.25">
      <c r="A411" s="4" t="s">
        <v>27</v>
      </c>
      <c r="B411" s="4" t="s">
        <v>22</v>
      </c>
      <c r="C411" s="4" t="s">
        <v>23</v>
      </c>
      <c r="D411" s="4" t="s">
        <v>24</v>
      </c>
      <c r="E411" s="4" t="s">
        <v>24</v>
      </c>
      <c r="F411" s="4" t="s">
        <v>25</v>
      </c>
      <c r="G411" s="4" t="s">
        <v>25</v>
      </c>
      <c r="H411" s="4" t="s">
        <v>25</v>
      </c>
      <c r="I411" s="5">
        <v>44409</v>
      </c>
      <c r="J411" s="6">
        <v>0</v>
      </c>
      <c r="K411" s="6">
        <v>0</v>
      </c>
      <c r="L411" s="6">
        <v>-5.2480000000000002</v>
      </c>
      <c r="M411" s="6">
        <v>-5.2480000000000002</v>
      </c>
      <c r="N411" s="6">
        <v>-5.2480000000000002</v>
      </c>
      <c r="O411" s="6">
        <v>-5.2480000000000002</v>
      </c>
      <c r="P411" s="6">
        <v>0</v>
      </c>
      <c r="Q411" s="4" t="s">
        <v>26</v>
      </c>
      <c r="R411" s="4">
        <v>0</v>
      </c>
      <c r="S411" s="4" t="s">
        <v>194</v>
      </c>
      <c r="T411" s="4" t="s">
        <v>439</v>
      </c>
      <c r="U411" s="4">
        <v>0</v>
      </c>
      <c r="V411" s="4">
        <v>16</v>
      </c>
      <c r="W411" s="4">
        <v>53</v>
      </c>
    </row>
    <row r="412" spans="1:23" ht="11.25" customHeight="1" x14ac:dyDescent="0.25">
      <c r="A412" s="4" t="s">
        <v>28</v>
      </c>
      <c r="B412" s="4" t="s">
        <v>22</v>
      </c>
      <c r="C412" s="4" t="s">
        <v>23</v>
      </c>
      <c r="D412" s="4" t="s">
        <v>24</v>
      </c>
      <c r="E412" s="4" t="s">
        <v>24</v>
      </c>
      <c r="F412" s="4" t="s">
        <v>25</v>
      </c>
      <c r="G412" s="4" t="s">
        <v>25</v>
      </c>
      <c r="H412" s="4" t="s">
        <v>25</v>
      </c>
      <c r="I412" s="5">
        <v>44409</v>
      </c>
      <c r="J412" s="6">
        <v>0</v>
      </c>
      <c r="K412" s="6">
        <v>0</v>
      </c>
      <c r="L412" s="6">
        <v>22.396999999999998</v>
      </c>
      <c r="M412" s="6">
        <v>22.396999999999998</v>
      </c>
      <c r="N412" s="6">
        <v>22.396999999999998</v>
      </c>
      <c r="O412" s="6">
        <v>22.396999999999998</v>
      </c>
      <c r="P412" s="6">
        <v>146</v>
      </c>
      <c r="Q412" s="4" t="s">
        <v>26</v>
      </c>
      <c r="R412" s="4">
        <v>0</v>
      </c>
      <c r="S412" s="4" t="s">
        <v>194</v>
      </c>
      <c r="T412" s="4" t="s">
        <v>439</v>
      </c>
      <c r="U412" s="4">
        <v>0</v>
      </c>
      <c r="V412" s="4">
        <v>16</v>
      </c>
      <c r="W412" s="4">
        <v>53</v>
      </c>
    </row>
    <row r="413" spans="1:23" ht="11.25" customHeight="1" x14ac:dyDescent="0.25">
      <c r="A413" s="4" t="s">
        <v>21</v>
      </c>
      <c r="B413" s="4" t="s">
        <v>22</v>
      </c>
      <c r="C413" s="4" t="s">
        <v>23</v>
      </c>
      <c r="D413" s="4" t="s">
        <v>24</v>
      </c>
      <c r="E413" s="4" t="s">
        <v>24</v>
      </c>
      <c r="F413" s="4" t="s">
        <v>25</v>
      </c>
      <c r="G413" s="4" t="s">
        <v>25</v>
      </c>
      <c r="H413" s="4" t="s">
        <v>25</v>
      </c>
      <c r="I413" s="5">
        <v>44440</v>
      </c>
      <c r="J413" s="6">
        <v>0</v>
      </c>
      <c r="K413" s="6">
        <v>0</v>
      </c>
      <c r="L413" s="6">
        <v>2160.2640000000001</v>
      </c>
      <c r="M413" s="6">
        <v>2160.2640000000001</v>
      </c>
      <c r="N413" s="6">
        <v>2160.2640000000001</v>
      </c>
      <c r="O413" s="6">
        <v>2160.2640000000001</v>
      </c>
      <c r="P413" s="6">
        <v>10857</v>
      </c>
      <c r="Q413" s="4" t="s">
        <v>26</v>
      </c>
      <c r="R413" s="4">
        <v>0</v>
      </c>
      <c r="S413" s="4" t="s">
        <v>195</v>
      </c>
      <c r="T413" s="4" t="s">
        <v>440</v>
      </c>
      <c r="U413" s="4">
        <v>0</v>
      </c>
      <c r="V413" s="4">
        <v>16</v>
      </c>
      <c r="W413" s="4">
        <v>53</v>
      </c>
    </row>
    <row r="414" spans="1:23" ht="11.25" customHeight="1" x14ac:dyDescent="0.25">
      <c r="A414" s="4" t="s">
        <v>27</v>
      </c>
      <c r="B414" s="4" t="s">
        <v>22</v>
      </c>
      <c r="C414" s="4" t="s">
        <v>23</v>
      </c>
      <c r="D414" s="4" t="s">
        <v>24</v>
      </c>
      <c r="E414" s="4" t="s">
        <v>24</v>
      </c>
      <c r="F414" s="4" t="s">
        <v>25</v>
      </c>
      <c r="G414" s="4" t="s">
        <v>25</v>
      </c>
      <c r="H414" s="4" t="s">
        <v>25</v>
      </c>
      <c r="I414" s="5">
        <v>44440</v>
      </c>
      <c r="J414" s="6">
        <v>0</v>
      </c>
      <c r="K414" s="6">
        <v>0</v>
      </c>
      <c r="L414" s="6">
        <v>-9.6820000000000004</v>
      </c>
      <c r="M414" s="6">
        <v>-9.6820000000000004</v>
      </c>
      <c r="N414" s="6">
        <v>-9.6820000000000004</v>
      </c>
      <c r="O414" s="6">
        <v>-9.6820000000000004</v>
      </c>
      <c r="P414" s="6">
        <v>0</v>
      </c>
      <c r="Q414" s="4" t="s">
        <v>26</v>
      </c>
      <c r="R414" s="4">
        <v>0</v>
      </c>
      <c r="S414" s="4" t="s">
        <v>195</v>
      </c>
      <c r="T414" s="4" t="s">
        <v>440</v>
      </c>
      <c r="U414" s="4">
        <v>0</v>
      </c>
      <c r="V414" s="4">
        <v>16</v>
      </c>
      <c r="W414" s="4">
        <v>53</v>
      </c>
    </row>
    <row r="415" spans="1:23" ht="11.25" customHeight="1" x14ac:dyDescent="0.25">
      <c r="A415" s="4" t="s">
        <v>28</v>
      </c>
      <c r="B415" s="4" t="s">
        <v>22</v>
      </c>
      <c r="C415" s="4" t="s">
        <v>23</v>
      </c>
      <c r="D415" s="4" t="s">
        <v>24</v>
      </c>
      <c r="E415" s="4" t="s">
        <v>24</v>
      </c>
      <c r="F415" s="4" t="s">
        <v>25</v>
      </c>
      <c r="G415" s="4" t="s">
        <v>25</v>
      </c>
      <c r="H415" s="4" t="s">
        <v>25</v>
      </c>
      <c r="I415" s="5">
        <v>44440</v>
      </c>
      <c r="J415" s="6">
        <v>0</v>
      </c>
      <c r="K415" s="6">
        <v>0</v>
      </c>
      <c r="L415" s="6">
        <v>20.276</v>
      </c>
      <c r="M415" s="6">
        <v>20.276</v>
      </c>
      <c r="N415" s="6">
        <v>20.276</v>
      </c>
      <c r="O415" s="6">
        <v>20.276</v>
      </c>
      <c r="P415" s="6">
        <v>155</v>
      </c>
      <c r="Q415" s="4" t="s">
        <v>26</v>
      </c>
      <c r="R415" s="4">
        <v>0</v>
      </c>
      <c r="S415" s="4" t="s">
        <v>195</v>
      </c>
      <c r="T415" s="4" t="s">
        <v>440</v>
      </c>
      <c r="U415" s="4">
        <v>0</v>
      </c>
      <c r="V415" s="4">
        <v>16</v>
      </c>
      <c r="W415" s="4">
        <v>53</v>
      </c>
    </row>
    <row r="416" spans="1:23" ht="11.25" customHeight="1" x14ac:dyDescent="0.25">
      <c r="A416" s="4" t="s">
        <v>28</v>
      </c>
      <c r="B416" s="4" t="s">
        <v>22</v>
      </c>
      <c r="C416" s="4" t="s">
        <v>23</v>
      </c>
      <c r="D416" s="4" t="s">
        <v>24</v>
      </c>
      <c r="E416" s="4" t="s">
        <v>24</v>
      </c>
      <c r="F416" s="4" t="s">
        <v>25</v>
      </c>
      <c r="G416" s="4" t="s">
        <v>25</v>
      </c>
      <c r="H416" s="4" t="s">
        <v>25</v>
      </c>
      <c r="I416" s="5">
        <v>44440</v>
      </c>
      <c r="J416" s="6">
        <v>0</v>
      </c>
      <c r="K416" s="6">
        <v>0</v>
      </c>
      <c r="L416" s="6">
        <v>0.4</v>
      </c>
      <c r="M416" s="6">
        <v>0.4</v>
      </c>
      <c r="N416" s="6">
        <v>0.4</v>
      </c>
      <c r="O416" s="6">
        <v>0.4</v>
      </c>
      <c r="P416" s="6">
        <v>8</v>
      </c>
      <c r="Q416" s="4" t="s">
        <v>26</v>
      </c>
      <c r="R416" s="4">
        <v>0</v>
      </c>
      <c r="S416" s="4" t="s">
        <v>195</v>
      </c>
      <c r="T416" s="4" t="s">
        <v>440</v>
      </c>
      <c r="U416" s="4">
        <v>0</v>
      </c>
      <c r="V416" s="4">
        <v>16</v>
      </c>
      <c r="W416" s="4">
        <v>53</v>
      </c>
    </row>
    <row r="417" spans="1:23" ht="11.25" customHeight="1" x14ac:dyDescent="0.25">
      <c r="A417" s="4" t="s">
        <v>21</v>
      </c>
      <c r="B417" s="4" t="s">
        <v>22</v>
      </c>
      <c r="C417" s="4" t="s">
        <v>23</v>
      </c>
      <c r="D417" s="4" t="s">
        <v>24</v>
      </c>
      <c r="E417" s="4" t="s">
        <v>24</v>
      </c>
      <c r="F417" s="4" t="s">
        <v>25</v>
      </c>
      <c r="G417" s="4" t="s">
        <v>25</v>
      </c>
      <c r="H417" s="4" t="s">
        <v>25</v>
      </c>
      <c r="I417" s="5">
        <v>44470</v>
      </c>
      <c r="J417" s="6">
        <v>0</v>
      </c>
      <c r="K417" s="6">
        <v>0</v>
      </c>
      <c r="L417" s="6">
        <v>2287.4720000000002</v>
      </c>
      <c r="M417" s="6">
        <v>2287.4720000000002</v>
      </c>
      <c r="N417" s="6">
        <v>2287.4720000000002</v>
      </c>
      <c r="O417" s="6">
        <v>2287.4720000000002</v>
      </c>
      <c r="P417" s="6">
        <v>10927</v>
      </c>
      <c r="Q417" s="4" t="s">
        <v>26</v>
      </c>
      <c r="R417" s="4">
        <v>0</v>
      </c>
      <c r="S417" s="4" t="s">
        <v>196</v>
      </c>
      <c r="T417" s="4" t="s">
        <v>441</v>
      </c>
      <c r="U417" s="4">
        <v>0</v>
      </c>
      <c r="V417" s="4">
        <v>16</v>
      </c>
      <c r="W417" s="4">
        <v>53</v>
      </c>
    </row>
    <row r="418" spans="1:23" ht="11.25" customHeight="1" x14ac:dyDescent="0.25">
      <c r="A418" s="4" t="s">
        <v>27</v>
      </c>
      <c r="B418" s="4" t="s">
        <v>22</v>
      </c>
      <c r="C418" s="4" t="s">
        <v>23</v>
      </c>
      <c r="D418" s="4" t="s">
        <v>24</v>
      </c>
      <c r="E418" s="4" t="s">
        <v>24</v>
      </c>
      <c r="F418" s="4" t="s">
        <v>25</v>
      </c>
      <c r="G418" s="4" t="s">
        <v>25</v>
      </c>
      <c r="H418" s="4" t="s">
        <v>25</v>
      </c>
      <c r="I418" s="5">
        <v>44470</v>
      </c>
      <c r="J418" s="6">
        <v>0</v>
      </c>
      <c r="K418" s="6">
        <v>0</v>
      </c>
      <c r="L418" s="6">
        <v>-71.149000000000001</v>
      </c>
      <c r="M418" s="6">
        <v>-71.149000000000001</v>
      </c>
      <c r="N418" s="6">
        <v>-71.149000000000001</v>
      </c>
      <c r="O418" s="6">
        <v>-71.149000000000001</v>
      </c>
      <c r="P418" s="6">
        <v>0</v>
      </c>
      <c r="Q418" s="4" t="s">
        <v>26</v>
      </c>
      <c r="R418" s="4">
        <v>0</v>
      </c>
      <c r="S418" s="4" t="s">
        <v>196</v>
      </c>
      <c r="T418" s="4" t="s">
        <v>441</v>
      </c>
      <c r="U418" s="4">
        <v>0</v>
      </c>
      <c r="V418" s="4">
        <v>16</v>
      </c>
      <c r="W418" s="4">
        <v>53</v>
      </c>
    </row>
    <row r="419" spans="1:23" ht="11.25" customHeight="1" x14ac:dyDescent="0.25">
      <c r="A419" s="4" t="s">
        <v>28</v>
      </c>
      <c r="B419" s="4" t="s">
        <v>22</v>
      </c>
      <c r="C419" s="4" t="s">
        <v>23</v>
      </c>
      <c r="D419" s="4" t="s">
        <v>24</v>
      </c>
      <c r="E419" s="4" t="s">
        <v>24</v>
      </c>
      <c r="F419" s="4" t="s">
        <v>25</v>
      </c>
      <c r="G419" s="4" t="s">
        <v>25</v>
      </c>
      <c r="H419" s="4" t="s">
        <v>25</v>
      </c>
      <c r="I419" s="5">
        <v>44470</v>
      </c>
      <c r="J419" s="6">
        <v>0</v>
      </c>
      <c r="K419" s="6">
        <v>0</v>
      </c>
      <c r="L419" s="6">
        <v>21.625</v>
      </c>
      <c r="M419" s="6">
        <v>21.625</v>
      </c>
      <c r="N419" s="6">
        <v>21.625</v>
      </c>
      <c r="O419" s="6">
        <v>21.625</v>
      </c>
      <c r="P419" s="6">
        <v>160</v>
      </c>
      <c r="Q419" s="4" t="s">
        <v>26</v>
      </c>
      <c r="R419" s="4">
        <v>0</v>
      </c>
      <c r="S419" s="4" t="s">
        <v>196</v>
      </c>
      <c r="T419" s="4" t="s">
        <v>441</v>
      </c>
      <c r="U419" s="4">
        <v>0</v>
      </c>
      <c r="V419" s="4">
        <v>16</v>
      </c>
      <c r="W419" s="4">
        <v>53</v>
      </c>
    </row>
    <row r="420" spans="1:23" ht="11.25" customHeight="1" x14ac:dyDescent="0.25">
      <c r="A420" s="4" t="s">
        <v>21</v>
      </c>
      <c r="B420" s="4" t="s">
        <v>22</v>
      </c>
      <c r="C420" s="4" t="s">
        <v>23</v>
      </c>
      <c r="D420" s="4" t="s">
        <v>24</v>
      </c>
      <c r="E420" s="4" t="s">
        <v>24</v>
      </c>
      <c r="F420" s="4" t="s">
        <v>25</v>
      </c>
      <c r="G420" s="4" t="s">
        <v>25</v>
      </c>
      <c r="H420" s="4" t="s">
        <v>25</v>
      </c>
      <c r="I420" s="5">
        <v>44501</v>
      </c>
      <c r="J420" s="6">
        <v>0</v>
      </c>
      <c r="K420" s="6">
        <v>0</v>
      </c>
      <c r="L420" s="6">
        <v>2171.8649999999998</v>
      </c>
      <c r="M420" s="6">
        <v>2171.8649999999998</v>
      </c>
      <c r="N420" s="6">
        <v>2171.8649999999998</v>
      </c>
      <c r="O420" s="6">
        <v>2171.8649999999998</v>
      </c>
      <c r="P420" s="6">
        <v>10969</v>
      </c>
      <c r="Q420" s="4" t="s">
        <v>26</v>
      </c>
      <c r="R420" s="4">
        <v>0</v>
      </c>
      <c r="S420" s="4" t="s">
        <v>197</v>
      </c>
      <c r="T420" s="4" t="s">
        <v>442</v>
      </c>
      <c r="U420" s="4">
        <v>0</v>
      </c>
      <c r="V420" s="4">
        <v>16</v>
      </c>
      <c r="W420" s="4">
        <v>53</v>
      </c>
    </row>
    <row r="421" spans="1:23" ht="11.25" customHeight="1" x14ac:dyDescent="0.25">
      <c r="A421" s="4" t="s">
        <v>27</v>
      </c>
      <c r="B421" s="4" t="s">
        <v>22</v>
      </c>
      <c r="C421" s="4" t="s">
        <v>23</v>
      </c>
      <c r="D421" s="4" t="s">
        <v>24</v>
      </c>
      <c r="E421" s="4" t="s">
        <v>24</v>
      </c>
      <c r="F421" s="4" t="s">
        <v>25</v>
      </c>
      <c r="G421" s="4" t="s">
        <v>25</v>
      </c>
      <c r="H421" s="4" t="s">
        <v>25</v>
      </c>
      <c r="I421" s="5">
        <v>44501</v>
      </c>
      <c r="J421" s="6">
        <v>0</v>
      </c>
      <c r="K421" s="6">
        <v>0</v>
      </c>
      <c r="L421" s="6">
        <v>-0.49099999999999999</v>
      </c>
      <c r="M421" s="6">
        <v>-0.49099999999999999</v>
      </c>
      <c r="N421" s="6">
        <v>-0.49099999999999999</v>
      </c>
      <c r="O421" s="6">
        <v>-0.49099999999999999</v>
      </c>
      <c r="P421" s="6">
        <v>0</v>
      </c>
      <c r="Q421" s="4" t="s">
        <v>26</v>
      </c>
      <c r="R421" s="4">
        <v>0</v>
      </c>
      <c r="S421" s="4" t="s">
        <v>197</v>
      </c>
      <c r="T421" s="4" t="s">
        <v>442</v>
      </c>
      <c r="U421" s="4">
        <v>0</v>
      </c>
      <c r="V421" s="4">
        <v>16</v>
      </c>
      <c r="W421" s="4">
        <v>53</v>
      </c>
    </row>
    <row r="422" spans="1:23" ht="11.25" customHeight="1" x14ac:dyDescent="0.25">
      <c r="A422" s="4" t="s">
        <v>28</v>
      </c>
      <c r="B422" s="4" t="s">
        <v>22</v>
      </c>
      <c r="C422" s="4" t="s">
        <v>23</v>
      </c>
      <c r="D422" s="4" t="s">
        <v>24</v>
      </c>
      <c r="E422" s="4" t="s">
        <v>24</v>
      </c>
      <c r="F422" s="4" t="s">
        <v>25</v>
      </c>
      <c r="G422" s="4" t="s">
        <v>25</v>
      </c>
      <c r="H422" s="4" t="s">
        <v>25</v>
      </c>
      <c r="I422" s="5">
        <v>44501</v>
      </c>
      <c r="J422" s="6">
        <v>0</v>
      </c>
      <c r="K422" s="6">
        <v>0</v>
      </c>
      <c r="L422" s="6">
        <v>19.73</v>
      </c>
      <c r="M422" s="6">
        <v>19.73</v>
      </c>
      <c r="N422" s="6">
        <v>19.73</v>
      </c>
      <c r="O422" s="6">
        <v>19.73</v>
      </c>
      <c r="P422" s="6">
        <v>171</v>
      </c>
      <c r="Q422" s="4" t="s">
        <v>26</v>
      </c>
      <c r="R422" s="4">
        <v>0</v>
      </c>
      <c r="S422" s="4" t="s">
        <v>197</v>
      </c>
      <c r="T422" s="4" t="s">
        <v>442</v>
      </c>
      <c r="U422" s="4">
        <v>0</v>
      </c>
      <c r="V422" s="4">
        <v>16</v>
      </c>
      <c r="W422" s="4">
        <v>53</v>
      </c>
    </row>
    <row r="423" spans="1:23" ht="11.25" customHeight="1" x14ac:dyDescent="0.25">
      <c r="A423" s="4" t="s">
        <v>21</v>
      </c>
      <c r="B423" s="4" t="s">
        <v>22</v>
      </c>
      <c r="C423" s="4" t="s">
        <v>23</v>
      </c>
      <c r="D423" s="4" t="s">
        <v>24</v>
      </c>
      <c r="E423" s="4" t="s">
        <v>24</v>
      </c>
      <c r="F423" s="4" t="s">
        <v>25</v>
      </c>
      <c r="G423" s="4" t="s">
        <v>25</v>
      </c>
      <c r="H423" s="4" t="s">
        <v>25</v>
      </c>
      <c r="I423" s="5">
        <v>44531</v>
      </c>
      <c r="J423" s="6">
        <v>0</v>
      </c>
      <c r="K423" s="6">
        <v>0</v>
      </c>
      <c r="L423" s="6">
        <v>2116.02</v>
      </c>
      <c r="M423" s="6">
        <v>2116.02</v>
      </c>
      <c r="N423" s="6">
        <v>2116.02</v>
      </c>
      <c r="O423" s="6">
        <v>2116.02</v>
      </c>
      <c r="P423" s="6">
        <v>11011</v>
      </c>
      <c r="Q423" s="4" t="s">
        <v>26</v>
      </c>
      <c r="R423" s="4">
        <v>0</v>
      </c>
      <c r="S423" s="4" t="s">
        <v>198</v>
      </c>
      <c r="T423" s="4" t="s">
        <v>443</v>
      </c>
      <c r="U423" s="4">
        <v>0</v>
      </c>
      <c r="V423" s="4">
        <v>16</v>
      </c>
      <c r="W423" s="4">
        <v>53</v>
      </c>
    </row>
    <row r="424" spans="1:23" ht="11.25" customHeight="1" x14ac:dyDescent="0.25">
      <c r="A424" s="4" t="s">
        <v>27</v>
      </c>
      <c r="B424" s="4" t="s">
        <v>22</v>
      </c>
      <c r="C424" s="4" t="s">
        <v>23</v>
      </c>
      <c r="D424" s="4" t="s">
        <v>24</v>
      </c>
      <c r="E424" s="4" t="s">
        <v>24</v>
      </c>
      <c r="F424" s="4" t="s">
        <v>25</v>
      </c>
      <c r="G424" s="4" t="s">
        <v>25</v>
      </c>
      <c r="H424" s="4" t="s">
        <v>25</v>
      </c>
      <c r="I424" s="5">
        <v>44531</v>
      </c>
      <c r="J424" s="6">
        <v>0</v>
      </c>
      <c r="K424" s="6">
        <v>0</v>
      </c>
      <c r="L424" s="6">
        <v>-1.9370000000000001</v>
      </c>
      <c r="M424" s="6">
        <v>-1.9370000000000001</v>
      </c>
      <c r="N424" s="6">
        <v>-1.9370000000000001</v>
      </c>
      <c r="O424" s="6">
        <v>-1.9370000000000001</v>
      </c>
      <c r="P424" s="6">
        <v>0</v>
      </c>
      <c r="Q424" s="4" t="s">
        <v>26</v>
      </c>
      <c r="R424" s="4">
        <v>0</v>
      </c>
      <c r="S424" s="4" t="s">
        <v>198</v>
      </c>
      <c r="T424" s="4" t="s">
        <v>443</v>
      </c>
      <c r="U424" s="4">
        <v>0</v>
      </c>
      <c r="V424" s="4">
        <v>16</v>
      </c>
      <c r="W424" s="4">
        <v>53</v>
      </c>
    </row>
    <row r="425" spans="1:23" ht="11.25" customHeight="1" x14ac:dyDescent="0.25">
      <c r="A425" s="4" t="s">
        <v>28</v>
      </c>
      <c r="B425" s="4" t="s">
        <v>22</v>
      </c>
      <c r="C425" s="4" t="s">
        <v>23</v>
      </c>
      <c r="D425" s="4" t="s">
        <v>24</v>
      </c>
      <c r="E425" s="4" t="s">
        <v>24</v>
      </c>
      <c r="F425" s="4" t="s">
        <v>25</v>
      </c>
      <c r="G425" s="4" t="s">
        <v>25</v>
      </c>
      <c r="H425" s="4" t="s">
        <v>25</v>
      </c>
      <c r="I425" s="5">
        <v>44531</v>
      </c>
      <c r="J425" s="6">
        <v>0</v>
      </c>
      <c r="K425" s="6">
        <v>0</v>
      </c>
      <c r="L425" s="6">
        <v>22.012</v>
      </c>
      <c r="M425" s="6">
        <v>22.012</v>
      </c>
      <c r="N425" s="6">
        <v>22.012</v>
      </c>
      <c r="O425" s="6">
        <v>22.012</v>
      </c>
      <c r="P425" s="6">
        <v>179</v>
      </c>
      <c r="Q425" s="4" t="s">
        <v>26</v>
      </c>
      <c r="R425" s="4">
        <v>0</v>
      </c>
      <c r="S425" s="4" t="s">
        <v>198</v>
      </c>
      <c r="T425" s="4" t="s">
        <v>443</v>
      </c>
      <c r="U425" s="4">
        <v>0</v>
      </c>
      <c r="V425" s="4">
        <v>16</v>
      </c>
      <c r="W425" s="4">
        <v>53</v>
      </c>
    </row>
    <row r="426" spans="1:23" ht="11.25" customHeight="1" x14ac:dyDescent="0.25">
      <c r="A426" s="4" t="s">
        <v>21</v>
      </c>
      <c r="B426" s="4" t="s">
        <v>22</v>
      </c>
      <c r="C426" s="4" t="s">
        <v>23</v>
      </c>
      <c r="D426" s="4" t="s">
        <v>24</v>
      </c>
      <c r="E426" s="4" t="s">
        <v>24</v>
      </c>
      <c r="F426" s="4" t="s">
        <v>25</v>
      </c>
      <c r="G426" s="4" t="s">
        <v>25</v>
      </c>
      <c r="H426" s="4" t="s">
        <v>25</v>
      </c>
      <c r="I426" s="5">
        <v>44562</v>
      </c>
      <c r="J426" s="6">
        <v>0</v>
      </c>
      <c r="K426" s="6">
        <v>0</v>
      </c>
      <c r="L426" s="6">
        <v>2267.7260000000001</v>
      </c>
      <c r="M426" s="6">
        <v>2267.7260000000001</v>
      </c>
      <c r="N426" s="6">
        <v>2267.7260000000001</v>
      </c>
      <c r="O426" s="6">
        <v>2267.7260000000001</v>
      </c>
      <c r="P426" s="6">
        <v>11041</v>
      </c>
      <c r="Q426" s="4" t="s">
        <v>26</v>
      </c>
      <c r="R426" s="4">
        <v>0</v>
      </c>
      <c r="S426" s="4" t="s">
        <v>199</v>
      </c>
      <c r="T426" s="4" t="s">
        <v>444</v>
      </c>
      <c r="U426" s="4">
        <v>0</v>
      </c>
      <c r="V426" s="4">
        <v>16</v>
      </c>
      <c r="W426" s="4">
        <v>53</v>
      </c>
    </row>
    <row r="427" spans="1:23" ht="11.25" customHeight="1" x14ac:dyDescent="0.25">
      <c r="A427" s="4" t="s">
        <v>27</v>
      </c>
      <c r="B427" s="4" t="s">
        <v>22</v>
      </c>
      <c r="C427" s="4" t="s">
        <v>23</v>
      </c>
      <c r="D427" s="4" t="s">
        <v>24</v>
      </c>
      <c r="E427" s="4" t="s">
        <v>24</v>
      </c>
      <c r="F427" s="4" t="s">
        <v>25</v>
      </c>
      <c r="G427" s="4" t="s">
        <v>25</v>
      </c>
      <c r="H427" s="4" t="s">
        <v>25</v>
      </c>
      <c r="I427" s="5">
        <v>44562</v>
      </c>
      <c r="J427" s="6">
        <v>0</v>
      </c>
      <c r="K427" s="6">
        <v>0</v>
      </c>
      <c r="L427" s="6">
        <v>-0.98899999999999999</v>
      </c>
      <c r="M427" s="6">
        <v>-0.98899999999999999</v>
      </c>
      <c r="N427" s="6">
        <v>-0.98899999999999999</v>
      </c>
      <c r="O427" s="6">
        <v>-0.98899999999999999</v>
      </c>
      <c r="P427" s="6">
        <v>0</v>
      </c>
      <c r="Q427" s="4" t="s">
        <v>26</v>
      </c>
      <c r="R427" s="4">
        <v>0</v>
      </c>
      <c r="S427" s="4" t="s">
        <v>199</v>
      </c>
      <c r="T427" s="4" t="s">
        <v>444</v>
      </c>
      <c r="U427" s="4">
        <v>0</v>
      </c>
      <c r="V427" s="4">
        <v>16</v>
      </c>
      <c r="W427" s="4">
        <v>53</v>
      </c>
    </row>
    <row r="428" spans="1:23" ht="11.25" customHeight="1" x14ac:dyDescent="0.25">
      <c r="A428" s="4" t="s">
        <v>28</v>
      </c>
      <c r="B428" s="4" t="s">
        <v>22</v>
      </c>
      <c r="C428" s="4" t="s">
        <v>23</v>
      </c>
      <c r="D428" s="4" t="s">
        <v>24</v>
      </c>
      <c r="E428" s="4" t="s">
        <v>24</v>
      </c>
      <c r="F428" s="4" t="s">
        <v>25</v>
      </c>
      <c r="G428" s="4" t="s">
        <v>25</v>
      </c>
      <c r="H428" s="4" t="s">
        <v>25</v>
      </c>
      <c r="I428" s="5">
        <v>44562</v>
      </c>
      <c r="J428" s="6">
        <v>0</v>
      </c>
      <c r="K428" s="6">
        <v>0</v>
      </c>
      <c r="L428" s="6">
        <v>26.532</v>
      </c>
      <c r="M428" s="6">
        <v>26.532</v>
      </c>
      <c r="N428" s="6">
        <v>26.532</v>
      </c>
      <c r="O428" s="6">
        <v>26.532</v>
      </c>
      <c r="P428" s="6">
        <v>188</v>
      </c>
      <c r="Q428" s="4" t="s">
        <v>26</v>
      </c>
      <c r="R428" s="4">
        <v>0</v>
      </c>
      <c r="S428" s="4" t="s">
        <v>199</v>
      </c>
      <c r="T428" s="4" t="s">
        <v>444</v>
      </c>
      <c r="U428" s="4">
        <v>0</v>
      </c>
      <c r="V428" s="4">
        <v>16</v>
      </c>
      <c r="W428" s="4">
        <v>53</v>
      </c>
    </row>
    <row r="429" spans="1:23" ht="11.25" customHeight="1" x14ac:dyDescent="0.25">
      <c r="A429" s="4" t="s">
        <v>21</v>
      </c>
      <c r="B429" s="4" t="s">
        <v>22</v>
      </c>
      <c r="C429" s="4" t="s">
        <v>23</v>
      </c>
      <c r="D429" s="4" t="s">
        <v>24</v>
      </c>
      <c r="E429" s="4" t="s">
        <v>24</v>
      </c>
      <c r="F429" s="4" t="s">
        <v>25</v>
      </c>
      <c r="G429" s="4" t="s">
        <v>25</v>
      </c>
      <c r="H429" s="4" t="s">
        <v>25</v>
      </c>
      <c r="I429" s="5">
        <v>44593</v>
      </c>
      <c r="J429" s="6">
        <v>0</v>
      </c>
      <c r="K429" s="6">
        <v>0</v>
      </c>
      <c r="L429" s="6">
        <v>2150.9079999999999</v>
      </c>
      <c r="M429" s="6">
        <v>2150.9079999999999</v>
      </c>
      <c r="N429" s="6">
        <v>2150.9079999999999</v>
      </c>
      <c r="O429" s="6">
        <v>2150.9079999999999</v>
      </c>
      <c r="P429" s="6">
        <v>11020</v>
      </c>
      <c r="Q429" s="4" t="s">
        <v>26</v>
      </c>
      <c r="R429" s="4">
        <v>0</v>
      </c>
      <c r="S429" s="4" t="s">
        <v>200</v>
      </c>
      <c r="T429" s="4" t="s">
        <v>445</v>
      </c>
      <c r="U429" s="4">
        <v>0</v>
      </c>
      <c r="V429" s="4">
        <v>16</v>
      </c>
      <c r="W429" s="4">
        <v>53</v>
      </c>
    </row>
    <row r="430" spans="1:23" ht="11.25" customHeight="1" x14ac:dyDescent="0.25">
      <c r="A430" s="4" t="s">
        <v>27</v>
      </c>
      <c r="B430" s="4" t="s">
        <v>22</v>
      </c>
      <c r="C430" s="4" t="s">
        <v>23</v>
      </c>
      <c r="D430" s="4" t="s">
        <v>24</v>
      </c>
      <c r="E430" s="4" t="s">
        <v>24</v>
      </c>
      <c r="F430" s="4" t="s">
        <v>25</v>
      </c>
      <c r="G430" s="4" t="s">
        <v>25</v>
      </c>
      <c r="H430" s="4" t="s">
        <v>25</v>
      </c>
      <c r="I430" s="5">
        <v>44593</v>
      </c>
      <c r="J430" s="6">
        <v>0</v>
      </c>
      <c r="K430" s="6">
        <v>0</v>
      </c>
      <c r="L430" s="6">
        <v>-0.69299999999999995</v>
      </c>
      <c r="M430" s="6">
        <v>-0.69299999999999995</v>
      </c>
      <c r="N430" s="6">
        <v>-0.69299999999999995</v>
      </c>
      <c r="O430" s="6">
        <v>-0.69299999999999995</v>
      </c>
      <c r="P430" s="6">
        <v>0</v>
      </c>
      <c r="Q430" s="4" t="s">
        <v>26</v>
      </c>
      <c r="R430" s="4">
        <v>0</v>
      </c>
      <c r="S430" s="4" t="s">
        <v>200</v>
      </c>
      <c r="T430" s="4" t="s">
        <v>445</v>
      </c>
      <c r="U430" s="4">
        <v>0</v>
      </c>
      <c r="V430" s="4">
        <v>16</v>
      </c>
      <c r="W430" s="4">
        <v>53</v>
      </c>
    </row>
    <row r="431" spans="1:23" ht="11.25" customHeight="1" x14ac:dyDescent="0.25">
      <c r="A431" s="4" t="s">
        <v>28</v>
      </c>
      <c r="B431" s="4" t="s">
        <v>22</v>
      </c>
      <c r="C431" s="4" t="s">
        <v>23</v>
      </c>
      <c r="D431" s="4" t="s">
        <v>24</v>
      </c>
      <c r="E431" s="4" t="s">
        <v>24</v>
      </c>
      <c r="F431" s="4" t="s">
        <v>25</v>
      </c>
      <c r="G431" s="4" t="s">
        <v>25</v>
      </c>
      <c r="H431" s="4" t="s">
        <v>25</v>
      </c>
      <c r="I431" s="5">
        <v>44593</v>
      </c>
      <c r="J431" s="6">
        <v>0</v>
      </c>
      <c r="K431" s="6">
        <v>0</v>
      </c>
      <c r="L431" s="6">
        <v>28.321999999999999</v>
      </c>
      <c r="M431" s="6">
        <v>28.321999999999999</v>
      </c>
      <c r="N431" s="6">
        <v>28.321999999999999</v>
      </c>
      <c r="O431" s="6">
        <v>28.321999999999999</v>
      </c>
      <c r="P431" s="6">
        <v>199</v>
      </c>
      <c r="Q431" s="4" t="s">
        <v>26</v>
      </c>
      <c r="R431" s="4">
        <v>0</v>
      </c>
      <c r="S431" s="4" t="s">
        <v>200</v>
      </c>
      <c r="T431" s="4" t="s">
        <v>445</v>
      </c>
      <c r="U431" s="4">
        <v>0</v>
      </c>
      <c r="V431" s="4">
        <v>16</v>
      </c>
      <c r="W431" s="4">
        <v>53</v>
      </c>
    </row>
    <row r="432" spans="1:23" ht="11.25" customHeight="1" x14ac:dyDescent="0.25">
      <c r="A432" s="4" t="s">
        <v>21</v>
      </c>
      <c r="B432" s="4" t="s">
        <v>22</v>
      </c>
      <c r="C432" s="4" t="s">
        <v>23</v>
      </c>
      <c r="D432" s="4" t="s">
        <v>24</v>
      </c>
      <c r="E432" s="4" t="s">
        <v>24</v>
      </c>
      <c r="F432" s="4" t="s">
        <v>25</v>
      </c>
      <c r="G432" s="4" t="s">
        <v>25</v>
      </c>
      <c r="H432" s="4" t="s">
        <v>25</v>
      </c>
      <c r="I432" s="5">
        <v>44621</v>
      </c>
      <c r="J432" s="6">
        <v>0</v>
      </c>
      <c r="K432" s="6">
        <v>0</v>
      </c>
      <c r="L432" s="6">
        <v>2389.2820000000002</v>
      </c>
      <c r="M432" s="6">
        <v>2389.2820000000002</v>
      </c>
      <c r="N432" s="6">
        <v>2389.2820000000002</v>
      </c>
      <c r="O432" s="6">
        <v>2389.2820000000002</v>
      </c>
      <c r="P432" s="6">
        <v>10795</v>
      </c>
      <c r="Q432" s="4" t="s">
        <v>26</v>
      </c>
      <c r="R432" s="4">
        <v>0</v>
      </c>
      <c r="S432" s="4" t="s">
        <v>201</v>
      </c>
      <c r="T432" s="4" t="s">
        <v>446</v>
      </c>
      <c r="U432" s="4">
        <v>0</v>
      </c>
      <c r="V432" s="4">
        <v>16</v>
      </c>
      <c r="W432" s="4">
        <v>53</v>
      </c>
    </row>
    <row r="433" spans="1:23" ht="11.25" customHeight="1" x14ac:dyDescent="0.25">
      <c r="A433" s="4" t="s">
        <v>27</v>
      </c>
      <c r="B433" s="4" t="s">
        <v>22</v>
      </c>
      <c r="C433" s="4" t="s">
        <v>23</v>
      </c>
      <c r="D433" s="4" t="s">
        <v>24</v>
      </c>
      <c r="E433" s="4" t="s">
        <v>24</v>
      </c>
      <c r="F433" s="4" t="s">
        <v>25</v>
      </c>
      <c r="G433" s="4" t="s">
        <v>25</v>
      </c>
      <c r="H433" s="4" t="s">
        <v>25</v>
      </c>
      <c r="I433" s="5">
        <v>44621</v>
      </c>
      <c r="J433" s="6">
        <v>0</v>
      </c>
      <c r="K433" s="6">
        <v>0</v>
      </c>
      <c r="L433" s="6">
        <v>-9.0220000000000002</v>
      </c>
      <c r="M433" s="6">
        <v>-9.0220000000000002</v>
      </c>
      <c r="N433" s="6">
        <v>-9.0220000000000002</v>
      </c>
      <c r="O433" s="6">
        <v>-9.0220000000000002</v>
      </c>
      <c r="P433" s="6">
        <v>0</v>
      </c>
      <c r="Q433" s="4" t="s">
        <v>26</v>
      </c>
      <c r="R433" s="4">
        <v>0</v>
      </c>
      <c r="S433" s="4" t="s">
        <v>201</v>
      </c>
      <c r="T433" s="4" t="s">
        <v>446</v>
      </c>
      <c r="U433" s="4">
        <v>0</v>
      </c>
      <c r="V433" s="4">
        <v>16</v>
      </c>
      <c r="W433" s="4">
        <v>53</v>
      </c>
    </row>
    <row r="434" spans="1:23" ht="11.25" customHeight="1" x14ac:dyDescent="0.25">
      <c r="A434" s="4" t="s">
        <v>28</v>
      </c>
      <c r="B434" s="4" t="s">
        <v>22</v>
      </c>
      <c r="C434" s="4" t="s">
        <v>23</v>
      </c>
      <c r="D434" s="4" t="s">
        <v>24</v>
      </c>
      <c r="E434" s="4" t="s">
        <v>24</v>
      </c>
      <c r="F434" s="4" t="s">
        <v>25</v>
      </c>
      <c r="G434" s="4" t="s">
        <v>25</v>
      </c>
      <c r="H434" s="4" t="s">
        <v>25</v>
      </c>
      <c r="I434" s="5">
        <v>44621</v>
      </c>
      <c r="J434" s="6">
        <v>0</v>
      </c>
      <c r="K434" s="6">
        <v>0</v>
      </c>
      <c r="L434" s="6">
        <v>38.92</v>
      </c>
      <c r="M434" s="6">
        <v>38.92</v>
      </c>
      <c r="N434" s="6">
        <v>38.92</v>
      </c>
      <c r="O434" s="6">
        <v>38.92</v>
      </c>
      <c r="P434" s="6">
        <v>213</v>
      </c>
      <c r="Q434" s="4" t="s">
        <v>26</v>
      </c>
      <c r="R434" s="4">
        <v>0</v>
      </c>
      <c r="S434" s="4" t="s">
        <v>201</v>
      </c>
      <c r="T434" s="4" t="s">
        <v>446</v>
      </c>
      <c r="U434" s="4">
        <v>0</v>
      </c>
      <c r="V434" s="4">
        <v>16</v>
      </c>
      <c r="W434" s="4">
        <v>53</v>
      </c>
    </row>
    <row r="435" spans="1:23" ht="11.25" customHeight="1" x14ac:dyDescent="0.25">
      <c r="A435" s="4" t="s">
        <v>21</v>
      </c>
      <c r="B435" s="4" t="s">
        <v>22</v>
      </c>
      <c r="C435" s="4" t="s">
        <v>23</v>
      </c>
      <c r="D435" s="4" t="s">
        <v>24</v>
      </c>
      <c r="E435" s="4" t="s">
        <v>24</v>
      </c>
      <c r="F435" s="4" t="s">
        <v>25</v>
      </c>
      <c r="G435" s="4" t="s">
        <v>25</v>
      </c>
      <c r="H435" s="4" t="s">
        <v>25</v>
      </c>
      <c r="I435" s="5">
        <v>44652</v>
      </c>
      <c r="J435" s="6">
        <v>0</v>
      </c>
      <c r="K435" s="6">
        <v>0</v>
      </c>
      <c r="L435" s="6">
        <v>2235.0160000000001</v>
      </c>
      <c r="M435" s="6">
        <v>2235.0160000000001</v>
      </c>
      <c r="N435" s="6">
        <v>2235.0160000000001</v>
      </c>
      <c r="O435" s="6">
        <v>2235.0160000000001</v>
      </c>
      <c r="P435" s="6">
        <v>10827</v>
      </c>
      <c r="Q435" s="4" t="s">
        <v>26</v>
      </c>
      <c r="R435" s="4">
        <v>0</v>
      </c>
      <c r="S435" s="4" t="s">
        <v>202</v>
      </c>
      <c r="T435" s="4" t="s">
        <v>447</v>
      </c>
      <c r="U435" s="4">
        <v>0</v>
      </c>
      <c r="V435" s="4">
        <v>16</v>
      </c>
      <c r="W435" s="4">
        <v>53</v>
      </c>
    </row>
    <row r="436" spans="1:23" ht="11.25" customHeight="1" x14ac:dyDescent="0.25">
      <c r="A436" s="4" t="s">
        <v>21</v>
      </c>
      <c r="B436" s="4" t="s">
        <v>22</v>
      </c>
      <c r="C436" s="4" t="s">
        <v>23</v>
      </c>
      <c r="D436" s="4" t="s">
        <v>24</v>
      </c>
      <c r="E436" s="4" t="s">
        <v>29</v>
      </c>
      <c r="F436" s="4" t="s">
        <v>25</v>
      </c>
      <c r="G436" s="4" t="s">
        <v>25</v>
      </c>
      <c r="H436" s="4" t="s">
        <v>25</v>
      </c>
      <c r="I436" s="5">
        <v>44317</v>
      </c>
      <c r="J436" s="6">
        <v>0</v>
      </c>
      <c r="K436" s="6">
        <v>0</v>
      </c>
      <c r="L436" s="6">
        <v>14.34</v>
      </c>
      <c r="M436" s="6">
        <v>14.34</v>
      </c>
      <c r="N436" s="6">
        <v>14.34</v>
      </c>
      <c r="O436" s="6">
        <v>14.34</v>
      </c>
      <c r="P436" s="6">
        <v>0</v>
      </c>
      <c r="Q436" s="4" t="s">
        <v>26</v>
      </c>
      <c r="R436" s="4">
        <v>0</v>
      </c>
      <c r="S436" s="4" t="s">
        <v>203</v>
      </c>
      <c r="T436" s="4" t="s">
        <v>448</v>
      </c>
      <c r="U436" s="4">
        <v>0</v>
      </c>
      <c r="V436" s="4">
        <v>17</v>
      </c>
      <c r="W436" s="4">
        <v>54</v>
      </c>
    </row>
    <row r="437" spans="1:23" ht="11.25" customHeight="1" x14ac:dyDescent="0.25">
      <c r="A437" s="4" t="s">
        <v>21</v>
      </c>
      <c r="B437" s="4" t="s">
        <v>22</v>
      </c>
      <c r="C437" s="4" t="s">
        <v>23</v>
      </c>
      <c r="D437" s="4" t="s">
        <v>24</v>
      </c>
      <c r="E437" s="4" t="s">
        <v>29</v>
      </c>
      <c r="F437" s="4" t="s">
        <v>25</v>
      </c>
      <c r="G437" s="4" t="s">
        <v>25</v>
      </c>
      <c r="H437" s="4" t="s">
        <v>25</v>
      </c>
      <c r="I437" s="5">
        <v>44348</v>
      </c>
      <c r="J437" s="6">
        <v>0</v>
      </c>
      <c r="K437" s="6">
        <v>0</v>
      </c>
      <c r="L437" s="6">
        <v>14.58</v>
      </c>
      <c r="M437" s="6">
        <v>14.58</v>
      </c>
      <c r="N437" s="6">
        <v>14.58</v>
      </c>
      <c r="O437" s="6">
        <v>14.58</v>
      </c>
      <c r="P437" s="6">
        <v>0</v>
      </c>
      <c r="Q437" s="4" t="s">
        <v>26</v>
      </c>
      <c r="R437" s="4">
        <v>0</v>
      </c>
      <c r="S437" s="4" t="s">
        <v>204</v>
      </c>
      <c r="T437" s="4" t="s">
        <v>449</v>
      </c>
      <c r="U437" s="4">
        <v>0</v>
      </c>
      <c r="V437" s="4">
        <v>17</v>
      </c>
      <c r="W437" s="4">
        <v>54</v>
      </c>
    </row>
    <row r="438" spans="1:23" ht="11.25" customHeight="1" x14ac:dyDescent="0.25">
      <c r="A438" s="4" t="s">
        <v>21</v>
      </c>
      <c r="B438" s="4" t="s">
        <v>22</v>
      </c>
      <c r="C438" s="4" t="s">
        <v>23</v>
      </c>
      <c r="D438" s="4" t="s">
        <v>24</v>
      </c>
      <c r="E438" s="4" t="s">
        <v>29</v>
      </c>
      <c r="F438" s="4" t="s">
        <v>25</v>
      </c>
      <c r="G438" s="4" t="s">
        <v>25</v>
      </c>
      <c r="H438" s="4" t="s">
        <v>25</v>
      </c>
      <c r="I438" s="5">
        <v>44378</v>
      </c>
      <c r="J438" s="6">
        <v>0</v>
      </c>
      <c r="K438" s="6">
        <v>0</v>
      </c>
      <c r="L438" s="6">
        <v>14.73</v>
      </c>
      <c r="M438" s="6">
        <v>14.73</v>
      </c>
      <c r="N438" s="6">
        <v>14.73</v>
      </c>
      <c r="O438" s="6">
        <v>14.73</v>
      </c>
      <c r="P438" s="6">
        <v>0</v>
      </c>
      <c r="Q438" s="4" t="s">
        <v>26</v>
      </c>
      <c r="R438" s="4">
        <v>0</v>
      </c>
      <c r="S438" s="4" t="s">
        <v>205</v>
      </c>
      <c r="T438" s="4" t="s">
        <v>450</v>
      </c>
      <c r="U438" s="4">
        <v>0</v>
      </c>
      <c r="V438" s="4">
        <v>17</v>
      </c>
      <c r="W438" s="4">
        <v>54</v>
      </c>
    </row>
    <row r="439" spans="1:23" ht="11.25" customHeight="1" x14ac:dyDescent="0.25">
      <c r="A439" s="4" t="s">
        <v>21</v>
      </c>
      <c r="B439" s="4" t="s">
        <v>22</v>
      </c>
      <c r="C439" s="4" t="s">
        <v>23</v>
      </c>
      <c r="D439" s="4" t="s">
        <v>24</v>
      </c>
      <c r="E439" s="4" t="s">
        <v>29</v>
      </c>
      <c r="F439" s="4" t="s">
        <v>25</v>
      </c>
      <c r="G439" s="4" t="s">
        <v>25</v>
      </c>
      <c r="H439" s="4" t="s">
        <v>25</v>
      </c>
      <c r="I439" s="5">
        <v>44409</v>
      </c>
      <c r="J439" s="6">
        <v>0</v>
      </c>
      <c r="K439" s="6">
        <v>0</v>
      </c>
      <c r="L439" s="6">
        <v>14.85</v>
      </c>
      <c r="M439" s="6">
        <v>14.85</v>
      </c>
      <c r="N439" s="6">
        <v>14.85</v>
      </c>
      <c r="O439" s="6">
        <v>14.85</v>
      </c>
      <c r="P439" s="6">
        <v>0</v>
      </c>
      <c r="Q439" s="4" t="s">
        <v>26</v>
      </c>
      <c r="R439" s="4">
        <v>0</v>
      </c>
      <c r="S439" s="4" t="s">
        <v>206</v>
      </c>
      <c r="T439" s="4" t="s">
        <v>451</v>
      </c>
      <c r="U439" s="4">
        <v>0</v>
      </c>
      <c r="V439" s="4">
        <v>17</v>
      </c>
      <c r="W439" s="4">
        <v>54</v>
      </c>
    </row>
    <row r="440" spans="1:23" ht="11.25" customHeight="1" x14ac:dyDescent="0.25">
      <c r="A440" s="4" t="s">
        <v>21</v>
      </c>
      <c r="B440" s="4" t="s">
        <v>22</v>
      </c>
      <c r="C440" s="4" t="s">
        <v>23</v>
      </c>
      <c r="D440" s="4" t="s">
        <v>24</v>
      </c>
      <c r="E440" s="4" t="s">
        <v>29</v>
      </c>
      <c r="F440" s="4" t="s">
        <v>25</v>
      </c>
      <c r="G440" s="4" t="s">
        <v>25</v>
      </c>
      <c r="H440" s="4" t="s">
        <v>25</v>
      </c>
      <c r="I440" s="5">
        <v>44440</v>
      </c>
      <c r="J440" s="6">
        <v>0</v>
      </c>
      <c r="K440" s="6">
        <v>0</v>
      </c>
      <c r="L440" s="6">
        <v>14.85</v>
      </c>
      <c r="M440" s="6">
        <v>14.85</v>
      </c>
      <c r="N440" s="6">
        <v>14.85</v>
      </c>
      <c r="O440" s="6">
        <v>14.85</v>
      </c>
      <c r="P440" s="6">
        <v>0</v>
      </c>
      <c r="Q440" s="4" t="s">
        <v>26</v>
      </c>
      <c r="R440" s="4">
        <v>0</v>
      </c>
      <c r="S440" s="4" t="s">
        <v>207</v>
      </c>
      <c r="T440" s="4" t="s">
        <v>452</v>
      </c>
      <c r="U440" s="4">
        <v>0</v>
      </c>
      <c r="V440" s="4">
        <v>17</v>
      </c>
      <c r="W440" s="4">
        <v>54</v>
      </c>
    </row>
    <row r="441" spans="1:23" ht="11.25" customHeight="1" x14ac:dyDescent="0.25">
      <c r="A441" s="4" t="s">
        <v>21</v>
      </c>
      <c r="B441" s="4" t="s">
        <v>22</v>
      </c>
      <c r="C441" s="4" t="s">
        <v>23</v>
      </c>
      <c r="D441" s="4" t="s">
        <v>24</v>
      </c>
      <c r="E441" s="4" t="s">
        <v>29</v>
      </c>
      <c r="F441" s="4" t="s">
        <v>25</v>
      </c>
      <c r="G441" s="4" t="s">
        <v>25</v>
      </c>
      <c r="H441" s="4" t="s">
        <v>25</v>
      </c>
      <c r="I441" s="5">
        <v>44470</v>
      </c>
      <c r="J441" s="6">
        <v>0</v>
      </c>
      <c r="K441" s="6">
        <v>0</v>
      </c>
      <c r="L441" s="6">
        <v>14.94</v>
      </c>
      <c r="M441" s="6">
        <v>14.94</v>
      </c>
      <c r="N441" s="6">
        <v>14.94</v>
      </c>
      <c r="O441" s="6">
        <v>14.94</v>
      </c>
      <c r="P441" s="6">
        <v>0</v>
      </c>
      <c r="Q441" s="4" t="s">
        <v>26</v>
      </c>
      <c r="R441" s="4">
        <v>0</v>
      </c>
      <c r="S441" s="4" t="s">
        <v>208</v>
      </c>
      <c r="T441" s="4" t="s">
        <v>453</v>
      </c>
      <c r="U441" s="4">
        <v>0</v>
      </c>
      <c r="V441" s="4">
        <v>17</v>
      </c>
      <c r="W441" s="4">
        <v>54</v>
      </c>
    </row>
    <row r="442" spans="1:23" ht="11.25" customHeight="1" x14ac:dyDescent="0.25">
      <c r="A442" s="4" t="s">
        <v>21</v>
      </c>
      <c r="B442" s="4" t="s">
        <v>22</v>
      </c>
      <c r="C442" s="4" t="s">
        <v>23</v>
      </c>
      <c r="D442" s="4" t="s">
        <v>24</v>
      </c>
      <c r="E442" s="4" t="s">
        <v>29</v>
      </c>
      <c r="F442" s="4" t="s">
        <v>25</v>
      </c>
      <c r="G442" s="4" t="s">
        <v>25</v>
      </c>
      <c r="H442" s="4" t="s">
        <v>25</v>
      </c>
      <c r="I442" s="5">
        <v>44501</v>
      </c>
      <c r="J442" s="6">
        <v>0</v>
      </c>
      <c r="K442" s="6">
        <v>0</v>
      </c>
      <c r="L442" s="6">
        <v>15.06</v>
      </c>
      <c r="M442" s="6">
        <v>15.06</v>
      </c>
      <c r="N442" s="6">
        <v>15.06</v>
      </c>
      <c r="O442" s="6">
        <v>15.06</v>
      </c>
      <c r="P442" s="6">
        <v>1</v>
      </c>
      <c r="Q442" s="4" t="s">
        <v>26</v>
      </c>
      <c r="R442" s="4">
        <v>0</v>
      </c>
      <c r="S442" s="4" t="s">
        <v>209</v>
      </c>
      <c r="T442" s="4" t="s">
        <v>454</v>
      </c>
      <c r="U442" s="4">
        <v>0</v>
      </c>
      <c r="V442" s="4">
        <v>17</v>
      </c>
      <c r="W442" s="4">
        <v>54</v>
      </c>
    </row>
    <row r="443" spans="1:23" ht="11.25" customHeight="1" x14ac:dyDescent="0.25">
      <c r="A443" s="4" t="s">
        <v>21</v>
      </c>
      <c r="B443" s="4" t="s">
        <v>22</v>
      </c>
      <c r="C443" s="4" t="s">
        <v>23</v>
      </c>
      <c r="D443" s="4" t="s">
        <v>24</v>
      </c>
      <c r="E443" s="4" t="s">
        <v>29</v>
      </c>
      <c r="F443" s="4" t="s">
        <v>25</v>
      </c>
      <c r="G443" s="4" t="s">
        <v>25</v>
      </c>
      <c r="H443" s="4" t="s">
        <v>25</v>
      </c>
      <c r="I443" s="5">
        <v>44531</v>
      </c>
      <c r="J443" s="6">
        <v>0</v>
      </c>
      <c r="K443" s="6">
        <v>0</v>
      </c>
      <c r="L443" s="6">
        <v>15.42</v>
      </c>
      <c r="M443" s="6">
        <v>15.42</v>
      </c>
      <c r="N443" s="6">
        <v>15.42</v>
      </c>
      <c r="O443" s="6">
        <v>15.42</v>
      </c>
      <c r="P443" s="6">
        <v>1</v>
      </c>
      <c r="Q443" s="4" t="s">
        <v>26</v>
      </c>
      <c r="R443" s="4">
        <v>0</v>
      </c>
      <c r="S443" s="4" t="s">
        <v>210</v>
      </c>
      <c r="T443" s="4" t="s">
        <v>455</v>
      </c>
      <c r="U443" s="4">
        <v>0</v>
      </c>
      <c r="V443" s="4">
        <v>17</v>
      </c>
      <c r="W443" s="4">
        <v>54</v>
      </c>
    </row>
    <row r="444" spans="1:23" ht="11.25" customHeight="1" x14ac:dyDescent="0.25">
      <c r="A444" s="4" t="s">
        <v>21</v>
      </c>
      <c r="B444" s="4" t="s">
        <v>22</v>
      </c>
      <c r="C444" s="4" t="s">
        <v>23</v>
      </c>
      <c r="D444" s="4" t="s">
        <v>24</v>
      </c>
      <c r="E444" s="4" t="s">
        <v>29</v>
      </c>
      <c r="F444" s="4" t="s">
        <v>25</v>
      </c>
      <c r="G444" s="4" t="s">
        <v>25</v>
      </c>
      <c r="H444" s="4" t="s">
        <v>25</v>
      </c>
      <c r="I444" s="5">
        <v>44562</v>
      </c>
      <c r="J444" s="6">
        <v>0</v>
      </c>
      <c r="K444" s="6">
        <v>0</v>
      </c>
      <c r="L444" s="6">
        <v>15.72</v>
      </c>
      <c r="M444" s="6">
        <v>15.72</v>
      </c>
      <c r="N444" s="6">
        <v>15.72</v>
      </c>
      <c r="O444" s="6">
        <v>15.72</v>
      </c>
      <c r="P444" s="6">
        <v>0</v>
      </c>
      <c r="Q444" s="4" t="s">
        <v>26</v>
      </c>
      <c r="R444" s="4">
        <v>0</v>
      </c>
      <c r="S444" s="4" t="s">
        <v>211</v>
      </c>
      <c r="T444" s="4" t="s">
        <v>456</v>
      </c>
      <c r="U444" s="4">
        <v>0</v>
      </c>
      <c r="V444" s="4">
        <v>17</v>
      </c>
      <c r="W444" s="4">
        <v>54</v>
      </c>
    </row>
    <row r="445" spans="1:23" ht="11.25" customHeight="1" x14ac:dyDescent="0.25">
      <c r="A445" s="4" t="s">
        <v>21</v>
      </c>
      <c r="B445" s="4" t="s">
        <v>22</v>
      </c>
      <c r="C445" s="4" t="s">
        <v>23</v>
      </c>
      <c r="D445" s="4" t="s">
        <v>24</v>
      </c>
      <c r="E445" s="4" t="s">
        <v>29</v>
      </c>
      <c r="F445" s="4" t="s">
        <v>25</v>
      </c>
      <c r="G445" s="4" t="s">
        <v>25</v>
      </c>
      <c r="H445" s="4" t="s">
        <v>25</v>
      </c>
      <c r="I445" s="5">
        <v>44593</v>
      </c>
      <c r="J445" s="6">
        <v>0</v>
      </c>
      <c r="K445" s="6">
        <v>0</v>
      </c>
      <c r="L445" s="6">
        <v>17.100000000000001</v>
      </c>
      <c r="M445" s="6">
        <v>17.100000000000001</v>
      </c>
      <c r="N445" s="6">
        <v>17.100000000000001</v>
      </c>
      <c r="O445" s="6">
        <v>17.100000000000001</v>
      </c>
      <c r="P445" s="6">
        <v>1</v>
      </c>
      <c r="Q445" s="4" t="s">
        <v>26</v>
      </c>
      <c r="R445" s="4">
        <v>0</v>
      </c>
      <c r="S445" s="4" t="s">
        <v>212</v>
      </c>
      <c r="T445" s="4" t="s">
        <v>457</v>
      </c>
      <c r="U445" s="4">
        <v>0</v>
      </c>
      <c r="V445" s="4">
        <v>17</v>
      </c>
      <c r="W445" s="4">
        <v>54</v>
      </c>
    </row>
    <row r="446" spans="1:23" ht="11.25" customHeight="1" x14ac:dyDescent="0.25">
      <c r="A446" s="4" t="s">
        <v>21</v>
      </c>
      <c r="B446" s="4" t="s">
        <v>22</v>
      </c>
      <c r="C446" s="4" t="s">
        <v>23</v>
      </c>
      <c r="D446" s="4" t="s">
        <v>24</v>
      </c>
      <c r="E446" s="4" t="s">
        <v>29</v>
      </c>
      <c r="F446" s="4" t="s">
        <v>25</v>
      </c>
      <c r="G446" s="4" t="s">
        <v>25</v>
      </c>
      <c r="H446" s="4" t="s">
        <v>25</v>
      </c>
      <c r="I446" s="5">
        <v>44621</v>
      </c>
      <c r="J446" s="6">
        <v>0</v>
      </c>
      <c r="K446" s="6">
        <v>0</v>
      </c>
      <c r="L446" s="6">
        <v>25.65</v>
      </c>
      <c r="M446" s="6">
        <v>25.65</v>
      </c>
      <c r="N446" s="6">
        <v>25.65</v>
      </c>
      <c r="O446" s="6">
        <v>25.65</v>
      </c>
      <c r="P446" s="6">
        <v>2</v>
      </c>
      <c r="Q446" s="4" t="s">
        <v>26</v>
      </c>
      <c r="R446" s="4">
        <v>0</v>
      </c>
      <c r="S446" s="4" t="s">
        <v>213</v>
      </c>
      <c r="T446" s="4" t="s">
        <v>458</v>
      </c>
      <c r="U446" s="4">
        <v>0</v>
      </c>
      <c r="V446" s="4">
        <v>17</v>
      </c>
      <c r="W446" s="4">
        <v>54</v>
      </c>
    </row>
    <row r="447" spans="1:23" ht="11.25" customHeight="1" x14ac:dyDescent="0.25">
      <c r="A447" s="4" t="s">
        <v>21</v>
      </c>
      <c r="B447" s="4" t="s">
        <v>22</v>
      </c>
      <c r="C447" s="4" t="s">
        <v>23</v>
      </c>
      <c r="D447" s="4" t="s">
        <v>24</v>
      </c>
      <c r="E447" s="4" t="s">
        <v>29</v>
      </c>
      <c r="F447" s="4" t="s">
        <v>25</v>
      </c>
      <c r="G447" s="4" t="s">
        <v>25</v>
      </c>
      <c r="H447" s="4" t="s">
        <v>25</v>
      </c>
      <c r="I447" s="5">
        <v>44652</v>
      </c>
      <c r="J447" s="6">
        <v>0</v>
      </c>
      <c r="K447" s="6">
        <v>0</v>
      </c>
      <c r="L447" s="6">
        <v>26.34</v>
      </c>
      <c r="M447" s="6">
        <v>26.34</v>
      </c>
      <c r="N447" s="6">
        <v>26.34</v>
      </c>
      <c r="O447" s="6">
        <v>26.34</v>
      </c>
      <c r="P447" s="6">
        <v>1</v>
      </c>
      <c r="Q447" s="4" t="s">
        <v>26</v>
      </c>
      <c r="R447" s="4">
        <v>0</v>
      </c>
      <c r="S447" s="4" t="s">
        <v>214</v>
      </c>
      <c r="T447" s="4" t="s">
        <v>459</v>
      </c>
      <c r="U447" s="4">
        <v>0</v>
      </c>
      <c r="V447" s="4">
        <v>17</v>
      </c>
      <c r="W447" s="4">
        <v>54</v>
      </c>
    </row>
    <row r="448" spans="1:23" ht="11.25" customHeight="1" x14ac:dyDescent="0.25">
      <c r="A448" s="4" t="s">
        <v>21</v>
      </c>
      <c r="B448" s="4" t="s">
        <v>22</v>
      </c>
      <c r="C448" s="4" t="s">
        <v>23</v>
      </c>
      <c r="D448" s="4" t="s">
        <v>24</v>
      </c>
      <c r="E448" s="4" t="s">
        <v>30</v>
      </c>
      <c r="F448" s="4" t="s">
        <v>25</v>
      </c>
      <c r="G448" s="4" t="s">
        <v>25</v>
      </c>
      <c r="H448" s="4" t="s">
        <v>25</v>
      </c>
      <c r="I448" s="5">
        <v>44317</v>
      </c>
      <c r="J448" s="6">
        <v>0</v>
      </c>
      <c r="K448" s="6">
        <v>0</v>
      </c>
      <c r="L448" s="6">
        <v>30.431999999999999</v>
      </c>
      <c r="M448" s="6">
        <v>30.431999999999999</v>
      </c>
      <c r="N448" s="6">
        <v>30.431999999999999</v>
      </c>
      <c r="O448" s="6">
        <v>30.431999999999999</v>
      </c>
      <c r="P448" s="6">
        <v>128</v>
      </c>
      <c r="Q448" s="4" t="s">
        <v>26</v>
      </c>
      <c r="R448" s="4">
        <v>0</v>
      </c>
      <c r="S448" s="4" t="s">
        <v>215</v>
      </c>
      <c r="T448" s="4" t="s">
        <v>460</v>
      </c>
      <c r="U448" s="4">
        <v>0</v>
      </c>
      <c r="V448" s="4">
        <v>18</v>
      </c>
      <c r="W448" s="4">
        <v>55</v>
      </c>
    </row>
    <row r="449" spans="1:23" ht="11.25" customHeight="1" x14ac:dyDescent="0.25">
      <c r="A449" s="4" t="s">
        <v>21</v>
      </c>
      <c r="B449" s="4" t="s">
        <v>22</v>
      </c>
      <c r="C449" s="4" t="s">
        <v>23</v>
      </c>
      <c r="D449" s="4" t="s">
        <v>24</v>
      </c>
      <c r="E449" s="4" t="s">
        <v>30</v>
      </c>
      <c r="F449" s="4" t="s">
        <v>25</v>
      </c>
      <c r="G449" s="4" t="s">
        <v>25</v>
      </c>
      <c r="H449" s="4" t="s">
        <v>25</v>
      </c>
      <c r="I449" s="5">
        <v>44348</v>
      </c>
      <c r="J449" s="6">
        <v>0</v>
      </c>
      <c r="K449" s="6">
        <v>0</v>
      </c>
      <c r="L449" s="6">
        <v>31.23</v>
      </c>
      <c r="M449" s="6">
        <v>31.23</v>
      </c>
      <c r="N449" s="6">
        <v>31.23</v>
      </c>
      <c r="O449" s="6">
        <v>31.23</v>
      </c>
      <c r="P449" s="6">
        <v>111</v>
      </c>
      <c r="Q449" s="4" t="s">
        <v>26</v>
      </c>
      <c r="R449" s="4">
        <v>0</v>
      </c>
      <c r="S449" s="4" t="s">
        <v>216</v>
      </c>
      <c r="T449" s="4" t="s">
        <v>461</v>
      </c>
      <c r="U449" s="4">
        <v>0</v>
      </c>
      <c r="V449" s="4">
        <v>18</v>
      </c>
      <c r="W449" s="4">
        <v>55</v>
      </c>
    </row>
    <row r="450" spans="1:23" ht="11.25" customHeight="1" x14ac:dyDescent="0.25">
      <c r="A450" s="4" t="s">
        <v>21</v>
      </c>
      <c r="B450" s="4" t="s">
        <v>22</v>
      </c>
      <c r="C450" s="4" t="s">
        <v>23</v>
      </c>
      <c r="D450" s="4" t="s">
        <v>24</v>
      </c>
      <c r="E450" s="4" t="s">
        <v>30</v>
      </c>
      <c r="F450" s="4" t="s">
        <v>25</v>
      </c>
      <c r="G450" s="4" t="s">
        <v>25</v>
      </c>
      <c r="H450" s="4" t="s">
        <v>25</v>
      </c>
      <c r="I450" s="5">
        <v>44378</v>
      </c>
      <c r="J450" s="6">
        <v>0</v>
      </c>
      <c r="K450" s="6">
        <v>0</v>
      </c>
      <c r="L450" s="6">
        <v>31.652000000000001</v>
      </c>
      <c r="M450" s="6">
        <v>31.652000000000001</v>
      </c>
      <c r="N450" s="6">
        <v>31.652000000000001</v>
      </c>
      <c r="O450" s="6">
        <v>31.652000000000001</v>
      </c>
      <c r="P450" s="6">
        <v>114</v>
      </c>
      <c r="Q450" s="4" t="s">
        <v>26</v>
      </c>
      <c r="R450" s="4">
        <v>0</v>
      </c>
      <c r="S450" s="4" t="s">
        <v>217</v>
      </c>
      <c r="T450" s="4" t="s">
        <v>462</v>
      </c>
      <c r="U450" s="4">
        <v>0</v>
      </c>
      <c r="V450" s="4">
        <v>18</v>
      </c>
      <c r="W450" s="4">
        <v>55</v>
      </c>
    </row>
    <row r="451" spans="1:23" ht="11.25" customHeight="1" x14ac:dyDescent="0.25">
      <c r="A451" s="4" t="s">
        <v>21</v>
      </c>
      <c r="B451" s="4" t="s">
        <v>22</v>
      </c>
      <c r="C451" s="4" t="s">
        <v>23</v>
      </c>
      <c r="D451" s="4" t="s">
        <v>24</v>
      </c>
      <c r="E451" s="4" t="s">
        <v>30</v>
      </c>
      <c r="F451" s="4" t="s">
        <v>25</v>
      </c>
      <c r="G451" s="4" t="s">
        <v>25</v>
      </c>
      <c r="H451" s="4" t="s">
        <v>25</v>
      </c>
      <c r="I451" s="5">
        <v>44409</v>
      </c>
      <c r="J451" s="6">
        <v>0</v>
      </c>
      <c r="K451" s="6">
        <v>0</v>
      </c>
      <c r="L451" s="6">
        <v>31.445</v>
      </c>
      <c r="M451" s="6">
        <v>31.445</v>
      </c>
      <c r="N451" s="6">
        <v>31.445</v>
      </c>
      <c r="O451" s="6">
        <v>31.445</v>
      </c>
      <c r="P451" s="6">
        <v>134</v>
      </c>
      <c r="Q451" s="4" t="s">
        <v>26</v>
      </c>
      <c r="R451" s="4">
        <v>0</v>
      </c>
      <c r="S451" s="4" t="s">
        <v>218</v>
      </c>
      <c r="T451" s="4" t="s">
        <v>463</v>
      </c>
      <c r="U451" s="4">
        <v>0</v>
      </c>
      <c r="V451" s="4">
        <v>18</v>
      </c>
      <c r="W451" s="4">
        <v>55</v>
      </c>
    </row>
    <row r="452" spans="1:23" ht="11.25" customHeight="1" x14ac:dyDescent="0.25">
      <c r="A452" s="4" t="s">
        <v>21</v>
      </c>
      <c r="B452" s="4" t="s">
        <v>22</v>
      </c>
      <c r="C452" s="4" t="s">
        <v>23</v>
      </c>
      <c r="D452" s="4" t="s">
        <v>24</v>
      </c>
      <c r="E452" s="4" t="s">
        <v>30</v>
      </c>
      <c r="F452" s="4" t="s">
        <v>25</v>
      </c>
      <c r="G452" s="4" t="s">
        <v>25</v>
      </c>
      <c r="H452" s="4" t="s">
        <v>25</v>
      </c>
      <c r="I452" s="5">
        <v>44440</v>
      </c>
      <c r="J452" s="6">
        <v>0</v>
      </c>
      <c r="K452" s="6">
        <v>0</v>
      </c>
      <c r="L452" s="6">
        <v>32.24</v>
      </c>
      <c r="M452" s="6">
        <v>32.24</v>
      </c>
      <c r="N452" s="6">
        <v>32.24</v>
      </c>
      <c r="O452" s="6">
        <v>32.24</v>
      </c>
      <c r="P452" s="6">
        <v>111</v>
      </c>
      <c r="Q452" s="4" t="s">
        <v>26</v>
      </c>
      <c r="R452" s="4">
        <v>0</v>
      </c>
      <c r="S452" s="4" t="s">
        <v>219</v>
      </c>
      <c r="T452" s="4" t="s">
        <v>464</v>
      </c>
      <c r="U452" s="4">
        <v>0</v>
      </c>
      <c r="V452" s="4">
        <v>18</v>
      </c>
      <c r="W452" s="4">
        <v>55</v>
      </c>
    </row>
    <row r="453" spans="1:23" ht="11.25" customHeight="1" x14ac:dyDescent="0.25">
      <c r="A453" s="4" t="s">
        <v>21</v>
      </c>
      <c r="B453" s="4" t="s">
        <v>22</v>
      </c>
      <c r="C453" s="4" t="s">
        <v>23</v>
      </c>
      <c r="D453" s="4" t="s">
        <v>24</v>
      </c>
      <c r="E453" s="4" t="s">
        <v>30</v>
      </c>
      <c r="F453" s="4" t="s">
        <v>25</v>
      </c>
      <c r="G453" s="4" t="s">
        <v>25</v>
      </c>
      <c r="H453" s="4" t="s">
        <v>25</v>
      </c>
      <c r="I453" s="5">
        <v>44470</v>
      </c>
      <c r="J453" s="6">
        <v>0</v>
      </c>
      <c r="K453" s="6">
        <v>0</v>
      </c>
      <c r="L453" s="6">
        <v>33.164000000000001</v>
      </c>
      <c r="M453" s="6">
        <v>33.164000000000001</v>
      </c>
      <c r="N453" s="6">
        <v>33.164000000000001</v>
      </c>
      <c r="O453" s="6">
        <v>33.164000000000001</v>
      </c>
      <c r="P453" s="6">
        <v>79</v>
      </c>
      <c r="Q453" s="4" t="s">
        <v>26</v>
      </c>
      <c r="R453" s="4">
        <v>0</v>
      </c>
      <c r="S453" s="4" t="s">
        <v>220</v>
      </c>
      <c r="T453" s="4" t="s">
        <v>465</v>
      </c>
      <c r="U453" s="4">
        <v>0</v>
      </c>
      <c r="V453" s="4">
        <v>18</v>
      </c>
      <c r="W453" s="4">
        <v>55</v>
      </c>
    </row>
    <row r="454" spans="1:23" ht="11.25" customHeight="1" x14ac:dyDescent="0.25">
      <c r="A454" s="4" t="s">
        <v>21</v>
      </c>
      <c r="B454" s="4" t="s">
        <v>22</v>
      </c>
      <c r="C454" s="4" t="s">
        <v>23</v>
      </c>
      <c r="D454" s="4" t="s">
        <v>24</v>
      </c>
      <c r="E454" s="4" t="s">
        <v>30</v>
      </c>
      <c r="F454" s="4" t="s">
        <v>25</v>
      </c>
      <c r="G454" s="4" t="s">
        <v>25</v>
      </c>
      <c r="H454" s="4" t="s">
        <v>25</v>
      </c>
      <c r="I454" s="5">
        <v>44501</v>
      </c>
      <c r="J454" s="6">
        <v>0</v>
      </c>
      <c r="K454" s="6">
        <v>0</v>
      </c>
      <c r="L454" s="6">
        <v>32.828000000000003</v>
      </c>
      <c r="M454" s="6">
        <v>32.828000000000003</v>
      </c>
      <c r="N454" s="6">
        <v>32.828000000000003</v>
      </c>
      <c r="O454" s="6">
        <v>32.828000000000003</v>
      </c>
      <c r="P454" s="6">
        <v>94</v>
      </c>
      <c r="Q454" s="4" t="s">
        <v>26</v>
      </c>
      <c r="R454" s="4">
        <v>0</v>
      </c>
      <c r="S454" s="4" t="s">
        <v>221</v>
      </c>
      <c r="T454" s="4" t="s">
        <v>466</v>
      </c>
      <c r="U454" s="4">
        <v>0</v>
      </c>
      <c r="V454" s="4">
        <v>18</v>
      </c>
      <c r="W454" s="4">
        <v>55</v>
      </c>
    </row>
    <row r="455" spans="1:23" ht="11.25" customHeight="1" x14ac:dyDescent="0.25">
      <c r="A455" s="4" t="s">
        <v>21</v>
      </c>
      <c r="B455" s="4" t="s">
        <v>22</v>
      </c>
      <c r="C455" s="4" t="s">
        <v>23</v>
      </c>
      <c r="D455" s="4" t="s">
        <v>24</v>
      </c>
      <c r="E455" s="4" t="s">
        <v>30</v>
      </c>
      <c r="F455" s="4" t="s">
        <v>25</v>
      </c>
      <c r="G455" s="4" t="s">
        <v>25</v>
      </c>
      <c r="H455" s="4" t="s">
        <v>25</v>
      </c>
      <c r="I455" s="5">
        <v>44531</v>
      </c>
      <c r="J455" s="6">
        <v>0</v>
      </c>
      <c r="K455" s="6">
        <v>0</v>
      </c>
      <c r="L455" s="6">
        <v>33.479999999999997</v>
      </c>
      <c r="M455" s="6">
        <v>33.479999999999997</v>
      </c>
      <c r="N455" s="6">
        <v>33.479999999999997</v>
      </c>
      <c r="O455" s="6">
        <v>33.479999999999997</v>
      </c>
      <c r="P455" s="6">
        <v>103</v>
      </c>
      <c r="Q455" s="4" t="s">
        <v>26</v>
      </c>
      <c r="R455" s="4">
        <v>0</v>
      </c>
      <c r="S455" s="4" t="s">
        <v>222</v>
      </c>
      <c r="T455" s="4" t="s">
        <v>467</v>
      </c>
      <c r="U455" s="4">
        <v>0</v>
      </c>
      <c r="V455" s="4">
        <v>18</v>
      </c>
      <c r="W455" s="4">
        <v>55</v>
      </c>
    </row>
    <row r="456" spans="1:23" ht="11.25" customHeight="1" x14ac:dyDescent="0.25">
      <c r="A456" s="4" t="s">
        <v>21</v>
      </c>
      <c r="B456" s="4" t="s">
        <v>22</v>
      </c>
      <c r="C456" s="4" t="s">
        <v>23</v>
      </c>
      <c r="D456" s="4" t="s">
        <v>24</v>
      </c>
      <c r="E456" s="4" t="s">
        <v>30</v>
      </c>
      <c r="F456" s="4" t="s">
        <v>25</v>
      </c>
      <c r="G456" s="4" t="s">
        <v>25</v>
      </c>
      <c r="H456" s="4" t="s">
        <v>25</v>
      </c>
      <c r="I456" s="5">
        <v>44562</v>
      </c>
      <c r="J456" s="6">
        <v>0</v>
      </c>
      <c r="K456" s="6">
        <v>0</v>
      </c>
      <c r="L456" s="6">
        <v>34.700000000000003</v>
      </c>
      <c r="M456" s="6">
        <v>34.700000000000003</v>
      </c>
      <c r="N456" s="6">
        <v>34.700000000000003</v>
      </c>
      <c r="O456" s="6">
        <v>34.700000000000003</v>
      </c>
      <c r="P456" s="6">
        <v>92</v>
      </c>
      <c r="Q456" s="4" t="s">
        <v>26</v>
      </c>
      <c r="R456" s="4">
        <v>0</v>
      </c>
      <c r="S456" s="4" t="s">
        <v>223</v>
      </c>
      <c r="T456" s="4" t="s">
        <v>468</v>
      </c>
      <c r="U456" s="4">
        <v>0</v>
      </c>
      <c r="V456" s="4">
        <v>18</v>
      </c>
      <c r="W456" s="4">
        <v>55</v>
      </c>
    </row>
    <row r="457" spans="1:23" ht="11.25" customHeight="1" x14ac:dyDescent="0.25">
      <c r="A457" s="4" t="s">
        <v>21</v>
      </c>
      <c r="B457" s="4" t="s">
        <v>22</v>
      </c>
      <c r="C457" s="4" t="s">
        <v>23</v>
      </c>
      <c r="D457" s="4" t="s">
        <v>24</v>
      </c>
      <c r="E457" s="4" t="s">
        <v>30</v>
      </c>
      <c r="F457" s="4" t="s">
        <v>25</v>
      </c>
      <c r="G457" s="4" t="s">
        <v>25</v>
      </c>
      <c r="H457" s="4" t="s">
        <v>25</v>
      </c>
      <c r="I457" s="5">
        <v>44593</v>
      </c>
      <c r="J457" s="6">
        <v>0</v>
      </c>
      <c r="K457" s="6">
        <v>0</v>
      </c>
      <c r="L457" s="6">
        <v>37.752000000000002</v>
      </c>
      <c r="M457" s="6">
        <v>37.752000000000002</v>
      </c>
      <c r="N457" s="6">
        <v>37.752000000000002</v>
      </c>
      <c r="O457" s="6">
        <v>37.752000000000002</v>
      </c>
      <c r="P457" s="6">
        <v>98</v>
      </c>
      <c r="Q457" s="4" t="s">
        <v>26</v>
      </c>
      <c r="R457" s="4">
        <v>0</v>
      </c>
      <c r="S457" s="4" t="s">
        <v>224</v>
      </c>
      <c r="T457" s="4" t="s">
        <v>469</v>
      </c>
      <c r="U457" s="4">
        <v>0</v>
      </c>
      <c r="V457" s="4">
        <v>18</v>
      </c>
      <c r="W457" s="4">
        <v>55</v>
      </c>
    </row>
    <row r="458" spans="1:23" ht="11.25" customHeight="1" x14ac:dyDescent="0.25">
      <c r="A458" s="4" t="s">
        <v>21</v>
      </c>
      <c r="B458" s="4" t="s">
        <v>22</v>
      </c>
      <c r="C458" s="4" t="s">
        <v>23</v>
      </c>
      <c r="D458" s="4" t="s">
        <v>24</v>
      </c>
      <c r="E458" s="4" t="s">
        <v>30</v>
      </c>
      <c r="F458" s="4" t="s">
        <v>25</v>
      </c>
      <c r="G458" s="4" t="s">
        <v>25</v>
      </c>
      <c r="H458" s="4" t="s">
        <v>25</v>
      </c>
      <c r="I458" s="5">
        <v>44621</v>
      </c>
      <c r="J458" s="6">
        <v>0</v>
      </c>
      <c r="K458" s="6">
        <v>0</v>
      </c>
      <c r="L458" s="6">
        <v>55.347000000000001</v>
      </c>
      <c r="M458" s="6">
        <v>55.347000000000001</v>
      </c>
      <c r="N458" s="6">
        <v>55.347000000000001</v>
      </c>
      <c r="O458" s="6">
        <v>55.347000000000001</v>
      </c>
      <c r="P458" s="6">
        <v>165</v>
      </c>
      <c r="Q458" s="4" t="s">
        <v>26</v>
      </c>
      <c r="R458" s="4">
        <v>0</v>
      </c>
      <c r="S458" s="4" t="s">
        <v>225</v>
      </c>
      <c r="T458" s="4" t="s">
        <v>470</v>
      </c>
      <c r="U458" s="4">
        <v>0</v>
      </c>
      <c r="V458" s="4">
        <v>18</v>
      </c>
      <c r="W458" s="4">
        <v>55</v>
      </c>
    </row>
    <row r="459" spans="1:23" ht="11.25" customHeight="1" x14ac:dyDescent="0.25">
      <c r="A459" s="4" t="s">
        <v>21</v>
      </c>
      <c r="B459" s="4" t="s">
        <v>22</v>
      </c>
      <c r="C459" s="4" t="s">
        <v>23</v>
      </c>
      <c r="D459" s="4" t="s">
        <v>24</v>
      </c>
      <c r="E459" s="4" t="s">
        <v>30</v>
      </c>
      <c r="F459" s="4" t="s">
        <v>25</v>
      </c>
      <c r="G459" s="4" t="s">
        <v>25</v>
      </c>
      <c r="H459" s="4" t="s">
        <v>25</v>
      </c>
      <c r="I459" s="5">
        <v>44652</v>
      </c>
      <c r="J459" s="6">
        <v>0</v>
      </c>
      <c r="K459" s="6">
        <v>0</v>
      </c>
      <c r="L459" s="6">
        <v>57.487000000000002</v>
      </c>
      <c r="M459" s="6">
        <v>57.487000000000002</v>
      </c>
      <c r="N459" s="6">
        <v>57.487000000000002</v>
      </c>
      <c r="O459" s="6">
        <v>57.487000000000002</v>
      </c>
      <c r="P459" s="6">
        <v>157</v>
      </c>
      <c r="Q459" s="4" t="s">
        <v>26</v>
      </c>
      <c r="R459" s="4">
        <v>0</v>
      </c>
      <c r="S459" s="4" t="s">
        <v>226</v>
      </c>
      <c r="T459" s="4" t="s">
        <v>471</v>
      </c>
      <c r="U459" s="4">
        <v>0</v>
      </c>
      <c r="V459" s="4">
        <v>18</v>
      </c>
      <c r="W459" s="4">
        <v>55</v>
      </c>
    </row>
    <row r="460" spans="1:23" ht="11.25" customHeight="1" x14ac:dyDescent="0.25">
      <c r="A460" s="4" t="s">
        <v>21</v>
      </c>
      <c r="B460" s="4" t="s">
        <v>22</v>
      </c>
      <c r="C460" s="4" t="s">
        <v>23</v>
      </c>
      <c r="D460" s="4" t="s">
        <v>24</v>
      </c>
      <c r="E460" s="4" t="s">
        <v>31</v>
      </c>
      <c r="F460" s="4" t="s">
        <v>25</v>
      </c>
      <c r="G460" s="4" t="s">
        <v>25</v>
      </c>
      <c r="H460" s="4" t="s">
        <v>25</v>
      </c>
      <c r="I460" s="5">
        <v>44317</v>
      </c>
      <c r="J460" s="6">
        <v>0</v>
      </c>
      <c r="K460" s="6">
        <v>0</v>
      </c>
      <c r="L460" s="6">
        <v>20.859000000000002</v>
      </c>
      <c r="M460" s="6">
        <v>20.859000000000002</v>
      </c>
      <c r="N460" s="6">
        <v>20.859000000000002</v>
      </c>
      <c r="O460" s="6">
        <v>20.859000000000002</v>
      </c>
      <c r="P460" s="6">
        <v>304</v>
      </c>
      <c r="Q460" s="4" t="s">
        <v>26</v>
      </c>
      <c r="R460" s="4">
        <v>0</v>
      </c>
      <c r="S460" s="4" t="s">
        <v>227</v>
      </c>
      <c r="T460" s="4" t="s">
        <v>472</v>
      </c>
      <c r="U460" s="4">
        <v>0</v>
      </c>
      <c r="V460" s="4">
        <v>19</v>
      </c>
      <c r="W460" s="4">
        <v>56</v>
      </c>
    </row>
    <row r="461" spans="1:23" ht="11.25" customHeight="1" x14ac:dyDescent="0.25">
      <c r="A461" s="4" t="s">
        <v>21</v>
      </c>
      <c r="B461" s="4" t="s">
        <v>22</v>
      </c>
      <c r="C461" s="4" t="s">
        <v>23</v>
      </c>
      <c r="D461" s="4" t="s">
        <v>24</v>
      </c>
      <c r="E461" s="4" t="s">
        <v>31</v>
      </c>
      <c r="F461" s="4" t="s">
        <v>25</v>
      </c>
      <c r="G461" s="4" t="s">
        <v>25</v>
      </c>
      <c r="H461" s="4" t="s">
        <v>25</v>
      </c>
      <c r="I461" s="5">
        <v>44348</v>
      </c>
      <c r="J461" s="6">
        <v>0</v>
      </c>
      <c r="K461" s="6">
        <v>0</v>
      </c>
      <c r="L461" s="6">
        <v>24.350999999999999</v>
      </c>
      <c r="M461" s="6">
        <v>24.350999999999999</v>
      </c>
      <c r="N461" s="6">
        <v>24.350999999999999</v>
      </c>
      <c r="O461" s="6">
        <v>24.350999999999999</v>
      </c>
      <c r="P461" s="6">
        <v>315</v>
      </c>
      <c r="Q461" s="4" t="s">
        <v>26</v>
      </c>
      <c r="R461" s="4">
        <v>0</v>
      </c>
      <c r="S461" s="4" t="s">
        <v>228</v>
      </c>
      <c r="T461" s="4" t="s">
        <v>473</v>
      </c>
      <c r="U461" s="4">
        <v>0</v>
      </c>
      <c r="V461" s="4">
        <v>19</v>
      </c>
      <c r="W461" s="4">
        <v>56</v>
      </c>
    </row>
    <row r="462" spans="1:23" ht="11.25" customHeight="1" x14ac:dyDescent="0.25">
      <c r="A462" s="4" t="s">
        <v>21</v>
      </c>
      <c r="B462" s="4" t="s">
        <v>22</v>
      </c>
      <c r="C462" s="4" t="s">
        <v>23</v>
      </c>
      <c r="D462" s="4" t="s">
        <v>24</v>
      </c>
      <c r="E462" s="4" t="s">
        <v>31</v>
      </c>
      <c r="F462" s="4" t="s">
        <v>25</v>
      </c>
      <c r="G462" s="4" t="s">
        <v>25</v>
      </c>
      <c r="H462" s="4" t="s">
        <v>25</v>
      </c>
      <c r="I462" s="5">
        <v>44378</v>
      </c>
      <c r="J462" s="6">
        <v>0</v>
      </c>
      <c r="K462" s="6">
        <v>0</v>
      </c>
      <c r="L462" s="6">
        <v>26.155999999999999</v>
      </c>
      <c r="M462" s="6">
        <v>26.155999999999999</v>
      </c>
      <c r="N462" s="6">
        <v>26.155999999999999</v>
      </c>
      <c r="O462" s="6">
        <v>26.155999999999999</v>
      </c>
      <c r="P462" s="6">
        <v>304</v>
      </c>
      <c r="Q462" s="4" t="s">
        <v>26</v>
      </c>
      <c r="R462" s="4">
        <v>0</v>
      </c>
      <c r="S462" s="4" t="s">
        <v>229</v>
      </c>
      <c r="T462" s="4" t="s">
        <v>474</v>
      </c>
      <c r="U462" s="4">
        <v>0</v>
      </c>
      <c r="V462" s="4">
        <v>19</v>
      </c>
      <c r="W462" s="4">
        <v>56</v>
      </c>
    </row>
    <row r="463" spans="1:23" ht="11.25" customHeight="1" x14ac:dyDescent="0.25">
      <c r="A463" s="4" t="s">
        <v>27</v>
      </c>
      <c r="B463" s="4" t="s">
        <v>22</v>
      </c>
      <c r="C463" s="4" t="s">
        <v>23</v>
      </c>
      <c r="D463" s="4" t="s">
        <v>24</v>
      </c>
      <c r="E463" s="4" t="s">
        <v>31</v>
      </c>
      <c r="F463" s="4" t="s">
        <v>25</v>
      </c>
      <c r="G463" s="4" t="s">
        <v>25</v>
      </c>
      <c r="H463" s="4" t="s">
        <v>25</v>
      </c>
      <c r="I463" s="5">
        <v>44378</v>
      </c>
      <c r="J463" s="6">
        <v>0</v>
      </c>
      <c r="K463" s="6">
        <v>0</v>
      </c>
      <c r="L463" s="6">
        <v>-8.8999999999999996E-2</v>
      </c>
      <c r="M463" s="6">
        <v>-8.8999999999999996E-2</v>
      </c>
      <c r="N463" s="6">
        <v>-8.8999999999999996E-2</v>
      </c>
      <c r="O463" s="6">
        <v>-8.8999999999999996E-2</v>
      </c>
      <c r="P463" s="6">
        <v>0</v>
      </c>
      <c r="Q463" s="4" t="s">
        <v>26</v>
      </c>
      <c r="R463" s="4">
        <v>0</v>
      </c>
      <c r="S463" s="4" t="s">
        <v>229</v>
      </c>
      <c r="T463" s="4" t="s">
        <v>474</v>
      </c>
      <c r="U463" s="4">
        <v>0</v>
      </c>
      <c r="V463" s="4">
        <v>19</v>
      </c>
      <c r="W463" s="4">
        <v>56</v>
      </c>
    </row>
    <row r="464" spans="1:23" ht="11.25" customHeight="1" x14ac:dyDescent="0.25">
      <c r="A464" s="4" t="s">
        <v>21</v>
      </c>
      <c r="B464" s="4" t="s">
        <v>22</v>
      </c>
      <c r="C464" s="4" t="s">
        <v>23</v>
      </c>
      <c r="D464" s="4" t="s">
        <v>24</v>
      </c>
      <c r="E464" s="4" t="s">
        <v>31</v>
      </c>
      <c r="F464" s="4" t="s">
        <v>25</v>
      </c>
      <c r="G464" s="4" t="s">
        <v>25</v>
      </c>
      <c r="H464" s="4" t="s">
        <v>25</v>
      </c>
      <c r="I464" s="5">
        <v>44409</v>
      </c>
      <c r="J464" s="6">
        <v>0</v>
      </c>
      <c r="K464" s="6">
        <v>0</v>
      </c>
      <c r="L464" s="6">
        <v>23.449000000000002</v>
      </c>
      <c r="M464" s="6">
        <v>23.449000000000002</v>
      </c>
      <c r="N464" s="6">
        <v>23.449000000000002</v>
      </c>
      <c r="O464" s="6">
        <v>23.449000000000002</v>
      </c>
      <c r="P464" s="6">
        <v>297</v>
      </c>
      <c r="Q464" s="4" t="s">
        <v>26</v>
      </c>
      <c r="R464" s="4">
        <v>0</v>
      </c>
      <c r="S464" s="4" t="s">
        <v>230</v>
      </c>
      <c r="T464" s="4" t="s">
        <v>475</v>
      </c>
      <c r="U464" s="4">
        <v>0</v>
      </c>
      <c r="V464" s="4">
        <v>19</v>
      </c>
      <c r="W464" s="4">
        <v>56</v>
      </c>
    </row>
    <row r="465" spans="1:23" ht="11.25" customHeight="1" x14ac:dyDescent="0.25">
      <c r="A465" s="4" t="s">
        <v>21</v>
      </c>
      <c r="B465" s="4" t="s">
        <v>22</v>
      </c>
      <c r="C465" s="4" t="s">
        <v>23</v>
      </c>
      <c r="D465" s="4" t="s">
        <v>24</v>
      </c>
      <c r="E465" s="4" t="s">
        <v>31</v>
      </c>
      <c r="F465" s="4" t="s">
        <v>25</v>
      </c>
      <c r="G465" s="4" t="s">
        <v>25</v>
      </c>
      <c r="H465" s="4" t="s">
        <v>25</v>
      </c>
      <c r="I465" s="5">
        <v>44440</v>
      </c>
      <c r="J465" s="6">
        <v>0</v>
      </c>
      <c r="K465" s="6">
        <v>0</v>
      </c>
      <c r="L465" s="6">
        <v>27.283000000000001</v>
      </c>
      <c r="M465" s="6">
        <v>27.283000000000001</v>
      </c>
      <c r="N465" s="6">
        <v>27.283000000000001</v>
      </c>
      <c r="O465" s="6">
        <v>27.283000000000001</v>
      </c>
      <c r="P465" s="6">
        <v>299</v>
      </c>
      <c r="Q465" s="4" t="s">
        <v>26</v>
      </c>
      <c r="R465" s="4">
        <v>0</v>
      </c>
      <c r="S465" s="4" t="s">
        <v>231</v>
      </c>
      <c r="T465" s="4" t="s">
        <v>476</v>
      </c>
      <c r="U465" s="4">
        <v>0</v>
      </c>
      <c r="V465" s="4">
        <v>19</v>
      </c>
      <c r="W465" s="4">
        <v>56</v>
      </c>
    </row>
    <row r="466" spans="1:23" ht="11.25" customHeight="1" x14ac:dyDescent="0.25">
      <c r="A466" s="4" t="s">
        <v>21</v>
      </c>
      <c r="B466" s="4" t="s">
        <v>22</v>
      </c>
      <c r="C466" s="4" t="s">
        <v>23</v>
      </c>
      <c r="D466" s="4" t="s">
        <v>24</v>
      </c>
      <c r="E466" s="4" t="s">
        <v>31</v>
      </c>
      <c r="F466" s="4" t="s">
        <v>25</v>
      </c>
      <c r="G466" s="4" t="s">
        <v>25</v>
      </c>
      <c r="H466" s="4" t="s">
        <v>25</v>
      </c>
      <c r="I466" s="5">
        <v>44470</v>
      </c>
      <c r="J466" s="6">
        <v>0</v>
      </c>
      <c r="K466" s="6">
        <v>0</v>
      </c>
      <c r="L466" s="6">
        <v>32.040999999999997</v>
      </c>
      <c r="M466" s="6">
        <v>32.040999999999997</v>
      </c>
      <c r="N466" s="6">
        <v>32.040999999999997</v>
      </c>
      <c r="O466" s="6">
        <v>32.040999999999997</v>
      </c>
      <c r="P466" s="6">
        <v>305</v>
      </c>
      <c r="Q466" s="4" t="s">
        <v>26</v>
      </c>
      <c r="R466" s="4">
        <v>0</v>
      </c>
      <c r="S466" s="4" t="s">
        <v>232</v>
      </c>
      <c r="T466" s="4" t="s">
        <v>477</v>
      </c>
      <c r="U466" s="4">
        <v>0</v>
      </c>
      <c r="V466" s="4">
        <v>19</v>
      </c>
      <c r="W466" s="4">
        <v>56</v>
      </c>
    </row>
    <row r="467" spans="1:23" ht="11.25" customHeight="1" x14ac:dyDescent="0.25">
      <c r="A467" s="4" t="s">
        <v>21</v>
      </c>
      <c r="B467" s="4" t="s">
        <v>22</v>
      </c>
      <c r="C467" s="4" t="s">
        <v>23</v>
      </c>
      <c r="D467" s="4" t="s">
        <v>24</v>
      </c>
      <c r="E467" s="4" t="s">
        <v>31</v>
      </c>
      <c r="F467" s="4" t="s">
        <v>25</v>
      </c>
      <c r="G467" s="4" t="s">
        <v>25</v>
      </c>
      <c r="H467" s="4" t="s">
        <v>25</v>
      </c>
      <c r="I467" s="5">
        <v>44501</v>
      </c>
      <c r="J467" s="6">
        <v>0</v>
      </c>
      <c r="K467" s="6">
        <v>0</v>
      </c>
      <c r="L467" s="6">
        <v>29.46</v>
      </c>
      <c r="M467" s="6">
        <v>29.46</v>
      </c>
      <c r="N467" s="6">
        <v>29.46</v>
      </c>
      <c r="O467" s="6">
        <v>29.46</v>
      </c>
      <c r="P467" s="6">
        <v>313</v>
      </c>
      <c r="Q467" s="4" t="s">
        <v>26</v>
      </c>
      <c r="R467" s="4">
        <v>0</v>
      </c>
      <c r="S467" s="4" t="s">
        <v>233</v>
      </c>
      <c r="T467" s="4" t="s">
        <v>478</v>
      </c>
      <c r="U467" s="4">
        <v>0</v>
      </c>
      <c r="V467" s="4">
        <v>19</v>
      </c>
      <c r="W467" s="4">
        <v>56</v>
      </c>
    </row>
    <row r="468" spans="1:23" ht="11.25" customHeight="1" x14ac:dyDescent="0.25">
      <c r="A468" s="4" t="s">
        <v>21</v>
      </c>
      <c r="B468" s="4" t="s">
        <v>22</v>
      </c>
      <c r="C468" s="4" t="s">
        <v>23</v>
      </c>
      <c r="D468" s="4" t="s">
        <v>24</v>
      </c>
      <c r="E468" s="4" t="s">
        <v>31</v>
      </c>
      <c r="F468" s="4" t="s">
        <v>25</v>
      </c>
      <c r="G468" s="4" t="s">
        <v>25</v>
      </c>
      <c r="H468" s="4" t="s">
        <v>25</v>
      </c>
      <c r="I468" s="5">
        <v>44531</v>
      </c>
      <c r="J468" s="6">
        <v>0</v>
      </c>
      <c r="K468" s="6">
        <v>0</v>
      </c>
      <c r="L468" s="6">
        <v>27.106999999999999</v>
      </c>
      <c r="M468" s="6">
        <v>27.106999999999999</v>
      </c>
      <c r="N468" s="6">
        <v>27.106999999999999</v>
      </c>
      <c r="O468" s="6">
        <v>27.106999999999999</v>
      </c>
      <c r="P468" s="6">
        <v>335</v>
      </c>
      <c r="Q468" s="4" t="s">
        <v>26</v>
      </c>
      <c r="R468" s="4">
        <v>0</v>
      </c>
      <c r="S468" s="4" t="s">
        <v>234</v>
      </c>
      <c r="T468" s="4" t="s">
        <v>479</v>
      </c>
      <c r="U468" s="4">
        <v>0</v>
      </c>
      <c r="V468" s="4">
        <v>19</v>
      </c>
      <c r="W468" s="4">
        <v>56</v>
      </c>
    </row>
    <row r="469" spans="1:23" ht="11.25" customHeight="1" x14ac:dyDescent="0.25">
      <c r="A469" s="4" t="s">
        <v>21</v>
      </c>
      <c r="B469" s="4" t="s">
        <v>22</v>
      </c>
      <c r="C469" s="4" t="s">
        <v>23</v>
      </c>
      <c r="D469" s="4" t="s">
        <v>24</v>
      </c>
      <c r="E469" s="4" t="s">
        <v>31</v>
      </c>
      <c r="F469" s="4" t="s">
        <v>25</v>
      </c>
      <c r="G469" s="4" t="s">
        <v>25</v>
      </c>
      <c r="H469" s="4" t="s">
        <v>25</v>
      </c>
      <c r="I469" s="5">
        <v>44562</v>
      </c>
      <c r="J469" s="6">
        <v>0</v>
      </c>
      <c r="K469" s="6">
        <v>0</v>
      </c>
      <c r="L469" s="6">
        <v>30.98</v>
      </c>
      <c r="M469" s="6">
        <v>30.98</v>
      </c>
      <c r="N469" s="6">
        <v>30.98</v>
      </c>
      <c r="O469" s="6">
        <v>30.98</v>
      </c>
      <c r="P469" s="6">
        <v>318</v>
      </c>
      <c r="Q469" s="4" t="s">
        <v>26</v>
      </c>
      <c r="R469" s="4">
        <v>0</v>
      </c>
      <c r="S469" s="4" t="s">
        <v>235</v>
      </c>
      <c r="T469" s="4" t="s">
        <v>480</v>
      </c>
      <c r="U469" s="4">
        <v>0</v>
      </c>
      <c r="V469" s="4">
        <v>19</v>
      </c>
      <c r="W469" s="4">
        <v>56</v>
      </c>
    </row>
    <row r="470" spans="1:23" ht="11.25" customHeight="1" x14ac:dyDescent="0.25">
      <c r="A470" s="4" t="s">
        <v>21</v>
      </c>
      <c r="B470" s="4" t="s">
        <v>22</v>
      </c>
      <c r="C470" s="4" t="s">
        <v>23</v>
      </c>
      <c r="D470" s="4" t="s">
        <v>24</v>
      </c>
      <c r="E470" s="4" t="s">
        <v>31</v>
      </c>
      <c r="F470" s="4" t="s">
        <v>25</v>
      </c>
      <c r="G470" s="4" t="s">
        <v>25</v>
      </c>
      <c r="H470" s="4" t="s">
        <v>25</v>
      </c>
      <c r="I470" s="5">
        <v>44593</v>
      </c>
      <c r="J470" s="6">
        <v>0</v>
      </c>
      <c r="K470" s="6">
        <v>0</v>
      </c>
      <c r="L470" s="6">
        <v>33.667999999999999</v>
      </c>
      <c r="M470" s="6">
        <v>33.667999999999999</v>
      </c>
      <c r="N470" s="6">
        <v>33.667999999999999</v>
      </c>
      <c r="O470" s="6">
        <v>33.667999999999999</v>
      </c>
      <c r="P470" s="6">
        <v>361</v>
      </c>
      <c r="Q470" s="4" t="s">
        <v>26</v>
      </c>
      <c r="R470" s="4">
        <v>0</v>
      </c>
      <c r="S470" s="4" t="s">
        <v>236</v>
      </c>
      <c r="T470" s="4" t="s">
        <v>481</v>
      </c>
      <c r="U470" s="4">
        <v>0</v>
      </c>
      <c r="V470" s="4">
        <v>19</v>
      </c>
      <c r="W470" s="4">
        <v>56</v>
      </c>
    </row>
    <row r="471" spans="1:23" ht="11.25" customHeight="1" x14ac:dyDescent="0.25">
      <c r="A471" s="4" t="s">
        <v>21</v>
      </c>
      <c r="B471" s="4" t="s">
        <v>22</v>
      </c>
      <c r="C471" s="4" t="s">
        <v>23</v>
      </c>
      <c r="D471" s="4" t="s">
        <v>24</v>
      </c>
      <c r="E471" s="4" t="s">
        <v>31</v>
      </c>
      <c r="F471" s="4" t="s">
        <v>25</v>
      </c>
      <c r="G471" s="4" t="s">
        <v>25</v>
      </c>
      <c r="H471" s="4" t="s">
        <v>25</v>
      </c>
      <c r="I471" s="5">
        <v>44621</v>
      </c>
      <c r="J471" s="6">
        <v>0</v>
      </c>
      <c r="K471" s="6">
        <v>0</v>
      </c>
      <c r="L471" s="6">
        <v>50.784999999999997</v>
      </c>
      <c r="M471" s="6">
        <v>50.784999999999997</v>
      </c>
      <c r="N471" s="6">
        <v>50.784999999999997</v>
      </c>
      <c r="O471" s="6">
        <v>50.784999999999997</v>
      </c>
      <c r="P471" s="6">
        <v>505</v>
      </c>
      <c r="Q471" s="4" t="s">
        <v>26</v>
      </c>
      <c r="R471" s="4">
        <v>0</v>
      </c>
      <c r="S471" s="4" t="s">
        <v>237</v>
      </c>
      <c r="T471" s="4" t="s">
        <v>482</v>
      </c>
      <c r="U471" s="4">
        <v>0</v>
      </c>
      <c r="V471" s="4">
        <v>19</v>
      </c>
      <c r="W471" s="4">
        <v>56</v>
      </c>
    </row>
    <row r="472" spans="1:23" ht="11.25" customHeight="1" x14ac:dyDescent="0.25">
      <c r="A472" s="4" t="s">
        <v>21</v>
      </c>
      <c r="B472" s="4" t="s">
        <v>22</v>
      </c>
      <c r="C472" s="4" t="s">
        <v>23</v>
      </c>
      <c r="D472" s="4" t="s">
        <v>24</v>
      </c>
      <c r="E472" s="4" t="s">
        <v>31</v>
      </c>
      <c r="F472" s="4" t="s">
        <v>25</v>
      </c>
      <c r="G472" s="4" t="s">
        <v>25</v>
      </c>
      <c r="H472" s="4" t="s">
        <v>25</v>
      </c>
      <c r="I472" s="5">
        <v>44652</v>
      </c>
      <c r="J472" s="6">
        <v>0</v>
      </c>
      <c r="K472" s="6">
        <v>0</v>
      </c>
      <c r="L472" s="6">
        <v>54.502000000000002</v>
      </c>
      <c r="M472" s="6">
        <v>54.502000000000002</v>
      </c>
      <c r="N472" s="6">
        <v>54.502000000000002</v>
      </c>
      <c r="O472" s="6">
        <v>54.502000000000002</v>
      </c>
      <c r="P472" s="6">
        <v>518</v>
      </c>
      <c r="Q472" s="4" t="s">
        <v>26</v>
      </c>
      <c r="R472" s="4">
        <v>0</v>
      </c>
      <c r="S472" s="4" t="s">
        <v>238</v>
      </c>
      <c r="T472" s="4" t="s">
        <v>483</v>
      </c>
      <c r="U472" s="4">
        <v>0</v>
      </c>
      <c r="V472" s="4">
        <v>19</v>
      </c>
      <c r="W472" s="4">
        <v>56</v>
      </c>
    </row>
    <row r="473" spans="1:23" ht="11.25" customHeight="1" x14ac:dyDescent="0.25">
      <c r="A473" s="4" t="s">
        <v>21</v>
      </c>
      <c r="B473" s="4" t="s">
        <v>22</v>
      </c>
      <c r="C473" s="4" t="s">
        <v>23</v>
      </c>
      <c r="D473" s="4" t="s">
        <v>24</v>
      </c>
      <c r="E473" s="4" t="s">
        <v>32</v>
      </c>
      <c r="F473" s="4" t="s">
        <v>25</v>
      </c>
      <c r="G473" s="4" t="s">
        <v>25</v>
      </c>
      <c r="H473" s="4" t="s">
        <v>25</v>
      </c>
      <c r="I473" s="5">
        <v>44317</v>
      </c>
      <c r="J473" s="6">
        <v>0</v>
      </c>
      <c r="K473" s="6">
        <v>0</v>
      </c>
      <c r="L473" s="6">
        <v>2.774</v>
      </c>
      <c r="M473" s="6">
        <v>2.774</v>
      </c>
      <c r="N473" s="6">
        <v>2.774</v>
      </c>
      <c r="O473" s="6">
        <v>2.774</v>
      </c>
      <c r="P473" s="6">
        <v>46</v>
      </c>
      <c r="Q473" s="4" t="s">
        <v>26</v>
      </c>
      <c r="R473" s="4">
        <v>0</v>
      </c>
      <c r="S473" s="4" t="s">
        <v>239</v>
      </c>
      <c r="T473" s="4" t="s">
        <v>484</v>
      </c>
      <c r="U473" s="4">
        <v>0</v>
      </c>
      <c r="V473" s="4">
        <v>20</v>
      </c>
      <c r="W473" s="4">
        <v>57</v>
      </c>
    </row>
    <row r="474" spans="1:23" ht="11.25" customHeight="1" x14ac:dyDescent="0.25">
      <c r="A474" s="4" t="s">
        <v>21</v>
      </c>
      <c r="B474" s="4" t="s">
        <v>22</v>
      </c>
      <c r="C474" s="4" t="s">
        <v>23</v>
      </c>
      <c r="D474" s="4" t="s">
        <v>24</v>
      </c>
      <c r="E474" s="4" t="s">
        <v>32</v>
      </c>
      <c r="F474" s="4" t="s">
        <v>25</v>
      </c>
      <c r="G474" s="4" t="s">
        <v>25</v>
      </c>
      <c r="H474" s="4" t="s">
        <v>25</v>
      </c>
      <c r="I474" s="5">
        <v>44348</v>
      </c>
      <c r="J474" s="6">
        <v>0</v>
      </c>
      <c r="K474" s="6">
        <v>0</v>
      </c>
      <c r="L474" s="6">
        <v>3.8330000000000002</v>
      </c>
      <c r="M474" s="6">
        <v>3.8330000000000002</v>
      </c>
      <c r="N474" s="6">
        <v>3.8330000000000002</v>
      </c>
      <c r="O474" s="6">
        <v>3.8330000000000002</v>
      </c>
      <c r="P474" s="6">
        <v>60</v>
      </c>
      <c r="Q474" s="4" t="s">
        <v>26</v>
      </c>
      <c r="R474" s="4">
        <v>0</v>
      </c>
      <c r="S474" s="4" t="s">
        <v>240</v>
      </c>
      <c r="T474" s="4" t="s">
        <v>485</v>
      </c>
      <c r="U474" s="4">
        <v>0</v>
      </c>
      <c r="V474" s="4">
        <v>20</v>
      </c>
      <c r="W474" s="4">
        <v>57</v>
      </c>
    </row>
    <row r="475" spans="1:23" ht="11.25" customHeight="1" x14ac:dyDescent="0.25">
      <c r="A475" s="4" t="s">
        <v>21</v>
      </c>
      <c r="B475" s="4" t="s">
        <v>22</v>
      </c>
      <c r="C475" s="4" t="s">
        <v>23</v>
      </c>
      <c r="D475" s="4" t="s">
        <v>24</v>
      </c>
      <c r="E475" s="4" t="s">
        <v>32</v>
      </c>
      <c r="F475" s="4" t="s">
        <v>25</v>
      </c>
      <c r="G475" s="4" t="s">
        <v>25</v>
      </c>
      <c r="H475" s="4" t="s">
        <v>25</v>
      </c>
      <c r="I475" s="5">
        <v>44378</v>
      </c>
      <c r="J475" s="6">
        <v>0</v>
      </c>
      <c r="K475" s="6">
        <v>0</v>
      </c>
      <c r="L475" s="6">
        <v>4.3470000000000004</v>
      </c>
      <c r="M475" s="6">
        <v>4.3470000000000004</v>
      </c>
      <c r="N475" s="6">
        <v>4.3470000000000004</v>
      </c>
      <c r="O475" s="6">
        <v>4.3470000000000004</v>
      </c>
      <c r="P475" s="6">
        <v>73</v>
      </c>
      <c r="Q475" s="4" t="s">
        <v>26</v>
      </c>
      <c r="R475" s="4">
        <v>0</v>
      </c>
      <c r="S475" s="4" t="s">
        <v>241</v>
      </c>
      <c r="T475" s="4" t="s">
        <v>486</v>
      </c>
      <c r="U475" s="4">
        <v>0</v>
      </c>
      <c r="V475" s="4">
        <v>20</v>
      </c>
      <c r="W475" s="4">
        <v>57</v>
      </c>
    </row>
    <row r="476" spans="1:23" ht="11.25" customHeight="1" x14ac:dyDescent="0.25">
      <c r="A476" s="4" t="s">
        <v>27</v>
      </c>
      <c r="B476" s="4" t="s">
        <v>22</v>
      </c>
      <c r="C476" s="4" t="s">
        <v>23</v>
      </c>
      <c r="D476" s="4" t="s">
        <v>24</v>
      </c>
      <c r="E476" s="4" t="s">
        <v>32</v>
      </c>
      <c r="F476" s="4" t="s">
        <v>25</v>
      </c>
      <c r="G476" s="4" t="s">
        <v>25</v>
      </c>
      <c r="H476" s="4" t="s">
        <v>25</v>
      </c>
      <c r="I476" s="5">
        <v>44378</v>
      </c>
      <c r="J476" s="6">
        <v>0</v>
      </c>
      <c r="K476" s="6">
        <v>0</v>
      </c>
      <c r="L476" s="6">
        <v>-1.0999999999999999E-2</v>
      </c>
      <c r="M476" s="6">
        <v>-1.0999999999999999E-2</v>
      </c>
      <c r="N476" s="6">
        <v>-1.0999999999999999E-2</v>
      </c>
      <c r="O476" s="6">
        <v>-1.0999999999999999E-2</v>
      </c>
      <c r="P476" s="6">
        <v>0</v>
      </c>
      <c r="Q476" s="4" t="s">
        <v>26</v>
      </c>
      <c r="R476" s="4">
        <v>0</v>
      </c>
      <c r="S476" s="4" t="s">
        <v>241</v>
      </c>
      <c r="T476" s="4" t="s">
        <v>486</v>
      </c>
      <c r="U476" s="4">
        <v>0</v>
      </c>
      <c r="V476" s="4">
        <v>20</v>
      </c>
      <c r="W476" s="4">
        <v>57</v>
      </c>
    </row>
    <row r="477" spans="1:23" ht="11.25" customHeight="1" x14ac:dyDescent="0.25">
      <c r="A477" s="4" t="s">
        <v>21</v>
      </c>
      <c r="B477" s="4" t="s">
        <v>22</v>
      </c>
      <c r="C477" s="4" t="s">
        <v>23</v>
      </c>
      <c r="D477" s="4" t="s">
        <v>24</v>
      </c>
      <c r="E477" s="4" t="s">
        <v>32</v>
      </c>
      <c r="F477" s="4" t="s">
        <v>25</v>
      </c>
      <c r="G477" s="4" t="s">
        <v>25</v>
      </c>
      <c r="H477" s="4" t="s">
        <v>25</v>
      </c>
      <c r="I477" s="5">
        <v>44409</v>
      </c>
      <c r="J477" s="6">
        <v>0</v>
      </c>
      <c r="K477" s="6">
        <v>0</v>
      </c>
      <c r="L477" s="6">
        <v>4.085</v>
      </c>
      <c r="M477" s="6">
        <v>4.085</v>
      </c>
      <c r="N477" s="6">
        <v>4.085</v>
      </c>
      <c r="O477" s="6">
        <v>4.085</v>
      </c>
      <c r="P477" s="6">
        <v>64</v>
      </c>
      <c r="Q477" s="4" t="s">
        <v>26</v>
      </c>
      <c r="R477" s="4">
        <v>0</v>
      </c>
      <c r="S477" s="4" t="s">
        <v>242</v>
      </c>
      <c r="T477" s="4" t="s">
        <v>487</v>
      </c>
      <c r="U477" s="4">
        <v>0</v>
      </c>
      <c r="V477" s="4">
        <v>20</v>
      </c>
      <c r="W477" s="4">
        <v>57</v>
      </c>
    </row>
    <row r="478" spans="1:23" ht="11.25" customHeight="1" x14ac:dyDescent="0.25">
      <c r="A478" s="4" t="s">
        <v>21</v>
      </c>
      <c r="B478" s="4" t="s">
        <v>22</v>
      </c>
      <c r="C478" s="4" t="s">
        <v>23</v>
      </c>
      <c r="D478" s="4" t="s">
        <v>24</v>
      </c>
      <c r="E478" s="4" t="s">
        <v>32</v>
      </c>
      <c r="F478" s="4" t="s">
        <v>25</v>
      </c>
      <c r="G478" s="4" t="s">
        <v>25</v>
      </c>
      <c r="H478" s="4" t="s">
        <v>25</v>
      </c>
      <c r="I478" s="5">
        <v>44440</v>
      </c>
      <c r="J478" s="6">
        <v>0</v>
      </c>
      <c r="K478" s="6">
        <v>0</v>
      </c>
      <c r="L478" s="6">
        <v>5.5570000000000004</v>
      </c>
      <c r="M478" s="6">
        <v>5.5570000000000004</v>
      </c>
      <c r="N478" s="6">
        <v>5.5570000000000004</v>
      </c>
      <c r="O478" s="6">
        <v>5.5570000000000004</v>
      </c>
      <c r="P478" s="6">
        <v>85</v>
      </c>
      <c r="Q478" s="4" t="s">
        <v>26</v>
      </c>
      <c r="R478" s="4">
        <v>0</v>
      </c>
      <c r="S478" s="4" t="s">
        <v>243</v>
      </c>
      <c r="T478" s="4" t="s">
        <v>488</v>
      </c>
      <c r="U478" s="4">
        <v>0</v>
      </c>
      <c r="V478" s="4">
        <v>20</v>
      </c>
      <c r="W478" s="4">
        <v>57</v>
      </c>
    </row>
    <row r="479" spans="1:23" ht="11.25" customHeight="1" x14ac:dyDescent="0.25">
      <c r="A479" s="4" t="s">
        <v>21</v>
      </c>
      <c r="B479" s="4" t="s">
        <v>22</v>
      </c>
      <c r="C479" s="4" t="s">
        <v>23</v>
      </c>
      <c r="D479" s="4" t="s">
        <v>24</v>
      </c>
      <c r="E479" s="4" t="s">
        <v>32</v>
      </c>
      <c r="F479" s="4" t="s">
        <v>25</v>
      </c>
      <c r="G479" s="4" t="s">
        <v>25</v>
      </c>
      <c r="H479" s="4" t="s">
        <v>25</v>
      </c>
      <c r="I479" s="5">
        <v>44470</v>
      </c>
      <c r="J479" s="6">
        <v>0</v>
      </c>
      <c r="K479" s="6">
        <v>0</v>
      </c>
      <c r="L479" s="6">
        <v>7.4669999999999996</v>
      </c>
      <c r="M479" s="6">
        <v>7.4669999999999996</v>
      </c>
      <c r="N479" s="6">
        <v>7.4669999999999996</v>
      </c>
      <c r="O479" s="6">
        <v>7.4669999999999996</v>
      </c>
      <c r="P479" s="6">
        <v>114</v>
      </c>
      <c r="Q479" s="4" t="s">
        <v>26</v>
      </c>
      <c r="R479" s="4">
        <v>0</v>
      </c>
      <c r="S479" s="4" t="s">
        <v>244</v>
      </c>
      <c r="T479" s="4" t="s">
        <v>489</v>
      </c>
      <c r="U479" s="4">
        <v>0</v>
      </c>
      <c r="V479" s="4">
        <v>20</v>
      </c>
      <c r="W479" s="4">
        <v>57</v>
      </c>
    </row>
    <row r="480" spans="1:23" ht="11.25" customHeight="1" x14ac:dyDescent="0.25">
      <c r="A480" s="4" t="s">
        <v>21</v>
      </c>
      <c r="B480" s="4" t="s">
        <v>22</v>
      </c>
      <c r="C480" s="4" t="s">
        <v>23</v>
      </c>
      <c r="D480" s="4" t="s">
        <v>24</v>
      </c>
      <c r="E480" s="4" t="s">
        <v>32</v>
      </c>
      <c r="F480" s="4" t="s">
        <v>25</v>
      </c>
      <c r="G480" s="4" t="s">
        <v>25</v>
      </c>
      <c r="H480" s="4" t="s">
        <v>25</v>
      </c>
      <c r="I480" s="5">
        <v>44501</v>
      </c>
      <c r="J480" s="6">
        <v>0</v>
      </c>
      <c r="K480" s="6">
        <v>0</v>
      </c>
      <c r="L480" s="6">
        <v>6.1790000000000003</v>
      </c>
      <c r="M480" s="6">
        <v>6.1790000000000003</v>
      </c>
      <c r="N480" s="6">
        <v>6.1790000000000003</v>
      </c>
      <c r="O480" s="6">
        <v>6.1790000000000003</v>
      </c>
      <c r="P480" s="6">
        <v>94</v>
      </c>
      <c r="Q480" s="4" t="s">
        <v>26</v>
      </c>
      <c r="R480" s="4">
        <v>0</v>
      </c>
      <c r="S480" s="4" t="s">
        <v>245</v>
      </c>
      <c r="T480" s="4" t="s">
        <v>490</v>
      </c>
      <c r="U480" s="4">
        <v>0</v>
      </c>
      <c r="V480" s="4">
        <v>20</v>
      </c>
      <c r="W480" s="4">
        <v>57</v>
      </c>
    </row>
    <row r="481" spans="1:23" ht="11.25" customHeight="1" x14ac:dyDescent="0.25">
      <c r="A481" s="4" t="s">
        <v>21</v>
      </c>
      <c r="B481" s="4" t="s">
        <v>22</v>
      </c>
      <c r="C481" s="4" t="s">
        <v>23</v>
      </c>
      <c r="D481" s="4" t="s">
        <v>24</v>
      </c>
      <c r="E481" s="4" t="s">
        <v>32</v>
      </c>
      <c r="F481" s="4" t="s">
        <v>25</v>
      </c>
      <c r="G481" s="4" t="s">
        <v>25</v>
      </c>
      <c r="H481" s="4" t="s">
        <v>25</v>
      </c>
      <c r="I481" s="5">
        <v>44531</v>
      </c>
      <c r="J481" s="6">
        <v>0</v>
      </c>
      <c r="K481" s="6">
        <v>0</v>
      </c>
      <c r="L481" s="6">
        <v>5.0010000000000003</v>
      </c>
      <c r="M481" s="6">
        <v>5.0010000000000003</v>
      </c>
      <c r="N481" s="6">
        <v>5.0010000000000003</v>
      </c>
      <c r="O481" s="6">
        <v>5.0010000000000003</v>
      </c>
      <c r="P481" s="6">
        <v>75</v>
      </c>
      <c r="Q481" s="4" t="s">
        <v>26</v>
      </c>
      <c r="R481" s="4">
        <v>0</v>
      </c>
      <c r="S481" s="4" t="s">
        <v>246</v>
      </c>
      <c r="T481" s="4" t="s">
        <v>491</v>
      </c>
      <c r="U481" s="4">
        <v>0</v>
      </c>
      <c r="V481" s="4">
        <v>20</v>
      </c>
      <c r="W481" s="4">
        <v>57</v>
      </c>
    </row>
    <row r="482" spans="1:23" ht="11.25" customHeight="1" x14ac:dyDescent="0.25">
      <c r="A482" s="4" t="s">
        <v>21</v>
      </c>
      <c r="B482" s="4" t="s">
        <v>22</v>
      </c>
      <c r="C482" s="4" t="s">
        <v>23</v>
      </c>
      <c r="D482" s="4" t="s">
        <v>24</v>
      </c>
      <c r="E482" s="4" t="s">
        <v>32</v>
      </c>
      <c r="F482" s="4" t="s">
        <v>25</v>
      </c>
      <c r="G482" s="4" t="s">
        <v>25</v>
      </c>
      <c r="H482" s="4" t="s">
        <v>25</v>
      </c>
      <c r="I482" s="5">
        <v>44562</v>
      </c>
      <c r="J482" s="6">
        <v>0</v>
      </c>
      <c r="K482" s="6">
        <v>0</v>
      </c>
      <c r="L482" s="6">
        <v>8.1170000000000009</v>
      </c>
      <c r="M482" s="6">
        <v>8.1170000000000009</v>
      </c>
      <c r="N482" s="6">
        <v>8.1170000000000009</v>
      </c>
      <c r="O482" s="6">
        <v>8.1170000000000009</v>
      </c>
      <c r="P482" s="6">
        <v>114</v>
      </c>
      <c r="Q482" s="4" t="s">
        <v>26</v>
      </c>
      <c r="R482" s="4">
        <v>0</v>
      </c>
      <c r="S482" s="4" t="s">
        <v>247</v>
      </c>
      <c r="T482" s="4" t="s">
        <v>492</v>
      </c>
      <c r="U482" s="4">
        <v>0</v>
      </c>
      <c r="V482" s="4">
        <v>20</v>
      </c>
      <c r="W482" s="4">
        <v>57</v>
      </c>
    </row>
    <row r="483" spans="1:23" ht="11.25" customHeight="1" x14ac:dyDescent="0.25">
      <c r="A483" s="4" t="s">
        <v>21</v>
      </c>
      <c r="B483" s="4" t="s">
        <v>22</v>
      </c>
      <c r="C483" s="4" t="s">
        <v>23</v>
      </c>
      <c r="D483" s="4" t="s">
        <v>24</v>
      </c>
      <c r="E483" s="4" t="s">
        <v>32</v>
      </c>
      <c r="F483" s="4" t="s">
        <v>25</v>
      </c>
      <c r="G483" s="4" t="s">
        <v>25</v>
      </c>
      <c r="H483" s="4" t="s">
        <v>25</v>
      </c>
      <c r="I483" s="5">
        <v>44593</v>
      </c>
      <c r="J483" s="6">
        <v>0</v>
      </c>
      <c r="K483" s="6">
        <v>0</v>
      </c>
      <c r="L483" s="6">
        <v>8.1470000000000002</v>
      </c>
      <c r="M483" s="6">
        <v>8.1470000000000002</v>
      </c>
      <c r="N483" s="6">
        <v>8.1470000000000002</v>
      </c>
      <c r="O483" s="6">
        <v>8.1470000000000002</v>
      </c>
      <c r="P483" s="6">
        <v>110</v>
      </c>
      <c r="Q483" s="4" t="s">
        <v>26</v>
      </c>
      <c r="R483" s="4">
        <v>0</v>
      </c>
      <c r="S483" s="4" t="s">
        <v>248</v>
      </c>
      <c r="T483" s="4" t="s">
        <v>493</v>
      </c>
      <c r="U483" s="4">
        <v>0</v>
      </c>
      <c r="V483" s="4">
        <v>20</v>
      </c>
      <c r="W483" s="4">
        <v>57</v>
      </c>
    </row>
    <row r="484" spans="1:23" ht="11.25" customHeight="1" x14ac:dyDescent="0.25">
      <c r="A484" s="4" t="s">
        <v>21</v>
      </c>
      <c r="B484" s="4" t="s">
        <v>22</v>
      </c>
      <c r="C484" s="4" t="s">
        <v>23</v>
      </c>
      <c r="D484" s="4" t="s">
        <v>24</v>
      </c>
      <c r="E484" s="4" t="s">
        <v>32</v>
      </c>
      <c r="F484" s="4" t="s">
        <v>25</v>
      </c>
      <c r="G484" s="4" t="s">
        <v>25</v>
      </c>
      <c r="H484" s="4" t="s">
        <v>25</v>
      </c>
      <c r="I484" s="5">
        <v>44621</v>
      </c>
      <c r="J484" s="6">
        <v>0</v>
      </c>
      <c r="K484" s="6">
        <v>0</v>
      </c>
      <c r="L484" s="6">
        <v>14.984</v>
      </c>
      <c r="M484" s="6">
        <v>14.984</v>
      </c>
      <c r="N484" s="6">
        <v>14.984</v>
      </c>
      <c r="O484" s="6">
        <v>14.984</v>
      </c>
      <c r="P484" s="6">
        <v>183</v>
      </c>
      <c r="Q484" s="4" t="s">
        <v>26</v>
      </c>
      <c r="R484" s="4">
        <v>0</v>
      </c>
      <c r="S484" s="4" t="s">
        <v>249</v>
      </c>
      <c r="T484" s="4" t="s">
        <v>494</v>
      </c>
      <c r="U484" s="4">
        <v>0</v>
      </c>
      <c r="V484" s="4">
        <v>20</v>
      </c>
      <c r="W484" s="4">
        <v>57</v>
      </c>
    </row>
    <row r="485" spans="1:23" ht="11.25" customHeight="1" x14ac:dyDescent="0.25">
      <c r="A485" s="4" t="s">
        <v>21</v>
      </c>
      <c r="B485" s="4" t="s">
        <v>22</v>
      </c>
      <c r="C485" s="4" t="s">
        <v>23</v>
      </c>
      <c r="D485" s="4" t="s">
        <v>24</v>
      </c>
      <c r="E485" s="4" t="s">
        <v>32</v>
      </c>
      <c r="F485" s="4" t="s">
        <v>25</v>
      </c>
      <c r="G485" s="4" t="s">
        <v>25</v>
      </c>
      <c r="H485" s="4" t="s">
        <v>25</v>
      </c>
      <c r="I485" s="5">
        <v>44652</v>
      </c>
      <c r="J485" s="6">
        <v>0</v>
      </c>
      <c r="K485" s="6">
        <v>0</v>
      </c>
      <c r="L485" s="6">
        <v>15.241</v>
      </c>
      <c r="M485" s="6">
        <v>15.241</v>
      </c>
      <c r="N485" s="6">
        <v>15.241</v>
      </c>
      <c r="O485" s="6">
        <v>15.241</v>
      </c>
      <c r="P485" s="6">
        <v>202</v>
      </c>
      <c r="Q485" s="4" t="s">
        <v>26</v>
      </c>
      <c r="R485" s="4">
        <v>0</v>
      </c>
      <c r="S485" s="4" t="s">
        <v>250</v>
      </c>
      <c r="T485" s="4" t="s">
        <v>495</v>
      </c>
      <c r="U485" s="4">
        <v>0</v>
      </c>
      <c r="V485" s="4">
        <v>20</v>
      </c>
      <c r="W485" s="4">
        <v>57</v>
      </c>
    </row>
    <row r="486" spans="1:23" ht="11.25" customHeight="1" x14ac:dyDescent="0.25">
      <c r="A486" s="4" t="s">
        <v>21</v>
      </c>
      <c r="B486" s="4" t="s">
        <v>43</v>
      </c>
      <c r="C486" s="4" t="s">
        <v>37</v>
      </c>
      <c r="D486" s="4" t="s">
        <v>44</v>
      </c>
      <c r="E486" s="4" t="s">
        <v>25</v>
      </c>
      <c r="F486" s="4" t="s">
        <v>25</v>
      </c>
      <c r="G486" s="4" t="s">
        <v>25</v>
      </c>
      <c r="H486" s="4" t="s">
        <v>36</v>
      </c>
      <c r="I486" s="5">
        <v>44317</v>
      </c>
      <c r="J486" s="6">
        <v>0</v>
      </c>
      <c r="K486" s="6">
        <v>0</v>
      </c>
      <c r="L486" s="6">
        <v>0.33300000000000002</v>
      </c>
      <c r="M486" s="6">
        <v>0.33300000000000002</v>
      </c>
      <c r="N486" s="6">
        <v>0.33300000000000002</v>
      </c>
      <c r="O486" s="6">
        <v>0.33300000000000002</v>
      </c>
      <c r="P486" s="6">
        <v>0</v>
      </c>
      <c r="Q486" s="4" t="s">
        <v>26</v>
      </c>
      <c r="R486" s="4">
        <v>0</v>
      </c>
      <c r="S486" s="4" t="s">
        <v>251</v>
      </c>
      <c r="T486" s="4" t="s">
        <v>496</v>
      </c>
      <c r="U486" s="4">
        <v>0</v>
      </c>
      <c r="V486" s="4">
        <v>28</v>
      </c>
      <c r="W486" s="4">
        <v>65</v>
      </c>
    </row>
    <row r="487" spans="1:23" ht="11.25" customHeight="1" x14ac:dyDescent="0.25">
      <c r="A487" s="4" t="s">
        <v>21</v>
      </c>
      <c r="B487" s="4" t="s">
        <v>43</v>
      </c>
      <c r="C487" s="4" t="s">
        <v>37</v>
      </c>
      <c r="D487" s="4" t="s">
        <v>44</v>
      </c>
      <c r="E487" s="4" t="s">
        <v>25</v>
      </c>
      <c r="F487" s="4" t="s">
        <v>25</v>
      </c>
      <c r="G487" s="4" t="s">
        <v>25</v>
      </c>
      <c r="H487" s="4" t="s">
        <v>36</v>
      </c>
      <c r="I487" s="5">
        <v>44348</v>
      </c>
      <c r="J487" s="6">
        <v>0</v>
      </c>
      <c r="K487" s="6">
        <v>0</v>
      </c>
      <c r="L487" s="6">
        <v>0.33400000000000002</v>
      </c>
      <c r="M487" s="6">
        <v>0.33400000000000002</v>
      </c>
      <c r="N487" s="6">
        <v>0.33400000000000002</v>
      </c>
      <c r="O487" s="6">
        <v>0.33400000000000002</v>
      </c>
      <c r="P487" s="6">
        <v>0</v>
      </c>
      <c r="Q487" s="4" t="s">
        <v>26</v>
      </c>
      <c r="R487" s="4">
        <v>0</v>
      </c>
      <c r="S487" s="4" t="s">
        <v>252</v>
      </c>
      <c r="T487" s="4" t="s">
        <v>497</v>
      </c>
      <c r="U487" s="4">
        <v>0</v>
      </c>
      <c r="V487" s="4">
        <v>28</v>
      </c>
      <c r="W487" s="4">
        <v>65</v>
      </c>
    </row>
    <row r="488" spans="1:23" ht="11.25" customHeight="1" x14ac:dyDescent="0.25">
      <c r="A488" s="4" t="s">
        <v>21</v>
      </c>
      <c r="B488" s="4" t="s">
        <v>43</v>
      </c>
      <c r="C488" s="4" t="s">
        <v>37</v>
      </c>
      <c r="D488" s="4" t="s">
        <v>44</v>
      </c>
      <c r="E488" s="4" t="s">
        <v>25</v>
      </c>
      <c r="F488" s="4" t="s">
        <v>25</v>
      </c>
      <c r="G488" s="4" t="s">
        <v>25</v>
      </c>
      <c r="H488" s="4" t="s">
        <v>36</v>
      </c>
      <c r="I488" s="5">
        <v>44378</v>
      </c>
      <c r="J488" s="6">
        <v>0</v>
      </c>
      <c r="K488" s="6">
        <v>0</v>
      </c>
      <c r="L488" s="6">
        <v>0.32</v>
      </c>
      <c r="M488" s="6">
        <v>0.32</v>
      </c>
      <c r="N488" s="6">
        <v>0.32</v>
      </c>
      <c r="O488" s="6">
        <v>0.32</v>
      </c>
      <c r="P488" s="6">
        <v>0</v>
      </c>
      <c r="Q488" s="4" t="s">
        <v>26</v>
      </c>
      <c r="R488" s="4">
        <v>0</v>
      </c>
      <c r="S488" s="4" t="s">
        <v>253</v>
      </c>
      <c r="T488" s="4" t="s">
        <v>498</v>
      </c>
      <c r="U488" s="4">
        <v>0</v>
      </c>
      <c r="V488" s="4">
        <v>28</v>
      </c>
      <c r="W488" s="4">
        <v>65</v>
      </c>
    </row>
    <row r="489" spans="1:23" ht="11.25" customHeight="1" x14ac:dyDescent="0.25">
      <c r="A489" s="4" t="s">
        <v>21</v>
      </c>
      <c r="B489" s="4" t="s">
        <v>43</v>
      </c>
      <c r="C489" s="4" t="s">
        <v>37</v>
      </c>
      <c r="D489" s="4" t="s">
        <v>44</v>
      </c>
      <c r="E489" s="4" t="s">
        <v>25</v>
      </c>
      <c r="F489" s="4" t="s">
        <v>25</v>
      </c>
      <c r="G489" s="4" t="s">
        <v>25</v>
      </c>
      <c r="H489" s="4" t="s">
        <v>36</v>
      </c>
      <c r="I489" s="5">
        <v>44409</v>
      </c>
      <c r="J489" s="6">
        <v>0</v>
      </c>
      <c r="K489" s="6">
        <v>0</v>
      </c>
      <c r="L489" s="6">
        <v>0.38</v>
      </c>
      <c r="M489" s="6">
        <v>0.38</v>
      </c>
      <c r="N489" s="6">
        <v>0.38</v>
      </c>
      <c r="O489" s="6">
        <v>0.38</v>
      </c>
      <c r="P489" s="6">
        <v>0</v>
      </c>
      <c r="Q489" s="4" t="s">
        <v>26</v>
      </c>
      <c r="R489" s="4">
        <v>0</v>
      </c>
      <c r="S489" s="4" t="s">
        <v>254</v>
      </c>
      <c r="T489" s="4" t="s">
        <v>499</v>
      </c>
      <c r="U489" s="4">
        <v>0</v>
      </c>
      <c r="V489" s="4">
        <v>28</v>
      </c>
      <c r="W489" s="4">
        <v>65</v>
      </c>
    </row>
    <row r="490" spans="1:23" ht="11.25" customHeight="1" x14ac:dyDescent="0.25">
      <c r="A490" s="4" t="s">
        <v>21</v>
      </c>
      <c r="B490" s="4" t="s">
        <v>43</v>
      </c>
      <c r="C490" s="4" t="s">
        <v>37</v>
      </c>
      <c r="D490" s="4" t="s">
        <v>44</v>
      </c>
      <c r="E490" s="4" t="s">
        <v>25</v>
      </c>
      <c r="F490" s="4" t="s">
        <v>25</v>
      </c>
      <c r="G490" s="4" t="s">
        <v>25</v>
      </c>
      <c r="H490" s="4" t="s">
        <v>36</v>
      </c>
      <c r="I490" s="5">
        <v>44440</v>
      </c>
      <c r="J490" s="6">
        <v>0</v>
      </c>
      <c r="K490" s="6">
        <v>0</v>
      </c>
      <c r="L490" s="6">
        <v>0.45700000000000002</v>
      </c>
      <c r="M490" s="6">
        <v>0.45700000000000002</v>
      </c>
      <c r="N490" s="6">
        <v>0.45700000000000002</v>
      </c>
      <c r="O490" s="6">
        <v>0.45700000000000002</v>
      </c>
      <c r="P490" s="6">
        <v>0</v>
      </c>
      <c r="Q490" s="4" t="s">
        <v>26</v>
      </c>
      <c r="R490" s="4">
        <v>0</v>
      </c>
      <c r="S490" s="4" t="s">
        <v>255</v>
      </c>
      <c r="T490" s="4" t="s">
        <v>500</v>
      </c>
      <c r="U490" s="4">
        <v>0</v>
      </c>
      <c r="V490" s="4">
        <v>28</v>
      </c>
      <c r="W490" s="4">
        <v>65</v>
      </c>
    </row>
    <row r="491" spans="1:23" ht="11.25" customHeight="1" x14ac:dyDescent="0.25">
      <c r="A491" s="4" t="s">
        <v>21</v>
      </c>
      <c r="B491" s="4" t="s">
        <v>43</v>
      </c>
      <c r="C491" s="4" t="s">
        <v>37</v>
      </c>
      <c r="D491" s="4" t="s">
        <v>44</v>
      </c>
      <c r="E491" s="4" t="s">
        <v>25</v>
      </c>
      <c r="F491" s="4" t="s">
        <v>25</v>
      </c>
      <c r="G491" s="4" t="s">
        <v>25</v>
      </c>
      <c r="H491" s="4" t="s">
        <v>36</v>
      </c>
      <c r="I491" s="5">
        <v>44470</v>
      </c>
      <c r="J491" s="6">
        <v>0</v>
      </c>
      <c r="K491" s="6">
        <v>0</v>
      </c>
      <c r="L491" s="6">
        <v>0.44800000000000001</v>
      </c>
      <c r="M491" s="6">
        <v>0.44800000000000001</v>
      </c>
      <c r="N491" s="6">
        <v>0.44800000000000001</v>
      </c>
      <c r="O491" s="6">
        <v>0.44800000000000001</v>
      </c>
      <c r="P491" s="6">
        <v>0</v>
      </c>
      <c r="Q491" s="4" t="s">
        <v>26</v>
      </c>
      <c r="R491" s="4">
        <v>0</v>
      </c>
      <c r="S491" s="4" t="s">
        <v>256</v>
      </c>
      <c r="T491" s="4" t="s">
        <v>501</v>
      </c>
      <c r="U491" s="4">
        <v>0</v>
      </c>
      <c r="V491" s="4">
        <v>28</v>
      </c>
      <c r="W491" s="4">
        <v>65</v>
      </c>
    </row>
    <row r="492" spans="1:23" ht="11.25" customHeight="1" x14ac:dyDescent="0.25">
      <c r="A492" s="4" t="s">
        <v>21</v>
      </c>
      <c r="B492" s="4" t="s">
        <v>43</v>
      </c>
      <c r="C492" s="4" t="s">
        <v>37</v>
      </c>
      <c r="D492" s="4" t="s">
        <v>44</v>
      </c>
      <c r="E492" s="4" t="s">
        <v>25</v>
      </c>
      <c r="F492" s="4" t="s">
        <v>25</v>
      </c>
      <c r="G492" s="4" t="s">
        <v>25</v>
      </c>
      <c r="H492" s="4" t="s">
        <v>36</v>
      </c>
      <c r="I492" s="5">
        <v>44501</v>
      </c>
      <c r="J492" s="6">
        <v>0</v>
      </c>
      <c r="K492" s="6">
        <v>0</v>
      </c>
      <c r="L492" s="6">
        <v>0.47699999999999998</v>
      </c>
      <c r="M492" s="6">
        <v>0.47699999999999998</v>
      </c>
      <c r="N492" s="6">
        <v>0.47699999999999998</v>
      </c>
      <c r="O492" s="6">
        <v>0.47699999999999998</v>
      </c>
      <c r="P492" s="6">
        <v>0</v>
      </c>
      <c r="Q492" s="4" t="s">
        <v>26</v>
      </c>
      <c r="R492" s="4">
        <v>0</v>
      </c>
      <c r="S492" s="4" t="s">
        <v>257</v>
      </c>
      <c r="T492" s="4" t="s">
        <v>502</v>
      </c>
      <c r="U492" s="4">
        <v>0</v>
      </c>
      <c r="V492" s="4">
        <v>28</v>
      </c>
      <c r="W492" s="4">
        <v>65</v>
      </c>
    </row>
    <row r="493" spans="1:23" ht="11.25" customHeight="1" x14ac:dyDescent="0.25">
      <c r="A493" s="4" t="s">
        <v>21</v>
      </c>
      <c r="B493" s="4" t="s">
        <v>43</v>
      </c>
      <c r="C493" s="4" t="s">
        <v>37</v>
      </c>
      <c r="D493" s="4" t="s">
        <v>44</v>
      </c>
      <c r="E493" s="4" t="s">
        <v>25</v>
      </c>
      <c r="F493" s="4" t="s">
        <v>25</v>
      </c>
      <c r="G493" s="4" t="s">
        <v>25</v>
      </c>
      <c r="H493" s="4" t="s">
        <v>36</v>
      </c>
      <c r="I493" s="5">
        <v>44531</v>
      </c>
      <c r="J493" s="6">
        <v>0</v>
      </c>
      <c r="K493" s="6">
        <v>0</v>
      </c>
      <c r="L493" s="6">
        <v>0.432</v>
      </c>
      <c r="M493" s="6">
        <v>0.432</v>
      </c>
      <c r="N493" s="6">
        <v>0.432</v>
      </c>
      <c r="O493" s="6">
        <v>0.432</v>
      </c>
      <c r="P493" s="6">
        <v>0</v>
      </c>
      <c r="Q493" s="4" t="s">
        <v>26</v>
      </c>
      <c r="R493" s="4">
        <v>0</v>
      </c>
      <c r="S493" s="4" t="s">
        <v>258</v>
      </c>
      <c r="T493" s="4" t="s">
        <v>503</v>
      </c>
      <c r="U493" s="4">
        <v>0</v>
      </c>
      <c r="V493" s="4">
        <v>28</v>
      </c>
      <c r="W493" s="4">
        <v>65</v>
      </c>
    </row>
    <row r="494" spans="1:23" ht="11.25" customHeight="1" x14ac:dyDescent="0.25">
      <c r="A494" s="4" t="s">
        <v>21</v>
      </c>
      <c r="B494" s="4" t="s">
        <v>43</v>
      </c>
      <c r="C494" s="4" t="s">
        <v>37</v>
      </c>
      <c r="D494" s="4" t="s">
        <v>44</v>
      </c>
      <c r="E494" s="4" t="s">
        <v>25</v>
      </c>
      <c r="F494" s="4" t="s">
        <v>25</v>
      </c>
      <c r="G494" s="4" t="s">
        <v>25</v>
      </c>
      <c r="H494" s="4" t="s">
        <v>36</v>
      </c>
      <c r="I494" s="5">
        <v>44562</v>
      </c>
      <c r="J494" s="6">
        <v>0</v>
      </c>
      <c r="K494" s="6">
        <v>0</v>
      </c>
      <c r="L494" s="6">
        <v>0.42499999999999999</v>
      </c>
      <c r="M494" s="6">
        <v>0.42499999999999999</v>
      </c>
      <c r="N494" s="6">
        <v>0.42499999999999999</v>
      </c>
      <c r="O494" s="6">
        <v>0.42499999999999999</v>
      </c>
      <c r="P494" s="6">
        <v>0</v>
      </c>
      <c r="Q494" s="4" t="s">
        <v>26</v>
      </c>
      <c r="R494" s="4">
        <v>0</v>
      </c>
      <c r="S494" s="4" t="s">
        <v>259</v>
      </c>
      <c r="T494" s="4" t="s">
        <v>504</v>
      </c>
      <c r="U494" s="4">
        <v>0</v>
      </c>
      <c r="V494" s="4">
        <v>28</v>
      </c>
      <c r="W494" s="4">
        <v>65</v>
      </c>
    </row>
    <row r="495" spans="1:23" ht="11.25" customHeight="1" x14ac:dyDescent="0.25">
      <c r="A495" s="4" t="s">
        <v>21</v>
      </c>
      <c r="B495" s="4" t="s">
        <v>43</v>
      </c>
      <c r="C495" s="4" t="s">
        <v>37</v>
      </c>
      <c r="D495" s="4" t="s">
        <v>44</v>
      </c>
      <c r="E495" s="4" t="s">
        <v>25</v>
      </c>
      <c r="F495" s="4" t="s">
        <v>25</v>
      </c>
      <c r="G495" s="4" t="s">
        <v>25</v>
      </c>
      <c r="H495" s="4" t="s">
        <v>36</v>
      </c>
      <c r="I495" s="5">
        <v>44593</v>
      </c>
      <c r="J495" s="6">
        <v>0</v>
      </c>
      <c r="K495" s="6">
        <v>0</v>
      </c>
      <c r="L495" s="6">
        <v>0.46800000000000003</v>
      </c>
      <c r="M495" s="6">
        <v>0.46800000000000003</v>
      </c>
      <c r="N495" s="6">
        <v>0.46800000000000003</v>
      </c>
      <c r="O495" s="6">
        <v>0.46800000000000003</v>
      </c>
      <c r="P495" s="6">
        <v>0</v>
      </c>
      <c r="Q495" s="4" t="s">
        <v>26</v>
      </c>
      <c r="R495" s="4">
        <v>0</v>
      </c>
      <c r="S495" s="4" t="s">
        <v>260</v>
      </c>
      <c r="T495" s="4" t="s">
        <v>505</v>
      </c>
      <c r="U495" s="4">
        <v>0</v>
      </c>
      <c r="V495" s="4">
        <v>28</v>
      </c>
      <c r="W495" s="4">
        <v>65</v>
      </c>
    </row>
    <row r="496" spans="1:23" ht="11.25" customHeight="1" x14ac:dyDescent="0.25">
      <c r="A496" s="4" t="s">
        <v>21</v>
      </c>
      <c r="B496" s="4" t="s">
        <v>43</v>
      </c>
      <c r="C496" s="4" t="s">
        <v>37</v>
      </c>
      <c r="D496" s="4" t="s">
        <v>44</v>
      </c>
      <c r="E496" s="4" t="s">
        <v>25</v>
      </c>
      <c r="F496" s="4" t="s">
        <v>25</v>
      </c>
      <c r="G496" s="4" t="s">
        <v>25</v>
      </c>
      <c r="H496" s="4" t="s">
        <v>36</v>
      </c>
      <c r="I496" s="5">
        <v>44621</v>
      </c>
      <c r="J496" s="6">
        <v>0</v>
      </c>
      <c r="K496" s="6">
        <v>0</v>
      </c>
      <c r="L496" s="6">
        <v>0.56699999999999995</v>
      </c>
      <c r="M496" s="6">
        <v>0.56699999999999995</v>
      </c>
      <c r="N496" s="6">
        <v>0.56699999999999995</v>
      </c>
      <c r="O496" s="6">
        <v>0.56699999999999995</v>
      </c>
      <c r="P496" s="6">
        <v>0</v>
      </c>
      <c r="Q496" s="4" t="s">
        <v>26</v>
      </c>
      <c r="R496" s="4">
        <v>0</v>
      </c>
      <c r="S496" s="4" t="s">
        <v>261</v>
      </c>
      <c r="T496" s="4" t="s">
        <v>506</v>
      </c>
      <c r="U496" s="4">
        <v>0</v>
      </c>
      <c r="V496" s="4">
        <v>28</v>
      </c>
      <c r="W496" s="4">
        <v>65</v>
      </c>
    </row>
    <row r="497" spans="1:23" ht="11.25" customHeight="1" x14ac:dyDescent="0.25">
      <c r="A497" s="4" t="s">
        <v>21</v>
      </c>
      <c r="B497" s="4" t="s">
        <v>43</v>
      </c>
      <c r="C497" s="4" t="s">
        <v>37</v>
      </c>
      <c r="D497" s="4" t="s">
        <v>44</v>
      </c>
      <c r="E497" s="4" t="s">
        <v>25</v>
      </c>
      <c r="F497" s="4" t="s">
        <v>25</v>
      </c>
      <c r="G497" s="4" t="s">
        <v>25</v>
      </c>
      <c r="H497" s="4" t="s">
        <v>36</v>
      </c>
      <c r="I497" s="5">
        <v>44652</v>
      </c>
      <c r="J497" s="6">
        <v>0</v>
      </c>
      <c r="K497" s="6">
        <v>0</v>
      </c>
      <c r="L497" s="6">
        <v>0.45500000000000002</v>
      </c>
      <c r="M497" s="6">
        <v>0.45500000000000002</v>
      </c>
      <c r="N497" s="6">
        <v>0.45500000000000002</v>
      </c>
      <c r="O497" s="6">
        <v>0.45500000000000002</v>
      </c>
      <c r="P497" s="6">
        <v>0</v>
      </c>
      <c r="Q497" s="4" t="s">
        <v>26</v>
      </c>
      <c r="R497" s="4">
        <v>0</v>
      </c>
      <c r="S497" s="4" t="s">
        <v>262</v>
      </c>
      <c r="T497" s="4" t="s">
        <v>507</v>
      </c>
      <c r="U497" s="4">
        <v>0</v>
      </c>
      <c r="V497" s="4">
        <v>28</v>
      </c>
      <c r="W497" s="4">
        <v>65</v>
      </c>
    </row>
    <row r="498" spans="1:23" ht="11.25" customHeight="1" x14ac:dyDescent="0.25">
      <c r="A498" s="4" t="s">
        <v>21</v>
      </c>
      <c r="B498" s="4" t="s">
        <v>43</v>
      </c>
      <c r="C498" s="4" t="s">
        <v>37</v>
      </c>
      <c r="D498" s="4" t="s">
        <v>44</v>
      </c>
      <c r="E498" s="4" t="s">
        <v>25</v>
      </c>
      <c r="F498" s="4" t="s">
        <v>25</v>
      </c>
      <c r="G498" s="4" t="s">
        <v>25</v>
      </c>
      <c r="H498" s="4" t="s">
        <v>38</v>
      </c>
      <c r="I498" s="5">
        <v>44317</v>
      </c>
      <c r="J498" s="6">
        <v>0</v>
      </c>
      <c r="K498" s="6">
        <v>0</v>
      </c>
      <c r="L498" s="6">
        <v>3.5000000000000003E-2</v>
      </c>
      <c r="M498" s="6">
        <v>3.5000000000000003E-2</v>
      </c>
      <c r="N498" s="6">
        <v>3.5000000000000003E-2</v>
      </c>
      <c r="O498" s="6">
        <v>3.5000000000000003E-2</v>
      </c>
      <c r="P498" s="6">
        <v>0</v>
      </c>
      <c r="Q498" s="4" t="s">
        <v>26</v>
      </c>
      <c r="R498" s="4">
        <v>0</v>
      </c>
      <c r="S498" s="4" t="s">
        <v>263</v>
      </c>
      <c r="T498" s="4" t="s">
        <v>508</v>
      </c>
      <c r="U498" s="4">
        <v>0</v>
      </c>
      <c r="V498" s="4">
        <v>27</v>
      </c>
      <c r="W498" s="4">
        <v>64</v>
      </c>
    </row>
    <row r="499" spans="1:23" ht="11.25" customHeight="1" x14ac:dyDescent="0.25">
      <c r="A499" s="4" t="s">
        <v>21</v>
      </c>
      <c r="B499" s="4" t="s">
        <v>43</v>
      </c>
      <c r="C499" s="4" t="s">
        <v>37</v>
      </c>
      <c r="D499" s="4" t="s">
        <v>44</v>
      </c>
      <c r="E499" s="4" t="s">
        <v>25</v>
      </c>
      <c r="F499" s="4" t="s">
        <v>25</v>
      </c>
      <c r="G499" s="4" t="s">
        <v>25</v>
      </c>
      <c r="H499" s="4" t="s">
        <v>38</v>
      </c>
      <c r="I499" s="5">
        <v>44348</v>
      </c>
      <c r="J499" s="6">
        <v>0</v>
      </c>
      <c r="K499" s="6">
        <v>0</v>
      </c>
      <c r="L499" s="6">
        <v>3.5999999999999997E-2</v>
      </c>
      <c r="M499" s="6">
        <v>3.5999999999999997E-2</v>
      </c>
      <c r="N499" s="6">
        <v>3.5999999999999997E-2</v>
      </c>
      <c r="O499" s="6">
        <v>3.5999999999999997E-2</v>
      </c>
      <c r="P499" s="6">
        <v>0</v>
      </c>
      <c r="Q499" s="4" t="s">
        <v>26</v>
      </c>
      <c r="R499" s="4">
        <v>0</v>
      </c>
      <c r="S499" s="4" t="s">
        <v>264</v>
      </c>
      <c r="T499" s="4" t="s">
        <v>509</v>
      </c>
      <c r="U499" s="4">
        <v>0</v>
      </c>
      <c r="V499" s="4">
        <v>27</v>
      </c>
      <c r="W499" s="4">
        <v>64</v>
      </c>
    </row>
    <row r="500" spans="1:23" ht="11.25" customHeight="1" x14ac:dyDescent="0.25">
      <c r="A500" s="4" t="s">
        <v>21</v>
      </c>
      <c r="B500" s="4" t="s">
        <v>43</v>
      </c>
      <c r="C500" s="4" t="s">
        <v>37</v>
      </c>
      <c r="D500" s="4" t="s">
        <v>44</v>
      </c>
      <c r="E500" s="4" t="s">
        <v>25</v>
      </c>
      <c r="F500" s="4" t="s">
        <v>25</v>
      </c>
      <c r="G500" s="4" t="s">
        <v>25</v>
      </c>
      <c r="H500" s="4" t="s">
        <v>38</v>
      </c>
      <c r="I500" s="5">
        <v>44378</v>
      </c>
      <c r="J500" s="6">
        <v>0</v>
      </c>
      <c r="K500" s="6">
        <v>0</v>
      </c>
      <c r="L500" s="6">
        <v>3.4000000000000002E-2</v>
      </c>
      <c r="M500" s="6">
        <v>3.4000000000000002E-2</v>
      </c>
      <c r="N500" s="6">
        <v>3.4000000000000002E-2</v>
      </c>
      <c r="O500" s="6">
        <v>3.4000000000000002E-2</v>
      </c>
      <c r="P500" s="6">
        <v>0</v>
      </c>
      <c r="Q500" s="4" t="s">
        <v>26</v>
      </c>
      <c r="R500" s="4">
        <v>0</v>
      </c>
      <c r="S500" s="4" t="s">
        <v>265</v>
      </c>
      <c r="T500" s="4" t="s">
        <v>510</v>
      </c>
      <c r="U500" s="4">
        <v>0</v>
      </c>
      <c r="V500" s="4">
        <v>27</v>
      </c>
      <c r="W500" s="4">
        <v>64</v>
      </c>
    </row>
    <row r="501" spans="1:23" ht="11.25" customHeight="1" x14ac:dyDescent="0.25">
      <c r="A501" s="4" t="s">
        <v>21</v>
      </c>
      <c r="B501" s="4" t="s">
        <v>43</v>
      </c>
      <c r="C501" s="4" t="s">
        <v>37</v>
      </c>
      <c r="D501" s="4" t="s">
        <v>44</v>
      </c>
      <c r="E501" s="4" t="s">
        <v>25</v>
      </c>
      <c r="F501" s="4" t="s">
        <v>25</v>
      </c>
      <c r="G501" s="4" t="s">
        <v>25</v>
      </c>
      <c r="H501" s="4" t="s">
        <v>38</v>
      </c>
      <c r="I501" s="5">
        <v>44409</v>
      </c>
      <c r="J501" s="6">
        <v>0</v>
      </c>
      <c r="K501" s="6">
        <v>0</v>
      </c>
      <c r="L501" s="6">
        <v>3.9E-2</v>
      </c>
      <c r="M501" s="6">
        <v>3.9E-2</v>
      </c>
      <c r="N501" s="6">
        <v>3.9E-2</v>
      </c>
      <c r="O501" s="6">
        <v>3.9E-2</v>
      </c>
      <c r="P501" s="6">
        <v>0</v>
      </c>
      <c r="Q501" s="4" t="s">
        <v>26</v>
      </c>
      <c r="R501" s="4">
        <v>0</v>
      </c>
      <c r="S501" s="4" t="s">
        <v>266</v>
      </c>
      <c r="T501" s="4" t="s">
        <v>511</v>
      </c>
      <c r="U501" s="4">
        <v>0</v>
      </c>
      <c r="V501" s="4">
        <v>27</v>
      </c>
      <c r="W501" s="4">
        <v>64</v>
      </c>
    </row>
    <row r="502" spans="1:23" ht="11.25" customHeight="1" x14ac:dyDescent="0.25">
      <c r="A502" s="4" t="s">
        <v>21</v>
      </c>
      <c r="B502" s="4" t="s">
        <v>43</v>
      </c>
      <c r="C502" s="4" t="s">
        <v>37</v>
      </c>
      <c r="D502" s="4" t="s">
        <v>44</v>
      </c>
      <c r="E502" s="4" t="s">
        <v>25</v>
      </c>
      <c r="F502" s="4" t="s">
        <v>25</v>
      </c>
      <c r="G502" s="4" t="s">
        <v>25</v>
      </c>
      <c r="H502" s="4" t="s">
        <v>38</v>
      </c>
      <c r="I502" s="5">
        <v>44440</v>
      </c>
      <c r="J502" s="6">
        <v>0</v>
      </c>
      <c r="K502" s="6">
        <v>0</v>
      </c>
      <c r="L502" s="6">
        <v>0.16400000000000001</v>
      </c>
      <c r="M502" s="6">
        <v>0.16400000000000001</v>
      </c>
      <c r="N502" s="6">
        <v>0.16400000000000001</v>
      </c>
      <c r="O502" s="6">
        <v>0.16400000000000001</v>
      </c>
      <c r="P502" s="6">
        <v>0</v>
      </c>
      <c r="Q502" s="4" t="s">
        <v>26</v>
      </c>
      <c r="R502" s="4">
        <v>0</v>
      </c>
      <c r="S502" s="4" t="s">
        <v>267</v>
      </c>
      <c r="T502" s="4" t="s">
        <v>512</v>
      </c>
      <c r="U502" s="4">
        <v>0</v>
      </c>
      <c r="V502" s="4">
        <v>27</v>
      </c>
      <c r="W502" s="4">
        <v>64</v>
      </c>
    </row>
    <row r="503" spans="1:23" ht="11.25" customHeight="1" x14ac:dyDescent="0.25">
      <c r="A503" s="4" t="s">
        <v>21</v>
      </c>
      <c r="B503" s="4" t="s">
        <v>43</v>
      </c>
      <c r="C503" s="4" t="s">
        <v>37</v>
      </c>
      <c r="D503" s="4" t="s">
        <v>44</v>
      </c>
      <c r="E503" s="4" t="s">
        <v>25</v>
      </c>
      <c r="F503" s="4" t="s">
        <v>25</v>
      </c>
      <c r="G503" s="4" t="s">
        <v>25</v>
      </c>
      <c r="H503" s="4" t="s">
        <v>38</v>
      </c>
      <c r="I503" s="5">
        <v>44470</v>
      </c>
      <c r="J503" s="6">
        <v>0</v>
      </c>
      <c r="K503" s="6">
        <v>0</v>
      </c>
      <c r="L503" s="6">
        <v>3.2000000000000001E-2</v>
      </c>
      <c r="M503" s="6">
        <v>3.2000000000000001E-2</v>
      </c>
      <c r="N503" s="6">
        <v>3.2000000000000001E-2</v>
      </c>
      <c r="O503" s="6">
        <v>3.2000000000000001E-2</v>
      </c>
      <c r="P503" s="6">
        <v>0</v>
      </c>
      <c r="Q503" s="4" t="s">
        <v>26</v>
      </c>
      <c r="R503" s="4">
        <v>0</v>
      </c>
      <c r="S503" s="4" t="s">
        <v>268</v>
      </c>
      <c r="T503" s="4" t="s">
        <v>513</v>
      </c>
      <c r="U503" s="4">
        <v>0</v>
      </c>
      <c r="V503" s="4">
        <v>27</v>
      </c>
      <c r="W503" s="4">
        <v>64</v>
      </c>
    </row>
    <row r="504" spans="1:23" ht="11.25" customHeight="1" x14ac:dyDescent="0.25">
      <c r="A504" s="4" t="s">
        <v>21</v>
      </c>
      <c r="B504" s="4" t="s">
        <v>43</v>
      </c>
      <c r="C504" s="4" t="s">
        <v>37</v>
      </c>
      <c r="D504" s="4" t="s">
        <v>44</v>
      </c>
      <c r="E504" s="4" t="s">
        <v>25</v>
      </c>
      <c r="F504" s="4" t="s">
        <v>25</v>
      </c>
      <c r="G504" s="4" t="s">
        <v>25</v>
      </c>
      <c r="H504" s="4" t="s">
        <v>38</v>
      </c>
      <c r="I504" s="5">
        <v>44501</v>
      </c>
      <c r="J504" s="6">
        <v>0</v>
      </c>
      <c r="K504" s="6">
        <v>0</v>
      </c>
      <c r="L504" s="6">
        <v>3.1E-2</v>
      </c>
      <c r="M504" s="6">
        <v>3.1E-2</v>
      </c>
      <c r="N504" s="6">
        <v>3.1E-2</v>
      </c>
      <c r="O504" s="6">
        <v>3.1E-2</v>
      </c>
      <c r="P504" s="6">
        <v>0</v>
      </c>
      <c r="Q504" s="4" t="s">
        <v>26</v>
      </c>
      <c r="R504" s="4">
        <v>0</v>
      </c>
      <c r="S504" s="4" t="s">
        <v>269</v>
      </c>
      <c r="T504" s="4" t="s">
        <v>514</v>
      </c>
      <c r="U504" s="4">
        <v>0</v>
      </c>
      <c r="V504" s="4">
        <v>27</v>
      </c>
      <c r="W504" s="4">
        <v>64</v>
      </c>
    </row>
    <row r="505" spans="1:23" ht="11.25" customHeight="1" x14ac:dyDescent="0.25">
      <c r="A505" s="4" t="s">
        <v>21</v>
      </c>
      <c r="B505" s="4" t="s">
        <v>43</v>
      </c>
      <c r="C505" s="4" t="s">
        <v>37</v>
      </c>
      <c r="D505" s="4" t="s">
        <v>44</v>
      </c>
      <c r="E505" s="4" t="s">
        <v>25</v>
      </c>
      <c r="F505" s="4" t="s">
        <v>25</v>
      </c>
      <c r="G505" s="4" t="s">
        <v>25</v>
      </c>
      <c r="H505" s="4" t="s">
        <v>38</v>
      </c>
      <c r="I505" s="5">
        <v>44531</v>
      </c>
      <c r="J505" s="6">
        <v>0</v>
      </c>
      <c r="K505" s="6">
        <v>0</v>
      </c>
      <c r="L505" s="6">
        <v>3.4000000000000002E-2</v>
      </c>
      <c r="M505" s="6">
        <v>3.4000000000000002E-2</v>
      </c>
      <c r="N505" s="6">
        <v>3.4000000000000002E-2</v>
      </c>
      <c r="O505" s="6">
        <v>3.4000000000000002E-2</v>
      </c>
      <c r="P505" s="6">
        <v>0</v>
      </c>
      <c r="Q505" s="4" t="s">
        <v>26</v>
      </c>
      <c r="R505" s="4">
        <v>0</v>
      </c>
      <c r="S505" s="4" t="s">
        <v>270</v>
      </c>
      <c r="T505" s="4" t="s">
        <v>515</v>
      </c>
      <c r="U505" s="4">
        <v>0</v>
      </c>
      <c r="V505" s="4">
        <v>27</v>
      </c>
      <c r="W505" s="4">
        <v>64</v>
      </c>
    </row>
    <row r="506" spans="1:23" ht="11.25" customHeight="1" x14ac:dyDescent="0.25">
      <c r="A506" s="4" t="s">
        <v>21</v>
      </c>
      <c r="B506" s="4" t="s">
        <v>43</v>
      </c>
      <c r="C506" s="4" t="s">
        <v>37</v>
      </c>
      <c r="D506" s="4" t="s">
        <v>44</v>
      </c>
      <c r="E506" s="4" t="s">
        <v>25</v>
      </c>
      <c r="F506" s="4" t="s">
        <v>25</v>
      </c>
      <c r="G506" s="4" t="s">
        <v>25</v>
      </c>
      <c r="H506" s="4" t="s">
        <v>38</v>
      </c>
      <c r="I506" s="5">
        <v>44562</v>
      </c>
      <c r="J506" s="6">
        <v>0</v>
      </c>
      <c r="K506" s="6">
        <v>0</v>
      </c>
      <c r="L506" s="6">
        <v>3.5000000000000003E-2</v>
      </c>
      <c r="M506" s="6">
        <v>3.5000000000000003E-2</v>
      </c>
      <c r="N506" s="6">
        <v>3.5000000000000003E-2</v>
      </c>
      <c r="O506" s="6">
        <v>3.5000000000000003E-2</v>
      </c>
      <c r="P506" s="6">
        <v>0</v>
      </c>
      <c r="Q506" s="4" t="s">
        <v>26</v>
      </c>
      <c r="R506" s="4">
        <v>0</v>
      </c>
      <c r="S506" s="4" t="s">
        <v>271</v>
      </c>
      <c r="T506" s="4" t="s">
        <v>516</v>
      </c>
      <c r="U506" s="4">
        <v>0</v>
      </c>
      <c r="V506" s="4">
        <v>27</v>
      </c>
      <c r="W506" s="4">
        <v>64</v>
      </c>
    </row>
    <row r="507" spans="1:23" ht="11.25" customHeight="1" x14ac:dyDescent="0.25">
      <c r="A507" s="4" t="s">
        <v>21</v>
      </c>
      <c r="B507" s="4" t="s">
        <v>43</v>
      </c>
      <c r="C507" s="4" t="s">
        <v>37</v>
      </c>
      <c r="D507" s="4" t="s">
        <v>44</v>
      </c>
      <c r="E507" s="4" t="s">
        <v>25</v>
      </c>
      <c r="F507" s="4" t="s">
        <v>25</v>
      </c>
      <c r="G507" s="4" t="s">
        <v>25</v>
      </c>
      <c r="H507" s="4" t="s">
        <v>38</v>
      </c>
      <c r="I507" s="5">
        <v>44593</v>
      </c>
      <c r="J507" s="6">
        <v>0</v>
      </c>
      <c r="K507" s="6">
        <v>0</v>
      </c>
      <c r="L507" s="6">
        <v>4.4999999999999998E-2</v>
      </c>
      <c r="M507" s="6">
        <v>4.4999999999999998E-2</v>
      </c>
      <c r="N507" s="6">
        <v>4.4999999999999998E-2</v>
      </c>
      <c r="O507" s="6">
        <v>4.4999999999999998E-2</v>
      </c>
      <c r="P507" s="6">
        <v>0</v>
      </c>
      <c r="Q507" s="4" t="s">
        <v>26</v>
      </c>
      <c r="R507" s="4">
        <v>0</v>
      </c>
      <c r="S507" s="4" t="s">
        <v>272</v>
      </c>
      <c r="T507" s="4" t="s">
        <v>517</v>
      </c>
      <c r="U507" s="4">
        <v>0</v>
      </c>
      <c r="V507" s="4">
        <v>27</v>
      </c>
      <c r="W507" s="4">
        <v>64</v>
      </c>
    </row>
    <row r="508" spans="1:23" ht="11.25" customHeight="1" x14ac:dyDescent="0.25">
      <c r="A508" s="4" t="s">
        <v>21</v>
      </c>
      <c r="B508" s="4" t="s">
        <v>43</v>
      </c>
      <c r="C508" s="4" t="s">
        <v>37</v>
      </c>
      <c r="D508" s="4" t="s">
        <v>44</v>
      </c>
      <c r="E508" s="4" t="s">
        <v>25</v>
      </c>
      <c r="F508" s="4" t="s">
        <v>25</v>
      </c>
      <c r="G508" s="4" t="s">
        <v>25</v>
      </c>
      <c r="H508" s="4" t="s">
        <v>38</v>
      </c>
      <c r="I508" s="5">
        <v>44621</v>
      </c>
      <c r="J508" s="6">
        <v>0</v>
      </c>
      <c r="K508" s="6">
        <v>0</v>
      </c>
      <c r="L508" s="6">
        <v>4.4999999999999998E-2</v>
      </c>
      <c r="M508" s="6">
        <v>4.4999999999999998E-2</v>
      </c>
      <c r="N508" s="6">
        <v>4.4999999999999998E-2</v>
      </c>
      <c r="O508" s="6">
        <v>4.4999999999999998E-2</v>
      </c>
      <c r="P508" s="6">
        <v>0</v>
      </c>
      <c r="Q508" s="4" t="s">
        <v>26</v>
      </c>
      <c r="R508" s="4">
        <v>0</v>
      </c>
      <c r="S508" s="4" t="s">
        <v>273</v>
      </c>
      <c r="T508" s="4" t="s">
        <v>518</v>
      </c>
      <c r="U508" s="4">
        <v>0</v>
      </c>
      <c r="V508" s="4">
        <v>27</v>
      </c>
      <c r="W508" s="4">
        <v>64</v>
      </c>
    </row>
    <row r="509" spans="1:23" ht="11.25" customHeight="1" x14ac:dyDescent="0.25">
      <c r="A509" s="4" t="s">
        <v>21</v>
      </c>
      <c r="B509" s="4" t="s">
        <v>43</v>
      </c>
      <c r="C509" s="4" t="s">
        <v>37</v>
      </c>
      <c r="D509" s="4" t="s">
        <v>44</v>
      </c>
      <c r="E509" s="4" t="s">
        <v>25</v>
      </c>
      <c r="F509" s="4" t="s">
        <v>25</v>
      </c>
      <c r="G509" s="4" t="s">
        <v>25</v>
      </c>
      <c r="H509" s="4" t="s">
        <v>38</v>
      </c>
      <c r="I509" s="5">
        <v>44652</v>
      </c>
      <c r="J509" s="6">
        <v>0</v>
      </c>
      <c r="K509" s="6">
        <v>0</v>
      </c>
      <c r="L509" s="6">
        <v>4.7E-2</v>
      </c>
      <c r="M509" s="6">
        <v>4.7E-2</v>
      </c>
      <c r="N509" s="6">
        <v>4.7E-2</v>
      </c>
      <c r="O509" s="6">
        <v>4.7E-2</v>
      </c>
      <c r="P509" s="6">
        <v>0</v>
      </c>
      <c r="Q509" s="4" t="s">
        <v>26</v>
      </c>
      <c r="R509" s="4">
        <v>0</v>
      </c>
      <c r="S509" s="4" t="s">
        <v>274</v>
      </c>
      <c r="T509" s="4" t="s">
        <v>519</v>
      </c>
      <c r="U509" s="4">
        <v>0</v>
      </c>
      <c r="V509" s="4">
        <v>27</v>
      </c>
      <c r="W509" s="4">
        <v>64</v>
      </c>
    </row>
    <row r="510" spans="1:23" ht="11.25" customHeight="1" x14ac:dyDescent="0.25">
      <c r="A510" s="4" t="s">
        <v>21</v>
      </c>
      <c r="B510" s="4" t="s">
        <v>43</v>
      </c>
      <c r="C510" s="4" t="s">
        <v>37</v>
      </c>
      <c r="D510" s="4" t="s">
        <v>44</v>
      </c>
      <c r="E510" s="4" t="s">
        <v>25</v>
      </c>
      <c r="F510" s="4" t="s">
        <v>25</v>
      </c>
      <c r="G510" s="4" t="s">
        <v>25</v>
      </c>
      <c r="H510" s="4" t="s">
        <v>35</v>
      </c>
      <c r="I510" s="5">
        <v>44317</v>
      </c>
      <c r="J510" s="6">
        <v>0</v>
      </c>
      <c r="K510" s="6">
        <v>0</v>
      </c>
      <c r="L510" s="6">
        <v>6.0999999999999999E-2</v>
      </c>
      <c r="M510" s="6">
        <v>6.0999999999999999E-2</v>
      </c>
      <c r="N510" s="6">
        <v>6.0999999999999999E-2</v>
      </c>
      <c r="O510" s="6">
        <v>6.0999999999999999E-2</v>
      </c>
      <c r="P510" s="6">
        <v>0</v>
      </c>
      <c r="Q510" s="4" t="s">
        <v>26</v>
      </c>
      <c r="R510" s="4">
        <v>0</v>
      </c>
      <c r="S510" s="4" t="s">
        <v>275</v>
      </c>
      <c r="T510" s="4" t="s">
        <v>520</v>
      </c>
      <c r="U510" s="4">
        <v>0</v>
      </c>
      <c r="V510" s="4">
        <v>26</v>
      </c>
      <c r="W510" s="4">
        <v>63</v>
      </c>
    </row>
    <row r="511" spans="1:23" ht="11.25" customHeight="1" x14ac:dyDescent="0.25">
      <c r="A511" s="4" t="s">
        <v>21</v>
      </c>
      <c r="B511" s="4" t="s">
        <v>43</v>
      </c>
      <c r="C511" s="4" t="s">
        <v>37</v>
      </c>
      <c r="D511" s="4" t="s">
        <v>44</v>
      </c>
      <c r="E511" s="4" t="s">
        <v>25</v>
      </c>
      <c r="F511" s="4" t="s">
        <v>25</v>
      </c>
      <c r="G511" s="4" t="s">
        <v>25</v>
      </c>
      <c r="H511" s="4" t="s">
        <v>35</v>
      </c>
      <c r="I511" s="5">
        <v>44348</v>
      </c>
      <c r="J511" s="6">
        <v>0</v>
      </c>
      <c r="K511" s="6">
        <v>0</v>
      </c>
      <c r="L511" s="6">
        <v>7.4999999999999997E-2</v>
      </c>
      <c r="M511" s="6">
        <v>7.4999999999999997E-2</v>
      </c>
      <c r="N511" s="6">
        <v>7.4999999999999997E-2</v>
      </c>
      <c r="O511" s="6">
        <v>7.4999999999999997E-2</v>
      </c>
      <c r="P511" s="6">
        <v>0</v>
      </c>
      <c r="Q511" s="4" t="s">
        <v>26</v>
      </c>
      <c r="R511" s="4">
        <v>0</v>
      </c>
      <c r="S511" s="4" t="s">
        <v>276</v>
      </c>
      <c r="T511" s="4" t="s">
        <v>521</v>
      </c>
      <c r="U511" s="4">
        <v>0</v>
      </c>
      <c r="V511" s="4">
        <v>26</v>
      </c>
      <c r="W511" s="4">
        <v>63</v>
      </c>
    </row>
    <row r="512" spans="1:23" ht="11.25" customHeight="1" x14ac:dyDescent="0.25">
      <c r="A512" s="4" t="s">
        <v>21</v>
      </c>
      <c r="B512" s="4" t="s">
        <v>43</v>
      </c>
      <c r="C512" s="4" t="s">
        <v>37</v>
      </c>
      <c r="D512" s="4" t="s">
        <v>44</v>
      </c>
      <c r="E512" s="4" t="s">
        <v>25</v>
      </c>
      <c r="F512" s="4" t="s">
        <v>25</v>
      </c>
      <c r="G512" s="4" t="s">
        <v>25</v>
      </c>
      <c r="H512" s="4" t="s">
        <v>35</v>
      </c>
      <c r="I512" s="5">
        <v>44378</v>
      </c>
      <c r="J512" s="6">
        <v>0</v>
      </c>
      <c r="K512" s="6">
        <v>0</v>
      </c>
      <c r="L512" s="6">
        <v>6.5000000000000002E-2</v>
      </c>
      <c r="M512" s="6">
        <v>6.5000000000000002E-2</v>
      </c>
      <c r="N512" s="6">
        <v>6.5000000000000002E-2</v>
      </c>
      <c r="O512" s="6">
        <v>6.5000000000000002E-2</v>
      </c>
      <c r="P512" s="6">
        <v>0</v>
      </c>
      <c r="Q512" s="4" t="s">
        <v>26</v>
      </c>
      <c r="R512" s="4">
        <v>0</v>
      </c>
      <c r="S512" s="4" t="s">
        <v>277</v>
      </c>
      <c r="T512" s="4" t="s">
        <v>522</v>
      </c>
      <c r="U512" s="4">
        <v>0</v>
      </c>
      <c r="V512" s="4">
        <v>26</v>
      </c>
      <c r="W512" s="4">
        <v>63</v>
      </c>
    </row>
    <row r="513" spans="1:23" ht="11.25" customHeight="1" x14ac:dyDescent="0.25">
      <c r="A513" s="4" t="s">
        <v>21</v>
      </c>
      <c r="B513" s="4" t="s">
        <v>43</v>
      </c>
      <c r="C513" s="4" t="s">
        <v>37</v>
      </c>
      <c r="D513" s="4" t="s">
        <v>44</v>
      </c>
      <c r="E513" s="4" t="s">
        <v>25</v>
      </c>
      <c r="F513" s="4" t="s">
        <v>25</v>
      </c>
      <c r="G513" s="4" t="s">
        <v>25</v>
      </c>
      <c r="H513" s="4" t="s">
        <v>35</v>
      </c>
      <c r="I513" s="5">
        <v>44409</v>
      </c>
      <c r="J513" s="6">
        <v>0</v>
      </c>
      <c r="K513" s="6">
        <v>0</v>
      </c>
      <c r="L513" s="6">
        <v>7.9000000000000001E-2</v>
      </c>
      <c r="M513" s="6">
        <v>7.9000000000000001E-2</v>
      </c>
      <c r="N513" s="6">
        <v>7.9000000000000001E-2</v>
      </c>
      <c r="O513" s="6">
        <v>7.9000000000000001E-2</v>
      </c>
      <c r="P513" s="6">
        <v>0</v>
      </c>
      <c r="Q513" s="4" t="s">
        <v>26</v>
      </c>
      <c r="R513" s="4">
        <v>0</v>
      </c>
      <c r="S513" s="4" t="s">
        <v>278</v>
      </c>
      <c r="T513" s="4" t="s">
        <v>523</v>
      </c>
      <c r="U513" s="4">
        <v>0</v>
      </c>
      <c r="V513" s="4">
        <v>26</v>
      </c>
      <c r="W513" s="4">
        <v>63</v>
      </c>
    </row>
    <row r="514" spans="1:23" ht="11.25" customHeight="1" x14ac:dyDescent="0.25">
      <c r="A514" s="4" t="s">
        <v>21</v>
      </c>
      <c r="B514" s="4" t="s">
        <v>43</v>
      </c>
      <c r="C514" s="4" t="s">
        <v>37</v>
      </c>
      <c r="D514" s="4" t="s">
        <v>44</v>
      </c>
      <c r="E514" s="4" t="s">
        <v>25</v>
      </c>
      <c r="F514" s="4" t="s">
        <v>25</v>
      </c>
      <c r="G514" s="4" t="s">
        <v>25</v>
      </c>
      <c r="H514" s="4" t="s">
        <v>35</v>
      </c>
      <c r="I514" s="5">
        <v>44440</v>
      </c>
      <c r="J514" s="6">
        <v>0</v>
      </c>
      <c r="K514" s="6">
        <v>0</v>
      </c>
      <c r="L514" s="6">
        <v>7.0999999999999994E-2</v>
      </c>
      <c r="M514" s="6">
        <v>7.0999999999999994E-2</v>
      </c>
      <c r="N514" s="6">
        <v>7.0999999999999994E-2</v>
      </c>
      <c r="O514" s="6">
        <v>7.0999999999999994E-2</v>
      </c>
      <c r="P514" s="6">
        <v>0</v>
      </c>
      <c r="Q514" s="4" t="s">
        <v>26</v>
      </c>
      <c r="R514" s="4">
        <v>0</v>
      </c>
      <c r="S514" s="4" t="s">
        <v>279</v>
      </c>
      <c r="T514" s="4" t="s">
        <v>524</v>
      </c>
      <c r="U514" s="4">
        <v>0</v>
      </c>
      <c r="V514" s="4">
        <v>26</v>
      </c>
      <c r="W514" s="4">
        <v>63</v>
      </c>
    </row>
    <row r="515" spans="1:23" ht="11.25" customHeight="1" x14ac:dyDescent="0.25">
      <c r="A515" s="4" t="s">
        <v>21</v>
      </c>
      <c r="B515" s="4" t="s">
        <v>43</v>
      </c>
      <c r="C515" s="4" t="s">
        <v>37</v>
      </c>
      <c r="D515" s="4" t="s">
        <v>44</v>
      </c>
      <c r="E515" s="4" t="s">
        <v>25</v>
      </c>
      <c r="F515" s="4" t="s">
        <v>25</v>
      </c>
      <c r="G515" s="4" t="s">
        <v>25</v>
      </c>
      <c r="H515" s="4" t="s">
        <v>35</v>
      </c>
      <c r="I515" s="5">
        <v>44470</v>
      </c>
      <c r="J515" s="6">
        <v>0</v>
      </c>
      <c r="K515" s="6">
        <v>0</v>
      </c>
      <c r="L515" s="6">
        <v>6.2E-2</v>
      </c>
      <c r="M515" s="6">
        <v>6.2E-2</v>
      </c>
      <c r="N515" s="6">
        <v>6.2E-2</v>
      </c>
      <c r="O515" s="6">
        <v>6.2E-2</v>
      </c>
      <c r="P515" s="6">
        <v>0</v>
      </c>
      <c r="Q515" s="4" t="s">
        <v>26</v>
      </c>
      <c r="R515" s="4">
        <v>0</v>
      </c>
      <c r="S515" s="4" t="s">
        <v>280</v>
      </c>
      <c r="T515" s="4" t="s">
        <v>525</v>
      </c>
      <c r="U515" s="4">
        <v>0</v>
      </c>
      <c r="V515" s="4">
        <v>26</v>
      </c>
      <c r="W515" s="4">
        <v>63</v>
      </c>
    </row>
    <row r="516" spans="1:23" ht="11.25" customHeight="1" x14ac:dyDescent="0.25">
      <c r="A516" s="4" t="s">
        <v>21</v>
      </c>
      <c r="B516" s="4" t="s">
        <v>43</v>
      </c>
      <c r="C516" s="4" t="s">
        <v>37</v>
      </c>
      <c r="D516" s="4" t="s">
        <v>44</v>
      </c>
      <c r="E516" s="4" t="s">
        <v>25</v>
      </c>
      <c r="F516" s="4" t="s">
        <v>25</v>
      </c>
      <c r="G516" s="4" t="s">
        <v>25</v>
      </c>
      <c r="H516" s="4" t="s">
        <v>35</v>
      </c>
      <c r="I516" s="5">
        <v>44501</v>
      </c>
      <c r="J516" s="6">
        <v>0</v>
      </c>
      <c r="K516" s="6">
        <v>0</v>
      </c>
      <c r="L516" s="6">
        <v>4.9000000000000002E-2</v>
      </c>
      <c r="M516" s="6">
        <v>4.9000000000000002E-2</v>
      </c>
      <c r="N516" s="6">
        <v>4.9000000000000002E-2</v>
      </c>
      <c r="O516" s="6">
        <v>4.9000000000000002E-2</v>
      </c>
      <c r="P516" s="6">
        <v>0</v>
      </c>
      <c r="Q516" s="4" t="s">
        <v>26</v>
      </c>
      <c r="R516" s="4">
        <v>0</v>
      </c>
      <c r="S516" s="4" t="s">
        <v>281</v>
      </c>
      <c r="T516" s="4" t="s">
        <v>526</v>
      </c>
      <c r="U516" s="4">
        <v>0</v>
      </c>
      <c r="V516" s="4">
        <v>26</v>
      </c>
      <c r="W516" s="4">
        <v>63</v>
      </c>
    </row>
    <row r="517" spans="1:23" ht="11.25" customHeight="1" x14ac:dyDescent="0.25">
      <c r="A517" s="4" t="s">
        <v>21</v>
      </c>
      <c r="B517" s="4" t="s">
        <v>43</v>
      </c>
      <c r="C517" s="4" t="s">
        <v>37</v>
      </c>
      <c r="D517" s="4" t="s">
        <v>44</v>
      </c>
      <c r="E517" s="4" t="s">
        <v>25</v>
      </c>
      <c r="F517" s="4" t="s">
        <v>25</v>
      </c>
      <c r="G517" s="4" t="s">
        <v>25</v>
      </c>
      <c r="H517" s="4" t="s">
        <v>35</v>
      </c>
      <c r="I517" s="5">
        <v>44531</v>
      </c>
      <c r="J517" s="6">
        <v>0</v>
      </c>
      <c r="K517" s="6">
        <v>0</v>
      </c>
      <c r="L517" s="6">
        <v>4.9000000000000002E-2</v>
      </c>
      <c r="M517" s="6">
        <v>4.9000000000000002E-2</v>
      </c>
      <c r="N517" s="6">
        <v>4.9000000000000002E-2</v>
      </c>
      <c r="O517" s="6">
        <v>4.9000000000000002E-2</v>
      </c>
      <c r="P517" s="6">
        <v>0</v>
      </c>
      <c r="Q517" s="4" t="s">
        <v>26</v>
      </c>
      <c r="R517" s="4">
        <v>0</v>
      </c>
      <c r="S517" s="4" t="s">
        <v>282</v>
      </c>
      <c r="T517" s="4" t="s">
        <v>527</v>
      </c>
      <c r="U517" s="4">
        <v>0</v>
      </c>
      <c r="V517" s="4">
        <v>26</v>
      </c>
      <c r="W517" s="4">
        <v>63</v>
      </c>
    </row>
    <row r="518" spans="1:23" ht="11.25" customHeight="1" x14ac:dyDescent="0.25">
      <c r="A518" s="4" t="s">
        <v>21</v>
      </c>
      <c r="B518" s="4" t="s">
        <v>43</v>
      </c>
      <c r="C518" s="4" t="s">
        <v>37</v>
      </c>
      <c r="D518" s="4" t="s">
        <v>44</v>
      </c>
      <c r="E518" s="4" t="s">
        <v>25</v>
      </c>
      <c r="F518" s="4" t="s">
        <v>25</v>
      </c>
      <c r="G518" s="4" t="s">
        <v>25</v>
      </c>
      <c r="H518" s="4" t="s">
        <v>35</v>
      </c>
      <c r="I518" s="5">
        <v>44562</v>
      </c>
      <c r="J518" s="6">
        <v>0</v>
      </c>
      <c r="K518" s="6">
        <v>0</v>
      </c>
      <c r="L518" s="6">
        <v>5.5E-2</v>
      </c>
      <c r="M518" s="6">
        <v>5.5E-2</v>
      </c>
      <c r="N518" s="6">
        <v>5.5E-2</v>
      </c>
      <c r="O518" s="6">
        <v>5.5E-2</v>
      </c>
      <c r="P518" s="6">
        <v>0</v>
      </c>
      <c r="Q518" s="4" t="s">
        <v>26</v>
      </c>
      <c r="R518" s="4">
        <v>0</v>
      </c>
      <c r="S518" s="4" t="s">
        <v>283</v>
      </c>
      <c r="T518" s="4" t="s">
        <v>528</v>
      </c>
      <c r="U518" s="4">
        <v>0</v>
      </c>
      <c r="V518" s="4">
        <v>26</v>
      </c>
      <c r="W518" s="4">
        <v>63</v>
      </c>
    </row>
    <row r="519" spans="1:23" ht="11.25" customHeight="1" x14ac:dyDescent="0.25">
      <c r="A519" s="4" t="s">
        <v>21</v>
      </c>
      <c r="B519" s="4" t="s">
        <v>43</v>
      </c>
      <c r="C519" s="4" t="s">
        <v>37</v>
      </c>
      <c r="D519" s="4" t="s">
        <v>44</v>
      </c>
      <c r="E519" s="4" t="s">
        <v>25</v>
      </c>
      <c r="F519" s="4" t="s">
        <v>25</v>
      </c>
      <c r="G519" s="4" t="s">
        <v>25</v>
      </c>
      <c r="H519" s="4" t="s">
        <v>35</v>
      </c>
      <c r="I519" s="5">
        <v>44593</v>
      </c>
      <c r="J519" s="6">
        <v>0</v>
      </c>
      <c r="K519" s="6">
        <v>0</v>
      </c>
      <c r="L519" s="6">
        <v>6.6000000000000003E-2</v>
      </c>
      <c r="M519" s="6">
        <v>6.6000000000000003E-2</v>
      </c>
      <c r="N519" s="6">
        <v>6.6000000000000003E-2</v>
      </c>
      <c r="O519" s="6">
        <v>6.6000000000000003E-2</v>
      </c>
      <c r="P519" s="6">
        <v>0</v>
      </c>
      <c r="Q519" s="4" t="s">
        <v>26</v>
      </c>
      <c r="R519" s="4">
        <v>0</v>
      </c>
      <c r="S519" s="4" t="s">
        <v>284</v>
      </c>
      <c r="T519" s="4" t="s">
        <v>529</v>
      </c>
      <c r="U519" s="4">
        <v>0</v>
      </c>
      <c r="V519" s="4">
        <v>26</v>
      </c>
      <c r="W519" s="4">
        <v>63</v>
      </c>
    </row>
    <row r="520" spans="1:23" ht="11.25" customHeight="1" x14ac:dyDescent="0.25">
      <c r="A520" s="4" t="s">
        <v>21</v>
      </c>
      <c r="B520" s="4" t="s">
        <v>43</v>
      </c>
      <c r="C520" s="4" t="s">
        <v>37</v>
      </c>
      <c r="D520" s="4" t="s">
        <v>44</v>
      </c>
      <c r="E520" s="4" t="s">
        <v>25</v>
      </c>
      <c r="F520" s="4" t="s">
        <v>25</v>
      </c>
      <c r="G520" s="4" t="s">
        <v>25</v>
      </c>
      <c r="H520" s="4" t="s">
        <v>35</v>
      </c>
      <c r="I520" s="5">
        <v>44621</v>
      </c>
      <c r="J520" s="6">
        <v>0</v>
      </c>
      <c r="K520" s="6">
        <v>0</v>
      </c>
      <c r="L520" s="6">
        <v>0.08</v>
      </c>
      <c r="M520" s="6">
        <v>0.08</v>
      </c>
      <c r="N520" s="6">
        <v>0.08</v>
      </c>
      <c r="O520" s="6">
        <v>0.08</v>
      </c>
      <c r="P520" s="6">
        <v>0</v>
      </c>
      <c r="Q520" s="4" t="s">
        <v>26</v>
      </c>
      <c r="R520" s="4">
        <v>0</v>
      </c>
      <c r="S520" s="4" t="s">
        <v>285</v>
      </c>
      <c r="T520" s="4" t="s">
        <v>530</v>
      </c>
      <c r="U520" s="4">
        <v>0</v>
      </c>
      <c r="V520" s="4">
        <v>26</v>
      </c>
      <c r="W520" s="4">
        <v>63</v>
      </c>
    </row>
    <row r="521" spans="1:23" ht="11.25" customHeight="1" x14ac:dyDescent="0.25">
      <c r="A521" s="4" t="s">
        <v>21</v>
      </c>
      <c r="B521" s="4" t="s">
        <v>43</v>
      </c>
      <c r="C521" s="4" t="s">
        <v>37</v>
      </c>
      <c r="D521" s="4" t="s">
        <v>44</v>
      </c>
      <c r="E521" s="4" t="s">
        <v>25</v>
      </c>
      <c r="F521" s="4" t="s">
        <v>25</v>
      </c>
      <c r="G521" s="4" t="s">
        <v>25</v>
      </c>
      <c r="H521" s="4" t="s">
        <v>35</v>
      </c>
      <c r="I521" s="5">
        <v>44652</v>
      </c>
      <c r="J521" s="6">
        <v>0</v>
      </c>
      <c r="K521" s="6">
        <v>0</v>
      </c>
      <c r="L521" s="6">
        <v>7.6999999999999999E-2</v>
      </c>
      <c r="M521" s="6">
        <v>7.6999999999999999E-2</v>
      </c>
      <c r="N521" s="6">
        <v>7.6999999999999999E-2</v>
      </c>
      <c r="O521" s="6">
        <v>7.6999999999999999E-2</v>
      </c>
      <c r="P521" s="6">
        <v>0</v>
      </c>
      <c r="Q521" s="4" t="s">
        <v>26</v>
      </c>
      <c r="R521" s="4">
        <v>0</v>
      </c>
      <c r="S521" s="4" t="s">
        <v>286</v>
      </c>
      <c r="T521" s="4" t="s">
        <v>531</v>
      </c>
      <c r="U521" s="4">
        <v>0</v>
      </c>
      <c r="V521" s="4">
        <v>26</v>
      </c>
      <c r="W521" s="4">
        <v>63</v>
      </c>
    </row>
    <row r="522" spans="1:23" ht="11.25" customHeight="1" x14ac:dyDescent="0.25">
      <c r="A522" s="4" t="s">
        <v>21</v>
      </c>
      <c r="B522" s="4" t="s">
        <v>43</v>
      </c>
      <c r="C522" s="4" t="s">
        <v>23</v>
      </c>
      <c r="D522" s="4" t="s">
        <v>44</v>
      </c>
      <c r="E522" s="4" t="s">
        <v>53</v>
      </c>
      <c r="F522" s="4" t="s">
        <v>54</v>
      </c>
      <c r="G522" s="4" t="s">
        <v>25</v>
      </c>
      <c r="H522" s="4" t="s">
        <v>25</v>
      </c>
      <c r="I522" s="5">
        <v>44317</v>
      </c>
      <c r="J522" s="6">
        <v>0</v>
      </c>
      <c r="K522" s="6">
        <v>0</v>
      </c>
      <c r="L522" s="6">
        <v>55.582000000000001</v>
      </c>
      <c r="M522" s="6">
        <v>55.582000000000001</v>
      </c>
      <c r="N522" s="6">
        <v>55.582000000000001</v>
      </c>
      <c r="O522" s="6">
        <v>55.582000000000001</v>
      </c>
      <c r="P522" s="6">
        <v>0</v>
      </c>
      <c r="Q522" s="4" t="s">
        <v>26</v>
      </c>
      <c r="R522" s="4">
        <v>0</v>
      </c>
      <c r="S522" s="4" t="s">
        <v>287</v>
      </c>
      <c r="T522" s="4" t="s">
        <v>532</v>
      </c>
      <c r="U522" s="4">
        <v>0</v>
      </c>
      <c r="V522" s="4">
        <v>29</v>
      </c>
      <c r="W522" s="4">
        <v>66</v>
      </c>
    </row>
    <row r="523" spans="1:23" ht="11.25" customHeight="1" x14ac:dyDescent="0.25">
      <c r="A523" s="4" t="s">
        <v>21</v>
      </c>
      <c r="B523" s="4" t="s">
        <v>43</v>
      </c>
      <c r="C523" s="4" t="s">
        <v>23</v>
      </c>
      <c r="D523" s="4" t="s">
        <v>44</v>
      </c>
      <c r="E523" s="4" t="s">
        <v>53</v>
      </c>
      <c r="F523" s="4" t="s">
        <v>54</v>
      </c>
      <c r="G523" s="4" t="s">
        <v>25</v>
      </c>
      <c r="H523" s="4" t="s">
        <v>25</v>
      </c>
      <c r="I523" s="5">
        <v>44348</v>
      </c>
      <c r="J523" s="6">
        <v>0</v>
      </c>
      <c r="K523" s="6">
        <v>0</v>
      </c>
      <c r="L523" s="6">
        <v>54.146000000000001</v>
      </c>
      <c r="M523" s="6">
        <v>54.146000000000001</v>
      </c>
      <c r="N523" s="6">
        <v>54.146000000000001</v>
      </c>
      <c r="O523" s="6">
        <v>54.146000000000001</v>
      </c>
      <c r="P523" s="6">
        <v>0</v>
      </c>
      <c r="Q523" s="4" t="s">
        <v>26</v>
      </c>
      <c r="R523" s="4">
        <v>0</v>
      </c>
      <c r="S523" s="4" t="s">
        <v>288</v>
      </c>
      <c r="T523" s="4" t="s">
        <v>533</v>
      </c>
      <c r="U523" s="4">
        <v>0</v>
      </c>
      <c r="V523" s="4">
        <v>29</v>
      </c>
      <c r="W523" s="4">
        <v>66</v>
      </c>
    </row>
    <row r="524" spans="1:23" ht="11.25" customHeight="1" x14ac:dyDescent="0.25">
      <c r="A524" s="4" t="s">
        <v>21</v>
      </c>
      <c r="B524" s="4" t="s">
        <v>43</v>
      </c>
      <c r="C524" s="4" t="s">
        <v>23</v>
      </c>
      <c r="D524" s="4" t="s">
        <v>44</v>
      </c>
      <c r="E524" s="4" t="s">
        <v>53</v>
      </c>
      <c r="F524" s="4" t="s">
        <v>54</v>
      </c>
      <c r="G524" s="4" t="s">
        <v>25</v>
      </c>
      <c r="H524" s="4" t="s">
        <v>25</v>
      </c>
      <c r="I524" s="5">
        <v>44378</v>
      </c>
      <c r="J524" s="6">
        <v>0</v>
      </c>
      <c r="K524" s="6">
        <v>0</v>
      </c>
      <c r="L524" s="6">
        <v>45.243000000000002</v>
      </c>
      <c r="M524" s="6">
        <v>45.243000000000002</v>
      </c>
      <c r="N524" s="6">
        <v>45.243000000000002</v>
      </c>
      <c r="O524" s="6">
        <v>45.243000000000002</v>
      </c>
      <c r="P524" s="6">
        <v>0</v>
      </c>
      <c r="Q524" s="4" t="s">
        <v>26</v>
      </c>
      <c r="R524" s="4">
        <v>0</v>
      </c>
      <c r="S524" s="4" t="s">
        <v>289</v>
      </c>
      <c r="T524" s="4" t="s">
        <v>534</v>
      </c>
      <c r="U524" s="4">
        <v>0</v>
      </c>
      <c r="V524" s="4">
        <v>29</v>
      </c>
      <c r="W524" s="4">
        <v>66</v>
      </c>
    </row>
    <row r="525" spans="1:23" ht="11.25" customHeight="1" x14ac:dyDescent="0.25">
      <c r="A525" s="4" t="s">
        <v>21</v>
      </c>
      <c r="B525" s="4" t="s">
        <v>43</v>
      </c>
      <c r="C525" s="4" t="s">
        <v>23</v>
      </c>
      <c r="D525" s="4" t="s">
        <v>44</v>
      </c>
      <c r="E525" s="4" t="s">
        <v>53</v>
      </c>
      <c r="F525" s="4" t="s">
        <v>54</v>
      </c>
      <c r="G525" s="4" t="s">
        <v>25</v>
      </c>
      <c r="H525" s="4" t="s">
        <v>25</v>
      </c>
      <c r="I525" s="5">
        <v>44409</v>
      </c>
      <c r="J525" s="6">
        <v>0</v>
      </c>
      <c r="K525" s="6">
        <v>0</v>
      </c>
      <c r="L525" s="6">
        <v>58.381999999999998</v>
      </c>
      <c r="M525" s="6">
        <v>58.381999999999998</v>
      </c>
      <c r="N525" s="6">
        <v>58.381999999999998</v>
      </c>
      <c r="O525" s="6">
        <v>58.381999999999998</v>
      </c>
      <c r="P525" s="6">
        <v>0</v>
      </c>
      <c r="Q525" s="4" t="s">
        <v>26</v>
      </c>
      <c r="R525" s="4">
        <v>0</v>
      </c>
      <c r="S525" s="4" t="s">
        <v>290</v>
      </c>
      <c r="T525" s="4" t="s">
        <v>535</v>
      </c>
      <c r="U525" s="4">
        <v>0</v>
      </c>
      <c r="V525" s="4">
        <v>29</v>
      </c>
      <c r="W525" s="4">
        <v>66</v>
      </c>
    </row>
    <row r="526" spans="1:23" ht="11.25" customHeight="1" x14ac:dyDescent="0.25">
      <c r="A526" s="4" t="s">
        <v>28</v>
      </c>
      <c r="B526" s="4" t="s">
        <v>43</v>
      </c>
      <c r="C526" s="4" t="s">
        <v>23</v>
      </c>
      <c r="D526" s="4" t="s">
        <v>44</v>
      </c>
      <c r="E526" s="4" t="s">
        <v>53</v>
      </c>
      <c r="F526" s="4" t="s">
        <v>54</v>
      </c>
      <c r="G526" s="4" t="s">
        <v>25</v>
      </c>
      <c r="H526" s="4" t="s">
        <v>25</v>
      </c>
      <c r="I526" s="5">
        <v>44409</v>
      </c>
      <c r="J526" s="6">
        <v>0</v>
      </c>
      <c r="K526" s="6">
        <v>0</v>
      </c>
      <c r="L526" s="6">
        <v>0.99299999999999999</v>
      </c>
      <c r="M526" s="6">
        <v>0.99299999999999999</v>
      </c>
      <c r="N526" s="6">
        <v>0.99299999999999999</v>
      </c>
      <c r="O526" s="6">
        <v>0.99299999999999999</v>
      </c>
      <c r="P526" s="6">
        <v>0</v>
      </c>
      <c r="Q526" s="4" t="s">
        <v>26</v>
      </c>
      <c r="R526" s="4">
        <v>0</v>
      </c>
      <c r="S526" s="4" t="s">
        <v>290</v>
      </c>
      <c r="T526" s="4" t="s">
        <v>535</v>
      </c>
      <c r="U526" s="4">
        <v>0</v>
      </c>
      <c r="V526" s="4">
        <v>29</v>
      </c>
      <c r="W526" s="4">
        <v>66</v>
      </c>
    </row>
    <row r="527" spans="1:23" ht="11.25" customHeight="1" x14ac:dyDescent="0.25">
      <c r="A527" s="4" t="s">
        <v>21</v>
      </c>
      <c r="B527" s="4" t="s">
        <v>43</v>
      </c>
      <c r="C527" s="4" t="s">
        <v>23</v>
      </c>
      <c r="D527" s="4" t="s">
        <v>44</v>
      </c>
      <c r="E527" s="4" t="s">
        <v>53</v>
      </c>
      <c r="F527" s="4" t="s">
        <v>54</v>
      </c>
      <c r="G527" s="4" t="s">
        <v>25</v>
      </c>
      <c r="H527" s="4" t="s">
        <v>25</v>
      </c>
      <c r="I527" s="5">
        <v>44440</v>
      </c>
      <c r="J527" s="6">
        <v>0</v>
      </c>
      <c r="K527" s="6">
        <v>0</v>
      </c>
      <c r="L527" s="6">
        <v>90.025000000000006</v>
      </c>
      <c r="M527" s="6">
        <v>90.025000000000006</v>
      </c>
      <c r="N527" s="6">
        <v>90.025000000000006</v>
      </c>
      <c r="O527" s="6">
        <v>90.025000000000006</v>
      </c>
      <c r="P527" s="6">
        <v>0</v>
      </c>
      <c r="Q527" s="4" t="s">
        <v>26</v>
      </c>
      <c r="R527" s="4">
        <v>0</v>
      </c>
      <c r="S527" s="4" t="s">
        <v>291</v>
      </c>
      <c r="T527" s="4" t="s">
        <v>536</v>
      </c>
      <c r="U527" s="4">
        <v>0</v>
      </c>
      <c r="V527" s="4">
        <v>29</v>
      </c>
      <c r="W527" s="4">
        <v>66</v>
      </c>
    </row>
    <row r="528" spans="1:23" ht="11.25" customHeight="1" x14ac:dyDescent="0.25">
      <c r="A528" s="4" t="s">
        <v>28</v>
      </c>
      <c r="B528" s="4" t="s">
        <v>43</v>
      </c>
      <c r="C528" s="4" t="s">
        <v>23</v>
      </c>
      <c r="D528" s="4" t="s">
        <v>44</v>
      </c>
      <c r="E528" s="4" t="s">
        <v>53</v>
      </c>
      <c r="F528" s="4" t="s">
        <v>54</v>
      </c>
      <c r="G528" s="4" t="s">
        <v>25</v>
      </c>
      <c r="H528" s="4" t="s">
        <v>25</v>
      </c>
      <c r="I528" s="5">
        <v>44440</v>
      </c>
      <c r="J528" s="6">
        <v>0</v>
      </c>
      <c r="K528" s="6">
        <v>0</v>
      </c>
      <c r="L528" s="6">
        <v>2.4279999999999999</v>
      </c>
      <c r="M528" s="6">
        <v>2.4279999999999999</v>
      </c>
      <c r="N528" s="6">
        <v>2.4279999999999999</v>
      </c>
      <c r="O528" s="6">
        <v>2.4279999999999999</v>
      </c>
      <c r="P528" s="6">
        <v>0</v>
      </c>
      <c r="Q528" s="4" t="s">
        <v>26</v>
      </c>
      <c r="R528" s="4">
        <v>0</v>
      </c>
      <c r="S528" s="4" t="s">
        <v>291</v>
      </c>
      <c r="T528" s="4" t="s">
        <v>536</v>
      </c>
      <c r="U528" s="4">
        <v>0</v>
      </c>
      <c r="V528" s="4">
        <v>29</v>
      </c>
      <c r="W528" s="4">
        <v>66</v>
      </c>
    </row>
    <row r="529" spans="1:23" ht="11.25" customHeight="1" x14ac:dyDescent="0.25">
      <c r="A529" s="4" t="s">
        <v>21</v>
      </c>
      <c r="B529" s="4" t="s">
        <v>43</v>
      </c>
      <c r="C529" s="4" t="s">
        <v>23</v>
      </c>
      <c r="D529" s="4" t="s">
        <v>44</v>
      </c>
      <c r="E529" s="4" t="s">
        <v>53</v>
      </c>
      <c r="F529" s="4" t="s">
        <v>54</v>
      </c>
      <c r="G529" s="4" t="s">
        <v>25</v>
      </c>
      <c r="H529" s="4" t="s">
        <v>25</v>
      </c>
      <c r="I529" s="5">
        <v>44470</v>
      </c>
      <c r="J529" s="6">
        <v>0</v>
      </c>
      <c r="K529" s="6">
        <v>0</v>
      </c>
      <c r="L529" s="6">
        <v>74.108000000000004</v>
      </c>
      <c r="M529" s="6">
        <v>74.108000000000004</v>
      </c>
      <c r="N529" s="6">
        <v>74.108000000000004</v>
      </c>
      <c r="O529" s="6">
        <v>74.108000000000004</v>
      </c>
      <c r="P529" s="6">
        <v>0</v>
      </c>
      <c r="Q529" s="4" t="s">
        <v>26</v>
      </c>
      <c r="R529" s="4">
        <v>0</v>
      </c>
      <c r="S529" s="4" t="s">
        <v>292</v>
      </c>
      <c r="T529" s="4" t="s">
        <v>537</v>
      </c>
      <c r="U529" s="4">
        <v>0</v>
      </c>
      <c r="V529" s="4">
        <v>29</v>
      </c>
      <c r="W529" s="4">
        <v>66</v>
      </c>
    </row>
    <row r="530" spans="1:23" ht="11.25" customHeight="1" x14ac:dyDescent="0.25">
      <c r="A530" s="4" t="s">
        <v>28</v>
      </c>
      <c r="B530" s="4" t="s">
        <v>43</v>
      </c>
      <c r="C530" s="4" t="s">
        <v>23</v>
      </c>
      <c r="D530" s="4" t="s">
        <v>44</v>
      </c>
      <c r="E530" s="4" t="s">
        <v>53</v>
      </c>
      <c r="F530" s="4" t="s">
        <v>54</v>
      </c>
      <c r="G530" s="4" t="s">
        <v>25</v>
      </c>
      <c r="H530" s="4" t="s">
        <v>25</v>
      </c>
      <c r="I530" s="5">
        <v>44470</v>
      </c>
      <c r="J530" s="6">
        <v>0</v>
      </c>
      <c r="K530" s="6">
        <v>0</v>
      </c>
      <c r="L530" s="6">
        <v>0.1</v>
      </c>
      <c r="M530" s="6">
        <v>0.1</v>
      </c>
      <c r="N530" s="6">
        <v>0.1</v>
      </c>
      <c r="O530" s="6">
        <v>0.1</v>
      </c>
      <c r="P530" s="6">
        <v>0</v>
      </c>
      <c r="Q530" s="4" t="s">
        <v>26</v>
      </c>
      <c r="R530" s="4">
        <v>0</v>
      </c>
      <c r="S530" s="4" t="s">
        <v>292</v>
      </c>
      <c r="T530" s="4" t="s">
        <v>537</v>
      </c>
      <c r="U530" s="4">
        <v>0</v>
      </c>
      <c r="V530" s="4">
        <v>29</v>
      </c>
      <c r="W530" s="4">
        <v>66</v>
      </c>
    </row>
    <row r="531" spans="1:23" ht="11.25" customHeight="1" x14ac:dyDescent="0.25">
      <c r="A531" s="4" t="s">
        <v>21</v>
      </c>
      <c r="B531" s="4" t="s">
        <v>43</v>
      </c>
      <c r="C531" s="4" t="s">
        <v>23</v>
      </c>
      <c r="D531" s="4" t="s">
        <v>44</v>
      </c>
      <c r="E531" s="4" t="s">
        <v>53</v>
      </c>
      <c r="F531" s="4" t="s">
        <v>54</v>
      </c>
      <c r="G531" s="4" t="s">
        <v>25</v>
      </c>
      <c r="H531" s="4" t="s">
        <v>25</v>
      </c>
      <c r="I531" s="5">
        <v>44501</v>
      </c>
      <c r="J531" s="6">
        <v>0</v>
      </c>
      <c r="K531" s="6">
        <v>0</v>
      </c>
      <c r="L531" s="6">
        <v>28.56</v>
      </c>
      <c r="M531" s="6">
        <v>28.56</v>
      </c>
      <c r="N531" s="6">
        <v>28.56</v>
      </c>
      <c r="O531" s="6">
        <v>28.56</v>
      </c>
      <c r="P531" s="6">
        <v>0</v>
      </c>
      <c r="Q531" s="4" t="s">
        <v>26</v>
      </c>
      <c r="R531" s="4">
        <v>0</v>
      </c>
      <c r="S531" s="4" t="s">
        <v>293</v>
      </c>
      <c r="T531" s="4" t="s">
        <v>538</v>
      </c>
      <c r="U531" s="4">
        <v>0</v>
      </c>
      <c r="V531" s="4">
        <v>29</v>
      </c>
      <c r="W531" s="4">
        <v>66</v>
      </c>
    </row>
    <row r="532" spans="1:23" ht="11.25" customHeight="1" x14ac:dyDescent="0.25">
      <c r="A532" s="4" t="s">
        <v>28</v>
      </c>
      <c r="B532" s="4" t="s">
        <v>43</v>
      </c>
      <c r="C532" s="4" t="s">
        <v>23</v>
      </c>
      <c r="D532" s="4" t="s">
        <v>44</v>
      </c>
      <c r="E532" s="4" t="s">
        <v>53</v>
      </c>
      <c r="F532" s="4" t="s">
        <v>54</v>
      </c>
      <c r="G532" s="4" t="s">
        <v>25</v>
      </c>
      <c r="H532" s="4" t="s">
        <v>25</v>
      </c>
      <c r="I532" s="5">
        <v>44501</v>
      </c>
      <c r="J532" s="6">
        <v>0</v>
      </c>
      <c r="K532" s="6">
        <v>0</v>
      </c>
      <c r="L532" s="6">
        <v>0.1</v>
      </c>
      <c r="M532" s="6">
        <v>0.1</v>
      </c>
      <c r="N532" s="6">
        <v>0.1</v>
      </c>
      <c r="O532" s="6">
        <v>0.1</v>
      </c>
      <c r="P532" s="6">
        <v>0</v>
      </c>
      <c r="Q532" s="4" t="s">
        <v>26</v>
      </c>
      <c r="R532" s="4">
        <v>0</v>
      </c>
      <c r="S532" s="4" t="s">
        <v>293</v>
      </c>
      <c r="T532" s="4" t="s">
        <v>538</v>
      </c>
      <c r="U532" s="4">
        <v>0</v>
      </c>
      <c r="V532" s="4">
        <v>29</v>
      </c>
      <c r="W532" s="4">
        <v>66</v>
      </c>
    </row>
    <row r="533" spans="1:23" ht="11.25" customHeight="1" x14ac:dyDescent="0.25">
      <c r="A533" s="4" t="s">
        <v>21</v>
      </c>
      <c r="B533" s="4" t="s">
        <v>43</v>
      </c>
      <c r="C533" s="4" t="s">
        <v>23</v>
      </c>
      <c r="D533" s="4" t="s">
        <v>44</v>
      </c>
      <c r="E533" s="4" t="s">
        <v>53</v>
      </c>
      <c r="F533" s="4" t="s">
        <v>54</v>
      </c>
      <c r="G533" s="4" t="s">
        <v>25</v>
      </c>
      <c r="H533" s="4" t="s">
        <v>25</v>
      </c>
      <c r="I533" s="5">
        <v>44531</v>
      </c>
      <c r="J533" s="6">
        <v>0</v>
      </c>
      <c r="K533" s="6">
        <v>0</v>
      </c>
      <c r="L533" s="6">
        <v>30.66</v>
      </c>
      <c r="M533" s="6">
        <v>30.66</v>
      </c>
      <c r="N533" s="6">
        <v>30.66</v>
      </c>
      <c r="O533" s="6">
        <v>30.66</v>
      </c>
      <c r="P533" s="6">
        <v>0</v>
      </c>
      <c r="Q533" s="4" t="s">
        <v>26</v>
      </c>
      <c r="R533" s="4">
        <v>0</v>
      </c>
      <c r="S533" s="4" t="s">
        <v>294</v>
      </c>
      <c r="T533" s="4" t="s">
        <v>539</v>
      </c>
      <c r="U533" s="4">
        <v>0</v>
      </c>
      <c r="V533" s="4">
        <v>29</v>
      </c>
      <c r="W533" s="4">
        <v>66</v>
      </c>
    </row>
    <row r="534" spans="1:23" ht="11.25" customHeight="1" x14ac:dyDescent="0.25">
      <c r="A534" s="4" t="s">
        <v>28</v>
      </c>
      <c r="B534" s="4" t="s">
        <v>43</v>
      </c>
      <c r="C534" s="4" t="s">
        <v>23</v>
      </c>
      <c r="D534" s="4" t="s">
        <v>44</v>
      </c>
      <c r="E534" s="4" t="s">
        <v>53</v>
      </c>
      <c r="F534" s="4" t="s">
        <v>54</v>
      </c>
      <c r="G534" s="4" t="s">
        <v>25</v>
      </c>
      <c r="H534" s="4" t="s">
        <v>25</v>
      </c>
      <c r="I534" s="5">
        <v>44531</v>
      </c>
      <c r="J534" s="6">
        <v>0</v>
      </c>
      <c r="K534" s="6">
        <v>0</v>
      </c>
      <c r="L534" s="6">
        <v>0.1</v>
      </c>
      <c r="M534" s="6">
        <v>0.1</v>
      </c>
      <c r="N534" s="6">
        <v>0.1</v>
      </c>
      <c r="O534" s="6">
        <v>0.1</v>
      </c>
      <c r="P534" s="6">
        <v>0</v>
      </c>
      <c r="Q534" s="4" t="s">
        <v>26</v>
      </c>
      <c r="R534" s="4">
        <v>0</v>
      </c>
      <c r="S534" s="4" t="s">
        <v>294</v>
      </c>
      <c r="T534" s="4" t="s">
        <v>539</v>
      </c>
      <c r="U534" s="4">
        <v>0</v>
      </c>
      <c r="V534" s="4">
        <v>29</v>
      </c>
      <c r="W534" s="4">
        <v>66</v>
      </c>
    </row>
    <row r="535" spans="1:23" ht="11.25" customHeight="1" x14ac:dyDescent="0.25">
      <c r="A535" s="4" t="s">
        <v>21</v>
      </c>
      <c r="B535" s="4" t="s">
        <v>43</v>
      </c>
      <c r="C535" s="4" t="s">
        <v>23</v>
      </c>
      <c r="D535" s="4" t="s">
        <v>44</v>
      </c>
      <c r="E535" s="4" t="s">
        <v>53</v>
      </c>
      <c r="F535" s="4" t="s">
        <v>54</v>
      </c>
      <c r="G535" s="4" t="s">
        <v>25</v>
      </c>
      <c r="H535" s="4" t="s">
        <v>25</v>
      </c>
      <c r="I535" s="5">
        <v>44562</v>
      </c>
      <c r="J535" s="6">
        <v>0</v>
      </c>
      <c r="K535" s="6">
        <v>0</v>
      </c>
      <c r="L535" s="6">
        <v>29.619</v>
      </c>
      <c r="M535" s="6">
        <v>29.619</v>
      </c>
      <c r="N535" s="6">
        <v>29.619</v>
      </c>
      <c r="O535" s="6">
        <v>29.619</v>
      </c>
      <c r="P535" s="6">
        <v>0</v>
      </c>
      <c r="Q535" s="4" t="s">
        <v>26</v>
      </c>
      <c r="R535" s="4">
        <v>0</v>
      </c>
      <c r="S535" s="4" t="s">
        <v>295</v>
      </c>
      <c r="T535" s="4" t="s">
        <v>540</v>
      </c>
      <c r="U535" s="4">
        <v>0</v>
      </c>
      <c r="V535" s="4">
        <v>29</v>
      </c>
      <c r="W535" s="4">
        <v>66</v>
      </c>
    </row>
    <row r="536" spans="1:23" ht="11.25" customHeight="1" x14ac:dyDescent="0.25">
      <c r="A536" s="4" t="s">
        <v>28</v>
      </c>
      <c r="B536" s="4" t="s">
        <v>43</v>
      </c>
      <c r="C536" s="4" t="s">
        <v>23</v>
      </c>
      <c r="D536" s="4" t="s">
        <v>44</v>
      </c>
      <c r="E536" s="4" t="s">
        <v>53</v>
      </c>
      <c r="F536" s="4" t="s">
        <v>54</v>
      </c>
      <c r="G536" s="4" t="s">
        <v>25</v>
      </c>
      <c r="H536" s="4" t="s">
        <v>25</v>
      </c>
      <c r="I536" s="5">
        <v>44562</v>
      </c>
      <c r="J536" s="6">
        <v>0</v>
      </c>
      <c r="K536" s="6">
        <v>0</v>
      </c>
      <c r="L536" s="6">
        <v>0.1</v>
      </c>
      <c r="M536" s="6">
        <v>0.1</v>
      </c>
      <c r="N536" s="6">
        <v>0.1</v>
      </c>
      <c r="O536" s="6">
        <v>0.1</v>
      </c>
      <c r="P536" s="6">
        <v>0</v>
      </c>
      <c r="Q536" s="4" t="s">
        <v>26</v>
      </c>
      <c r="R536" s="4">
        <v>0</v>
      </c>
      <c r="S536" s="4" t="s">
        <v>295</v>
      </c>
      <c r="T536" s="4" t="s">
        <v>540</v>
      </c>
      <c r="U536" s="4">
        <v>0</v>
      </c>
      <c r="V536" s="4">
        <v>29</v>
      </c>
      <c r="W536" s="4">
        <v>66</v>
      </c>
    </row>
    <row r="537" spans="1:23" ht="11.25" customHeight="1" x14ac:dyDescent="0.25">
      <c r="A537" s="4" t="s">
        <v>21</v>
      </c>
      <c r="B537" s="4" t="s">
        <v>43</v>
      </c>
      <c r="C537" s="4" t="s">
        <v>23</v>
      </c>
      <c r="D537" s="4" t="s">
        <v>44</v>
      </c>
      <c r="E537" s="4" t="s">
        <v>53</v>
      </c>
      <c r="F537" s="4" t="s">
        <v>54</v>
      </c>
      <c r="G537" s="4" t="s">
        <v>25</v>
      </c>
      <c r="H537" s="4" t="s">
        <v>25</v>
      </c>
      <c r="I537" s="5">
        <v>44593</v>
      </c>
      <c r="J537" s="6">
        <v>0</v>
      </c>
      <c r="K537" s="6">
        <v>0</v>
      </c>
      <c r="L537" s="6">
        <v>28.905000000000001</v>
      </c>
      <c r="M537" s="6">
        <v>28.905000000000001</v>
      </c>
      <c r="N537" s="6">
        <v>28.905000000000001</v>
      </c>
      <c r="O537" s="6">
        <v>28.905000000000001</v>
      </c>
      <c r="P537" s="6">
        <v>0</v>
      </c>
      <c r="Q537" s="4" t="s">
        <v>26</v>
      </c>
      <c r="R537" s="4">
        <v>0</v>
      </c>
      <c r="S537" s="4" t="s">
        <v>296</v>
      </c>
      <c r="T537" s="4" t="s">
        <v>541</v>
      </c>
      <c r="U537" s="4">
        <v>0</v>
      </c>
      <c r="V537" s="4">
        <v>29</v>
      </c>
      <c r="W537" s="4">
        <v>66</v>
      </c>
    </row>
    <row r="538" spans="1:23" ht="11.25" customHeight="1" x14ac:dyDescent="0.25">
      <c r="A538" s="4" t="s">
        <v>28</v>
      </c>
      <c r="B538" s="4" t="s">
        <v>43</v>
      </c>
      <c r="C538" s="4" t="s">
        <v>23</v>
      </c>
      <c r="D538" s="4" t="s">
        <v>44</v>
      </c>
      <c r="E538" s="4" t="s">
        <v>53</v>
      </c>
      <c r="F538" s="4" t="s">
        <v>54</v>
      </c>
      <c r="G538" s="4" t="s">
        <v>25</v>
      </c>
      <c r="H538" s="4" t="s">
        <v>25</v>
      </c>
      <c r="I538" s="5">
        <v>44593</v>
      </c>
      <c r="J538" s="6">
        <v>0</v>
      </c>
      <c r="K538" s="6">
        <v>0</v>
      </c>
      <c r="L538" s="6">
        <v>0.1</v>
      </c>
      <c r="M538" s="6">
        <v>0.1</v>
      </c>
      <c r="N538" s="6">
        <v>0.1</v>
      </c>
      <c r="O538" s="6">
        <v>0.1</v>
      </c>
      <c r="P538" s="6">
        <v>0</v>
      </c>
      <c r="Q538" s="4" t="s">
        <v>26</v>
      </c>
      <c r="R538" s="4">
        <v>0</v>
      </c>
      <c r="S538" s="4" t="s">
        <v>296</v>
      </c>
      <c r="T538" s="4" t="s">
        <v>541</v>
      </c>
      <c r="U538" s="4">
        <v>0</v>
      </c>
      <c r="V538" s="4">
        <v>29</v>
      </c>
      <c r="W538" s="4">
        <v>66</v>
      </c>
    </row>
    <row r="539" spans="1:23" ht="11.25" customHeight="1" x14ac:dyDescent="0.25">
      <c r="A539" s="4" t="s">
        <v>21</v>
      </c>
      <c r="B539" s="4" t="s">
        <v>43</v>
      </c>
      <c r="C539" s="4" t="s">
        <v>23</v>
      </c>
      <c r="D539" s="4" t="s">
        <v>44</v>
      </c>
      <c r="E539" s="4" t="s">
        <v>53</v>
      </c>
      <c r="F539" s="4" t="s">
        <v>54</v>
      </c>
      <c r="G539" s="4" t="s">
        <v>25</v>
      </c>
      <c r="H539" s="4" t="s">
        <v>25</v>
      </c>
      <c r="I539" s="5">
        <v>44621</v>
      </c>
      <c r="J539" s="6">
        <v>0</v>
      </c>
      <c r="K539" s="6">
        <v>0</v>
      </c>
      <c r="L539" s="6">
        <v>36.325000000000003</v>
      </c>
      <c r="M539" s="6">
        <v>36.325000000000003</v>
      </c>
      <c r="N539" s="6">
        <v>36.325000000000003</v>
      </c>
      <c r="O539" s="6">
        <v>36.325000000000003</v>
      </c>
      <c r="P539" s="6">
        <v>0</v>
      </c>
      <c r="Q539" s="4" t="s">
        <v>26</v>
      </c>
      <c r="R539" s="4">
        <v>0</v>
      </c>
      <c r="S539" s="4" t="s">
        <v>297</v>
      </c>
      <c r="T539" s="4" t="s">
        <v>542</v>
      </c>
      <c r="U539" s="4">
        <v>0</v>
      </c>
      <c r="V539" s="4">
        <v>29</v>
      </c>
      <c r="W539" s="4">
        <v>66</v>
      </c>
    </row>
    <row r="540" spans="1:23" ht="11.25" customHeight="1" x14ac:dyDescent="0.25">
      <c r="A540" s="4" t="s">
        <v>28</v>
      </c>
      <c r="B540" s="4" t="s">
        <v>43</v>
      </c>
      <c r="C540" s="4" t="s">
        <v>23</v>
      </c>
      <c r="D540" s="4" t="s">
        <v>44</v>
      </c>
      <c r="E540" s="4" t="s">
        <v>53</v>
      </c>
      <c r="F540" s="4" t="s">
        <v>54</v>
      </c>
      <c r="G540" s="4" t="s">
        <v>25</v>
      </c>
      <c r="H540" s="4" t="s">
        <v>25</v>
      </c>
      <c r="I540" s="5">
        <v>44621</v>
      </c>
      <c r="J540" s="6">
        <v>0</v>
      </c>
      <c r="K540" s="6">
        <v>0</v>
      </c>
      <c r="L540" s="6">
        <v>0.1</v>
      </c>
      <c r="M540" s="6">
        <v>0.1</v>
      </c>
      <c r="N540" s="6">
        <v>0.1</v>
      </c>
      <c r="O540" s="6">
        <v>0.1</v>
      </c>
      <c r="P540" s="6">
        <v>0</v>
      </c>
      <c r="Q540" s="4" t="s">
        <v>26</v>
      </c>
      <c r="R540" s="4">
        <v>0</v>
      </c>
      <c r="S540" s="4" t="s">
        <v>297</v>
      </c>
      <c r="T540" s="4" t="s">
        <v>542</v>
      </c>
      <c r="U540" s="4">
        <v>0</v>
      </c>
      <c r="V540" s="4">
        <v>29</v>
      </c>
      <c r="W540" s="4">
        <v>66</v>
      </c>
    </row>
    <row r="541" spans="1:23" ht="11.25" customHeight="1" x14ac:dyDescent="0.25">
      <c r="A541" s="4" t="s">
        <v>21</v>
      </c>
      <c r="B541" s="4" t="s">
        <v>43</v>
      </c>
      <c r="C541" s="4" t="s">
        <v>23</v>
      </c>
      <c r="D541" s="4" t="s">
        <v>44</v>
      </c>
      <c r="E541" s="4" t="s">
        <v>53</v>
      </c>
      <c r="F541" s="4" t="s">
        <v>54</v>
      </c>
      <c r="G541" s="4" t="s">
        <v>25</v>
      </c>
      <c r="H541" s="4" t="s">
        <v>25</v>
      </c>
      <c r="I541" s="5">
        <v>44652</v>
      </c>
      <c r="J541" s="6">
        <v>0</v>
      </c>
      <c r="K541" s="6">
        <v>0</v>
      </c>
      <c r="L541" s="6">
        <v>41.151000000000003</v>
      </c>
      <c r="M541" s="6">
        <v>41.151000000000003</v>
      </c>
      <c r="N541" s="6">
        <v>41.151000000000003</v>
      </c>
      <c r="O541" s="6">
        <v>41.151000000000003</v>
      </c>
      <c r="P541" s="6">
        <v>0</v>
      </c>
      <c r="Q541" s="4" t="s">
        <v>26</v>
      </c>
      <c r="R541" s="4">
        <v>0</v>
      </c>
      <c r="S541" s="4" t="s">
        <v>298</v>
      </c>
      <c r="T541" s="4" t="s">
        <v>543</v>
      </c>
      <c r="U541" s="4">
        <v>0</v>
      </c>
      <c r="V541" s="4">
        <v>29</v>
      </c>
      <c r="W541" s="4">
        <v>66</v>
      </c>
    </row>
    <row r="542" spans="1:23" ht="11.25" customHeight="1" x14ac:dyDescent="0.25">
      <c r="A542" s="4" t="s">
        <v>21</v>
      </c>
      <c r="B542" s="4" t="s">
        <v>43</v>
      </c>
      <c r="C542" s="4" t="s">
        <v>23</v>
      </c>
      <c r="D542" s="4" t="s">
        <v>44</v>
      </c>
      <c r="E542" s="4" t="s">
        <v>53</v>
      </c>
      <c r="F542" s="4" t="s">
        <v>55</v>
      </c>
      <c r="G542" s="4" t="s">
        <v>25</v>
      </c>
      <c r="H542" s="4" t="s">
        <v>25</v>
      </c>
      <c r="I542" s="5">
        <v>44317</v>
      </c>
      <c r="J542" s="6">
        <v>0</v>
      </c>
      <c r="K542" s="6">
        <v>0</v>
      </c>
      <c r="L542" s="6">
        <v>28.654</v>
      </c>
      <c r="M542" s="6">
        <v>11.461600000000001</v>
      </c>
      <c r="N542" s="6">
        <v>28.654</v>
      </c>
      <c r="O542" s="6">
        <v>11.461600000000001</v>
      </c>
      <c r="P542" s="6">
        <v>0</v>
      </c>
      <c r="Q542" s="4" t="s">
        <v>26</v>
      </c>
      <c r="R542" s="4">
        <v>0</v>
      </c>
      <c r="S542" s="4" t="s">
        <v>287</v>
      </c>
      <c r="T542" s="4" t="s">
        <v>532</v>
      </c>
      <c r="U542" s="4">
        <v>0</v>
      </c>
      <c r="V542" s="4">
        <v>29</v>
      </c>
      <c r="W542" s="4">
        <v>66</v>
      </c>
    </row>
    <row r="543" spans="1:23" ht="11.25" customHeight="1" x14ac:dyDescent="0.25">
      <c r="A543" s="4" t="s">
        <v>21</v>
      </c>
      <c r="B543" s="4" t="s">
        <v>43</v>
      </c>
      <c r="C543" s="4" t="s">
        <v>23</v>
      </c>
      <c r="D543" s="4" t="s">
        <v>44</v>
      </c>
      <c r="E543" s="4" t="s">
        <v>53</v>
      </c>
      <c r="F543" s="4" t="s">
        <v>55</v>
      </c>
      <c r="G543" s="4" t="s">
        <v>25</v>
      </c>
      <c r="H543" s="4" t="s">
        <v>25</v>
      </c>
      <c r="I543" s="5">
        <v>44348</v>
      </c>
      <c r="J543" s="6">
        <v>0</v>
      </c>
      <c r="K543" s="6">
        <v>0</v>
      </c>
      <c r="L543" s="6">
        <v>27.117000000000001</v>
      </c>
      <c r="M543" s="6">
        <v>10.8468</v>
      </c>
      <c r="N543" s="6">
        <v>27.117000000000001</v>
      </c>
      <c r="O543" s="6">
        <v>10.8468</v>
      </c>
      <c r="P543" s="6">
        <v>0</v>
      </c>
      <c r="Q543" s="4" t="s">
        <v>26</v>
      </c>
      <c r="R543" s="4">
        <v>0</v>
      </c>
      <c r="S543" s="4" t="s">
        <v>288</v>
      </c>
      <c r="T543" s="4" t="s">
        <v>533</v>
      </c>
      <c r="U543" s="4">
        <v>0</v>
      </c>
      <c r="V543" s="4">
        <v>29</v>
      </c>
      <c r="W543" s="4">
        <v>66</v>
      </c>
    </row>
    <row r="544" spans="1:23" ht="11.25" customHeight="1" x14ac:dyDescent="0.25">
      <c r="A544" s="4" t="s">
        <v>21</v>
      </c>
      <c r="B544" s="4" t="s">
        <v>43</v>
      </c>
      <c r="C544" s="4" t="s">
        <v>23</v>
      </c>
      <c r="D544" s="4" t="s">
        <v>44</v>
      </c>
      <c r="E544" s="4" t="s">
        <v>53</v>
      </c>
      <c r="F544" s="4" t="s">
        <v>55</v>
      </c>
      <c r="G544" s="4" t="s">
        <v>25</v>
      </c>
      <c r="H544" s="4" t="s">
        <v>25</v>
      </c>
      <c r="I544" s="5">
        <v>44378</v>
      </c>
      <c r="J544" s="6">
        <v>0</v>
      </c>
      <c r="K544" s="6">
        <v>0</v>
      </c>
      <c r="L544" s="6">
        <v>23.562000000000001</v>
      </c>
      <c r="M544" s="6">
        <v>9.4247999999999994</v>
      </c>
      <c r="N544" s="6">
        <v>23.562000000000001</v>
      </c>
      <c r="O544" s="6">
        <v>9.4247999999999994</v>
      </c>
      <c r="P544" s="6">
        <v>0</v>
      </c>
      <c r="Q544" s="4" t="s">
        <v>26</v>
      </c>
      <c r="R544" s="4">
        <v>0</v>
      </c>
      <c r="S544" s="4" t="s">
        <v>289</v>
      </c>
      <c r="T544" s="4" t="s">
        <v>534</v>
      </c>
      <c r="U544" s="4">
        <v>0</v>
      </c>
      <c r="V544" s="4">
        <v>29</v>
      </c>
      <c r="W544" s="4">
        <v>66</v>
      </c>
    </row>
    <row r="545" spans="1:23" ht="11.25" customHeight="1" x14ac:dyDescent="0.25">
      <c r="A545" s="4" t="s">
        <v>21</v>
      </c>
      <c r="B545" s="4" t="s">
        <v>43</v>
      </c>
      <c r="C545" s="4" t="s">
        <v>23</v>
      </c>
      <c r="D545" s="4" t="s">
        <v>44</v>
      </c>
      <c r="E545" s="4" t="s">
        <v>53</v>
      </c>
      <c r="F545" s="4" t="s">
        <v>55</v>
      </c>
      <c r="G545" s="4" t="s">
        <v>25</v>
      </c>
      <c r="H545" s="4" t="s">
        <v>25</v>
      </c>
      <c r="I545" s="5">
        <v>44409</v>
      </c>
      <c r="J545" s="6">
        <v>0</v>
      </c>
      <c r="K545" s="6">
        <v>0</v>
      </c>
      <c r="L545" s="6">
        <v>32.128999999999998</v>
      </c>
      <c r="M545" s="6">
        <v>12.851599999999999</v>
      </c>
      <c r="N545" s="6">
        <v>32.128999999999998</v>
      </c>
      <c r="O545" s="6">
        <v>12.851599999999999</v>
      </c>
      <c r="P545" s="6">
        <v>0</v>
      </c>
      <c r="Q545" s="4" t="s">
        <v>26</v>
      </c>
      <c r="R545" s="4">
        <v>0</v>
      </c>
      <c r="S545" s="4" t="s">
        <v>290</v>
      </c>
      <c r="T545" s="4" t="s">
        <v>535</v>
      </c>
      <c r="U545" s="4">
        <v>0</v>
      </c>
      <c r="V545" s="4">
        <v>29</v>
      </c>
      <c r="W545" s="4">
        <v>66</v>
      </c>
    </row>
    <row r="546" spans="1:23" ht="11.25" customHeight="1" x14ac:dyDescent="0.25">
      <c r="A546" s="4" t="s">
        <v>28</v>
      </c>
      <c r="B546" s="4" t="s">
        <v>43</v>
      </c>
      <c r="C546" s="4" t="s">
        <v>23</v>
      </c>
      <c r="D546" s="4" t="s">
        <v>44</v>
      </c>
      <c r="E546" s="4" t="s">
        <v>53</v>
      </c>
      <c r="F546" s="4" t="s">
        <v>55</v>
      </c>
      <c r="G546" s="4" t="s">
        <v>25</v>
      </c>
      <c r="H546" s="4" t="s">
        <v>25</v>
      </c>
      <c r="I546" s="5">
        <v>44409</v>
      </c>
      <c r="J546" s="6">
        <v>0</v>
      </c>
      <c r="K546" s="6">
        <v>0</v>
      </c>
      <c r="L546" s="6">
        <v>0.373</v>
      </c>
      <c r="M546" s="6">
        <v>0.373</v>
      </c>
      <c r="N546" s="6">
        <v>0.373</v>
      </c>
      <c r="O546" s="6">
        <v>0.373</v>
      </c>
      <c r="P546" s="6">
        <v>0</v>
      </c>
      <c r="Q546" s="4" t="s">
        <v>26</v>
      </c>
      <c r="R546" s="4">
        <v>0</v>
      </c>
      <c r="S546" s="4" t="s">
        <v>290</v>
      </c>
      <c r="T546" s="4" t="s">
        <v>535</v>
      </c>
      <c r="U546" s="4">
        <v>0</v>
      </c>
      <c r="V546" s="4">
        <v>29</v>
      </c>
      <c r="W546" s="4">
        <v>66</v>
      </c>
    </row>
    <row r="547" spans="1:23" ht="11.25" customHeight="1" x14ac:dyDescent="0.25">
      <c r="A547" s="4" t="s">
        <v>21</v>
      </c>
      <c r="B547" s="4" t="s">
        <v>43</v>
      </c>
      <c r="C547" s="4" t="s">
        <v>23</v>
      </c>
      <c r="D547" s="4" t="s">
        <v>44</v>
      </c>
      <c r="E547" s="4" t="s">
        <v>53</v>
      </c>
      <c r="F547" s="4" t="s">
        <v>55</v>
      </c>
      <c r="G547" s="4" t="s">
        <v>25</v>
      </c>
      <c r="H547" s="4" t="s">
        <v>25</v>
      </c>
      <c r="I547" s="5">
        <v>44440</v>
      </c>
      <c r="J547" s="6">
        <v>0</v>
      </c>
      <c r="K547" s="6">
        <v>0</v>
      </c>
      <c r="L547" s="6">
        <v>38.651000000000003</v>
      </c>
      <c r="M547" s="6">
        <v>15.4604</v>
      </c>
      <c r="N547" s="6">
        <v>38.651000000000003</v>
      </c>
      <c r="O547" s="6">
        <v>15.4604</v>
      </c>
      <c r="P547" s="6">
        <v>0</v>
      </c>
      <c r="Q547" s="4" t="s">
        <v>26</v>
      </c>
      <c r="R547" s="4">
        <v>0</v>
      </c>
      <c r="S547" s="4" t="s">
        <v>291</v>
      </c>
      <c r="T547" s="4" t="s">
        <v>536</v>
      </c>
      <c r="U547" s="4">
        <v>0</v>
      </c>
      <c r="V547" s="4">
        <v>29</v>
      </c>
      <c r="W547" s="4">
        <v>66</v>
      </c>
    </row>
    <row r="548" spans="1:23" ht="11.25" customHeight="1" x14ac:dyDescent="0.25">
      <c r="A548" s="4" t="s">
        <v>28</v>
      </c>
      <c r="B548" s="4" t="s">
        <v>43</v>
      </c>
      <c r="C548" s="4" t="s">
        <v>23</v>
      </c>
      <c r="D548" s="4" t="s">
        <v>44</v>
      </c>
      <c r="E548" s="4" t="s">
        <v>53</v>
      </c>
      <c r="F548" s="4" t="s">
        <v>55</v>
      </c>
      <c r="G548" s="4" t="s">
        <v>25</v>
      </c>
      <c r="H548" s="4" t="s">
        <v>25</v>
      </c>
      <c r="I548" s="5">
        <v>44440</v>
      </c>
      <c r="J548" s="6">
        <v>0</v>
      </c>
      <c r="K548" s="6">
        <v>0</v>
      </c>
      <c r="L548" s="6">
        <v>3.214</v>
      </c>
      <c r="M548" s="6">
        <v>3.214</v>
      </c>
      <c r="N548" s="6">
        <v>3.214</v>
      </c>
      <c r="O548" s="6">
        <v>3.214</v>
      </c>
      <c r="P548" s="6">
        <v>0</v>
      </c>
      <c r="Q548" s="4" t="s">
        <v>26</v>
      </c>
      <c r="R548" s="4">
        <v>0</v>
      </c>
      <c r="S548" s="4" t="s">
        <v>291</v>
      </c>
      <c r="T548" s="4" t="s">
        <v>536</v>
      </c>
      <c r="U548" s="4">
        <v>0</v>
      </c>
      <c r="V548" s="4">
        <v>29</v>
      </c>
      <c r="W548" s="4">
        <v>66</v>
      </c>
    </row>
    <row r="549" spans="1:23" ht="11.25" customHeight="1" x14ac:dyDescent="0.25">
      <c r="A549" s="4" t="s">
        <v>21</v>
      </c>
      <c r="B549" s="4" t="s">
        <v>43</v>
      </c>
      <c r="C549" s="4" t="s">
        <v>23</v>
      </c>
      <c r="D549" s="4" t="s">
        <v>44</v>
      </c>
      <c r="E549" s="4" t="s">
        <v>53</v>
      </c>
      <c r="F549" s="4" t="s">
        <v>55</v>
      </c>
      <c r="G549" s="4" t="s">
        <v>25</v>
      </c>
      <c r="H549" s="4" t="s">
        <v>25</v>
      </c>
      <c r="I549" s="5">
        <v>44470</v>
      </c>
      <c r="J549" s="6">
        <v>0</v>
      </c>
      <c r="K549" s="6">
        <v>0</v>
      </c>
      <c r="L549" s="6">
        <v>31.411999999999999</v>
      </c>
      <c r="M549" s="6">
        <v>12.5648</v>
      </c>
      <c r="N549" s="6">
        <v>31.411999999999999</v>
      </c>
      <c r="O549" s="6">
        <v>12.5648</v>
      </c>
      <c r="P549" s="6">
        <v>0</v>
      </c>
      <c r="Q549" s="4" t="s">
        <v>26</v>
      </c>
      <c r="R549" s="4">
        <v>0</v>
      </c>
      <c r="S549" s="4" t="s">
        <v>292</v>
      </c>
      <c r="T549" s="4" t="s">
        <v>537</v>
      </c>
      <c r="U549" s="4">
        <v>0</v>
      </c>
      <c r="V549" s="4">
        <v>29</v>
      </c>
      <c r="W549" s="4">
        <v>66</v>
      </c>
    </row>
    <row r="550" spans="1:23" ht="11.25" customHeight="1" x14ac:dyDescent="0.25">
      <c r="A550" s="4" t="s">
        <v>21</v>
      </c>
      <c r="B550" s="4" t="s">
        <v>43</v>
      </c>
      <c r="C550" s="4" t="s">
        <v>23</v>
      </c>
      <c r="D550" s="4" t="s">
        <v>44</v>
      </c>
      <c r="E550" s="4" t="s">
        <v>53</v>
      </c>
      <c r="F550" s="4" t="s">
        <v>55</v>
      </c>
      <c r="G550" s="4" t="s">
        <v>25</v>
      </c>
      <c r="H550" s="4" t="s">
        <v>25</v>
      </c>
      <c r="I550" s="5">
        <v>44501</v>
      </c>
      <c r="J550" s="6">
        <v>0</v>
      </c>
      <c r="K550" s="6">
        <v>0</v>
      </c>
      <c r="L550" s="6">
        <v>4.9569999999999999</v>
      </c>
      <c r="M550" s="6">
        <v>1.9827999999999999</v>
      </c>
      <c r="N550" s="6">
        <v>4.9569999999999999</v>
      </c>
      <c r="O550" s="6">
        <v>1.9827999999999999</v>
      </c>
      <c r="P550" s="6">
        <v>0</v>
      </c>
      <c r="Q550" s="4" t="s">
        <v>26</v>
      </c>
      <c r="R550" s="4">
        <v>0</v>
      </c>
      <c r="S550" s="4" t="s">
        <v>293</v>
      </c>
      <c r="T550" s="4" t="s">
        <v>538</v>
      </c>
      <c r="U550" s="4">
        <v>0</v>
      </c>
      <c r="V550" s="4">
        <v>29</v>
      </c>
      <c r="W550" s="4">
        <v>66</v>
      </c>
    </row>
    <row r="551" spans="1:23" ht="11.25" customHeight="1" x14ac:dyDescent="0.25">
      <c r="A551" s="4" t="s">
        <v>21</v>
      </c>
      <c r="B551" s="4" t="s">
        <v>43</v>
      </c>
      <c r="C551" s="4" t="s">
        <v>23</v>
      </c>
      <c r="D551" s="4" t="s">
        <v>44</v>
      </c>
      <c r="E551" s="4" t="s">
        <v>53</v>
      </c>
      <c r="F551" s="4" t="s">
        <v>55</v>
      </c>
      <c r="G551" s="4" t="s">
        <v>25</v>
      </c>
      <c r="H551" s="4" t="s">
        <v>25</v>
      </c>
      <c r="I551" s="5">
        <v>44531</v>
      </c>
      <c r="J551" s="6">
        <v>0</v>
      </c>
      <c r="K551" s="6">
        <v>0</v>
      </c>
      <c r="L551" s="6">
        <v>4.7690000000000001</v>
      </c>
      <c r="M551" s="6">
        <v>1.9076</v>
      </c>
      <c r="N551" s="6">
        <v>4.7690000000000001</v>
      </c>
      <c r="O551" s="6">
        <v>1.9076</v>
      </c>
      <c r="P551" s="6">
        <v>0</v>
      </c>
      <c r="Q551" s="4" t="s">
        <v>26</v>
      </c>
      <c r="R551" s="4">
        <v>0</v>
      </c>
      <c r="S551" s="4" t="s">
        <v>294</v>
      </c>
      <c r="T551" s="4" t="s">
        <v>539</v>
      </c>
      <c r="U551" s="4">
        <v>0</v>
      </c>
      <c r="V551" s="4">
        <v>29</v>
      </c>
      <c r="W551" s="4">
        <v>66</v>
      </c>
    </row>
    <row r="552" spans="1:23" ht="11.25" customHeight="1" x14ac:dyDescent="0.25">
      <c r="A552" s="4" t="s">
        <v>21</v>
      </c>
      <c r="B552" s="4" t="s">
        <v>43</v>
      </c>
      <c r="C552" s="4" t="s">
        <v>23</v>
      </c>
      <c r="D552" s="4" t="s">
        <v>44</v>
      </c>
      <c r="E552" s="4" t="s">
        <v>53</v>
      </c>
      <c r="F552" s="4" t="s">
        <v>55</v>
      </c>
      <c r="G552" s="4" t="s">
        <v>25</v>
      </c>
      <c r="H552" s="4" t="s">
        <v>25</v>
      </c>
      <c r="I552" s="5">
        <v>44562</v>
      </c>
      <c r="J552" s="6">
        <v>0</v>
      </c>
      <c r="K552" s="6">
        <v>0</v>
      </c>
      <c r="L552" s="6">
        <v>5.1879999999999997</v>
      </c>
      <c r="M552" s="6">
        <v>2.0752000000000002</v>
      </c>
      <c r="N552" s="6">
        <v>5.1879999999999997</v>
      </c>
      <c r="O552" s="6">
        <v>2.0752000000000002</v>
      </c>
      <c r="P552" s="6">
        <v>0</v>
      </c>
      <c r="Q552" s="4" t="s">
        <v>26</v>
      </c>
      <c r="R552" s="4">
        <v>0</v>
      </c>
      <c r="S552" s="4" t="s">
        <v>295</v>
      </c>
      <c r="T552" s="4" t="s">
        <v>540</v>
      </c>
      <c r="U552" s="4">
        <v>0</v>
      </c>
      <c r="V552" s="4">
        <v>29</v>
      </c>
      <c r="W552" s="4">
        <v>66</v>
      </c>
    </row>
    <row r="553" spans="1:23" ht="11.25" customHeight="1" x14ac:dyDescent="0.25">
      <c r="A553" s="4" t="s">
        <v>21</v>
      </c>
      <c r="B553" s="4" t="s">
        <v>43</v>
      </c>
      <c r="C553" s="4" t="s">
        <v>23</v>
      </c>
      <c r="D553" s="4" t="s">
        <v>44</v>
      </c>
      <c r="E553" s="4" t="s">
        <v>53</v>
      </c>
      <c r="F553" s="4" t="s">
        <v>55</v>
      </c>
      <c r="G553" s="4" t="s">
        <v>25</v>
      </c>
      <c r="H553" s="4" t="s">
        <v>25</v>
      </c>
      <c r="I553" s="5">
        <v>44593</v>
      </c>
      <c r="J553" s="6">
        <v>0</v>
      </c>
      <c r="K553" s="6">
        <v>0</v>
      </c>
      <c r="L553" s="6">
        <v>5.6379999999999999</v>
      </c>
      <c r="M553" s="6">
        <v>2.2551999999999999</v>
      </c>
      <c r="N553" s="6">
        <v>5.6379999999999999</v>
      </c>
      <c r="O553" s="6">
        <v>2.2551999999999999</v>
      </c>
      <c r="P553" s="6">
        <v>0</v>
      </c>
      <c r="Q553" s="4" t="s">
        <v>26</v>
      </c>
      <c r="R553" s="4">
        <v>0</v>
      </c>
      <c r="S553" s="4" t="s">
        <v>296</v>
      </c>
      <c r="T553" s="4" t="s">
        <v>541</v>
      </c>
      <c r="U553" s="4">
        <v>0</v>
      </c>
      <c r="V553" s="4">
        <v>29</v>
      </c>
      <c r="W553" s="4">
        <v>66</v>
      </c>
    </row>
    <row r="554" spans="1:23" ht="11.25" customHeight="1" x14ac:dyDescent="0.25">
      <c r="A554" s="4" t="s">
        <v>21</v>
      </c>
      <c r="B554" s="4" t="s">
        <v>43</v>
      </c>
      <c r="C554" s="4" t="s">
        <v>23</v>
      </c>
      <c r="D554" s="4" t="s">
        <v>44</v>
      </c>
      <c r="E554" s="4" t="s">
        <v>53</v>
      </c>
      <c r="F554" s="4" t="s">
        <v>55</v>
      </c>
      <c r="G554" s="4" t="s">
        <v>25</v>
      </c>
      <c r="H554" s="4" t="s">
        <v>25</v>
      </c>
      <c r="I554" s="5">
        <v>44621</v>
      </c>
      <c r="J554" s="6">
        <v>0</v>
      </c>
      <c r="K554" s="6">
        <v>0</v>
      </c>
      <c r="L554" s="6">
        <v>9.3390000000000004</v>
      </c>
      <c r="M554" s="6">
        <v>3.7355999999999998</v>
      </c>
      <c r="N554" s="6">
        <v>9.3390000000000004</v>
      </c>
      <c r="O554" s="6">
        <v>3.7355999999999998</v>
      </c>
      <c r="P554" s="6">
        <v>0</v>
      </c>
      <c r="Q554" s="4" t="s">
        <v>26</v>
      </c>
      <c r="R554" s="4">
        <v>0</v>
      </c>
      <c r="S554" s="4" t="s">
        <v>297</v>
      </c>
      <c r="T554" s="4" t="s">
        <v>542</v>
      </c>
      <c r="U554" s="4">
        <v>0</v>
      </c>
      <c r="V554" s="4">
        <v>29</v>
      </c>
      <c r="W554" s="4">
        <v>66</v>
      </c>
    </row>
    <row r="555" spans="1:23" ht="11.25" customHeight="1" x14ac:dyDescent="0.25">
      <c r="A555" s="4" t="s">
        <v>21</v>
      </c>
      <c r="B555" s="4" t="s">
        <v>43</v>
      </c>
      <c r="C555" s="4" t="s">
        <v>23</v>
      </c>
      <c r="D555" s="4" t="s">
        <v>44</v>
      </c>
      <c r="E555" s="4" t="s">
        <v>53</v>
      </c>
      <c r="F555" s="4" t="s">
        <v>55</v>
      </c>
      <c r="G555" s="4" t="s">
        <v>25</v>
      </c>
      <c r="H555" s="4" t="s">
        <v>25</v>
      </c>
      <c r="I555" s="5">
        <v>44652</v>
      </c>
      <c r="J555" s="6">
        <v>0</v>
      </c>
      <c r="K555" s="6">
        <v>0</v>
      </c>
      <c r="L555" s="6">
        <v>9.2910000000000004</v>
      </c>
      <c r="M555" s="6">
        <v>3.7164000000000001</v>
      </c>
      <c r="N555" s="6">
        <v>9.2910000000000004</v>
      </c>
      <c r="O555" s="6">
        <v>3.7164000000000001</v>
      </c>
      <c r="P555" s="6">
        <v>0</v>
      </c>
      <c r="Q555" s="4" t="s">
        <v>26</v>
      </c>
      <c r="R555" s="4">
        <v>0</v>
      </c>
      <c r="S555" s="4" t="s">
        <v>298</v>
      </c>
      <c r="T555" s="4" t="s">
        <v>543</v>
      </c>
      <c r="U555" s="4">
        <v>0</v>
      </c>
      <c r="V555" s="4">
        <v>29</v>
      </c>
      <c r="W555" s="4">
        <v>66</v>
      </c>
    </row>
    <row r="556" spans="1:23" ht="11.25" customHeight="1" x14ac:dyDescent="0.25">
      <c r="A556" s="4" t="s">
        <v>21</v>
      </c>
      <c r="B556" s="4" t="s">
        <v>43</v>
      </c>
      <c r="C556" s="4" t="s">
        <v>23</v>
      </c>
      <c r="D556" s="4" t="s">
        <v>44</v>
      </c>
      <c r="E556" s="4" t="s">
        <v>56</v>
      </c>
      <c r="F556" s="4" t="s">
        <v>54</v>
      </c>
      <c r="G556" s="4" t="s">
        <v>25</v>
      </c>
      <c r="H556" s="4" t="s">
        <v>25</v>
      </c>
      <c r="I556" s="5">
        <v>44317</v>
      </c>
      <c r="J556" s="6">
        <v>0</v>
      </c>
      <c r="K556" s="6">
        <v>0</v>
      </c>
      <c r="L556" s="6">
        <v>0.63100000000000001</v>
      </c>
      <c r="M556" s="6">
        <v>0.63100000000000001</v>
      </c>
      <c r="N556" s="6">
        <v>0.63100000000000001</v>
      </c>
      <c r="O556" s="6">
        <v>0.63100000000000001</v>
      </c>
      <c r="P556" s="6">
        <v>0</v>
      </c>
      <c r="Q556" s="4" t="s">
        <v>26</v>
      </c>
      <c r="R556" s="4">
        <v>0</v>
      </c>
      <c r="S556" s="4" t="s">
        <v>287</v>
      </c>
      <c r="T556" s="4" t="s">
        <v>532</v>
      </c>
      <c r="U556" s="4">
        <v>0</v>
      </c>
      <c r="V556" s="4">
        <v>29</v>
      </c>
      <c r="W556" s="4">
        <v>66</v>
      </c>
    </row>
    <row r="557" spans="1:23" ht="11.25" customHeight="1" x14ac:dyDescent="0.25">
      <c r="A557" s="4" t="s">
        <v>21</v>
      </c>
      <c r="B557" s="4" t="s">
        <v>43</v>
      </c>
      <c r="C557" s="4" t="s">
        <v>23</v>
      </c>
      <c r="D557" s="4" t="s">
        <v>44</v>
      </c>
      <c r="E557" s="4" t="s">
        <v>56</v>
      </c>
      <c r="F557" s="4" t="s">
        <v>54</v>
      </c>
      <c r="G557" s="4" t="s">
        <v>25</v>
      </c>
      <c r="H557" s="4" t="s">
        <v>25</v>
      </c>
      <c r="I557" s="5">
        <v>44348</v>
      </c>
      <c r="J557" s="6">
        <v>0</v>
      </c>
      <c r="K557" s="6">
        <v>0</v>
      </c>
      <c r="L557" s="6">
        <v>3.714</v>
      </c>
      <c r="M557" s="6">
        <v>3.714</v>
      </c>
      <c r="N557" s="6">
        <v>3.714</v>
      </c>
      <c r="O557" s="6">
        <v>3.714</v>
      </c>
      <c r="P557" s="6">
        <v>0</v>
      </c>
      <c r="Q557" s="4" t="s">
        <v>26</v>
      </c>
      <c r="R557" s="4">
        <v>0</v>
      </c>
      <c r="S557" s="4" t="s">
        <v>288</v>
      </c>
      <c r="T557" s="4" t="s">
        <v>533</v>
      </c>
      <c r="U557" s="4">
        <v>0</v>
      </c>
      <c r="V557" s="4">
        <v>29</v>
      </c>
      <c r="W557" s="4">
        <v>66</v>
      </c>
    </row>
    <row r="558" spans="1:23" ht="11.25" customHeight="1" x14ac:dyDescent="0.25">
      <c r="A558" s="4" t="s">
        <v>21</v>
      </c>
      <c r="B558" s="4" t="s">
        <v>43</v>
      </c>
      <c r="C558" s="4" t="s">
        <v>23</v>
      </c>
      <c r="D558" s="4" t="s">
        <v>44</v>
      </c>
      <c r="E558" s="4" t="s">
        <v>56</v>
      </c>
      <c r="F558" s="4" t="s">
        <v>54</v>
      </c>
      <c r="G558" s="4" t="s">
        <v>25</v>
      </c>
      <c r="H558" s="4" t="s">
        <v>25</v>
      </c>
      <c r="I558" s="5">
        <v>44378</v>
      </c>
      <c r="J558" s="6">
        <v>0</v>
      </c>
      <c r="K558" s="6">
        <v>0</v>
      </c>
      <c r="L558" s="6">
        <v>3.6040000000000001</v>
      </c>
      <c r="M558" s="6">
        <v>3.6040000000000001</v>
      </c>
      <c r="N558" s="6">
        <v>3.6040000000000001</v>
      </c>
      <c r="O558" s="6">
        <v>3.6040000000000001</v>
      </c>
      <c r="P558" s="6">
        <v>0</v>
      </c>
      <c r="Q558" s="4" t="s">
        <v>26</v>
      </c>
      <c r="R558" s="4">
        <v>0</v>
      </c>
      <c r="S558" s="4" t="s">
        <v>289</v>
      </c>
      <c r="T558" s="4" t="s">
        <v>534</v>
      </c>
      <c r="U558" s="4">
        <v>0</v>
      </c>
      <c r="V558" s="4">
        <v>29</v>
      </c>
      <c r="W558" s="4">
        <v>66</v>
      </c>
    </row>
    <row r="559" spans="1:23" ht="11.25" customHeight="1" x14ac:dyDescent="0.25">
      <c r="A559" s="4" t="s">
        <v>21</v>
      </c>
      <c r="B559" s="4" t="s">
        <v>43</v>
      </c>
      <c r="C559" s="4" t="s">
        <v>23</v>
      </c>
      <c r="D559" s="4" t="s">
        <v>44</v>
      </c>
      <c r="E559" s="4" t="s">
        <v>56</v>
      </c>
      <c r="F559" s="4" t="s">
        <v>54</v>
      </c>
      <c r="G559" s="4" t="s">
        <v>25</v>
      </c>
      <c r="H559" s="4" t="s">
        <v>25</v>
      </c>
      <c r="I559" s="5">
        <v>44409</v>
      </c>
      <c r="J559" s="6">
        <v>0</v>
      </c>
      <c r="K559" s="6">
        <v>0</v>
      </c>
      <c r="L559" s="6">
        <v>4.0940000000000003</v>
      </c>
      <c r="M559" s="6">
        <v>4.0940000000000003</v>
      </c>
      <c r="N559" s="6">
        <v>4.0940000000000003</v>
      </c>
      <c r="O559" s="6">
        <v>4.0940000000000003</v>
      </c>
      <c r="P559" s="6">
        <v>0</v>
      </c>
      <c r="Q559" s="4" t="s">
        <v>26</v>
      </c>
      <c r="R559" s="4">
        <v>0</v>
      </c>
      <c r="S559" s="4" t="s">
        <v>290</v>
      </c>
      <c r="T559" s="4" t="s">
        <v>535</v>
      </c>
      <c r="U559" s="4">
        <v>0</v>
      </c>
      <c r="V559" s="4">
        <v>29</v>
      </c>
      <c r="W559" s="4">
        <v>66</v>
      </c>
    </row>
    <row r="560" spans="1:23" ht="11.25" customHeight="1" x14ac:dyDescent="0.25">
      <c r="A560" s="4" t="s">
        <v>21</v>
      </c>
      <c r="B560" s="4" t="s">
        <v>43</v>
      </c>
      <c r="C560" s="4" t="s">
        <v>23</v>
      </c>
      <c r="D560" s="4" t="s">
        <v>44</v>
      </c>
      <c r="E560" s="4" t="s">
        <v>56</v>
      </c>
      <c r="F560" s="4" t="s">
        <v>54</v>
      </c>
      <c r="G560" s="4" t="s">
        <v>25</v>
      </c>
      <c r="H560" s="4" t="s">
        <v>25</v>
      </c>
      <c r="I560" s="5">
        <v>44440</v>
      </c>
      <c r="J560" s="6">
        <v>0</v>
      </c>
      <c r="K560" s="6">
        <v>0</v>
      </c>
      <c r="L560" s="6">
        <v>3.9260000000000002</v>
      </c>
      <c r="M560" s="6">
        <v>3.9260000000000002</v>
      </c>
      <c r="N560" s="6">
        <v>3.9260000000000002</v>
      </c>
      <c r="O560" s="6">
        <v>3.9260000000000002</v>
      </c>
      <c r="P560" s="6">
        <v>0</v>
      </c>
      <c r="Q560" s="4" t="s">
        <v>26</v>
      </c>
      <c r="R560" s="4">
        <v>0</v>
      </c>
      <c r="S560" s="4" t="s">
        <v>291</v>
      </c>
      <c r="T560" s="4" t="s">
        <v>536</v>
      </c>
      <c r="U560" s="4">
        <v>0</v>
      </c>
      <c r="V560" s="4">
        <v>29</v>
      </c>
      <c r="W560" s="4">
        <v>66</v>
      </c>
    </row>
    <row r="561" spans="1:23" ht="11.25" customHeight="1" x14ac:dyDescent="0.25">
      <c r="A561" s="4" t="s">
        <v>21</v>
      </c>
      <c r="B561" s="4" t="s">
        <v>43</v>
      </c>
      <c r="C561" s="4" t="s">
        <v>23</v>
      </c>
      <c r="D561" s="4" t="s">
        <v>44</v>
      </c>
      <c r="E561" s="4" t="s">
        <v>56</v>
      </c>
      <c r="F561" s="4" t="s">
        <v>54</v>
      </c>
      <c r="G561" s="4" t="s">
        <v>25</v>
      </c>
      <c r="H561" s="4" t="s">
        <v>25</v>
      </c>
      <c r="I561" s="5">
        <v>44470</v>
      </c>
      <c r="J561" s="6">
        <v>0</v>
      </c>
      <c r="K561" s="6">
        <v>0</v>
      </c>
      <c r="L561" s="6">
        <v>1.698</v>
      </c>
      <c r="M561" s="6">
        <v>1.698</v>
      </c>
      <c r="N561" s="6">
        <v>1.698</v>
      </c>
      <c r="O561" s="6">
        <v>1.698</v>
      </c>
      <c r="P561" s="6">
        <v>0</v>
      </c>
      <c r="Q561" s="4" t="s">
        <v>26</v>
      </c>
      <c r="R561" s="4">
        <v>0</v>
      </c>
      <c r="S561" s="4" t="s">
        <v>292</v>
      </c>
      <c r="T561" s="4" t="s">
        <v>537</v>
      </c>
      <c r="U561" s="4">
        <v>0</v>
      </c>
      <c r="V561" s="4">
        <v>29</v>
      </c>
      <c r="W561" s="4">
        <v>66</v>
      </c>
    </row>
    <row r="562" spans="1:23" ht="11.25" customHeight="1" x14ac:dyDescent="0.25">
      <c r="A562" s="4" t="s">
        <v>21</v>
      </c>
      <c r="B562" s="4" t="s">
        <v>43</v>
      </c>
      <c r="C562" s="4" t="s">
        <v>23</v>
      </c>
      <c r="D562" s="4" t="s">
        <v>44</v>
      </c>
      <c r="E562" s="4" t="s">
        <v>56</v>
      </c>
      <c r="F562" s="4" t="s">
        <v>54</v>
      </c>
      <c r="G562" s="4" t="s">
        <v>25</v>
      </c>
      <c r="H562" s="4" t="s">
        <v>25</v>
      </c>
      <c r="I562" s="5">
        <v>44501</v>
      </c>
      <c r="J562" s="6">
        <v>0</v>
      </c>
      <c r="K562" s="6">
        <v>0</v>
      </c>
      <c r="L562" s="6">
        <v>3.7109999999999999</v>
      </c>
      <c r="M562" s="6">
        <v>3.7109999999999999</v>
      </c>
      <c r="N562" s="6">
        <v>3.7109999999999999</v>
      </c>
      <c r="O562" s="6">
        <v>3.7109999999999999</v>
      </c>
      <c r="P562" s="6">
        <v>0</v>
      </c>
      <c r="Q562" s="4" t="s">
        <v>26</v>
      </c>
      <c r="R562" s="4">
        <v>0</v>
      </c>
      <c r="S562" s="4" t="s">
        <v>293</v>
      </c>
      <c r="T562" s="4" t="s">
        <v>538</v>
      </c>
      <c r="U562" s="4">
        <v>0</v>
      </c>
      <c r="V562" s="4">
        <v>29</v>
      </c>
      <c r="W562" s="4">
        <v>66</v>
      </c>
    </row>
    <row r="563" spans="1:23" ht="11.25" customHeight="1" x14ac:dyDescent="0.25">
      <c r="A563" s="4" t="s">
        <v>21</v>
      </c>
      <c r="B563" s="4" t="s">
        <v>43</v>
      </c>
      <c r="C563" s="4" t="s">
        <v>23</v>
      </c>
      <c r="D563" s="4" t="s">
        <v>44</v>
      </c>
      <c r="E563" s="4" t="s">
        <v>56</v>
      </c>
      <c r="F563" s="4" t="s">
        <v>54</v>
      </c>
      <c r="G563" s="4" t="s">
        <v>25</v>
      </c>
      <c r="H563" s="4" t="s">
        <v>25</v>
      </c>
      <c r="I563" s="5">
        <v>44531</v>
      </c>
      <c r="J563" s="6">
        <v>0</v>
      </c>
      <c r="K563" s="6">
        <v>0</v>
      </c>
      <c r="L563" s="6">
        <v>3.3180000000000001</v>
      </c>
      <c r="M563" s="6">
        <v>3.3180000000000001</v>
      </c>
      <c r="N563" s="6">
        <v>3.3180000000000001</v>
      </c>
      <c r="O563" s="6">
        <v>3.3180000000000001</v>
      </c>
      <c r="P563" s="6">
        <v>0</v>
      </c>
      <c r="Q563" s="4" t="s">
        <v>26</v>
      </c>
      <c r="R563" s="4">
        <v>0</v>
      </c>
      <c r="S563" s="4" t="s">
        <v>294</v>
      </c>
      <c r="T563" s="4" t="s">
        <v>539</v>
      </c>
      <c r="U563" s="4">
        <v>0</v>
      </c>
      <c r="V563" s="4">
        <v>29</v>
      </c>
      <c r="W563" s="4">
        <v>66</v>
      </c>
    </row>
    <row r="564" spans="1:23" ht="11.25" customHeight="1" x14ac:dyDescent="0.25">
      <c r="A564" s="4" t="s">
        <v>21</v>
      </c>
      <c r="B564" s="4" t="s">
        <v>43</v>
      </c>
      <c r="C564" s="4" t="s">
        <v>23</v>
      </c>
      <c r="D564" s="4" t="s">
        <v>44</v>
      </c>
      <c r="E564" s="4" t="s">
        <v>56</v>
      </c>
      <c r="F564" s="4" t="s">
        <v>54</v>
      </c>
      <c r="G564" s="4" t="s">
        <v>25</v>
      </c>
      <c r="H564" s="4" t="s">
        <v>25</v>
      </c>
      <c r="I564" s="5">
        <v>44562</v>
      </c>
      <c r="J564" s="6">
        <v>0</v>
      </c>
      <c r="K564" s="6">
        <v>0</v>
      </c>
      <c r="L564" s="6">
        <v>3.28</v>
      </c>
      <c r="M564" s="6">
        <v>3.28</v>
      </c>
      <c r="N564" s="6">
        <v>3.28</v>
      </c>
      <c r="O564" s="6">
        <v>3.28</v>
      </c>
      <c r="P564" s="6">
        <v>0</v>
      </c>
      <c r="Q564" s="4" t="s">
        <v>26</v>
      </c>
      <c r="R564" s="4">
        <v>0</v>
      </c>
      <c r="S564" s="4" t="s">
        <v>295</v>
      </c>
      <c r="T564" s="4" t="s">
        <v>540</v>
      </c>
      <c r="U564" s="4">
        <v>0</v>
      </c>
      <c r="V564" s="4">
        <v>29</v>
      </c>
      <c r="W564" s="4">
        <v>66</v>
      </c>
    </row>
    <row r="565" spans="1:23" ht="11.25" customHeight="1" x14ac:dyDescent="0.25">
      <c r="A565" s="4" t="s">
        <v>21</v>
      </c>
      <c r="B565" s="4" t="s">
        <v>43</v>
      </c>
      <c r="C565" s="4" t="s">
        <v>23</v>
      </c>
      <c r="D565" s="4" t="s">
        <v>44</v>
      </c>
      <c r="E565" s="4" t="s">
        <v>56</v>
      </c>
      <c r="F565" s="4" t="s">
        <v>54</v>
      </c>
      <c r="G565" s="4" t="s">
        <v>25</v>
      </c>
      <c r="H565" s="4" t="s">
        <v>25</v>
      </c>
      <c r="I565" s="5">
        <v>44593</v>
      </c>
      <c r="J565" s="6">
        <v>0</v>
      </c>
      <c r="K565" s="6">
        <v>0</v>
      </c>
      <c r="L565" s="6">
        <v>2.9420000000000002</v>
      </c>
      <c r="M565" s="6">
        <v>2.9420000000000002</v>
      </c>
      <c r="N565" s="6">
        <v>2.9420000000000002</v>
      </c>
      <c r="O565" s="6">
        <v>2.9420000000000002</v>
      </c>
      <c r="P565" s="6">
        <v>0</v>
      </c>
      <c r="Q565" s="4" t="s">
        <v>26</v>
      </c>
      <c r="R565" s="4">
        <v>0</v>
      </c>
      <c r="S565" s="4" t="s">
        <v>296</v>
      </c>
      <c r="T565" s="4" t="s">
        <v>541</v>
      </c>
      <c r="U565" s="4">
        <v>0</v>
      </c>
      <c r="V565" s="4">
        <v>29</v>
      </c>
      <c r="W565" s="4">
        <v>66</v>
      </c>
    </row>
    <row r="566" spans="1:23" ht="11.25" customHeight="1" x14ac:dyDescent="0.25">
      <c r="A566" s="4" t="s">
        <v>21</v>
      </c>
      <c r="B566" s="4" t="s">
        <v>43</v>
      </c>
      <c r="C566" s="4" t="s">
        <v>23</v>
      </c>
      <c r="D566" s="4" t="s">
        <v>44</v>
      </c>
      <c r="E566" s="4" t="s">
        <v>56</v>
      </c>
      <c r="F566" s="4" t="s">
        <v>54</v>
      </c>
      <c r="G566" s="4" t="s">
        <v>25</v>
      </c>
      <c r="H566" s="4" t="s">
        <v>25</v>
      </c>
      <c r="I566" s="5">
        <v>44621</v>
      </c>
      <c r="J566" s="6">
        <v>0</v>
      </c>
      <c r="K566" s="6">
        <v>0</v>
      </c>
      <c r="L566" s="6">
        <v>2.9609999999999999</v>
      </c>
      <c r="M566" s="6">
        <v>2.9609999999999999</v>
      </c>
      <c r="N566" s="6">
        <v>2.9609999999999999</v>
      </c>
      <c r="O566" s="6">
        <v>2.9609999999999999</v>
      </c>
      <c r="P566" s="6">
        <v>0</v>
      </c>
      <c r="Q566" s="4" t="s">
        <v>26</v>
      </c>
      <c r="R566" s="4">
        <v>0</v>
      </c>
      <c r="S566" s="4" t="s">
        <v>297</v>
      </c>
      <c r="T566" s="4" t="s">
        <v>542</v>
      </c>
      <c r="U566" s="4">
        <v>0</v>
      </c>
      <c r="V566" s="4">
        <v>29</v>
      </c>
      <c r="W566" s="4">
        <v>66</v>
      </c>
    </row>
    <row r="567" spans="1:23" ht="11.25" customHeight="1" x14ac:dyDescent="0.25">
      <c r="A567" s="4" t="s">
        <v>21</v>
      </c>
      <c r="B567" s="4" t="s">
        <v>43</v>
      </c>
      <c r="C567" s="4" t="s">
        <v>23</v>
      </c>
      <c r="D567" s="4" t="s">
        <v>44</v>
      </c>
      <c r="E567" s="4" t="s">
        <v>56</v>
      </c>
      <c r="F567" s="4" t="s">
        <v>54</v>
      </c>
      <c r="G567" s="4" t="s">
        <v>25</v>
      </c>
      <c r="H567" s="4" t="s">
        <v>25</v>
      </c>
      <c r="I567" s="5">
        <v>44652</v>
      </c>
      <c r="J567" s="6">
        <v>0</v>
      </c>
      <c r="K567" s="6">
        <v>0</v>
      </c>
      <c r="L567" s="6">
        <v>2.7930000000000001</v>
      </c>
      <c r="M567" s="6">
        <v>2.7930000000000001</v>
      </c>
      <c r="N567" s="6">
        <v>2.7930000000000001</v>
      </c>
      <c r="O567" s="6">
        <v>2.7930000000000001</v>
      </c>
      <c r="P567" s="6">
        <v>0</v>
      </c>
      <c r="Q567" s="4" t="s">
        <v>26</v>
      </c>
      <c r="R567" s="4">
        <v>0</v>
      </c>
      <c r="S567" s="4" t="s">
        <v>298</v>
      </c>
      <c r="T567" s="4" t="s">
        <v>543</v>
      </c>
      <c r="U567" s="4">
        <v>0</v>
      </c>
      <c r="V567" s="4">
        <v>29</v>
      </c>
      <c r="W567" s="4">
        <v>66</v>
      </c>
    </row>
    <row r="568" spans="1:23" ht="11.25" customHeight="1" x14ac:dyDescent="0.25">
      <c r="A568" s="4" t="s">
        <v>21</v>
      </c>
      <c r="B568" s="4" t="s">
        <v>43</v>
      </c>
      <c r="C568" s="4" t="s">
        <v>23</v>
      </c>
      <c r="D568" s="4" t="s">
        <v>44</v>
      </c>
      <c r="E568" s="4" t="s">
        <v>56</v>
      </c>
      <c r="F568" s="4" t="s">
        <v>55</v>
      </c>
      <c r="G568" s="4" t="s">
        <v>25</v>
      </c>
      <c r="H568" s="4" t="s">
        <v>25</v>
      </c>
      <c r="I568" s="5">
        <v>44317</v>
      </c>
      <c r="J568" s="6">
        <v>0</v>
      </c>
      <c r="K568" s="6">
        <v>0</v>
      </c>
      <c r="L568" s="6">
        <v>1.8169999999999999</v>
      </c>
      <c r="M568" s="6">
        <v>0.7268</v>
      </c>
      <c r="N568" s="6">
        <v>1.8169999999999999</v>
      </c>
      <c r="O568" s="6">
        <v>0.7268</v>
      </c>
      <c r="P568" s="6">
        <v>0</v>
      </c>
      <c r="Q568" s="4" t="s">
        <v>26</v>
      </c>
      <c r="R568" s="4">
        <v>0</v>
      </c>
      <c r="S568" s="4" t="s">
        <v>287</v>
      </c>
      <c r="T568" s="4" t="s">
        <v>532</v>
      </c>
      <c r="U568" s="4">
        <v>0</v>
      </c>
      <c r="V568" s="4">
        <v>29</v>
      </c>
      <c r="W568" s="4">
        <v>66</v>
      </c>
    </row>
    <row r="569" spans="1:23" ht="11.25" customHeight="1" x14ac:dyDescent="0.25">
      <c r="A569" s="4" t="s">
        <v>21</v>
      </c>
      <c r="B569" s="4" t="s">
        <v>43</v>
      </c>
      <c r="C569" s="4" t="s">
        <v>23</v>
      </c>
      <c r="D569" s="4" t="s">
        <v>44</v>
      </c>
      <c r="E569" s="4" t="s">
        <v>56</v>
      </c>
      <c r="F569" s="4" t="s">
        <v>55</v>
      </c>
      <c r="G569" s="4" t="s">
        <v>25</v>
      </c>
      <c r="H569" s="4" t="s">
        <v>25</v>
      </c>
      <c r="I569" s="5">
        <v>44348</v>
      </c>
      <c r="J569" s="6">
        <v>0</v>
      </c>
      <c r="K569" s="6">
        <v>0</v>
      </c>
      <c r="L569" s="6">
        <v>3.04</v>
      </c>
      <c r="M569" s="6">
        <v>1.216</v>
      </c>
      <c r="N569" s="6">
        <v>3.04</v>
      </c>
      <c r="O569" s="6">
        <v>1.216</v>
      </c>
      <c r="P569" s="6">
        <v>0</v>
      </c>
      <c r="Q569" s="4" t="s">
        <v>26</v>
      </c>
      <c r="R569" s="4">
        <v>0</v>
      </c>
      <c r="S569" s="4" t="s">
        <v>288</v>
      </c>
      <c r="T569" s="4" t="s">
        <v>533</v>
      </c>
      <c r="U569" s="4">
        <v>0</v>
      </c>
      <c r="V569" s="4">
        <v>29</v>
      </c>
      <c r="W569" s="4">
        <v>66</v>
      </c>
    </row>
    <row r="570" spans="1:23" ht="11.25" customHeight="1" x14ac:dyDescent="0.25">
      <c r="A570" s="4" t="s">
        <v>21</v>
      </c>
      <c r="B570" s="4" t="s">
        <v>43</v>
      </c>
      <c r="C570" s="4" t="s">
        <v>23</v>
      </c>
      <c r="D570" s="4" t="s">
        <v>44</v>
      </c>
      <c r="E570" s="4" t="s">
        <v>56</v>
      </c>
      <c r="F570" s="4" t="s">
        <v>55</v>
      </c>
      <c r="G570" s="4" t="s">
        <v>25</v>
      </c>
      <c r="H570" s="4" t="s">
        <v>25</v>
      </c>
      <c r="I570" s="5">
        <v>44378</v>
      </c>
      <c r="J570" s="6">
        <v>0</v>
      </c>
      <c r="K570" s="6">
        <v>0</v>
      </c>
      <c r="L570" s="6">
        <v>2.3580000000000001</v>
      </c>
      <c r="M570" s="6">
        <v>0.94320000000000004</v>
      </c>
      <c r="N570" s="6">
        <v>2.3580000000000001</v>
      </c>
      <c r="O570" s="6">
        <v>0.94320000000000004</v>
      </c>
      <c r="P570" s="6">
        <v>0</v>
      </c>
      <c r="Q570" s="4" t="s">
        <v>26</v>
      </c>
      <c r="R570" s="4">
        <v>0</v>
      </c>
      <c r="S570" s="4" t="s">
        <v>289</v>
      </c>
      <c r="T570" s="4" t="s">
        <v>534</v>
      </c>
      <c r="U570" s="4">
        <v>0</v>
      </c>
      <c r="V570" s="4">
        <v>29</v>
      </c>
      <c r="W570" s="4">
        <v>66</v>
      </c>
    </row>
    <row r="571" spans="1:23" ht="11.25" customHeight="1" x14ac:dyDescent="0.25">
      <c r="A571" s="4" t="s">
        <v>21</v>
      </c>
      <c r="B571" s="4" t="s">
        <v>43</v>
      </c>
      <c r="C571" s="4" t="s">
        <v>23</v>
      </c>
      <c r="D571" s="4" t="s">
        <v>44</v>
      </c>
      <c r="E571" s="4" t="s">
        <v>56</v>
      </c>
      <c r="F571" s="4" t="s">
        <v>55</v>
      </c>
      <c r="G571" s="4" t="s">
        <v>25</v>
      </c>
      <c r="H571" s="4" t="s">
        <v>25</v>
      </c>
      <c r="I571" s="5">
        <v>44409</v>
      </c>
      <c r="J571" s="6">
        <v>0</v>
      </c>
      <c r="K571" s="6">
        <v>0</v>
      </c>
      <c r="L571" s="6">
        <v>2.86</v>
      </c>
      <c r="M571" s="6">
        <v>1.1439999999999999</v>
      </c>
      <c r="N571" s="6">
        <v>2.86</v>
      </c>
      <c r="O571" s="6">
        <v>1.1439999999999999</v>
      </c>
      <c r="P571" s="6">
        <v>0</v>
      </c>
      <c r="Q571" s="4" t="s">
        <v>26</v>
      </c>
      <c r="R571" s="4">
        <v>0</v>
      </c>
      <c r="S571" s="4" t="s">
        <v>290</v>
      </c>
      <c r="T571" s="4" t="s">
        <v>535</v>
      </c>
      <c r="U571" s="4">
        <v>0</v>
      </c>
      <c r="V571" s="4">
        <v>29</v>
      </c>
      <c r="W571" s="4">
        <v>66</v>
      </c>
    </row>
    <row r="572" spans="1:23" ht="11.25" customHeight="1" x14ac:dyDescent="0.25">
      <c r="A572" s="4" t="s">
        <v>21</v>
      </c>
      <c r="B572" s="4" t="s">
        <v>43</v>
      </c>
      <c r="C572" s="4" t="s">
        <v>23</v>
      </c>
      <c r="D572" s="4" t="s">
        <v>44</v>
      </c>
      <c r="E572" s="4" t="s">
        <v>56</v>
      </c>
      <c r="F572" s="4" t="s">
        <v>55</v>
      </c>
      <c r="G572" s="4" t="s">
        <v>25</v>
      </c>
      <c r="H572" s="4" t="s">
        <v>25</v>
      </c>
      <c r="I572" s="5">
        <v>44440</v>
      </c>
      <c r="J572" s="6">
        <v>0</v>
      </c>
      <c r="K572" s="6">
        <v>0</v>
      </c>
      <c r="L572" s="6">
        <v>2.6030000000000002</v>
      </c>
      <c r="M572" s="6">
        <v>1.0411999999999999</v>
      </c>
      <c r="N572" s="6">
        <v>2.6030000000000002</v>
      </c>
      <c r="O572" s="6">
        <v>1.0411999999999999</v>
      </c>
      <c r="P572" s="6">
        <v>0</v>
      </c>
      <c r="Q572" s="4" t="s">
        <v>26</v>
      </c>
      <c r="R572" s="4">
        <v>0</v>
      </c>
      <c r="S572" s="4" t="s">
        <v>291</v>
      </c>
      <c r="T572" s="4" t="s">
        <v>536</v>
      </c>
      <c r="U572" s="4">
        <v>0</v>
      </c>
      <c r="V572" s="4">
        <v>29</v>
      </c>
      <c r="W572" s="4">
        <v>66</v>
      </c>
    </row>
    <row r="573" spans="1:23" ht="11.25" customHeight="1" x14ac:dyDescent="0.25">
      <c r="A573" s="4" t="s">
        <v>21</v>
      </c>
      <c r="B573" s="4" t="s">
        <v>43</v>
      </c>
      <c r="C573" s="4" t="s">
        <v>23</v>
      </c>
      <c r="D573" s="4" t="s">
        <v>44</v>
      </c>
      <c r="E573" s="4" t="s">
        <v>56</v>
      </c>
      <c r="F573" s="4" t="s">
        <v>55</v>
      </c>
      <c r="G573" s="4" t="s">
        <v>25</v>
      </c>
      <c r="H573" s="4" t="s">
        <v>25</v>
      </c>
      <c r="I573" s="5">
        <v>44470</v>
      </c>
      <c r="J573" s="6">
        <v>0</v>
      </c>
      <c r="K573" s="6">
        <v>0</v>
      </c>
      <c r="L573" s="6">
        <v>2.6150000000000002</v>
      </c>
      <c r="M573" s="6">
        <v>1.046</v>
      </c>
      <c r="N573" s="6">
        <v>2.6150000000000002</v>
      </c>
      <c r="O573" s="6">
        <v>1.046</v>
      </c>
      <c r="P573" s="6">
        <v>0</v>
      </c>
      <c r="Q573" s="4" t="s">
        <v>26</v>
      </c>
      <c r="R573" s="4">
        <v>0</v>
      </c>
      <c r="S573" s="4" t="s">
        <v>292</v>
      </c>
      <c r="T573" s="4" t="s">
        <v>537</v>
      </c>
      <c r="U573" s="4">
        <v>0</v>
      </c>
      <c r="V573" s="4">
        <v>29</v>
      </c>
      <c r="W573" s="4">
        <v>66</v>
      </c>
    </row>
    <row r="574" spans="1:23" ht="11.25" customHeight="1" x14ac:dyDescent="0.25">
      <c r="A574" s="4" t="s">
        <v>21</v>
      </c>
      <c r="B574" s="4" t="s">
        <v>43</v>
      </c>
      <c r="C574" s="4" t="s">
        <v>23</v>
      </c>
      <c r="D574" s="4" t="s">
        <v>44</v>
      </c>
      <c r="E574" s="4" t="s">
        <v>56</v>
      </c>
      <c r="F574" s="4" t="s">
        <v>55</v>
      </c>
      <c r="G574" s="4" t="s">
        <v>25</v>
      </c>
      <c r="H574" s="4" t="s">
        <v>25</v>
      </c>
      <c r="I574" s="5">
        <v>44501</v>
      </c>
      <c r="J574" s="6">
        <v>0</v>
      </c>
      <c r="K574" s="6">
        <v>0</v>
      </c>
      <c r="L574" s="6">
        <v>2.3199999999999998</v>
      </c>
      <c r="M574" s="6">
        <v>0.92800000000000005</v>
      </c>
      <c r="N574" s="6">
        <v>2.3199999999999998</v>
      </c>
      <c r="O574" s="6">
        <v>0.92800000000000005</v>
      </c>
      <c r="P574" s="6">
        <v>0</v>
      </c>
      <c r="Q574" s="4" t="s">
        <v>26</v>
      </c>
      <c r="R574" s="4">
        <v>0</v>
      </c>
      <c r="S574" s="4" t="s">
        <v>293</v>
      </c>
      <c r="T574" s="4" t="s">
        <v>538</v>
      </c>
      <c r="U574" s="4">
        <v>0</v>
      </c>
      <c r="V574" s="4">
        <v>29</v>
      </c>
      <c r="W574" s="4">
        <v>66</v>
      </c>
    </row>
    <row r="575" spans="1:23" ht="11.25" customHeight="1" x14ac:dyDescent="0.25">
      <c r="A575" s="4" t="s">
        <v>21</v>
      </c>
      <c r="B575" s="4" t="s">
        <v>43</v>
      </c>
      <c r="C575" s="4" t="s">
        <v>23</v>
      </c>
      <c r="D575" s="4" t="s">
        <v>44</v>
      </c>
      <c r="E575" s="4" t="s">
        <v>56</v>
      </c>
      <c r="F575" s="4" t="s">
        <v>55</v>
      </c>
      <c r="G575" s="4" t="s">
        <v>25</v>
      </c>
      <c r="H575" s="4" t="s">
        <v>25</v>
      </c>
      <c r="I575" s="5">
        <v>44531</v>
      </c>
      <c r="J575" s="6">
        <v>0</v>
      </c>
      <c r="K575" s="6">
        <v>0</v>
      </c>
      <c r="L575" s="6">
        <v>2.157</v>
      </c>
      <c r="M575" s="6">
        <v>0.86280000000000001</v>
      </c>
      <c r="N575" s="6">
        <v>2.157</v>
      </c>
      <c r="O575" s="6">
        <v>0.86280000000000001</v>
      </c>
      <c r="P575" s="6">
        <v>0</v>
      </c>
      <c r="Q575" s="4" t="s">
        <v>26</v>
      </c>
      <c r="R575" s="4">
        <v>0</v>
      </c>
      <c r="S575" s="4" t="s">
        <v>294</v>
      </c>
      <c r="T575" s="4" t="s">
        <v>539</v>
      </c>
      <c r="U575" s="4">
        <v>0</v>
      </c>
      <c r="V575" s="4">
        <v>29</v>
      </c>
      <c r="W575" s="4">
        <v>66</v>
      </c>
    </row>
    <row r="576" spans="1:23" ht="11.25" customHeight="1" x14ac:dyDescent="0.25">
      <c r="A576" s="4" t="s">
        <v>21</v>
      </c>
      <c r="B576" s="4" t="s">
        <v>43</v>
      </c>
      <c r="C576" s="4" t="s">
        <v>23</v>
      </c>
      <c r="D576" s="4" t="s">
        <v>44</v>
      </c>
      <c r="E576" s="4" t="s">
        <v>56</v>
      </c>
      <c r="F576" s="4" t="s">
        <v>55</v>
      </c>
      <c r="G576" s="4" t="s">
        <v>25</v>
      </c>
      <c r="H576" s="4" t="s">
        <v>25</v>
      </c>
      <c r="I576" s="5">
        <v>44562</v>
      </c>
      <c r="J576" s="6">
        <v>0</v>
      </c>
      <c r="K576" s="6">
        <v>0</v>
      </c>
      <c r="L576" s="6">
        <v>1.97</v>
      </c>
      <c r="M576" s="6">
        <v>0.78800000000000003</v>
      </c>
      <c r="N576" s="6">
        <v>1.97</v>
      </c>
      <c r="O576" s="6">
        <v>0.78800000000000003</v>
      </c>
      <c r="P576" s="6">
        <v>0</v>
      </c>
      <c r="Q576" s="4" t="s">
        <v>26</v>
      </c>
      <c r="R576" s="4">
        <v>0</v>
      </c>
      <c r="S576" s="4" t="s">
        <v>295</v>
      </c>
      <c r="T576" s="4" t="s">
        <v>540</v>
      </c>
      <c r="U576" s="4">
        <v>0</v>
      </c>
      <c r="V576" s="4">
        <v>29</v>
      </c>
      <c r="W576" s="4">
        <v>66</v>
      </c>
    </row>
    <row r="577" spans="1:23" ht="11.25" customHeight="1" x14ac:dyDescent="0.25">
      <c r="A577" s="4" t="s">
        <v>21</v>
      </c>
      <c r="B577" s="4" t="s">
        <v>43</v>
      </c>
      <c r="C577" s="4" t="s">
        <v>23</v>
      </c>
      <c r="D577" s="4" t="s">
        <v>44</v>
      </c>
      <c r="E577" s="4" t="s">
        <v>56</v>
      </c>
      <c r="F577" s="4" t="s">
        <v>55</v>
      </c>
      <c r="G577" s="4" t="s">
        <v>25</v>
      </c>
      <c r="H577" s="4" t="s">
        <v>25</v>
      </c>
      <c r="I577" s="5">
        <v>44593</v>
      </c>
      <c r="J577" s="6">
        <v>0</v>
      </c>
      <c r="K577" s="6">
        <v>0</v>
      </c>
      <c r="L577" s="6">
        <v>1.798</v>
      </c>
      <c r="M577" s="6">
        <v>0.71919999999999995</v>
      </c>
      <c r="N577" s="6">
        <v>1.798</v>
      </c>
      <c r="O577" s="6">
        <v>0.71919999999999995</v>
      </c>
      <c r="P577" s="6">
        <v>0</v>
      </c>
      <c r="Q577" s="4" t="s">
        <v>26</v>
      </c>
      <c r="R577" s="4">
        <v>0</v>
      </c>
      <c r="S577" s="4" t="s">
        <v>296</v>
      </c>
      <c r="T577" s="4" t="s">
        <v>541</v>
      </c>
      <c r="U577" s="4">
        <v>0</v>
      </c>
      <c r="V577" s="4">
        <v>29</v>
      </c>
      <c r="W577" s="4">
        <v>66</v>
      </c>
    </row>
    <row r="578" spans="1:23" ht="11.25" customHeight="1" x14ac:dyDescent="0.25">
      <c r="A578" s="4" t="s">
        <v>21</v>
      </c>
      <c r="B578" s="4" t="s">
        <v>43</v>
      </c>
      <c r="C578" s="4" t="s">
        <v>23</v>
      </c>
      <c r="D578" s="4" t="s">
        <v>44</v>
      </c>
      <c r="E578" s="4" t="s">
        <v>56</v>
      </c>
      <c r="F578" s="4" t="s">
        <v>55</v>
      </c>
      <c r="G578" s="4" t="s">
        <v>25</v>
      </c>
      <c r="H578" s="4" t="s">
        <v>25</v>
      </c>
      <c r="I578" s="5">
        <v>44621</v>
      </c>
      <c r="J578" s="6">
        <v>0</v>
      </c>
      <c r="K578" s="6">
        <v>0</v>
      </c>
      <c r="L578" s="6">
        <v>1.7749999999999999</v>
      </c>
      <c r="M578" s="6">
        <v>0.71</v>
      </c>
      <c r="N578" s="6">
        <v>1.7749999999999999</v>
      </c>
      <c r="O578" s="6">
        <v>0.71</v>
      </c>
      <c r="P578" s="6">
        <v>0</v>
      </c>
      <c r="Q578" s="4" t="s">
        <v>26</v>
      </c>
      <c r="R578" s="4">
        <v>0</v>
      </c>
      <c r="S578" s="4" t="s">
        <v>297</v>
      </c>
      <c r="T578" s="4" t="s">
        <v>542</v>
      </c>
      <c r="U578" s="4">
        <v>0</v>
      </c>
      <c r="V578" s="4">
        <v>29</v>
      </c>
      <c r="W578" s="4">
        <v>66</v>
      </c>
    </row>
    <row r="579" spans="1:23" ht="11.25" customHeight="1" x14ac:dyDescent="0.25">
      <c r="A579" s="4" t="s">
        <v>21</v>
      </c>
      <c r="B579" s="4" t="s">
        <v>43</v>
      </c>
      <c r="C579" s="4" t="s">
        <v>23</v>
      </c>
      <c r="D579" s="4" t="s">
        <v>44</v>
      </c>
      <c r="E579" s="4" t="s">
        <v>56</v>
      </c>
      <c r="F579" s="4" t="s">
        <v>55</v>
      </c>
      <c r="G579" s="4" t="s">
        <v>25</v>
      </c>
      <c r="H579" s="4" t="s">
        <v>25</v>
      </c>
      <c r="I579" s="5">
        <v>44652</v>
      </c>
      <c r="J579" s="6">
        <v>0</v>
      </c>
      <c r="K579" s="6">
        <v>0</v>
      </c>
      <c r="L579" s="6">
        <v>1.724</v>
      </c>
      <c r="M579" s="6">
        <v>0.68959999999999999</v>
      </c>
      <c r="N579" s="6">
        <v>1.724</v>
      </c>
      <c r="O579" s="6">
        <v>0.68959999999999999</v>
      </c>
      <c r="P579" s="6">
        <v>0</v>
      </c>
      <c r="Q579" s="4" t="s">
        <v>26</v>
      </c>
      <c r="R579" s="4">
        <v>0</v>
      </c>
      <c r="S579" s="4" t="s">
        <v>298</v>
      </c>
      <c r="T579" s="4" t="s">
        <v>543</v>
      </c>
      <c r="U579" s="4">
        <v>0</v>
      </c>
      <c r="V579" s="4">
        <v>29</v>
      </c>
      <c r="W579" s="4">
        <v>66</v>
      </c>
    </row>
    <row r="580" spans="1:23" ht="11.25" customHeight="1" x14ac:dyDescent="0.25">
      <c r="A580" s="4" t="s">
        <v>21</v>
      </c>
      <c r="B580" s="4" t="s">
        <v>43</v>
      </c>
      <c r="C580" s="4" t="s">
        <v>23</v>
      </c>
      <c r="D580" s="4" t="s">
        <v>44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44317</v>
      </c>
      <c r="J580" s="6">
        <v>0</v>
      </c>
      <c r="K580" s="6">
        <v>0</v>
      </c>
      <c r="L580" s="6">
        <v>3126.35</v>
      </c>
      <c r="M580" s="6">
        <v>3126.35</v>
      </c>
      <c r="N580" s="6">
        <v>3126.35</v>
      </c>
      <c r="O580" s="6">
        <v>3126.35</v>
      </c>
      <c r="P580" s="6">
        <v>2694</v>
      </c>
      <c r="Q580" s="4" t="s">
        <v>26</v>
      </c>
      <c r="R580" s="4">
        <v>0</v>
      </c>
      <c r="S580" s="4" t="s">
        <v>287</v>
      </c>
      <c r="T580" s="4" t="s">
        <v>532</v>
      </c>
      <c r="U580" s="4">
        <v>0</v>
      </c>
      <c r="V580" s="4">
        <v>29</v>
      </c>
      <c r="W580" s="4">
        <v>66</v>
      </c>
    </row>
    <row r="581" spans="1:23" ht="11.25" customHeight="1" x14ac:dyDescent="0.25">
      <c r="A581" s="4" t="s">
        <v>27</v>
      </c>
      <c r="B581" s="4" t="s">
        <v>43</v>
      </c>
      <c r="C581" s="4" t="s">
        <v>23</v>
      </c>
      <c r="D581" s="4" t="s">
        <v>44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44317</v>
      </c>
      <c r="J581" s="6">
        <v>0</v>
      </c>
      <c r="K581" s="6">
        <v>0</v>
      </c>
      <c r="L581" s="6">
        <v>-8.8789999999999996</v>
      </c>
      <c r="M581" s="6">
        <v>-8.8789999999999996</v>
      </c>
      <c r="N581" s="6">
        <v>-8.8789999999999996</v>
      </c>
      <c r="O581" s="6">
        <v>-8.8789999999999996</v>
      </c>
      <c r="P581" s="6">
        <v>0</v>
      </c>
      <c r="Q581" s="4" t="s">
        <v>26</v>
      </c>
      <c r="R581" s="4">
        <v>0</v>
      </c>
      <c r="S581" s="4" t="s">
        <v>287</v>
      </c>
      <c r="T581" s="4" t="s">
        <v>532</v>
      </c>
      <c r="U581" s="4">
        <v>0</v>
      </c>
      <c r="V581" s="4">
        <v>29</v>
      </c>
      <c r="W581" s="4">
        <v>66</v>
      </c>
    </row>
    <row r="582" spans="1:23" ht="11.25" customHeight="1" x14ac:dyDescent="0.25">
      <c r="A582" s="4" t="s">
        <v>28</v>
      </c>
      <c r="B582" s="4" t="s">
        <v>43</v>
      </c>
      <c r="C582" s="4" t="s">
        <v>23</v>
      </c>
      <c r="D582" s="4" t="s">
        <v>44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44317</v>
      </c>
      <c r="J582" s="6">
        <v>0</v>
      </c>
      <c r="K582" s="6">
        <v>0</v>
      </c>
      <c r="L582" s="6">
        <v>37.948</v>
      </c>
      <c r="M582" s="6">
        <v>37.948</v>
      </c>
      <c r="N582" s="6">
        <v>37.948</v>
      </c>
      <c r="O582" s="6">
        <v>37.948</v>
      </c>
      <c r="P582" s="6">
        <v>66</v>
      </c>
      <c r="Q582" s="4" t="s">
        <v>26</v>
      </c>
      <c r="R582" s="4">
        <v>0</v>
      </c>
      <c r="S582" s="4" t="s">
        <v>287</v>
      </c>
      <c r="T582" s="4" t="s">
        <v>532</v>
      </c>
      <c r="U582" s="4">
        <v>0</v>
      </c>
      <c r="V582" s="4">
        <v>29</v>
      </c>
      <c r="W582" s="4">
        <v>66</v>
      </c>
    </row>
    <row r="583" spans="1:23" ht="11.25" customHeight="1" x14ac:dyDescent="0.25">
      <c r="A583" s="4" t="s">
        <v>21</v>
      </c>
      <c r="B583" s="4" t="s">
        <v>43</v>
      </c>
      <c r="C583" s="4" t="s">
        <v>23</v>
      </c>
      <c r="D583" s="4" t="s">
        <v>44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44348</v>
      </c>
      <c r="J583" s="6">
        <v>0</v>
      </c>
      <c r="K583" s="6">
        <v>0</v>
      </c>
      <c r="L583" s="6">
        <v>2842.0070000000001</v>
      </c>
      <c r="M583" s="6">
        <v>2842.0070000000001</v>
      </c>
      <c r="N583" s="6">
        <v>2842.0070000000001</v>
      </c>
      <c r="O583" s="6">
        <v>2842.0070000000001</v>
      </c>
      <c r="P583" s="6">
        <v>2664</v>
      </c>
      <c r="Q583" s="4" t="s">
        <v>26</v>
      </c>
      <c r="R583" s="4">
        <v>0</v>
      </c>
      <c r="S583" s="4" t="s">
        <v>288</v>
      </c>
      <c r="T583" s="4" t="s">
        <v>533</v>
      </c>
      <c r="U583" s="4">
        <v>0</v>
      </c>
      <c r="V583" s="4">
        <v>29</v>
      </c>
      <c r="W583" s="4">
        <v>66</v>
      </c>
    </row>
    <row r="584" spans="1:23" ht="11.25" customHeight="1" x14ac:dyDescent="0.25">
      <c r="A584" s="4" t="s">
        <v>28</v>
      </c>
      <c r="B584" s="4" t="s">
        <v>43</v>
      </c>
      <c r="C584" s="4" t="s">
        <v>23</v>
      </c>
      <c r="D584" s="4" t="s">
        <v>44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44348</v>
      </c>
      <c r="J584" s="6">
        <v>0</v>
      </c>
      <c r="K584" s="6">
        <v>0</v>
      </c>
      <c r="L584" s="6">
        <v>71.721999999999994</v>
      </c>
      <c r="M584" s="6">
        <v>71.721999999999994</v>
      </c>
      <c r="N584" s="6">
        <v>71.721999999999994</v>
      </c>
      <c r="O584" s="6">
        <v>71.721999999999994</v>
      </c>
      <c r="P584" s="6">
        <v>72</v>
      </c>
      <c r="Q584" s="4" t="s">
        <v>26</v>
      </c>
      <c r="R584" s="4">
        <v>0</v>
      </c>
      <c r="S584" s="4" t="s">
        <v>288</v>
      </c>
      <c r="T584" s="4" t="s">
        <v>533</v>
      </c>
      <c r="U584" s="4">
        <v>0</v>
      </c>
      <c r="V584" s="4">
        <v>29</v>
      </c>
      <c r="W584" s="4">
        <v>66</v>
      </c>
    </row>
    <row r="585" spans="1:23" ht="11.25" customHeight="1" x14ac:dyDescent="0.25">
      <c r="A585" s="4" t="s">
        <v>21</v>
      </c>
      <c r="B585" s="4" t="s">
        <v>43</v>
      </c>
      <c r="C585" s="4" t="s">
        <v>23</v>
      </c>
      <c r="D585" s="4" t="s">
        <v>44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44378</v>
      </c>
      <c r="J585" s="6">
        <v>0</v>
      </c>
      <c r="K585" s="6">
        <v>0</v>
      </c>
      <c r="L585" s="6">
        <v>2702.8150000000001</v>
      </c>
      <c r="M585" s="6">
        <v>2702.8150000000001</v>
      </c>
      <c r="N585" s="6">
        <v>2702.8150000000001</v>
      </c>
      <c r="O585" s="6">
        <v>2702.8150000000001</v>
      </c>
      <c r="P585" s="6">
        <v>2654</v>
      </c>
      <c r="Q585" s="4" t="s">
        <v>26</v>
      </c>
      <c r="R585" s="4">
        <v>0</v>
      </c>
      <c r="S585" s="4" t="s">
        <v>289</v>
      </c>
      <c r="T585" s="4" t="s">
        <v>534</v>
      </c>
      <c r="U585" s="4">
        <v>0</v>
      </c>
      <c r="V585" s="4">
        <v>29</v>
      </c>
      <c r="W585" s="4">
        <v>66</v>
      </c>
    </row>
    <row r="586" spans="1:23" ht="11.25" customHeight="1" x14ac:dyDescent="0.25">
      <c r="A586" s="4" t="s">
        <v>27</v>
      </c>
      <c r="B586" s="4" t="s">
        <v>43</v>
      </c>
      <c r="C586" s="4" t="s">
        <v>23</v>
      </c>
      <c r="D586" s="4" t="s">
        <v>44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44378</v>
      </c>
      <c r="J586" s="6">
        <v>0</v>
      </c>
      <c r="K586" s="6">
        <v>0</v>
      </c>
      <c r="L586" s="6">
        <v>-26.428999999999998</v>
      </c>
      <c r="M586" s="6">
        <v>-26.428999999999998</v>
      </c>
      <c r="N586" s="6">
        <v>-26.428999999999998</v>
      </c>
      <c r="O586" s="6">
        <v>-26.428999999999998</v>
      </c>
      <c r="P586" s="6">
        <v>0</v>
      </c>
      <c r="Q586" s="4" t="s">
        <v>26</v>
      </c>
      <c r="R586" s="4">
        <v>0</v>
      </c>
      <c r="S586" s="4" t="s">
        <v>289</v>
      </c>
      <c r="T586" s="4" t="s">
        <v>534</v>
      </c>
      <c r="U586" s="4">
        <v>0</v>
      </c>
      <c r="V586" s="4">
        <v>29</v>
      </c>
      <c r="W586" s="4">
        <v>66</v>
      </c>
    </row>
    <row r="587" spans="1:23" ht="11.25" customHeight="1" x14ac:dyDescent="0.25">
      <c r="A587" s="4" t="s">
        <v>28</v>
      </c>
      <c r="B587" s="4" t="s">
        <v>43</v>
      </c>
      <c r="C587" s="4" t="s">
        <v>23</v>
      </c>
      <c r="D587" s="4" t="s">
        <v>44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44378</v>
      </c>
      <c r="J587" s="6">
        <v>0</v>
      </c>
      <c r="K587" s="6">
        <v>0</v>
      </c>
      <c r="L587" s="6">
        <v>68.347999999999999</v>
      </c>
      <c r="M587" s="6">
        <v>68.347999999999999</v>
      </c>
      <c r="N587" s="6">
        <v>68.347999999999999</v>
      </c>
      <c r="O587" s="6">
        <v>68.347999999999999</v>
      </c>
      <c r="P587" s="6">
        <v>77</v>
      </c>
      <c r="Q587" s="4" t="s">
        <v>26</v>
      </c>
      <c r="R587" s="4">
        <v>0</v>
      </c>
      <c r="S587" s="4" t="s">
        <v>289</v>
      </c>
      <c r="T587" s="4" t="s">
        <v>534</v>
      </c>
      <c r="U587" s="4">
        <v>0</v>
      </c>
      <c r="V587" s="4">
        <v>29</v>
      </c>
      <c r="W587" s="4">
        <v>66</v>
      </c>
    </row>
    <row r="588" spans="1:23" ht="11.25" customHeight="1" x14ac:dyDescent="0.25">
      <c r="A588" s="4" t="s">
        <v>21</v>
      </c>
      <c r="B588" s="4" t="s">
        <v>43</v>
      </c>
      <c r="C588" s="4" t="s">
        <v>23</v>
      </c>
      <c r="D588" s="4" t="s">
        <v>44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44409</v>
      </c>
      <c r="J588" s="6">
        <v>0</v>
      </c>
      <c r="K588" s="6">
        <v>0</v>
      </c>
      <c r="L588" s="6">
        <v>2804.4450000000002</v>
      </c>
      <c r="M588" s="6">
        <v>2804.4450000000002</v>
      </c>
      <c r="N588" s="6">
        <v>2804.4450000000002</v>
      </c>
      <c r="O588" s="6">
        <v>2804.4450000000002</v>
      </c>
      <c r="P588" s="6">
        <v>2642</v>
      </c>
      <c r="Q588" s="4" t="s">
        <v>26</v>
      </c>
      <c r="R588" s="4">
        <v>0</v>
      </c>
      <c r="S588" s="4" t="s">
        <v>290</v>
      </c>
      <c r="T588" s="4" t="s">
        <v>535</v>
      </c>
      <c r="U588" s="4">
        <v>0</v>
      </c>
      <c r="V588" s="4">
        <v>29</v>
      </c>
      <c r="W588" s="4">
        <v>66</v>
      </c>
    </row>
    <row r="589" spans="1:23" ht="11.25" customHeight="1" x14ac:dyDescent="0.25">
      <c r="A589" s="4" t="s">
        <v>28</v>
      </c>
      <c r="B589" s="4" t="s">
        <v>43</v>
      </c>
      <c r="C589" s="4" t="s">
        <v>23</v>
      </c>
      <c r="D589" s="4" t="s">
        <v>44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44409</v>
      </c>
      <c r="J589" s="6">
        <v>0</v>
      </c>
      <c r="K589" s="6">
        <v>0</v>
      </c>
      <c r="L589" s="6">
        <v>63.024000000000001</v>
      </c>
      <c r="M589" s="6">
        <v>63.024000000000001</v>
      </c>
      <c r="N589" s="6">
        <v>63.024000000000001</v>
      </c>
      <c r="O589" s="6">
        <v>63.024000000000001</v>
      </c>
      <c r="P589" s="6">
        <v>82</v>
      </c>
      <c r="Q589" s="4" t="s">
        <v>26</v>
      </c>
      <c r="R589" s="4">
        <v>0</v>
      </c>
      <c r="S589" s="4" t="s">
        <v>290</v>
      </c>
      <c r="T589" s="4" t="s">
        <v>535</v>
      </c>
      <c r="U589" s="4">
        <v>0</v>
      </c>
      <c r="V589" s="4">
        <v>29</v>
      </c>
      <c r="W589" s="4">
        <v>66</v>
      </c>
    </row>
    <row r="590" spans="1:23" ht="11.25" customHeight="1" x14ac:dyDescent="0.25">
      <c r="A590" s="4" t="s">
        <v>21</v>
      </c>
      <c r="B590" s="4" t="s">
        <v>43</v>
      </c>
      <c r="C590" s="4" t="s">
        <v>23</v>
      </c>
      <c r="D590" s="4" t="s">
        <v>44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44440</v>
      </c>
      <c r="J590" s="6">
        <v>0</v>
      </c>
      <c r="K590" s="6">
        <v>0</v>
      </c>
      <c r="L590" s="6">
        <v>3273.73</v>
      </c>
      <c r="M590" s="6">
        <v>3273.73</v>
      </c>
      <c r="N590" s="6">
        <v>3273.73</v>
      </c>
      <c r="O590" s="6">
        <v>3273.73</v>
      </c>
      <c r="P590" s="6">
        <v>2629</v>
      </c>
      <c r="Q590" s="4" t="s">
        <v>26</v>
      </c>
      <c r="R590" s="4">
        <v>0</v>
      </c>
      <c r="S590" s="4" t="s">
        <v>291</v>
      </c>
      <c r="T590" s="4" t="s">
        <v>536</v>
      </c>
      <c r="U590" s="4">
        <v>0</v>
      </c>
      <c r="V590" s="4">
        <v>29</v>
      </c>
      <c r="W590" s="4">
        <v>66</v>
      </c>
    </row>
    <row r="591" spans="1:23" ht="11.25" customHeight="1" x14ac:dyDescent="0.25">
      <c r="A591" s="4" t="s">
        <v>28</v>
      </c>
      <c r="B591" s="4" t="s">
        <v>43</v>
      </c>
      <c r="C591" s="4" t="s">
        <v>23</v>
      </c>
      <c r="D591" s="4" t="s">
        <v>44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44440</v>
      </c>
      <c r="J591" s="6">
        <v>0</v>
      </c>
      <c r="K591" s="6">
        <v>0</v>
      </c>
      <c r="L591" s="6">
        <v>65.180999999999997</v>
      </c>
      <c r="M591" s="6">
        <v>65.180999999999997</v>
      </c>
      <c r="N591" s="6">
        <v>65.180999999999997</v>
      </c>
      <c r="O591" s="6">
        <v>65.180999999999997</v>
      </c>
      <c r="P591" s="6">
        <v>80</v>
      </c>
      <c r="Q591" s="4" t="s">
        <v>26</v>
      </c>
      <c r="R591" s="4">
        <v>0</v>
      </c>
      <c r="S591" s="4" t="s">
        <v>291</v>
      </c>
      <c r="T591" s="4" t="s">
        <v>536</v>
      </c>
      <c r="U591" s="4">
        <v>0</v>
      </c>
      <c r="V591" s="4">
        <v>29</v>
      </c>
      <c r="W591" s="4">
        <v>66</v>
      </c>
    </row>
    <row r="592" spans="1:23" ht="11.25" customHeight="1" x14ac:dyDescent="0.25">
      <c r="A592" s="4" t="s">
        <v>21</v>
      </c>
      <c r="B592" s="4" t="s">
        <v>43</v>
      </c>
      <c r="C592" s="4" t="s">
        <v>23</v>
      </c>
      <c r="D592" s="4" t="s">
        <v>44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44470</v>
      </c>
      <c r="J592" s="6">
        <v>0</v>
      </c>
      <c r="K592" s="6">
        <v>0</v>
      </c>
      <c r="L592" s="6">
        <v>3192.11</v>
      </c>
      <c r="M592" s="6">
        <v>3192.11</v>
      </c>
      <c r="N592" s="6">
        <v>3192.11</v>
      </c>
      <c r="O592" s="6">
        <v>3192.11</v>
      </c>
      <c r="P592" s="6">
        <v>2606</v>
      </c>
      <c r="Q592" s="4" t="s">
        <v>26</v>
      </c>
      <c r="R592" s="4">
        <v>0</v>
      </c>
      <c r="S592" s="4" t="s">
        <v>292</v>
      </c>
      <c r="T592" s="4" t="s">
        <v>537</v>
      </c>
      <c r="U592" s="4">
        <v>0</v>
      </c>
      <c r="V592" s="4">
        <v>29</v>
      </c>
      <c r="W592" s="4">
        <v>66</v>
      </c>
    </row>
    <row r="593" spans="1:23" ht="11.25" customHeight="1" x14ac:dyDescent="0.25">
      <c r="A593" s="4" t="s">
        <v>28</v>
      </c>
      <c r="B593" s="4" t="s">
        <v>43</v>
      </c>
      <c r="C593" s="4" t="s">
        <v>23</v>
      </c>
      <c r="D593" s="4" t="s">
        <v>44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44470</v>
      </c>
      <c r="J593" s="6">
        <v>0</v>
      </c>
      <c r="K593" s="6">
        <v>0</v>
      </c>
      <c r="L593" s="6">
        <v>77.048000000000002</v>
      </c>
      <c r="M593" s="6">
        <v>77.048000000000002</v>
      </c>
      <c r="N593" s="6">
        <v>77.048000000000002</v>
      </c>
      <c r="O593" s="6">
        <v>77.048000000000002</v>
      </c>
      <c r="P593" s="6">
        <v>78</v>
      </c>
      <c r="Q593" s="4" t="s">
        <v>26</v>
      </c>
      <c r="R593" s="4">
        <v>0</v>
      </c>
      <c r="S593" s="4" t="s">
        <v>292</v>
      </c>
      <c r="T593" s="4" t="s">
        <v>537</v>
      </c>
      <c r="U593" s="4">
        <v>0</v>
      </c>
      <c r="V593" s="4">
        <v>29</v>
      </c>
      <c r="W593" s="4">
        <v>66</v>
      </c>
    </row>
    <row r="594" spans="1:23" ht="11.25" customHeight="1" x14ac:dyDescent="0.25">
      <c r="A594" s="4" t="s">
        <v>21</v>
      </c>
      <c r="B594" s="4" t="s">
        <v>43</v>
      </c>
      <c r="C594" s="4" t="s">
        <v>23</v>
      </c>
      <c r="D594" s="4" t="s">
        <v>44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44501</v>
      </c>
      <c r="J594" s="6">
        <v>0</v>
      </c>
      <c r="K594" s="6">
        <v>0</v>
      </c>
      <c r="L594" s="6">
        <v>2736.4780000000001</v>
      </c>
      <c r="M594" s="6">
        <v>2736.4780000000001</v>
      </c>
      <c r="N594" s="6">
        <v>2736.4780000000001</v>
      </c>
      <c r="O594" s="6">
        <v>2736.4780000000001</v>
      </c>
      <c r="P594" s="6">
        <v>2591</v>
      </c>
      <c r="Q594" s="4" t="s">
        <v>26</v>
      </c>
      <c r="R594" s="4">
        <v>0</v>
      </c>
      <c r="S594" s="4" t="s">
        <v>293</v>
      </c>
      <c r="T594" s="4" t="s">
        <v>538</v>
      </c>
      <c r="U594" s="4">
        <v>0</v>
      </c>
      <c r="V594" s="4">
        <v>29</v>
      </c>
      <c r="W594" s="4">
        <v>66</v>
      </c>
    </row>
    <row r="595" spans="1:23" ht="11.25" customHeight="1" x14ac:dyDescent="0.25">
      <c r="A595" s="4" t="s">
        <v>27</v>
      </c>
      <c r="B595" s="4" t="s">
        <v>43</v>
      </c>
      <c r="C595" s="4" t="s">
        <v>23</v>
      </c>
      <c r="D595" s="4" t="s">
        <v>44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44501</v>
      </c>
      <c r="J595" s="6">
        <v>0</v>
      </c>
      <c r="K595" s="6">
        <v>0</v>
      </c>
      <c r="L595" s="6">
        <v>-9.3810000000000002</v>
      </c>
      <c r="M595" s="6">
        <v>-9.3810000000000002</v>
      </c>
      <c r="N595" s="6">
        <v>-9.3810000000000002</v>
      </c>
      <c r="O595" s="6">
        <v>-9.3810000000000002</v>
      </c>
      <c r="P595" s="6">
        <v>0</v>
      </c>
      <c r="Q595" s="4" t="s">
        <v>26</v>
      </c>
      <c r="R595" s="4">
        <v>0</v>
      </c>
      <c r="S595" s="4" t="s">
        <v>293</v>
      </c>
      <c r="T595" s="4" t="s">
        <v>538</v>
      </c>
      <c r="U595" s="4">
        <v>0</v>
      </c>
      <c r="V595" s="4">
        <v>29</v>
      </c>
      <c r="W595" s="4">
        <v>66</v>
      </c>
    </row>
    <row r="596" spans="1:23" ht="11.25" customHeight="1" x14ac:dyDescent="0.25">
      <c r="A596" s="4" t="s">
        <v>28</v>
      </c>
      <c r="B596" s="4" t="s">
        <v>43</v>
      </c>
      <c r="C596" s="4" t="s">
        <v>23</v>
      </c>
      <c r="D596" s="4" t="s">
        <v>44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44501</v>
      </c>
      <c r="J596" s="6">
        <v>0</v>
      </c>
      <c r="K596" s="6">
        <v>0</v>
      </c>
      <c r="L596" s="6">
        <v>90.256</v>
      </c>
      <c r="M596" s="6">
        <v>90.256</v>
      </c>
      <c r="N596" s="6">
        <v>90.256</v>
      </c>
      <c r="O596" s="6">
        <v>90.256</v>
      </c>
      <c r="P596" s="6">
        <v>78</v>
      </c>
      <c r="Q596" s="4" t="s">
        <v>26</v>
      </c>
      <c r="R596" s="4">
        <v>0</v>
      </c>
      <c r="S596" s="4" t="s">
        <v>293</v>
      </c>
      <c r="T596" s="4" t="s">
        <v>538</v>
      </c>
      <c r="U596" s="4">
        <v>0</v>
      </c>
      <c r="V596" s="4">
        <v>29</v>
      </c>
      <c r="W596" s="4">
        <v>66</v>
      </c>
    </row>
    <row r="597" spans="1:23" ht="11.25" customHeight="1" x14ac:dyDescent="0.25">
      <c r="A597" s="4" t="s">
        <v>21</v>
      </c>
      <c r="B597" s="4" t="s">
        <v>43</v>
      </c>
      <c r="C597" s="4" t="s">
        <v>23</v>
      </c>
      <c r="D597" s="4" t="s">
        <v>44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44531</v>
      </c>
      <c r="J597" s="6">
        <v>0</v>
      </c>
      <c r="K597" s="6">
        <v>0</v>
      </c>
      <c r="L597" s="6">
        <v>2746.1570000000002</v>
      </c>
      <c r="M597" s="6">
        <v>2746.1570000000002</v>
      </c>
      <c r="N597" s="6">
        <v>2746.1570000000002</v>
      </c>
      <c r="O597" s="6">
        <v>2746.1570000000002</v>
      </c>
      <c r="P597" s="6">
        <v>2559</v>
      </c>
      <c r="Q597" s="4" t="s">
        <v>26</v>
      </c>
      <c r="R597" s="4">
        <v>0</v>
      </c>
      <c r="S597" s="4" t="s">
        <v>294</v>
      </c>
      <c r="T597" s="4" t="s">
        <v>539</v>
      </c>
      <c r="U597" s="4">
        <v>0</v>
      </c>
      <c r="V597" s="4">
        <v>29</v>
      </c>
      <c r="W597" s="4">
        <v>66</v>
      </c>
    </row>
    <row r="598" spans="1:23" ht="11.25" customHeight="1" x14ac:dyDescent="0.25">
      <c r="A598" s="4" t="s">
        <v>27</v>
      </c>
      <c r="B598" s="4" t="s">
        <v>43</v>
      </c>
      <c r="C598" s="4" t="s">
        <v>23</v>
      </c>
      <c r="D598" s="4" t="s">
        <v>44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44531</v>
      </c>
      <c r="J598" s="6">
        <v>0</v>
      </c>
      <c r="K598" s="6">
        <v>0</v>
      </c>
      <c r="L598" s="6">
        <v>-0.69499999999999995</v>
      </c>
      <c r="M598" s="6">
        <v>-0.69499999999999995</v>
      </c>
      <c r="N598" s="6">
        <v>-0.69499999999999995</v>
      </c>
      <c r="O598" s="6">
        <v>-0.69499999999999995</v>
      </c>
      <c r="P598" s="6">
        <v>0</v>
      </c>
      <c r="Q598" s="4" t="s">
        <v>26</v>
      </c>
      <c r="R598" s="4">
        <v>0</v>
      </c>
      <c r="S598" s="4" t="s">
        <v>294</v>
      </c>
      <c r="T598" s="4" t="s">
        <v>539</v>
      </c>
      <c r="U598" s="4">
        <v>0</v>
      </c>
      <c r="V598" s="4">
        <v>29</v>
      </c>
      <c r="W598" s="4">
        <v>66</v>
      </c>
    </row>
    <row r="599" spans="1:23" ht="11.25" customHeight="1" x14ac:dyDescent="0.25">
      <c r="A599" s="4" t="s">
        <v>28</v>
      </c>
      <c r="B599" s="4" t="s">
        <v>43</v>
      </c>
      <c r="C599" s="4" t="s">
        <v>23</v>
      </c>
      <c r="D599" s="4" t="s">
        <v>44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44531</v>
      </c>
      <c r="J599" s="6">
        <v>0</v>
      </c>
      <c r="K599" s="6">
        <v>0</v>
      </c>
      <c r="L599" s="6">
        <v>60.594000000000001</v>
      </c>
      <c r="M599" s="6">
        <v>60.594000000000001</v>
      </c>
      <c r="N599" s="6">
        <v>60.594000000000001</v>
      </c>
      <c r="O599" s="6">
        <v>60.594000000000001</v>
      </c>
      <c r="P599" s="6">
        <v>85</v>
      </c>
      <c r="Q599" s="4" t="s">
        <v>26</v>
      </c>
      <c r="R599" s="4">
        <v>0</v>
      </c>
      <c r="S599" s="4" t="s">
        <v>294</v>
      </c>
      <c r="T599" s="4" t="s">
        <v>539</v>
      </c>
      <c r="U599" s="4">
        <v>0</v>
      </c>
      <c r="V599" s="4">
        <v>29</v>
      </c>
      <c r="W599" s="4">
        <v>66</v>
      </c>
    </row>
    <row r="600" spans="1:23" ht="11.25" customHeight="1" x14ac:dyDescent="0.25">
      <c r="A600" s="4" t="s">
        <v>28</v>
      </c>
      <c r="B600" s="4" t="s">
        <v>43</v>
      </c>
      <c r="C600" s="4" t="s">
        <v>23</v>
      </c>
      <c r="D600" s="4" t="s">
        <v>44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44531</v>
      </c>
      <c r="J600" s="6">
        <v>0</v>
      </c>
      <c r="K600" s="6">
        <v>0</v>
      </c>
      <c r="L600" s="6">
        <v>0.1</v>
      </c>
      <c r="M600" s="6">
        <v>0.1</v>
      </c>
      <c r="N600" s="6">
        <v>0.1</v>
      </c>
      <c r="O600" s="6">
        <v>0.1</v>
      </c>
      <c r="P600" s="6">
        <v>1</v>
      </c>
      <c r="Q600" s="4" t="s">
        <v>26</v>
      </c>
      <c r="R600" s="4">
        <v>0</v>
      </c>
      <c r="S600" s="4" t="s">
        <v>294</v>
      </c>
      <c r="T600" s="4" t="s">
        <v>539</v>
      </c>
      <c r="U600" s="4">
        <v>0</v>
      </c>
      <c r="V600" s="4">
        <v>29</v>
      </c>
      <c r="W600" s="4">
        <v>66</v>
      </c>
    </row>
    <row r="601" spans="1:23" ht="11.25" customHeight="1" x14ac:dyDescent="0.25">
      <c r="A601" s="4" t="s">
        <v>21</v>
      </c>
      <c r="B601" s="4" t="s">
        <v>43</v>
      </c>
      <c r="C601" s="4" t="s">
        <v>23</v>
      </c>
      <c r="D601" s="4" t="s">
        <v>44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44562</v>
      </c>
      <c r="J601" s="6">
        <v>0</v>
      </c>
      <c r="K601" s="6">
        <v>0</v>
      </c>
      <c r="L601" s="6">
        <v>2649.5590000000002</v>
      </c>
      <c r="M601" s="6">
        <v>2649.5590000000002</v>
      </c>
      <c r="N601" s="6">
        <v>2649.5590000000002</v>
      </c>
      <c r="O601" s="6">
        <v>2649.5590000000002</v>
      </c>
      <c r="P601" s="6">
        <v>2542</v>
      </c>
      <c r="Q601" s="4" t="s">
        <v>26</v>
      </c>
      <c r="R601" s="4">
        <v>0</v>
      </c>
      <c r="S601" s="4" t="s">
        <v>295</v>
      </c>
      <c r="T601" s="4" t="s">
        <v>540</v>
      </c>
      <c r="U601" s="4">
        <v>0</v>
      </c>
      <c r="V601" s="4">
        <v>29</v>
      </c>
      <c r="W601" s="4">
        <v>66</v>
      </c>
    </row>
    <row r="602" spans="1:23" ht="11.25" customHeight="1" x14ac:dyDescent="0.25">
      <c r="A602" s="4" t="s">
        <v>28</v>
      </c>
      <c r="B602" s="4" t="s">
        <v>43</v>
      </c>
      <c r="C602" s="4" t="s">
        <v>23</v>
      </c>
      <c r="D602" s="4" t="s">
        <v>44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44562</v>
      </c>
      <c r="J602" s="6">
        <v>0</v>
      </c>
      <c r="K602" s="6">
        <v>0</v>
      </c>
      <c r="L602" s="6">
        <v>100.426</v>
      </c>
      <c r="M602" s="6">
        <v>100.426</v>
      </c>
      <c r="N602" s="6">
        <v>100.426</v>
      </c>
      <c r="O602" s="6">
        <v>100.426</v>
      </c>
      <c r="P602" s="6">
        <v>89</v>
      </c>
      <c r="Q602" s="4" t="s">
        <v>26</v>
      </c>
      <c r="R602" s="4">
        <v>0</v>
      </c>
      <c r="S602" s="4" t="s">
        <v>295</v>
      </c>
      <c r="T602" s="4" t="s">
        <v>540</v>
      </c>
      <c r="U602" s="4">
        <v>0</v>
      </c>
      <c r="V602" s="4">
        <v>29</v>
      </c>
      <c r="W602" s="4">
        <v>66</v>
      </c>
    </row>
    <row r="603" spans="1:23" ht="11.25" customHeight="1" x14ac:dyDescent="0.25">
      <c r="A603" s="4" t="s">
        <v>21</v>
      </c>
      <c r="B603" s="4" t="s">
        <v>43</v>
      </c>
      <c r="C603" s="4" t="s">
        <v>23</v>
      </c>
      <c r="D603" s="4" t="s">
        <v>44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44593</v>
      </c>
      <c r="J603" s="6">
        <v>0</v>
      </c>
      <c r="K603" s="6">
        <v>0</v>
      </c>
      <c r="L603" s="6">
        <v>2711.0680000000002</v>
      </c>
      <c r="M603" s="6">
        <v>2711.0680000000002</v>
      </c>
      <c r="N603" s="6">
        <v>2711.0680000000002</v>
      </c>
      <c r="O603" s="6">
        <v>2711.0680000000002</v>
      </c>
      <c r="P603" s="6">
        <v>2533</v>
      </c>
      <c r="Q603" s="4" t="s">
        <v>26</v>
      </c>
      <c r="R603" s="4">
        <v>0</v>
      </c>
      <c r="S603" s="4" t="s">
        <v>296</v>
      </c>
      <c r="T603" s="4" t="s">
        <v>541</v>
      </c>
      <c r="U603" s="4">
        <v>0</v>
      </c>
      <c r="V603" s="4">
        <v>29</v>
      </c>
      <c r="W603" s="4">
        <v>66</v>
      </c>
    </row>
    <row r="604" spans="1:23" ht="11.25" customHeight="1" x14ac:dyDescent="0.25">
      <c r="A604" s="4" t="s">
        <v>27</v>
      </c>
      <c r="B604" s="4" t="s">
        <v>43</v>
      </c>
      <c r="C604" s="4" t="s">
        <v>23</v>
      </c>
      <c r="D604" s="4" t="s">
        <v>44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44593</v>
      </c>
      <c r="J604" s="6">
        <v>0</v>
      </c>
      <c r="K604" s="6">
        <v>0</v>
      </c>
      <c r="L604" s="6">
        <v>-8.1590000000000007</v>
      </c>
      <c r="M604" s="6">
        <v>-8.1590000000000007</v>
      </c>
      <c r="N604" s="6">
        <v>-8.1590000000000007</v>
      </c>
      <c r="O604" s="6">
        <v>-8.1590000000000007</v>
      </c>
      <c r="P604" s="6">
        <v>0</v>
      </c>
      <c r="Q604" s="4" t="s">
        <v>26</v>
      </c>
      <c r="R604" s="4">
        <v>0</v>
      </c>
      <c r="S604" s="4" t="s">
        <v>296</v>
      </c>
      <c r="T604" s="4" t="s">
        <v>541</v>
      </c>
      <c r="U604" s="4">
        <v>0</v>
      </c>
      <c r="V604" s="4">
        <v>29</v>
      </c>
      <c r="W604" s="4">
        <v>66</v>
      </c>
    </row>
    <row r="605" spans="1:23" ht="11.25" customHeight="1" x14ac:dyDescent="0.25">
      <c r="A605" s="4" t="s">
        <v>28</v>
      </c>
      <c r="B605" s="4" t="s">
        <v>43</v>
      </c>
      <c r="C605" s="4" t="s">
        <v>23</v>
      </c>
      <c r="D605" s="4" t="s">
        <v>44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44593</v>
      </c>
      <c r="J605" s="6">
        <v>0</v>
      </c>
      <c r="K605" s="6">
        <v>0</v>
      </c>
      <c r="L605" s="6">
        <v>85.2</v>
      </c>
      <c r="M605" s="6">
        <v>85.2</v>
      </c>
      <c r="N605" s="6">
        <v>85.2</v>
      </c>
      <c r="O605" s="6">
        <v>85.2</v>
      </c>
      <c r="P605" s="6">
        <v>88</v>
      </c>
      <c r="Q605" s="4" t="s">
        <v>26</v>
      </c>
      <c r="R605" s="4">
        <v>0</v>
      </c>
      <c r="S605" s="4" t="s">
        <v>296</v>
      </c>
      <c r="T605" s="4" t="s">
        <v>541</v>
      </c>
      <c r="U605" s="4">
        <v>0</v>
      </c>
      <c r="V605" s="4">
        <v>29</v>
      </c>
      <c r="W605" s="4">
        <v>66</v>
      </c>
    </row>
    <row r="606" spans="1:23" ht="11.25" customHeight="1" x14ac:dyDescent="0.25">
      <c r="A606" s="4" t="s">
        <v>21</v>
      </c>
      <c r="B606" s="4" t="s">
        <v>43</v>
      </c>
      <c r="C606" s="4" t="s">
        <v>23</v>
      </c>
      <c r="D606" s="4" t="s">
        <v>44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44621</v>
      </c>
      <c r="J606" s="6">
        <v>0</v>
      </c>
      <c r="K606" s="6">
        <v>0</v>
      </c>
      <c r="L606" s="6">
        <v>3048.9229999999998</v>
      </c>
      <c r="M606" s="6">
        <v>3048.9229999999998</v>
      </c>
      <c r="N606" s="6">
        <v>3048.9229999999998</v>
      </c>
      <c r="O606" s="6">
        <v>3048.9229999999998</v>
      </c>
      <c r="P606" s="6">
        <v>2484</v>
      </c>
      <c r="Q606" s="4" t="s">
        <v>26</v>
      </c>
      <c r="R606" s="4">
        <v>0</v>
      </c>
      <c r="S606" s="4" t="s">
        <v>297</v>
      </c>
      <c r="T606" s="4" t="s">
        <v>542</v>
      </c>
      <c r="U606" s="4">
        <v>0</v>
      </c>
      <c r="V606" s="4">
        <v>29</v>
      </c>
      <c r="W606" s="4">
        <v>66</v>
      </c>
    </row>
    <row r="607" spans="1:23" ht="11.25" customHeight="1" x14ac:dyDescent="0.25">
      <c r="A607" s="4" t="s">
        <v>27</v>
      </c>
      <c r="B607" s="4" t="s">
        <v>43</v>
      </c>
      <c r="C607" s="4" t="s">
        <v>23</v>
      </c>
      <c r="D607" s="4" t="s">
        <v>44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44621</v>
      </c>
      <c r="J607" s="6">
        <v>0</v>
      </c>
      <c r="K607" s="6">
        <v>0</v>
      </c>
      <c r="L607" s="6">
        <v>0.52500000000000002</v>
      </c>
      <c r="M607" s="6">
        <v>0.52500000000000002</v>
      </c>
      <c r="N607" s="6">
        <v>0.52500000000000002</v>
      </c>
      <c r="O607" s="6">
        <v>0.52500000000000002</v>
      </c>
      <c r="P607" s="6">
        <v>0</v>
      </c>
      <c r="Q607" s="4" t="s">
        <v>26</v>
      </c>
      <c r="R607" s="4">
        <v>0</v>
      </c>
      <c r="S607" s="4" t="s">
        <v>297</v>
      </c>
      <c r="T607" s="4" t="s">
        <v>542</v>
      </c>
      <c r="U607" s="4">
        <v>0</v>
      </c>
      <c r="V607" s="4">
        <v>29</v>
      </c>
      <c r="W607" s="4">
        <v>66</v>
      </c>
    </row>
    <row r="608" spans="1:23" ht="11.25" customHeight="1" x14ac:dyDescent="0.25">
      <c r="A608" s="4" t="s">
        <v>28</v>
      </c>
      <c r="B608" s="4" t="s">
        <v>43</v>
      </c>
      <c r="C608" s="4" t="s">
        <v>23</v>
      </c>
      <c r="D608" s="4" t="s">
        <v>44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44621</v>
      </c>
      <c r="J608" s="6">
        <v>0</v>
      </c>
      <c r="K608" s="6">
        <v>0</v>
      </c>
      <c r="L608" s="6">
        <v>140.86600000000001</v>
      </c>
      <c r="M608" s="6">
        <v>140.86600000000001</v>
      </c>
      <c r="N608" s="6">
        <v>140.86600000000001</v>
      </c>
      <c r="O608" s="6">
        <v>140.86600000000001</v>
      </c>
      <c r="P608" s="6">
        <v>100</v>
      </c>
      <c r="Q608" s="4" t="s">
        <v>26</v>
      </c>
      <c r="R608" s="4">
        <v>0</v>
      </c>
      <c r="S608" s="4" t="s">
        <v>297</v>
      </c>
      <c r="T608" s="4" t="s">
        <v>542</v>
      </c>
      <c r="U608" s="4">
        <v>0</v>
      </c>
      <c r="V608" s="4">
        <v>29</v>
      </c>
      <c r="W608" s="4">
        <v>66</v>
      </c>
    </row>
    <row r="609" spans="1:23" ht="11.25" customHeight="1" x14ac:dyDescent="0.25">
      <c r="A609" s="4" t="s">
        <v>21</v>
      </c>
      <c r="B609" s="4" t="s">
        <v>43</v>
      </c>
      <c r="C609" s="4" t="s">
        <v>23</v>
      </c>
      <c r="D609" s="4" t="s">
        <v>44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44652</v>
      </c>
      <c r="J609" s="6">
        <v>0</v>
      </c>
      <c r="K609" s="6">
        <v>0</v>
      </c>
      <c r="L609" s="6">
        <v>2867.6010000000001</v>
      </c>
      <c r="M609" s="6">
        <v>2867.6010000000001</v>
      </c>
      <c r="N609" s="6">
        <v>2867.6010000000001</v>
      </c>
      <c r="O609" s="6">
        <v>2867.6010000000001</v>
      </c>
      <c r="P609" s="6">
        <v>2451</v>
      </c>
      <c r="Q609" s="4" t="s">
        <v>26</v>
      </c>
      <c r="R609" s="4">
        <v>0</v>
      </c>
      <c r="S609" s="4" t="s">
        <v>298</v>
      </c>
      <c r="T609" s="4" t="s">
        <v>543</v>
      </c>
      <c r="U609" s="4">
        <v>0</v>
      </c>
      <c r="V609" s="4">
        <v>29</v>
      </c>
      <c r="W609" s="4">
        <v>66</v>
      </c>
    </row>
    <row r="610" spans="1:23" ht="11.25" customHeight="1" x14ac:dyDescent="0.25">
      <c r="A610" s="4" t="s">
        <v>21</v>
      </c>
      <c r="B610" s="4" t="s">
        <v>39</v>
      </c>
      <c r="C610" s="4" t="s">
        <v>37</v>
      </c>
      <c r="D610" s="4" t="s">
        <v>42</v>
      </c>
      <c r="E610" s="4" t="s">
        <v>25</v>
      </c>
      <c r="F610" s="4" t="s">
        <v>25</v>
      </c>
      <c r="G610" s="4" t="s">
        <v>25</v>
      </c>
      <c r="H610" s="4" t="s">
        <v>36</v>
      </c>
      <c r="I610" s="5">
        <v>44317</v>
      </c>
      <c r="J610" s="6">
        <v>0</v>
      </c>
      <c r="K610" s="6">
        <v>0</v>
      </c>
      <c r="L610" s="6">
        <v>1.724</v>
      </c>
      <c r="M610" s="6">
        <v>1.724</v>
      </c>
      <c r="N610" s="6">
        <v>1.724</v>
      </c>
      <c r="O610" s="6">
        <v>1.724</v>
      </c>
      <c r="P610" s="6">
        <v>0</v>
      </c>
      <c r="Q610" s="4" t="s">
        <v>26</v>
      </c>
      <c r="R610" s="4">
        <v>0</v>
      </c>
      <c r="S610" s="4" t="s">
        <v>299</v>
      </c>
      <c r="T610" s="4" t="s">
        <v>544</v>
      </c>
      <c r="U610" s="4">
        <v>0</v>
      </c>
      <c r="V610" s="4">
        <v>43</v>
      </c>
      <c r="W610" s="4">
        <v>80</v>
      </c>
    </row>
    <row r="611" spans="1:23" ht="11.25" customHeight="1" x14ac:dyDescent="0.25">
      <c r="A611" s="4" t="s">
        <v>21</v>
      </c>
      <c r="B611" s="4" t="s">
        <v>39</v>
      </c>
      <c r="C611" s="4" t="s">
        <v>37</v>
      </c>
      <c r="D611" s="4" t="s">
        <v>42</v>
      </c>
      <c r="E611" s="4" t="s">
        <v>25</v>
      </c>
      <c r="F611" s="4" t="s">
        <v>25</v>
      </c>
      <c r="G611" s="4" t="s">
        <v>25</v>
      </c>
      <c r="H611" s="4" t="s">
        <v>36</v>
      </c>
      <c r="I611" s="5">
        <v>44348</v>
      </c>
      <c r="J611" s="6">
        <v>0</v>
      </c>
      <c r="K611" s="6">
        <v>0</v>
      </c>
      <c r="L611" s="6">
        <v>1.5469999999999999</v>
      </c>
      <c r="M611" s="6">
        <v>1.5469999999999999</v>
      </c>
      <c r="N611" s="6">
        <v>1.5469999999999999</v>
      </c>
      <c r="O611" s="6">
        <v>1.5469999999999999</v>
      </c>
      <c r="P611" s="6">
        <v>0</v>
      </c>
      <c r="Q611" s="4" t="s">
        <v>26</v>
      </c>
      <c r="R611" s="4">
        <v>0</v>
      </c>
      <c r="S611" s="4" t="s">
        <v>300</v>
      </c>
      <c r="T611" s="4" t="s">
        <v>545</v>
      </c>
      <c r="U611" s="4">
        <v>0</v>
      </c>
      <c r="V611" s="4">
        <v>43</v>
      </c>
      <c r="W611" s="4">
        <v>80</v>
      </c>
    </row>
    <row r="612" spans="1:23" ht="11.25" customHeight="1" x14ac:dyDescent="0.25">
      <c r="A612" s="4" t="s">
        <v>21</v>
      </c>
      <c r="B612" s="4" t="s">
        <v>39</v>
      </c>
      <c r="C612" s="4" t="s">
        <v>37</v>
      </c>
      <c r="D612" s="4" t="s">
        <v>42</v>
      </c>
      <c r="E612" s="4" t="s">
        <v>25</v>
      </c>
      <c r="F612" s="4" t="s">
        <v>25</v>
      </c>
      <c r="G612" s="4" t="s">
        <v>25</v>
      </c>
      <c r="H612" s="4" t="s">
        <v>36</v>
      </c>
      <c r="I612" s="5">
        <v>44378</v>
      </c>
      <c r="J612" s="6">
        <v>0</v>
      </c>
      <c r="K612" s="6">
        <v>0</v>
      </c>
      <c r="L612" s="6">
        <v>1.603</v>
      </c>
      <c r="M612" s="6">
        <v>1.603</v>
      </c>
      <c r="N612" s="6">
        <v>1.603</v>
      </c>
      <c r="O612" s="6">
        <v>1.603</v>
      </c>
      <c r="P612" s="6">
        <v>0</v>
      </c>
      <c r="Q612" s="4" t="s">
        <v>26</v>
      </c>
      <c r="R612" s="4">
        <v>0</v>
      </c>
      <c r="S612" s="4" t="s">
        <v>301</v>
      </c>
      <c r="T612" s="4" t="s">
        <v>546</v>
      </c>
      <c r="U612" s="4">
        <v>0</v>
      </c>
      <c r="V612" s="4">
        <v>43</v>
      </c>
      <c r="W612" s="4">
        <v>80</v>
      </c>
    </row>
    <row r="613" spans="1:23" ht="11.25" customHeight="1" x14ac:dyDescent="0.25">
      <c r="A613" s="4" t="s">
        <v>21</v>
      </c>
      <c r="B613" s="4" t="s">
        <v>39</v>
      </c>
      <c r="C613" s="4" t="s">
        <v>37</v>
      </c>
      <c r="D613" s="4" t="s">
        <v>42</v>
      </c>
      <c r="E613" s="4" t="s">
        <v>25</v>
      </c>
      <c r="F613" s="4" t="s">
        <v>25</v>
      </c>
      <c r="G613" s="4" t="s">
        <v>25</v>
      </c>
      <c r="H613" s="4" t="s">
        <v>36</v>
      </c>
      <c r="I613" s="5">
        <v>44409</v>
      </c>
      <c r="J613" s="6">
        <v>0</v>
      </c>
      <c r="K613" s="6">
        <v>0</v>
      </c>
      <c r="L613" s="6">
        <v>1.3779999999999999</v>
      </c>
      <c r="M613" s="6">
        <v>1.3779999999999999</v>
      </c>
      <c r="N613" s="6">
        <v>1.3779999999999999</v>
      </c>
      <c r="O613" s="6">
        <v>1.3779999999999999</v>
      </c>
      <c r="P613" s="6">
        <v>0</v>
      </c>
      <c r="Q613" s="4" t="s">
        <v>26</v>
      </c>
      <c r="R613" s="4">
        <v>0</v>
      </c>
      <c r="S613" s="4" t="s">
        <v>302</v>
      </c>
      <c r="T613" s="4" t="s">
        <v>547</v>
      </c>
      <c r="U613" s="4">
        <v>0</v>
      </c>
      <c r="V613" s="4">
        <v>43</v>
      </c>
      <c r="W613" s="4">
        <v>80</v>
      </c>
    </row>
    <row r="614" spans="1:23" ht="11.25" customHeight="1" x14ac:dyDescent="0.25">
      <c r="A614" s="4" t="s">
        <v>21</v>
      </c>
      <c r="B614" s="4" t="s">
        <v>39</v>
      </c>
      <c r="C614" s="4" t="s">
        <v>37</v>
      </c>
      <c r="D614" s="4" t="s">
        <v>42</v>
      </c>
      <c r="E614" s="4" t="s">
        <v>25</v>
      </c>
      <c r="F614" s="4" t="s">
        <v>25</v>
      </c>
      <c r="G614" s="4" t="s">
        <v>25</v>
      </c>
      <c r="H614" s="4" t="s">
        <v>36</v>
      </c>
      <c r="I614" s="5">
        <v>44440</v>
      </c>
      <c r="J614" s="6">
        <v>0</v>
      </c>
      <c r="K614" s="6">
        <v>0</v>
      </c>
      <c r="L614" s="6">
        <v>1.526</v>
      </c>
      <c r="M614" s="6">
        <v>1.526</v>
      </c>
      <c r="N614" s="6">
        <v>1.526</v>
      </c>
      <c r="O614" s="6">
        <v>1.526</v>
      </c>
      <c r="P614" s="6">
        <v>0</v>
      </c>
      <c r="Q614" s="4" t="s">
        <v>26</v>
      </c>
      <c r="R614" s="4">
        <v>0</v>
      </c>
      <c r="S614" s="4" t="s">
        <v>303</v>
      </c>
      <c r="T614" s="4" t="s">
        <v>548</v>
      </c>
      <c r="U614" s="4">
        <v>0</v>
      </c>
      <c r="V614" s="4">
        <v>43</v>
      </c>
      <c r="W614" s="4">
        <v>80</v>
      </c>
    </row>
    <row r="615" spans="1:23" ht="11.25" customHeight="1" x14ac:dyDescent="0.25">
      <c r="A615" s="4" t="s">
        <v>21</v>
      </c>
      <c r="B615" s="4" t="s">
        <v>39</v>
      </c>
      <c r="C615" s="4" t="s">
        <v>37</v>
      </c>
      <c r="D615" s="4" t="s">
        <v>42</v>
      </c>
      <c r="E615" s="4" t="s">
        <v>25</v>
      </c>
      <c r="F615" s="4" t="s">
        <v>25</v>
      </c>
      <c r="G615" s="4" t="s">
        <v>25</v>
      </c>
      <c r="H615" s="4" t="s">
        <v>36</v>
      </c>
      <c r="I615" s="5">
        <v>44470</v>
      </c>
      <c r="J615" s="6">
        <v>0</v>
      </c>
      <c r="K615" s="6">
        <v>0</v>
      </c>
      <c r="L615" s="6">
        <v>1.534</v>
      </c>
      <c r="M615" s="6">
        <v>1.534</v>
      </c>
      <c r="N615" s="6">
        <v>1.534</v>
      </c>
      <c r="O615" s="6">
        <v>1.534</v>
      </c>
      <c r="P615" s="6">
        <v>0</v>
      </c>
      <c r="Q615" s="4" t="s">
        <v>26</v>
      </c>
      <c r="R615" s="4">
        <v>0</v>
      </c>
      <c r="S615" s="4" t="s">
        <v>304</v>
      </c>
      <c r="T615" s="4" t="s">
        <v>549</v>
      </c>
      <c r="U615" s="4">
        <v>0</v>
      </c>
      <c r="V615" s="4">
        <v>43</v>
      </c>
      <c r="W615" s="4">
        <v>80</v>
      </c>
    </row>
    <row r="616" spans="1:23" ht="11.25" customHeight="1" x14ac:dyDescent="0.25">
      <c r="A616" s="4" t="s">
        <v>21</v>
      </c>
      <c r="B616" s="4" t="s">
        <v>39</v>
      </c>
      <c r="C616" s="4" t="s">
        <v>37</v>
      </c>
      <c r="D616" s="4" t="s">
        <v>42</v>
      </c>
      <c r="E616" s="4" t="s">
        <v>25</v>
      </c>
      <c r="F616" s="4" t="s">
        <v>25</v>
      </c>
      <c r="G616" s="4" t="s">
        <v>25</v>
      </c>
      <c r="H616" s="4" t="s">
        <v>36</v>
      </c>
      <c r="I616" s="5">
        <v>44501</v>
      </c>
      <c r="J616" s="6">
        <v>0</v>
      </c>
      <c r="K616" s="6">
        <v>0</v>
      </c>
      <c r="L616" s="6">
        <v>1.647</v>
      </c>
      <c r="M616" s="6">
        <v>1.647</v>
      </c>
      <c r="N616" s="6">
        <v>1.647</v>
      </c>
      <c r="O616" s="6">
        <v>1.647</v>
      </c>
      <c r="P616" s="6">
        <v>0</v>
      </c>
      <c r="Q616" s="4" t="s">
        <v>26</v>
      </c>
      <c r="R616" s="4">
        <v>0</v>
      </c>
      <c r="S616" s="4" t="s">
        <v>305</v>
      </c>
      <c r="T616" s="4" t="s">
        <v>550</v>
      </c>
      <c r="U616" s="4">
        <v>0</v>
      </c>
      <c r="V616" s="4">
        <v>43</v>
      </c>
      <c r="W616" s="4">
        <v>80</v>
      </c>
    </row>
    <row r="617" spans="1:23" ht="11.25" customHeight="1" x14ac:dyDescent="0.25">
      <c r="A617" s="4" t="s">
        <v>21</v>
      </c>
      <c r="B617" s="4" t="s">
        <v>39</v>
      </c>
      <c r="C617" s="4" t="s">
        <v>37</v>
      </c>
      <c r="D617" s="4" t="s">
        <v>42</v>
      </c>
      <c r="E617" s="4" t="s">
        <v>25</v>
      </c>
      <c r="F617" s="4" t="s">
        <v>25</v>
      </c>
      <c r="G617" s="4" t="s">
        <v>25</v>
      </c>
      <c r="H617" s="4" t="s">
        <v>36</v>
      </c>
      <c r="I617" s="5">
        <v>44531</v>
      </c>
      <c r="J617" s="6">
        <v>0</v>
      </c>
      <c r="K617" s="6">
        <v>0</v>
      </c>
      <c r="L617" s="6">
        <v>1.4419999999999999</v>
      </c>
      <c r="M617" s="6">
        <v>1.4419999999999999</v>
      </c>
      <c r="N617" s="6">
        <v>1.4419999999999999</v>
      </c>
      <c r="O617" s="6">
        <v>1.4419999999999999</v>
      </c>
      <c r="P617" s="6">
        <v>0</v>
      </c>
      <c r="Q617" s="4" t="s">
        <v>26</v>
      </c>
      <c r="R617" s="4">
        <v>0</v>
      </c>
      <c r="S617" s="4" t="s">
        <v>306</v>
      </c>
      <c r="T617" s="4" t="s">
        <v>551</v>
      </c>
      <c r="U617" s="4">
        <v>0</v>
      </c>
      <c r="V617" s="4">
        <v>43</v>
      </c>
      <c r="W617" s="4">
        <v>80</v>
      </c>
    </row>
    <row r="618" spans="1:23" ht="11.25" customHeight="1" x14ac:dyDescent="0.25">
      <c r="A618" s="4" t="s">
        <v>21</v>
      </c>
      <c r="B618" s="4" t="s">
        <v>39</v>
      </c>
      <c r="C618" s="4" t="s">
        <v>37</v>
      </c>
      <c r="D618" s="4" t="s">
        <v>42</v>
      </c>
      <c r="E618" s="4" t="s">
        <v>25</v>
      </c>
      <c r="F618" s="4" t="s">
        <v>25</v>
      </c>
      <c r="G618" s="4" t="s">
        <v>25</v>
      </c>
      <c r="H618" s="4" t="s">
        <v>36</v>
      </c>
      <c r="I618" s="5">
        <v>44562</v>
      </c>
      <c r="J618" s="6">
        <v>0</v>
      </c>
      <c r="K618" s="6">
        <v>0</v>
      </c>
      <c r="L618" s="6">
        <v>1.373</v>
      </c>
      <c r="M618" s="6">
        <v>1.373</v>
      </c>
      <c r="N618" s="6">
        <v>1.373</v>
      </c>
      <c r="O618" s="6">
        <v>1.373</v>
      </c>
      <c r="P618" s="6">
        <v>0</v>
      </c>
      <c r="Q618" s="4" t="s">
        <v>26</v>
      </c>
      <c r="R618" s="4">
        <v>0</v>
      </c>
      <c r="S618" s="4" t="s">
        <v>307</v>
      </c>
      <c r="T618" s="4" t="s">
        <v>552</v>
      </c>
      <c r="U618" s="4">
        <v>0</v>
      </c>
      <c r="V618" s="4">
        <v>43</v>
      </c>
      <c r="W618" s="4">
        <v>80</v>
      </c>
    </row>
    <row r="619" spans="1:23" ht="11.25" customHeight="1" x14ac:dyDescent="0.25">
      <c r="A619" s="4" t="s">
        <v>21</v>
      </c>
      <c r="B619" s="4" t="s">
        <v>39</v>
      </c>
      <c r="C619" s="4" t="s">
        <v>37</v>
      </c>
      <c r="D619" s="4" t="s">
        <v>42</v>
      </c>
      <c r="E619" s="4" t="s">
        <v>25</v>
      </c>
      <c r="F619" s="4" t="s">
        <v>25</v>
      </c>
      <c r="G619" s="4" t="s">
        <v>25</v>
      </c>
      <c r="H619" s="4" t="s">
        <v>36</v>
      </c>
      <c r="I619" s="5">
        <v>44593</v>
      </c>
      <c r="J619" s="6">
        <v>0</v>
      </c>
      <c r="K619" s="6">
        <v>0</v>
      </c>
      <c r="L619" s="6">
        <v>1.794</v>
      </c>
      <c r="M619" s="6">
        <v>1.794</v>
      </c>
      <c r="N619" s="6">
        <v>1.794</v>
      </c>
      <c r="O619" s="6">
        <v>1.794</v>
      </c>
      <c r="P619" s="6">
        <v>0</v>
      </c>
      <c r="Q619" s="4" t="s">
        <v>26</v>
      </c>
      <c r="R619" s="4">
        <v>0</v>
      </c>
      <c r="S619" s="4" t="s">
        <v>308</v>
      </c>
      <c r="T619" s="4" t="s">
        <v>553</v>
      </c>
      <c r="U619" s="4">
        <v>0</v>
      </c>
      <c r="V619" s="4">
        <v>43</v>
      </c>
      <c r="W619" s="4">
        <v>80</v>
      </c>
    </row>
    <row r="620" spans="1:23" ht="11.25" customHeight="1" x14ac:dyDescent="0.25">
      <c r="A620" s="4" t="s">
        <v>21</v>
      </c>
      <c r="B620" s="4" t="s">
        <v>39</v>
      </c>
      <c r="C620" s="4" t="s">
        <v>37</v>
      </c>
      <c r="D620" s="4" t="s">
        <v>42</v>
      </c>
      <c r="E620" s="4" t="s">
        <v>25</v>
      </c>
      <c r="F620" s="4" t="s">
        <v>25</v>
      </c>
      <c r="G620" s="4" t="s">
        <v>25</v>
      </c>
      <c r="H620" s="4" t="s">
        <v>36</v>
      </c>
      <c r="I620" s="5">
        <v>44621</v>
      </c>
      <c r="J620" s="6">
        <v>0</v>
      </c>
      <c r="K620" s="6">
        <v>0</v>
      </c>
      <c r="L620" s="6">
        <v>2.0720000000000001</v>
      </c>
      <c r="M620" s="6">
        <v>2.0720000000000001</v>
      </c>
      <c r="N620" s="6">
        <v>2.0720000000000001</v>
      </c>
      <c r="O620" s="6">
        <v>2.0720000000000001</v>
      </c>
      <c r="P620" s="6">
        <v>0</v>
      </c>
      <c r="Q620" s="4" t="s">
        <v>26</v>
      </c>
      <c r="R620" s="4">
        <v>0</v>
      </c>
      <c r="S620" s="4" t="s">
        <v>309</v>
      </c>
      <c r="T620" s="4" t="s">
        <v>554</v>
      </c>
      <c r="U620" s="4">
        <v>0</v>
      </c>
      <c r="V620" s="4">
        <v>43</v>
      </c>
      <c r="W620" s="4">
        <v>80</v>
      </c>
    </row>
    <row r="621" spans="1:23" ht="11.25" customHeight="1" x14ac:dyDescent="0.25">
      <c r="A621" s="4" t="s">
        <v>21</v>
      </c>
      <c r="B621" s="4" t="s">
        <v>39</v>
      </c>
      <c r="C621" s="4" t="s">
        <v>37</v>
      </c>
      <c r="D621" s="4" t="s">
        <v>42</v>
      </c>
      <c r="E621" s="4" t="s">
        <v>25</v>
      </c>
      <c r="F621" s="4" t="s">
        <v>25</v>
      </c>
      <c r="G621" s="4" t="s">
        <v>25</v>
      </c>
      <c r="H621" s="4" t="s">
        <v>36</v>
      </c>
      <c r="I621" s="5">
        <v>44652</v>
      </c>
      <c r="J621" s="6">
        <v>0</v>
      </c>
      <c r="K621" s="6">
        <v>0</v>
      </c>
      <c r="L621" s="6">
        <v>1.32</v>
      </c>
      <c r="M621" s="6">
        <v>1.32</v>
      </c>
      <c r="N621" s="6">
        <v>1.32</v>
      </c>
      <c r="O621" s="6">
        <v>1.32</v>
      </c>
      <c r="P621" s="6">
        <v>0</v>
      </c>
      <c r="Q621" s="4" t="s">
        <v>26</v>
      </c>
      <c r="R621" s="4">
        <v>0</v>
      </c>
      <c r="S621" s="4" t="s">
        <v>310</v>
      </c>
      <c r="T621" s="4" t="s">
        <v>555</v>
      </c>
      <c r="U621" s="4">
        <v>0</v>
      </c>
      <c r="V621" s="4">
        <v>43</v>
      </c>
      <c r="W621" s="4">
        <v>80</v>
      </c>
    </row>
    <row r="622" spans="1:23" ht="11.25" customHeight="1" x14ac:dyDescent="0.25">
      <c r="A622" s="4" t="s">
        <v>21</v>
      </c>
      <c r="B622" s="4" t="s">
        <v>39</v>
      </c>
      <c r="C622" s="4" t="s">
        <v>37</v>
      </c>
      <c r="D622" s="4" t="s">
        <v>42</v>
      </c>
      <c r="E622" s="4" t="s">
        <v>25</v>
      </c>
      <c r="F622" s="4" t="s">
        <v>25</v>
      </c>
      <c r="G622" s="4" t="s">
        <v>25</v>
      </c>
      <c r="H622" s="4" t="s">
        <v>38</v>
      </c>
      <c r="I622" s="5">
        <v>44317</v>
      </c>
      <c r="J622" s="6">
        <v>0</v>
      </c>
      <c r="K622" s="6">
        <v>0</v>
      </c>
      <c r="L622" s="6">
        <v>0.10199999999999999</v>
      </c>
      <c r="M622" s="6">
        <v>0.10199999999999999</v>
      </c>
      <c r="N622" s="6">
        <v>0.10199999999999999</v>
      </c>
      <c r="O622" s="6">
        <v>0.10199999999999999</v>
      </c>
      <c r="P622" s="6">
        <v>0</v>
      </c>
      <c r="Q622" s="4" t="s">
        <v>26</v>
      </c>
      <c r="R622" s="4">
        <v>0</v>
      </c>
      <c r="S622" s="4" t="s">
        <v>311</v>
      </c>
      <c r="T622" s="4" t="s">
        <v>556</v>
      </c>
      <c r="U622" s="4">
        <v>0</v>
      </c>
      <c r="V622" s="4">
        <v>42</v>
      </c>
      <c r="W622" s="4">
        <v>79</v>
      </c>
    </row>
    <row r="623" spans="1:23" ht="11.25" customHeight="1" x14ac:dyDescent="0.25">
      <c r="A623" s="4" t="s">
        <v>21</v>
      </c>
      <c r="B623" s="4" t="s">
        <v>39</v>
      </c>
      <c r="C623" s="4" t="s">
        <v>37</v>
      </c>
      <c r="D623" s="4" t="s">
        <v>42</v>
      </c>
      <c r="E623" s="4" t="s">
        <v>25</v>
      </c>
      <c r="F623" s="4" t="s">
        <v>25</v>
      </c>
      <c r="G623" s="4" t="s">
        <v>25</v>
      </c>
      <c r="H623" s="4" t="s">
        <v>38</v>
      </c>
      <c r="I623" s="5">
        <v>44348</v>
      </c>
      <c r="J623" s="6">
        <v>0</v>
      </c>
      <c r="K623" s="6">
        <v>0</v>
      </c>
      <c r="L623" s="6">
        <v>8.3000000000000004E-2</v>
      </c>
      <c r="M623" s="6">
        <v>8.3000000000000004E-2</v>
      </c>
      <c r="N623" s="6">
        <v>8.3000000000000004E-2</v>
      </c>
      <c r="O623" s="6">
        <v>8.3000000000000004E-2</v>
      </c>
      <c r="P623" s="6">
        <v>0</v>
      </c>
      <c r="Q623" s="4" t="s">
        <v>26</v>
      </c>
      <c r="R623" s="4">
        <v>0</v>
      </c>
      <c r="S623" s="4" t="s">
        <v>312</v>
      </c>
      <c r="T623" s="4" t="s">
        <v>557</v>
      </c>
      <c r="U623" s="4">
        <v>0</v>
      </c>
      <c r="V623" s="4">
        <v>42</v>
      </c>
      <c r="W623" s="4">
        <v>79</v>
      </c>
    </row>
    <row r="624" spans="1:23" ht="11.25" customHeight="1" x14ac:dyDescent="0.25">
      <c r="A624" s="4" t="s">
        <v>21</v>
      </c>
      <c r="B624" s="4" t="s">
        <v>39</v>
      </c>
      <c r="C624" s="4" t="s">
        <v>37</v>
      </c>
      <c r="D624" s="4" t="s">
        <v>42</v>
      </c>
      <c r="E624" s="4" t="s">
        <v>25</v>
      </c>
      <c r="F624" s="4" t="s">
        <v>25</v>
      </c>
      <c r="G624" s="4" t="s">
        <v>25</v>
      </c>
      <c r="H624" s="4" t="s">
        <v>38</v>
      </c>
      <c r="I624" s="5">
        <v>44378</v>
      </c>
      <c r="J624" s="6">
        <v>0</v>
      </c>
      <c r="K624" s="6">
        <v>0</v>
      </c>
      <c r="L624" s="6">
        <v>0.10100000000000001</v>
      </c>
      <c r="M624" s="6">
        <v>0.10100000000000001</v>
      </c>
      <c r="N624" s="6">
        <v>0.10100000000000001</v>
      </c>
      <c r="O624" s="6">
        <v>0.10100000000000001</v>
      </c>
      <c r="P624" s="6">
        <v>0</v>
      </c>
      <c r="Q624" s="4" t="s">
        <v>26</v>
      </c>
      <c r="R624" s="4">
        <v>0</v>
      </c>
      <c r="S624" s="4" t="s">
        <v>313</v>
      </c>
      <c r="T624" s="4" t="s">
        <v>558</v>
      </c>
      <c r="U624" s="4">
        <v>0</v>
      </c>
      <c r="V624" s="4">
        <v>42</v>
      </c>
      <c r="W624" s="4">
        <v>79</v>
      </c>
    </row>
    <row r="625" spans="1:23" ht="11.25" customHeight="1" x14ac:dyDescent="0.25">
      <c r="A625" s="4" t="s">
        <v>21</v>
      </c>
      <c r="B625" s="4" t="s">
        <v>39</v>
      </c>
      <c r="C625" s="4" t="s">
        <v>37</v>
      </c>
      <c r="D625" s="4" t="s">
        <v>42</v>
      </c>
      <c r="E625" s="4" t="s">
        <v>25</v>
      </c>
      <c r="F625" s="4" t="s">
        <v>25</v>
      </c>
      <c r="G625" s="4" t="s">
        <v>25</v>
      </c>
      <c r="H625" s="4" t="s">
        <v>38</v>
      </c>
      <c r="I625" s="5">
        <v>44409</v>
      </c>
      <c r="J625" s="6">
        <v>0</v>
      </c>
      <c r="K625" s="6">
        <v>0</v>
      </c>
      <c r="L625" s="6">
        <v>7.0999999999999994E-2</v>
      </c>
      <c r="M625" s="6">
        <v>7.0999999999999994E-2</v>
      </c>
      <c r="N625" s="6">
        <v>7.0999999999999994E-2</v>
      </c>
      <c r="O625" s="6">
        <v>7.0999999999999994E-2</v>
      </c>
      <c r="P625" s="6">
        <v>0</v>
      </c>
      <c r="Q625" s="4" t="s">
        <v>26</v>
      </c>
      <c r="R625" s="4">
        <v>0</v>
      </c>
      <c r="S625" s="4" t="s">
        <v>314</v>
      </c>
      <c r="T625" s="4" t="s">
        <v>559</v>
      </c>
      <c r="U625" s="4">
        <v>0</v>
      </c>
      <c r="V625" s="4">
        <v>42</v>
      </c>
      <c r="W625" s="4">
        <v>79</v>
      </c>
    </row>
    <row r="626" spans="1:23" ht="11.25" customHeight="1" x14ac:dyDescent="0.25">
      <c r="A626" s="4" t="s">
        <v>21</v>
      </c>
      <c r="B626" s="4" t="s">
        <v>39</v>
      </c>
      <c r="C626" s="4" t="s">
        <v>37</v>
      </c>
      <c r="D626" s="4" t="s">
        <v>42</v>
      </c>
      <c r="E626" s="4" t="s">
        <v>25</v>
      </c>
      <c r="F626" s="4" t="s">
        <v>25</v>
      </c>
      <c r="G626" s="4" t="s">
        <v>25</v>
      </c>
      <c r="H626" s="4" t="s">
        <v>38</v>
      </c>
      <c r="I626" s="5">
        <v>44440</v>
      </c>
      <c r="J626" s="6">
        <v>0</v>
      </c>
      <c r="K626" s="6">
        <v>0</v>
      </c>
      <c r="L626" s="6">
        <v>0.108</v>
      </c>
      <c r="M626" s="6">
        <v>0.108</v>
      </c>
      <c r="N626" s="6">
        <v>0.108</v>
      </c>
      <c r="O626" s="6">
        <v>0.108</v>
      </c>
      <c r="P626" s="6">
        <v>0</v>
      </c>
      <c r="Q626" s="4" t="s">
        <v>26</v>
      </c>
      <c r="R626" s="4">
        <v>0</v>
      </c>
      <c r="S626" s="4" t="s">
        <v>315</v>
      </c>
      <c r="T626" s="4" t="s">
        <v>560</v>
      </c>
      <c r="U626" s="4">
        <v>0</v>
      </c>
      <c r="V626" s="4">
        <v>42</v>
      </c>
      <c r="W626" s="4">
        <v>79</v>
      </c>
    </row>
    <row r="627" spans="1:23" ht="11.25" customHeight="1" x14ac:dyDescent="0.25">
      <c r="A627" s="4" t="s">
        <v>21</v>
      </c>
      <c r="B627" s="4" t="s">
        <v>39</v>
      </c>
      <c r="C627" s="4" t="s">
        <v>37</v>
      </c>
      <c r="D627" s="4" t="s">
        <v>42</v>
      </c>
      <c r="E627" s="4" t="s">
        <v>25</v>
      </c>
      <c r="F627" s="4" t="s">
        <v>25</v>
      </c>
      <c r="G627" s="4" t="s">
        <v>25</v>
      </c>
      <c r="H627" s="4" t="s">
        <v>38</v>
      </c>
      <c r="I627" s="5">
        <v>44470</v>
      </c>
      <c r="J627" s="6">
        <v>0</v>
      </c>
      <c r="K627" s="6">
        <v>0</v>
      </c>
      <c r="L627" s="6">
        <v>9.6000000000000002E-2</v>
      </c>
      <c r="M627" s="6">
        <v>9.6000000000000002E-2</v>
      </c>
      <c r="N627" s="6">
        <v>9.6000000000000002E-2</v>
      </c>
      <c r="O627" s="6">
        <v>9.6000000000000002E-2</v>
      </c>
      <c r="P627" s="6">
        <v>0</v>
      </c>
      <c r="Q627" s="4" t="s">
        <v>26</v>
      </c>
      <c r="R627" s="4">
        <v>0</v>
      </c>
      <c r="S627" s="4" t="s">
        <v>316</v>
      </c>
      <c r="T627" s="4" t="s">
        <v>561</v>
      </c>
      <c r="U627" s="4">
        <v>0</v>
      </c>
      <c r="V627" s="4">
        <v>42</v>
      </c>
      <c r="W627" s="4">
        <v>79</v>
      </c>
    </row>
    <row r="628" spans="1:23" ht="11.25" customHeight="1" x14ac:dyDescent="0.25">
      <c r="A628" s="4" t="s">
        <v>21</v>
      </c>
      <c r="B628" s="4" t="s">
        <v>39</v>
      </c>
      <c r="C628" s="4" t="s">
        <v>37</v>
      </c>
      <c r="D628" s="4" t="s">
        <v>42</v>
      </c>
      <c r="E628" s="4" t="s">
        <v>25</v>
      </c>
      <c r="F628" s="4" t="s">
        <v>25</v>
      </c>
      <c r="G628" s="4" t="s">
        <v>25</v>
      </c>
      <c r="H628" s="4" t="s">
        <v>38</v>
      </c>
      <c r="I628" s="5">
        <v>44501</v>
      </c>
      <c r="J628" s="6">
        <v>0</v>
      </c>
      <c r="K628" s="6">
        <v>0</v>
      </c>
      <c r="L628" s="6">
        <v>0.114</v>
      </c>
      <c r="M628" s="6">
        <v>0.114</v>
      </c>
      <c r="N628" s="6">
        <v>0.114</v>
      </c>
      <c r="O628" s="6">
        <v>0.114</v>
      </c>
      <c r="P628" s="6">
        <v>0</v>
      </c>
      <c r="Q628" s="4" t="s">
        <v>26</v>
      </c>
      <c r="R628" s="4">
        <v>0</v>
      </c>
      <c r="S628" s="4" t="s">
        <v>317</v>
      </c>
      <c r="T628" s="4" t="s">
        <v>562</v>
      </c>
      <c r="U628" s="4">
        <v>0</v>
      </c>
      <c r="V628" s="4">
        <v>42</v>
      </c>
      <c r="W628" s="4">
        <v>79</v>
      </c>
    </row>
    <row r="629" spans="1:23" ht="11.25" customHeight="1" x14ac:dyDescent="0.25">
      <c r="A629" s="4" t="s">
        <v>21</v>
      </c>
      <c r="B629" s="4" t="s">
        <v>39</v>
      </c>
      <c r="C629" s="4" t="s">
        <v>37</v>
      </c>
      <c r="D629" s="4" t="s">
        <v>42</v>
      </c>
      <c r="E629" s="4" t="s">
        <v>25</v>
      </c>
      <c r="F629" s="4" t="s">
        <v>25</v>
      </c>
      <c r="G629" s="4" t="s">
        <v>25</v>
      </c>
      <c r="H629" s="4" t="s">
        <v>38</v>
      </c>
      <c r="I629" s="5">
        <v>44531</v>
      </c>
      <c r="J629" s="6">
        <v>0</v>
      </c>
      <c r="K629" s="6">
        <v>0</v>
      </c>
      <c r="L629" s="6">
        <v>9.2999999999999999E-2</v>
      </c>
      <c r="M629" s="6">
        <v>9.2999999999999999E-2</v>
      </c>
      <c r="N629" s="6">
        <v>9.2999999999999999E-2</v>
      </c>
      <c r="O629" s="6">
        <v>9.2999999999999999E-2</v>
      </c>
      <c r="P629" s="6">
        <v>0</v>
      </c>
      <c r="Q629" s="4" t="s">
        <v>26</v>
      </c>
      <c r="R629" s="4">
        <v>0</v>
      </c>
      <c r="S629" s="4" t="s">
        <v>318</v>
      </c>
      <c r="T629" s="4" t="s">
        <v>563</v>
      </c>
      <c r="U629" s="4">
        <v>0</v>
      </c>
      <c r="V629" s="4">
        <v>42</v>
      </c>
      <c r="W629" s="4">
        <v>79</v>
      </c>
    </row>
    <row r="630" spans="1:23" ht="11.25" customHeight="1" x14ac:dyDescent="0.25">
      <c r="A630" s="4" t="s">
        <v>21</v>
      </c>
      <c r="B630" s="4" t="s">
        <v>39</v>
      </c>
      <c r="C630" s="4" t="s">
        <v>37</v>
      </c>
      <c r="D630" s="4" t="s">
        <v>42</v>
      </c>
      <c r="E630" s="4" t="s">
        <v>25</v>
      </c>
      <c r="F630" s="4" t="s">
        <v>25</v>
      </c>
      <c r="G630" s="4" t="s">
        <v>25</v>
      </c>
      <c r="H630" s="4" t="s">
        <v>38</v>
      </c>
      <c r="I630" s="5">
        <v>44562</v>
      </c>
      <c r="J630" s="6">
        <v>0</v>
      </c>
      <c r="K630" s="6">
        <v>0</v>
      </c>
      <c r="L630" s="6">
        <v>8.7999999999999995E-2</v>
      </c>
      <c r="M630" s="6">
        <v>8.7999999999999995E-2</v>
      </c>
      <c r="N630" s="6">
        <v>8.7999999999999995E-2</v>
      </c>
      <c r="O630" s="6">
        <v>8.7999999999999995E-2</v>
      </c>
      <c r="P630" s="6">
        <v>0</v>
      </c>
      <c r="Q630" s="4" t="s">
        <v>26</v>
      </c>
      <c r="R630" s="4">
        <v>0</v>
      </c>
      <c r="S630" s="4" t="s">
        <v>319</v>
      </c>
      <c r="T630" s="4" t="s">
        <v>564</v>
      </c>
      <c r="U630" s="4">
        <v>0</v>
      </c>
      <c r="V630" s="4">
        <v>42</v>
      </c>
      <c r="W630" s="4">
        <v>79</v>
      </c>
    </row>
    <row r="631" spans="1:23" ht="11.25" customHeight="1" x14ac:dyDescent="0.25">
      <c r="A631" s="4" t="s">
        <v>21</v>
      </c>
      <c r="B631" s="4" t="s">
        <v>39</v>
      </c>
      <c r="C631" s="4" t="s">
        <v>37</v>
      </c>
      <c r="D631" s="4" t="s">
        <v>42</v>
      </c>
      <c r="E631" s="4" t="s">
        <v>25</v>
      </c>
      <c r="F631" s="4" t="s">
        <v>25</v>
      </c>
      <c r="G631" s="4" t="s">
        <v>25</v>
      </c>
      <c r="H631" s="4" t="s">
        <v>38</v>
      </c>
      <c r="I631" s="5">
        <v>44593</v>
      </c>
      <c r="J631" s="6">
        <v>0</v>
      </c>
      <c r="K631" s="6">
        <v>0</v>
      </c>
      <c r="L631" s="6">
        <v>0.13200000000000001</v>
      </c>
      <c r="M631" s="6">
        <v>0.13200000000000001</v>
      </c>
      <c r="N631" s="6">
        <v>0.13200000000000001</v>
      </c>
      <c r="O631" s="6">
        <v>0.13200000000000001</v>
      </c>
      <c r="P631" s="6">
        <v>0</v>
      </c>
      <c r="Q631" s="4" t="s">
        <v>26</v>
      </c>
      <c r="R631" s="4">
        <v>0</v>
      </c>
      <c r="S631" s="4" t="s">
        <v>320</v>
      </c>
      <c r="T631" s="4" t="s">
        <v>565</v>
      </c>
      <c r="U631" s="4">
        <v>0</v>
      </c>
      <c r="V631" s="4">
        <v>42</v>
      </c>
      <c r="W631" s="4">
        <v>79</v>
      </c>
    </row>
    <row r="632" spans="1:23" ht="11.25" customHeight="1" x14ac:dyDescent="0.25">
      <c r="A632" s="4" t="s">
        <v>21</v>
      </c>
      <c r="B632" s="4" t="s">
        <v>39</v>
      </c>
      <c r="C632" s="4" t="s">
        <v>37</v>
      </c>
      <c r="D632" s="4" t="s">
        <v>42</v>
      </c>
      <c r="E632" s="4" t="s">
        <v>25</v>
      </c>
      <c r="F632" s="4" t="s">
        <v>25</v>
      </c>
      <c r="G632" s="4" t="s">
        <v>25</v>
      </c>
      <c r="H632" s="4" t="s">
        <v>38</v>
      </c>
      <c r="I632" s="5">
        <v>44621</v>
      </c>
      <c r="J632" s="6">
        <v>0</v>
      </c>
      <c r="K632" s="6">
        <v>0</v>
      </c>
      <c r="L632" s="6">
        <v>0.15</v>
      </c>
      <c r="M632" s="6">
        <v>0.15</v>
      </c>
      <c r="N632" s="6">
        <v>0.15</v>
      </c>
      <c r="O632" s="6">
        <v>0.15</v>
      </c>
      <c r="P632" s="6">
        <v>0</v>
      </c>
      <c r="Q632" s="4" t="s">
        <v>26</v>
      </c>
      <c r="R632" s="4">
        <v>0</v>
      </c>
      <c r="S632" s="4" t="s">
        <v>321</v>
      </c>
      <c r="T632" s="4" t="s">
        <v>566</v>
      </c>
      <c r="U632" s="4">
        <v>0</v>
      </c>
      <c r="V632" s="4">
        <v>42</v>
      </c>
      <c r="W632" s="4">
        <v>79</v>
      </c>
    </row>
    <row r="633" spans="1:23" ht="11.25" customHeight="1" x14ac:dyDescent="0.25">
      <c r="A633" s="4" t="s">
        <v>21</v>
      </c>
      <c r="B633" s="4" t="s">
        <v>39</v>
      </c>
      <c r="C633" s="4" t="s">
        <v>37</v>
      </c>
      <c r="D633" s="4" t="s">
        <v>42</v>
      </c>
      <c r="E633" s="4" t="s">
        <v>25</v>
      </c>
      <c r="F633" s="4" t="s">
        <v>25</v>
      </c>
      <c r="G633" s="4" t="s">
        <v>25</v>
      </c>
      <c r="H633" s="4" t="s">
        <v>38</v>
      </c>
      <c r="I633" s="5">
        <v>44652</v>
      </c>
      <c r="J633" s="6">
        <v>0</v>
      </c>
      <c r="K633" s="6">
        <v>0</v>
      </c>
      <c r="L633" s="6">
        <v>9.1999999999999998E-2</v>
      </c>
      <c r="M633" s="6">
        <v>9.1999999999999998E-2</v>
      </c>
      <c r="N633" s="6">
        <v>9.1999999999999998E-2</v>
      </c>
      <c r="O633" s="6">
        <v>9.1999999999999998E-2</v>
      </c>
      <c r="P633" s="6">
        <v>0</v>
      </c>
      <c r="Q633" s="4" t="s">
        <v>26</v>
      </c>
      <c r="R633" s="4">
        <v>0</v>
      </c>
      <c r="S633" s="4" t="s">
        <v>322</v>
      </c>
      <c r="T633" s="4" t="s">
        <v>567</v>
      </c>
      <c r="U633" s="4">
        <v>0</v>
      </c>
      <c r="V633" s="4">
        <v>42</v>
      </c>
      <c r="W633" s="4">
        <v>79</v>
      </c>
    </row>
    <row r="634" spans="1:23" ht="11.25" customHeight="1" x14ac:dyDescent="0.25">
      <c r="A634" s="4" t="s">
        <v>21</v>
      </c>
      <c r="B634" s="4" t="s">
        <v>39</v>
      </c>
      <c r="C634" s="4" t="s">
        <v>37</v>
      </c>
      <c r="D634" s="4" t="s">
        <v>42</v>
      </c>
      <c r="E634" s="4" t="s">
        <v>25</v>
      </c>
      <c r="F634" s="4" t="s">
        <v>25</v>
      </c>
      <c r="G634" s="4" t="s">
        <v>25</v>
      </c>
      <c r="H634" s="4" t="s">
        <v>35</v>
      </c>
      <c r="I634" s="5">
        <v>44317</v>
      </c>
      <c r="J634" s="6">
        <v>0</v>
      </c>
      <c r="K634" s="6">
        <v>0</v>
      </c>
      <c r="L634" s="6">
        <v>0.06</v>
      </c>
      <c r="M634" s="6">
        <v>0.06</v>
      </c>
      <c r="N634" s="6">
        <v>0.06</v>
      </c>
      <c r="O634" s="6">
        <v>0.06</v>
      </c>
      <c r="P634" s="6">
        <v>0</v>
      </c>
      <c r="Q634" s="4" t="s">
        <v>26</v>
      </c>
      <c r="R634" s="4">
        <v>0</v>
      </c>
      <c r="S634" s="4" t="s">
        <v>323</v>
      </c>
      <c r="T634" s="4" t="s">
        <v>568</v>
      </c>
      <c r="U634" s="4">
        <v>0</v>
      </c>
      <c r="V634" s="4">
        <v>41</v>
      </c>
      <c r="W634" s="4">
        <v>78</v>
      </c>
    </row>
    <row r="635" spans="1:23" ht="11.25" customHeight="1" x14ac:dyDescent="0.25">
      <c r="A635" s="4" t="s">
        <v>21</v>
      </c>
      <c r="B635" s="4" t="s">
        <v>39</v>
      </c>
      <c r="C635" s="4" t="s">
        <v>37</v>
      </c>
      <c r="D635" s="4" t="s">
        <v>42</v>
      </c>
      <c r="E635" s="4" t="s">
        <v>25</v>
      </c>
      <c r="F635" s="4" t="s">
        <v>25</v>
      </c>
      <c r="G635" s="4" t="s">
        <v>25</v>
      </c>
      <c r="H635" s="4" t="s">
        <v>35</v>
      </c>
      <c r="I635" s="5">
        <v>44348</v>
      </c>
      <c r="J635" s="6">
        <v>0</v>
      </c>
      <c r="K635" s="6">
        <v>0</v>
      </c>
      <c r="L635" s="6">
        <v>0.14299999999999999</v>
      </c>
      <c r="M635" s="6">
        <v>0.14299999999999999</v>
      </c>
      <c r="N635" s="6">
        <v>0.14299999999999999</v>
      </c>
      <c r="O635" s="6">
        <v>0.14299999999999999</v>
      </c>
      <c r="P635" s="6">
        <v>0</v>
      </c>
      <c r="Q635" s="4" t="s">
        <v>26</v>
      </c>
      <c r="R635" s="4">
        <v>0</v>
      </c>
      <c r="S635" s="4" t="s">
        <v>324</v>
      </c>
      <c r="T635" s="4" t="s">
        <v>569</v>
      </c>
      <c r="U635" s="4">
        <v>0</v>
      </c>
      <c r="V635" s="4">
        <v>41</v>
      </c>
      <c r="W635" s="4">
        <v>78</v>
      </c>
    </row>
    <row r="636" spans="1:23" ht="11.25" customHeight="1" x14ac:dyDescent="0.25">
      <c r="A636" s="4" t="s">
        <v>21</v>
      </c>
      <c r="B636" s="4" t="s">
        <v>39</v>
      </c>
      <c r="C636" s="4" t="s">
        <v>37</v>
      </c>
      <c r="D636" s="4" t="s">
        <v>42</v>
      </c>
      <c r="E636" s="4" t="s">
        <v>25</v>
      </c>
      <c r="F636" s="4" t="s">
        <v>25</v>
      </c>
      <c r="G636" s="4" t="s">
        <v>25</v>
      </c>
      <c r="H636" s="4" t="s">
        <v>35</v>
      </c>
      <c r="I636" s="5">
        <v>44378</v>
      </c>
      <c r="J636" s="6">
        <v>0</v>
      </c>
      <c r="K636" s="6">
        <v>0</v>
      </c>
      <c r="L636" s="6">
        <v>4.2000000000000003E-2</v>
      </c>
      <c r="M636" s="6">
        <v>4.2000000000000003E-2</v>
      </c>
      <c r="N636" s="6">
        <v>4.2000000000000003E-2</v>
      </c>
      <c r="O636" s="6">
        <v>4.2000000000000003E-2</v>
      </c>
      <c r="P636" s="6">
        <v>0</v>
      </c>
      <c r="Q636" s="4" t="s">
        <v>26</v>
      </c>
      <c r="R636" s="4">
        <v>0</v>
      </c>
      <c r="S636" s="4" t="s">
        <v>325</v>
      </c>
      <c r="T636" s="4" t="s">
        <v>570</v>
      </c>
      <c r="U636" s="4">
        <v>0</v>
      </c>
      <c r="V636" s="4">
        <v>41</v>
      </c>
      <c r="W636" s="4">
        <v>78</v>
      </c>
    </row>
    <row r="637" spans="1:23" ht="11.25" customHeight="1" x14ac:dyDescent="0.25">
      <c r="A637" s="4" t="s">
        <v>21</v>
      </c>
      <c r="B637" s="4" t="s">
        <v>39</v>
      </c>
      <c r="C637" s="4" t="s">
        <v>37</v>
      </c>
      <c r="D637" s="4" t="s">
        <v>42</v>
      </c>
      <c r="E637" s="4" t="s">
        <v>25</v>
      </c>
      <c r="F637" s="4" t="s">
        <v>25</v>
      </c>
      <c r="G637" s="4" t="s">
        <v>25</v>
      </c>
      <c r="H637" s="4" t="s">
        <v>35</v>
      </c>
      <c r="I637" s="5">
        <v>44409</v>
      </c>
      <c r="J637" s="6">
        <v>0</v>
      </c>
      <c r="K637" s="6">
        <v>0</v>
      </c>
      <c r="L637" s="6">
        <v>4.5999999999999999E-2</v>
      </c>
      <c r="M637" s="6">
        <v>4.5999999999999999E-2</v>
      </c>
      <c r="N637" s="6">
        <v>4.5999999999999999E-2</v>
      </c>
      <c r="O637" s="6">
        <v>4.5999999999999999E-2</v>
      </c>
      <c r="P637" s="6">
        <v>0</v>
      </c>
      <c r="Q637" s="4" t="s">
        <v>26</v>
      </c>
      <c r="R637" s="4">
        <v>0</v>
      </c>
      <c r="S637" s="4" t="s">
        <v>326</v>
      </c>
      <c r="T637" s="4" t="s">
        <v>571</v>
      </c>
      <c r="U637" s="4">
        <v>0</v>
      </c>
      <c r="V637" s="4">
        <v>41</v>
      </c>
      <c r="W637" s="4">
        <v>78</v>
      </c>
    </row>
    <row r="638" spans="1:23" ht="11.25" customHeight="1" x14ac:dyDescent="0.25">
      <c r="A638" s="4" t="s">
        <v>21</v>
      </c>
      <c r="B638" s="4" t="s">
        <v>39</v>
      </c>
      <c r="C638" s="4" t="s">
        <v>37</v>
      </c>
      <c r="D638" s="4" t="s">
        <v>42</v>
      </c>
      <c r="E638" s="4" t="s">
        <v>25</v>
      </c>
      <c r="F638" s="4" t="s">
        <v>25</v>
      </c>
      <c r="G638" s="4" t="s">
        <v>25</v>
      </c>
      <c r="H638" s="4" t="s">
        <v>35</v>
      </c>
      <c r="I638" s="5">
        <v>44440</v>
      </c>
      <c r="J638" s="6">
        <v>0</v>
      </c>
      <c r="K638" s="6">
        <v>0</v>
      </c>
      <c r="L638" s="6">
        <v>100.008</v>
      </c>
      <c r="M638" s="6">
        <v>100.008</v>
      </c>
      <c r="N638" s="6">
        <v>100.008</v>
      </c>
      <c r="O638" s="6">
        <v>100.008</v>
      </c>
      <c r="P638" s="6">
        <v>0</v>
      </c>
      <c r="Q638" s="4" t="s">
        <v>26</v>
      </c>
      <c r="R638" s="4">
        <v>0</v>
      </c>
      <c r="S638" s="4" t="s">
        <v>327</v>
      </c>
      <c r="T638" s="4" t="s">
        <v>572</v>
      </c>
      <c r="U638" s="4">
        <v>0</v>
      </c>
      <c r="V638" s="4">
        <v>41</v>
      </c>
      <c r="W638" s="4">
        <v>78</v>
      </c>
    </row>
    <row r="639" spans="1:23" ht="11.25" customHeight="1" x14ac:dyDescent="0.25">
      <c r="A639" s="4" t="s">
        <v>27</v>
      </c>
      <c r="B639" s="4" t="s">
        <v>39</v>
      </c>
      <c r="C639" s="4" t="s">
        <v>37</v>
      </c>
      <c r="D639" s="4" t="s">
        <v>42</v>
      </c>
      <c r="E639" s="4" t="s">
        <v>25</v>
      </c>
      <c r="F639" s="4" t="s">
        <v>25</v>
      </c>
      <c r="G639" s="4" t="s">
        <v>25</v>
      </c>
      <c r="H639" s="4" t="s">
        <v>35</v>
      </c>
      <c r="I639" s="5">
        <v>44440</v>
      </c>
      <c r="J639" s="6">
        <v>0</v>
      </c>
      <c r="K639" s="6">
        <v>0</v>
      </c>
      <c r="L639" s="6">
        <v>-99.962999999999994</v>
      </c>
      <c r="M639" s="6">
        <v>-99.962999999999994</v>
      </c>
      <c r="N639" s="6">
        <v>-99.962999999999994</v>
      </c>
      <c r="O639" s="6">
        <v>-99.962999999999994</v>
      </c>
      <c r="P639" s="6">
        <v>0</v>
      </c>
      <c r="Q639" s="4" t="s">
        <v>26</v>
      </c>
      <c r="R639" s="4">
        <v>0</v>
      </c>
      <c r="S639" s="4" t="s">
        <v>327</v>
      </c>
      <c r="T639" s="4" t="s">
        <v>572</v>
      </c>
      <c r="U639" s="4">
        <v>0</v>
      </c>
      <c r="V639" s="4">
        <v>41</v>
      </c>
      <c r="W639" s="4">
        <v>78</v>
      </c>
    </row>
    <row r="640" spans="1:23" ht="11.25" customHeight="1" x14ac:dyDescent="0.25">
      <c r="A640" s="4" t="s">
        <v>21</v>
      </c>
      <c r="B640" s="4" t="s">
        <v>39</v>
      </c>
      <c r="C640" s="4" t="s">
        <v>37</v>
      </c>
      <c r="D640" s="4" t="s">
        <v>42</v>
      </c>
      <c r="E640" s="4" t="s">
        <v>25</v>
      </c>
      <c r="F640" s="4" t="s">
        <v>25</v>
      </c>
      <c r="G640" s="4" t="s">
        <v>25</v>
      </c>
      <c r="H640" s="4" t="s">
        <v>35</v>
      </c>
      <c r="I640" s="5">
        <v>44470</v>
      </c>
      <c r="J640" s="6">
        <v>0</v>
      </c>
      <c r="K640" s="6">
        <v>0</v>
      </c>
      <c r="L640" s="6">
        <v>6.0999999999999999E-2</v>
      </c>
      <c r="M640" s="6">
        <v>6.0999999999999999E-2</v>
      </c>
      <c r="N640" s="6">
        <v>6.0999999999999999E-2</v>
      </c>
      <c r="O640" s="6">
        <v>6.0999999999999999E-2</v>
      </c>
      <c r="P640" s="6">
        <v>0</v>
      </c>
      <c r="Q640" s="4" t="s">
        <v>26</v>
      </c>
      <c r="R640" s="4">
        <v>0</v>
      </c>
      <c r="S640" s="4" t="s">
        <v>328</v>
      </c>
      <c r="T640" s="4" t="s">
        <v>573</v>
      </c>
      <c r="U640" s="4">
        <v>0</v>
      </c>
      <c r="V640" s="4">
        <v>41</v>
      </c>
      <c r="W640" s="4">
        <v>78</v>
      </c>
    </row>
    <row r="641" spans="1:23" ht="11.25" customHeight="1" x14ac:dyDescent="0.25">
      <c r="A641" s="4" t="s">
        <v>21</v>
      </c>
      <c r="B641" s="4" t="s">
        <v>39</v>
      </c>
      <c r="C641" s="4" t="s">
        <v>37</v>
      </c>
      <c r="D641" s="4" t="s">
        <v>42</v>
      </c>
      <c r="E641" s="4" t="s">
        <v>25</v>
      </c>
      <c r="F641" s="4" t="s">
        <v>25</v>
      </c>
      <c r="G641" s="4" t="s">
        <v>25</v>
      </c>
      <c r="H641" s="4" t="s">
        <v>35</v>
      </c>
      <c r="I641" s="5">
        <v>44501</v>
      </c>
      <c r="J641" s="6">
        <v>0</v>
      </c>
      <c r="K641" s="6">
        <v>0</v>
      </c>
      <c r="L641" s="6">
        <v>6.5000000000000002E-2</v>
      </c>
      <c r="M641" s="6">
        <v>6.5000000000000002E-2</v>
      </c>
      <c r="N641" s="6">
        <v>6.5000000000000002E-2</v>
      </c>
      <c r="O641" s="6">
        <v>6.5000000000000002E-2</v>
      </c>
      <c r="P641" s="6">
        <v>0</v>
      </c>
      <c r="Q641" s="4" t="s">
        <v>26</v>
      </c>
      <c r="R641" s="4">
        <v>0</v>
      </c>
      <c r="S641" s="4" t="s">
        <v>329</v>
      </c>
      <c r="T641" s="4" t="s">
        <v>574</v>
      </c>
      <c r="U641" s="4">
        <v>0</v>
      </c>
      <c r="V641" s="4">
        <v>41</v>
      </c>
      <c r="W641" s="4">
        <v>78</v>
      </c>
    </row>
    <row r="642" spans="1:23" ht="11.25" customHeight="1" x14ac:dyDescent="0.25">
      <c r="A642" s="4" t="s">
        <v>21</v>
      </c>
      <c r="B642" s="4" t="s">
        <v>39</v>
      </c>
      <c r="C642" s="4" t="s">
        <v>37</v>
      </c>
      <c r="D642" s="4" t="s">
        <v>42</v>
      </c>
      <c r="E642" s="4" t="s">
        <v>25</v>
      </c>
      <c r="F642" s="4" t="s">
        <v>25</v>
      </c>
      <c r="G642" s="4" t="s">
        <v>25</v>
      </c>
      <c r="H642" s="4" t="s">
        <v>35</v>
      </c>
      <c r="I642" s="5">
        <v>44531</v>
      </c>
      <c r="J642" s="6">
        <v>0</v>
      </c>
      <c r="K642" s="6">
        <v>0</v>
      </c>
      <c r="L642" s="6">
        <v>6.4000000000000001E-2</v>
      </c>
      <c r="M642" s="6">
        <v>6.4000000000000001E-2</v>
      </c>
      <c r="N642" s="6">
        <v>6.4000000000000001E-2</v>
      </c>
      <c r="O642" s="6">
        <v>6.4000000000000001E-2</v>
      </c>
      <c r="P642" s="6">
        <v>0</v>
      </c>
      <c r="Q642" s="4" t="s">
        <v>26</v>
      </c>
      <c r="R642" s="4">
        <v>0</v>
      </c>
      <c r="S642" s="4" t="s">
        <v>330</v>
      </c>
      <c r="T642" s="4" t="s">
        <v>575</v>
      </c>
      <c r="U642" s="4">
        <v>0</v>
      </c>
      <c r="V642" s="4">
        <v>41</v>
      </c>
      <c r="W642" s="4">
        <v>78</v>
      </c>
    </row>
    <row r="643" spans="1:23" ht="11.25" customHeight="1" x14ac:dyDescent="0.25">
      <c r="A643" s="4" t="s">
        <v>21</v>
      </c>
      <c r="B643" s="4" t="s">
        <v>39</v>
      </c>
      <c r="C643" s="4" t="s">
        <v>37</v>
      </c>
      <c r="D643" s="4" t="s">
        <v>42</v>
      </c>
      <c r="E643" s="4" t="s">
        <v>25</v>
      </c>
      <c r="F643" s="4" t="s">
        <v>25</v>
      </c>
      <c r="G643" s="4" t="s">
        <v>25</v>
      </c>
      <c r="H643" s="4" t="s">
        <v>35</v>
      </c>
      <c r="I643" s="5">
        <v>44562</v>
      </c>
      <c r="J643" s="6">
        <v>0</v>
      </c>
      <c r="K643" s="6">
        <v>0</v>
      </c>
      <c r="L643" s="6">
        <v>5.8999999999999997E-2</v>
      </c>
      <c r="M643" s="6">
        <v>5.8999999999999997E-2</v>
      </c>
      <c r="N643" s="6">
        <v>5.8999999999999997E-2</v>
      </c>
      <c r="O643" s="6">
        <v>5.8999999999999997E-2</v>
      </c>
      <c r="P643" s="6">
        <v>0</v>
      </c>
      <c r="Q643" s="4" t="s">
        <v>26</v>
      </c>
      <c r="R643" s="4">
        <v>0</v>
      </c>
      <c r="S643" s="4" t="s">
        <v>331</v>
      </c>
      <c r="T643" s="4" t="s">
        <v>576</v>
      </c>
      <c r="U643" s="4">
        <v>0</v>
      </c>
      <c r="V643" s="4">
        <v>41</v>
      </c>
      <c r="W643" s="4">
        <v>78</v>
      </c>
    </row>
    <row r="644" spans="1:23" ht="11.25" customHeight="1" x14ac:dyDescent="0.25">
      <c r="A644" s="4" t="s">
        <v>21</v>
      </c>
      <c r="B644" s="4" t="s">
        <v>39</v>
      </c>
      <c r="C644" s="4" t="s">
        <v>37</v>
      </c>
      <c r="D644" s="4" t="s">
        <v>42</v>
      </c>
      <c r="E644" s="4" t="s">
        <v>25</v>
      </c>
      <c r="F644" s="4" t="s">
        <v>25</v>
      </c>
      <c r="G644" s="4" t="s">
        <v>25</v>
      </c>
      <c r="H644" s="4" t="s">
        <v>35</v>
      </c>
      <c r="I644" s="5">
        <v>44593</v>
      </c>
      <c r="J644" s="6">
        <v>0</v>
      </c>
      <c r="K644" s="6">
        <v>0</v>
      </c>
      <c r="L644" s="6">
        <v>7.1999999999999995E-2</v>
      </c>
      <c r="M644" s="6">
        <v>7.1999999999999995E-2</v>
      </c>
      <c r="N644" s="6">
        <v>7.1999999999999995E-2</v>
      </c>
      <c r="O644" s="6">
        <v>7.1999999999999995E-2</v>
      </c>
      <c r="P644" s="6">
        <v>0</v>
      </c>
      <c r="Q644" s="4" t="s">
        <v>26</v>
      </c>
      <c r="R644" s="4">
        <v>0</v>
      </c>
      <c r="S644" s="4" t="s">
        <v>332</v>
      </c>
      <c r="T644" s="4" t="s">
        <v>577</v>
      </c>
      <c r="U644" s="4">
        <v>0</v>
      </c>
      <c r="V644" s="4">
        <v>41</v>
      </c>
      <c r="W644" s="4">
        <v>78</v>
      </c>
    </row>
    <row r="645" spans="1:23" ht="11.25" customHeight="1" x14ac:dyDescent="0.25">
      <c r="A645" s="4" t="s">
        <v>21</v>
      </c>
      <c r="B645" s="4" t="s">
        <v>39</v>
      </c>
      <c r="C645" s="4" t="s">
        <v>37</v>
      </c>
      <c r="D645" s="4" t="s">
        <v>42</v>
      </c>
      <c r="E645" s="4" t="s">
        <v>25</v>
      </c>
      <c r="F645" s="4" t="s">
        <v>25</v>
      </c>
      <c r="G645" s="4" t="s">
        <v>25</v>
      </c>
      <c r="H645" s="4" t="s">
        <v>35</v>
      </c>
      <c r="I645" s="5">
        <v>44621</v>
      </c>
      <c r="J645" s="6">
        <v>0</v>
      </c>
      <c r="K645" s="6">
        <v>0</v>
      </c>
      <c r="L645" s="6">
        <v>9.5000000000000001E-2</v>
      </c>
      <c r="M645" s="6">
        <v>9.5000000000000001E-2</v>
      </c>
      <c r="N645" s="6">
        <v>9.5000000000000001E-2</v>
      </c>
      <c r="O645" s="6">
        <v>9.5000000000000001E-2</v>
      </c>
      <c r="P645" s="6">
        <v>0</v>
      </c>
      <c r="Q645" s="4" t="s">
        <v>26</v>
      </c>
      <c r="R645" s="4">
        <v>0</v>
      </c>
      <c r="S645" s="4" t="s">
        <v>333</v>
      </c>
      <c r="T645" s="4" t="s">
        <v>578</v>
      </c>
      <c r="U645" s="4">
        <v>0</v>
      </c>
      <c r="V645" s="4">
        <v>41</v>
      </c>
      <c r="W645" s="4">
        <v>78</v>
      </c>
    </row>
    <row r="646" spans="1:23" ht="11.25" customHeight="1" x14ac:dyDescent="0.25">
      <c r="A646" s="4" t="s">
        <v>21</v>
      </c>
      <c r="B646" s="4" t="s">
        <v>39</v>
      </c>
      <c r="C646" s="4" t="s">
        <v>37</v>
      </c>
      <c r="D646" s="4" t="s">
        <v>42</v>
      </c>
      <c r="E646" s="4" t="s">
        <v>25</v>
      </c>
      <c r="F646" s="4" t="s">
        <v>25</v>
      </c>
      <c r="G646" s="4" t="s">
        <v>25</v>
      </c>
      <c r="H646" s="4" t="s">
        <v>35</v>
      </c>
      <c r="I646" s="5">
        <v>44652</v>
      </c>
      <c r="J646" s="6">
        <v>0</v>
      </c>
      <c r="K646" s="6">
        <v>0</v>
      </c>
      <c r="L646" s="6">
        <v>5.2999999999999999E-2</v>
      </c>
      <c r="M646" s="6">
        <v>5.2999999999999999E-2</v>
      </c>
      <c r="N646" s="6">
        <v>5.2999999999999999E-2</v>
      </c>
      <c r="O646" s="6">
        <v>5.2999999999999999E-2</v>
      </c>
      <c r="P646" s="6">
        <v>0</v>
      </c>
      <c r="Q646" s="4" t="s">
        <v>26</v>
      </c>
      <c r="R646" s="4">
        <v>0</v>
      </c>
      <c r="S646" s="4" t="s">
        <v>334</v>
      </c>
      <c r="T646" s="4" t="s">
        <v>579</v>
      </c>
      <c r="U646" s="4">
        <v>0</v>
      </c>
      <c r="V646" s="4">
        <v>41</v>
      </c>
      <c r="W646" s="4">
        <v>78</v>
      </c>
    </row>
    <row r="647" spans="1:23" ht="11.25" customHeight="1" x14ac:dyDescent="0.25">
      <c r="A647" s="4" t="s">
        <v>21</v>
      </c>
      <c r="B647" s="4" t="s">
        <v>39</v>
      </c>
      <c r="C647" s="4" t="s">
        <v>23</v>
      </c>
      <c r="D647" s="4" t="s">
        <v>42</v>
      </c>
      <c r="E647" s="4" t="s">
        <v>25</v>
      </c>
      <c r="F647" s="4" t="s">
        <v>25</v>
      </c>
      <c r="G647" s="4" t="s">
        <v>25</v>
      </c>
      <c r="H647" s="4" t="s">
        <v>25</v>
      </c>
      <c r="I647" s="5">
        <v>44317</v>
      </c>
      <c r="J647" s="6">
        <v>0</v>
      </c>
      <c r="K647" s="6">
        <v>0</v>
      </c>
      <c r="L647" s="6">
        <v>902.12599999999998</v>
      </c>
      <c r="M647" s="6">
        <v>902.12599999999998</v>
      </c>
      <c r="N647" s="6">
        <v>902.12599999999998</v>
      </c>
      <c r="O647" s="6">
        <v>902.12599999999998</v>
      </c>
      <c r="P647" s="6">
        <v>1048</v>
      </c>
      <c r="Q647" s="4" t="s">
        <v>26</v>
      </c>
      <c r="R647" s="4">
        <v>0</v>
      </c>
      <c r="S647" s="4" t="s">
        <v>335</v>
      </c>
      <c r="T647" s="4" t="s">
        <v>580</v>
      </c>
      <c r="U647" s="4">
        <v>0</v>
      </c>
      <c r="V647" s="4">
        <v>44</v>
      </c>
      <c r="W647" s="4">
        <v>81</v>
      </c>
    </row>
    <row r="648" spans="1:23" ht="11.25" customHeight="1" x14ac:dyDescent="0.25">
      <c r="A648" s="4" t="s">
        <v>28</v>
      </c>
      <c r="B648" s="4" t="s">
        <v>39</v>
      </c>
      <c r="C648" s="4" t="s">
        <v>23</v>
      </c>
      <c r="D648" s="4" t="s">
        <v>42</v>
      </c>
      <c r="E648" s="4" t="s">
        <v>25</v>
      </c>
      <c r="F648" s="4" t="s">
        <v>25</v>
      </c>
      <c r="G648" s="4" t="s">
        <v>25</v>
      </c>
      <c r="H648" s="4" t="s">
        <v>25</v>
      </c>
      <c r="I648" s="5">
        <v>44317</v>
      </c>
      <c r="J648" s="6">
        <v>0</v>
      </c>
      <c r="K648" s="6">
        <v>0</v>
      </c>
      <c r="L648" s="6">
        <v>38.594000000000001</v>
      </c>
      <c r="M648" s="6">
        <v>38.594000000000001</v>
      </c>
      <c r="N648" s="6">
        <v>38.594000000000001</v>
      </c>
      <c r="O648" s="6">
        <v>38.594000000000001</v>
      </c>
      <c r="P648" s="6">
        <v>78</v>
      </c>
      <c r="Q648" s="4" t="s">
        <v>26</v>
      </c>
      <c r="R648" s="4">
        <v>0</v>
      </c>
      <c r="S648" s="4" t="s">
        <v>335</v>
      </c>
      <c r="T648" s="4" t="s">
        <v>580</v>
      </c>
      <c r="U648" s="4">
        <v>0</v>
      </c>
      <c r="V648" s="4">
        <v>44</v>
      </c>
      <c r="W648" s="4">
        <v>81</v>
      </c>
    </row>
    <row r="649" spans="1:23" ht="11.25" customHeight="1" x14ac:dyDescent="0.25">
      <c r="A649" s="4" t="s">
        <v>21</v>
      </c>
      <c r="B649" s="4" t="s">
        <v>39</v>
      </c>
      <c r="C649" s="4" t="s">
        <v>23</v>
      </c>
      <c r="D649" s="4" t="s">
        <v>42</v>
      </c>
      <c r="E649" s="4" t="s">
        <v>25</v>
      </c>
      <c r="F649" s="4" t="s">
        <v>25</v>
      </c>
      <c r="G649" s="4" t="s">
        <v>25</v>
      </c>
      <c r="H649" s="4" t="s">
        <v>25</v>
      </c>
      <c r="I649" s="5">
        <v>44348</v>
      </c>
      <c r="J649" s="6">
        <v>0</v>
      </c>
      <c r="K649" s="6">
        <v>0</v>
      </c>
      <c r="L649" s="6">
        <v>909.96299999999997</v>
      </c>
      <c r="M649" s="6">
        <v>909.96299999999997</v>
      </c>
      <c r="N649" s="6">
        <v>909.96299999999997</v>
      </c>
      <c r="O649" s="6">
        <v>909.96299999999997</v>
      </c>
      <c r="P649" s="6">
        <v>1049</v>
      </c>
      <c r="Q649" s="4" t="s">
        <v>26</v>
      </c>
      <c r="R649" s="4">
        <v>0</v>
      </c>
      <c r="S649" s="4" t="s">
        <v>336</v>
      </c>
      <c r="T649" s="4" t="s">
        <v>581</v>
      </c>
      <c r="U649" s="4">
        <v>0</v>
      </c>
      <c r="V649" s="4">
        <v>44</v>
      </c>
      <c r="W649" s="4">
        <v>81</v>
      </c>
    </row>
    <row r="650" spans="1:23" ht="11.25" customHeight="1" x14ac:dyDescent="0.25">
      <c r="A650" s="4" t="s">
        <v>28</v>
      </c>
      <c r="B650" s="4" t="s">
        <v>39</v>
      </c>
      <c r="C650" s="4" t="s">
        <v>23</v>
      </c>
      <c r="D650" s="4" t="s">
        <v>42</v>
      </c>
      <c r="E650" s="4" t="s">
        <v>25</v>
      </c>
      <c r="F650" s="4" t="s">
        <v>25</v>
      </c>
      <c r="G650" s="4" t="s">
        <v>25</v>
      </c>
      <c r="H650" s="4" t="s">
        <v>25</v>
      </c>
      <c r="I650" s="5">
        <v>44348</v>
      </c>
      <c r="J650" s="6">
        <v>0</v>
      </c>
      <c r="K650" s="6">
        <v>0</v>
      </c>
      <c r="L650" s="6">
        <v>52.569000000000003</v>
      </c>
      <c r="M650" s="6">
        <v>52.569000000000003</v>
      </c>
      <c r="N650" s="6">
        <v>52.569000000000003</v>
      </c>
      <c r="O650" s="6">
        <v>52.569000000000003</v>
      </c>
      <c r="P650" s="6">
        <v>77</v>
      </c>
      <c r="Q650" s="4" t="s">
        <v>26</v>
      </c>
      <c r="R650" s="4">
        <v>0</v>
      </c>
      <c r="S650" s="4" t="s">
        <v>336</v>
      </c>
      <c r="T650" s="4" t="s">
        <v>581</v>
      </c>
      <c r="U650" s="4">
        <v>0</v>
      </c>
      <c r="V650" s="4">
        <v>44</v>
      </c>
      <c r="W650" s="4">
        <v>81</v>
      </c>
    </row>
    <row r="651" spans="1:23" ht="11.25" customHeight="1" x14ac:dyDescent="0.25">
      <c r="A651" s="4" t="s">
        <v>21</v>
      </c>
      <c r="B651" s="4" t="s">
        <v>39</v>
      </c>
      <c r="C651" s="4" t="s">
        <v>23</v>
      </c>
      <c r="D651" s="4" t="s">
        <v>42</v>
      </c>
      <c r="E651" s="4" t="s">
        <v>25</v>
      </c>
      <c r="F651" s="4" t="s">
        <v>25</v>
      </c>
      <c r="G651" s="4" t="s">
        <v>25</v>
      </c>
      <c r="H651" s="4" t="s">
        <v>25</v>
      </c>
      <c r="I651" s="5">
        <v>44378</v>
      </c>
      <c r="J651" s="6">
        <v>0</v>
      </c>
      <c r="K651" s="6">
        <v>0</v>
      </c>
      <c r="L651" s="6">
        <v>878.39</v>
      </c>
      <c r="M651" s="6">
        <v>878.39</v>
      </c>
      <c r="N651" s="6">
        <v>878.39</v>
      </c>
      <c r="O651" s="6">
        <v>878.39</v>
      </c>
      <c r="P651" s="6">
        <v>1051</v>
      </c>
      <c r="Q651" s="4" t="s">
        <v>26</v>
      </c>
      <c r="R651" s="4">
        <v>0</v>
      </c>
      <c r="S651" s="4" t="s">
        <v>337</v>
      </c>
      <c r="T651" s="4" t="s">
        <v>582</v>
      </c>
      <c r="U651" s="4">
        <v>0</v>
      </c>
      <c r="V651" s="4">
        <v>44</v>
      </c>
      <c r="W651" s="4">
        <v>81</v>
      </c>
    </row>
    <row r="652" spans="1:23" ht="11.25" customHeight="1" x14ac:dyDescent="0.25">
      <c r="A652" s="4" t="s">
        <v>28</v>
      </c>
      <c r="B652" s="4" t="s">
        <v>39</v>
      </c>
      <c r="C652" s="4" t="s">
        <v>23</v>
      </c>
      <c r="D652" s="4" t="s">
        <v>42</v>
      </c>
      <c r="E652" s="4" t="s">
        <v>25</v>
      </c>
      <c r="F652" s="4" t="s">
        <v>25</v>
      </c>
      <c r="G652" s="4" t="s">
        <v>25</v>
      </c>
      <c r="H652" s="4" t="s">
        <v>25</v>
      </c>
      <c r="I652" s="5">
        <v>44378</v>
      </c>
      <c r="J652" s="6">
        <v>0</v>
      </c>
      <c r="K652" s="6">
        <v>0</v>
      </c>
      <c r="L652" s="6">
        <v>45.752000000000002</v>
      </c>
      <c r="M652" s="6">
        <v>45.752000000000002</v>
      </c>
      <c r="N652" s="6">
        <v>45.752000000000002</v>
      </c>
      <c r="O652" s="6">
        <v>45.752000000000002</v>
      </c>
      <c r="P652" s="6">
        <v>78</v>
      </c>
      <c r="Q652" s="4" t="s">
        <v>26</v>
      </c>
      <c r="R652" s="4">
        <v>0</v>
      </c>
      <c r="S652" s="4" t="s">
        <v>337</v>
      </c>
      <c r="T652" s="4" t="s">
        <v>582</v>
      </c>
      <c r="U652" s="4">
        <v>0</v>
      </c>
      <c r="V652" s="4">
        <v>44</v>
      </c>
      <c r="W652" s="4">
        <v>81</v>
      </c>
    </row>
    <row r="653" spans="1:23" ht="11.25" customHeight="1" x14ac:dyDescent="0.25">
      <c r="A653" s="4" t="s">
        <v>21</v>
      </c>
      <c r="B653" s="4" t="s">
        <v>39</v>
      </c>
      <c r="C653" s="4" t="s">
        <v>23</v>
      </c>
      <c r="D653" s="4" t="s">
        <v>42</v>
      </c>
      <c r="E653" s="4" t="s">
        <v>25</v>
      </c>
      <c r="F653" s="4" t="s">
        <v>25</v>
      </c>
      <c r="G653" s="4" t="s">
        <v>25</v>
      </c>
      <c r="H653" s="4" t="s">
        <v>25</v>
      </c>
      <c r="I653" s="5">
        <v>44409</v>
      </c>
      <c r="J653" s="6">
        <v>0</v>
      </c>
      <c r="K653" s="6">
        <v>0</v>
      </c>
      <c r="L653" s="6">
        <v>952.27800000000002</v>
      </c>
      <c r="M653" s="6">
        <v>952.27800000000002</v>
      </c>
      <c r="N653" s="6">
        <v>952.27800000000002</v>
      </c>
      <c r="O653" s="6">
        <v>952.27800000000002</v>
      </c>
      <c r="P653" s="6">
        <v>1050</v>
      </c>
      <c r="Q653" s="4" t="s">
        <v>26</v>
      </c>
      <c r="R653" s="4">
        <v>0</v>
      </c>
      <c r="S653" s="4" t="s">
        <v>338</v>
      </c>
      <c r="T653" s="4" t="s">
        <v>583</v>
      </c>
      <c r="U653" s="4">
        <v>0</v>
      </c>
      <c r="V653" s="4">
        <v>44</v>
      </c>
      <c r="W653" s="4">
        <v>81</v>
      </c>
    </row>
    <row r="654" spans="1:23" ht="11.25" customHeight="1" x14ac:dyDescent="0.25">
      <c r="A654" s="4" t="s">
        <v>28</v>
      </c>
      <c r="B654" s="4" t="s">
        <v>39</v>
      </c>
      <c r="C654" s="4" t="s">
        <v>23</v>
      </c>
      <c r="D654" s="4" t="s">
        <v>42</v>
      </c>
      <c r="E654" s="4" t="s">
        <v>25</v>
      </c>
      <c r="F654" s="4" t="s">
        <v>25</v>
      </c>
      <c r="G654" s="4" t="s">
        <v>25</v>
      </c>
      <c r="H654" s="4" t="s">
        <v>25</v>
      </c>
      <c r="I654" s="5">
        <v>44409</v>
      </c>
      <c r="J654" s="6">
        <v>0</v>
      </c>
      <c r="K654" s="6">
        <v>0</v>
      </c>
      <c r="L654" s="6">
        <v>40.167999999999999</v>
      </c>
      <c r="M654" s="6">
        <v>40.167999999999999</v>
      </c>
      <c r="N654" s="6">
        <v>40.167999999999999</v>
      </c>
      <c r="O654" s="6">
        <v>40.167999999999999</v>
      </c>
      <c r="P654" s="6">
        <v>79</v>
      </c>
      <c r="Q654" s="4" t="s">
        <v>26</v>
      </c>
      <c r="R654" s="4">
        <v>0</v>
      </c>
      <c r="S654" s="4" t="s">
        <v>338</v>
      </c>
      <c r="T654" s="4" t="s">
        <v>583</v>
      </c>
      <c r="U654" s="4">
        <v>0</v>
      </c>
      <c r="V654" s="4">
        <v>44</v>
      </c>
      <c r="W654" s="4">
        <v>81</v>
      </c>
    </row>
    <row r="655" spans="1:23" ht="11.25" customHeight="1" x14ac:dyDescent="0.25">
      <c r="A655" s="4" t="s">
        <v>21</v>
      </c>
      <c r="B655" s="4" t="s">
        <v>39</v>
      </c>
      <c r="C655" s="4" t="s">
        <v>23</v>
      </c>
      <c r="D655" s="4" t="s">
        <v>42</v>
      </c>
      <c r="E655" s="4" t="s">
        <v>25</v>
      </c>
      <c r="F655" s="4" t="s">
        <v>25</v>
      </c>
      <c r="G655" s="4" t="s">
        <v>25</v>
      </c>
      <c r="H655" s="4" t="s">
        <v>25</v>
      </c>
      <c r="I655" s="5">
        <v>44440</v>
      </c>
      <c r="J655" s="6">
        <v>0</v>
      </c>
      <c r="K655" s="6">
        <v>0</v>
      </c>
      <c r="L655" s="6">
        <v>1089.5509999999999</v>
      </c>
      <c r="M655" s="6">
        <v>1089.5509999999999</v>
      </c>
      <c r="N655" s="6">
        <v>1089.5509999999999</v>
      </c>
      <c r="O655" s="6">
        <v>1089.5509999999999</v>
      </c>
      <c r="P655" s="6">
        <v>1053</v>
      </c>
      <c r="Q655" s="4" t="s">
        <v>26</v>
      </c>
      <c r="R655" s="4">
        <v>0</v>
      </c>
      <c r="S655" s="4" t="s">
        <v>339</v>
      </c>
      <c r="T655" s="4" t="s">
        <v>584</v>
      </c>
      <c r="U655" s="4">
        <v>0</v>
      </c>
      <c r="V655" s="4">
        <v>44</v>
      </c>
      <c r="W655" s="4">
        <v>81</v>
      </c>
    </row>
    <row r="656" spans="1:23" ht="11.25" customHeight="1" x14ac:dyDescent="0.25">
      <c r="A656" s="4" t="s">
        <v>28</v>
      </c>
      <c r="B656" s="4" t="s">
        <v>39</v>
      </c>
      <c r="C656" s="4" t="s">
        <v>23</v>
      </c>
      <c r="D656" s="4" t="s">
        <v>42</v>
      </c>
      <c r="E656" s="4" t="s">
        <v>25</v>
      </c>
      <c r="F656" s="4" t="s">
        <v>25</v>
      </c>
      <c r="G656" s="4" t="s">
        <v>25</v>
      </c>
      <c r="H656" s="4" t="s">
        <v>25</v>
      </c>
      <c r="I656" s="5">
        <v>44440</v>
      </c>
      <c r="J656" s="6">
        <v>0</v>
      </c>
      <c r="K656" s="6">
        <v>0</v>
      </c>
      <c r="L656" s="6">
        <v>45.203000000000003</v>
      </c>
      <c r="M656" s="6">
        <v>45.203000000000003</v>
      </c>
      <c r="N656" s="6">
        <v>45.203000000000003</v>
      </c>
      <c r="O656" s="6">
        <v>45.203000000000003</v>
      </c>
      <c r="P656" s="6">
        <v>80</v>
      </c>
      <c r="Q656" s="4" t="s">
        <v>26</v>
      </c>
      <c r="R656" s="4">
        <v>0</v>
      </c>
      <c r="S656" s="4" t="s">
        <v>339</v>
      </c>
      <c r="T656" s="4" t="s">
        <v>584</v>
      </c>
      <c r="U656" s="4">
        <v>0</v>
      </c>
      <c r="V656" s="4">
        <v>44</v>
      </c>
      <c r="W656" s="4">
        <v>81</v>
      </c>
    </row>
    <row r="657" spans="1:23" ht="11.25" customHeight="1" x14ac:dyDescent="0.25">
      <c r="A657" s="4" t="s">
        <v>21</v>
      </c>
      <c r="B657" s="4" t="s">
        <v>39</v>
      </c>
      <c r="C657" s="4" t="s">
        <v>23</v>
      </c>
      <c r="D657" s="4" t="s">
        <v>42</v>
      </c>
      <c r="E657" s="4" t="s">
        <v>25</v>
      </c>
      <c r="F657" s="4" t="s">
        <v>25</v>
      </c>
      <c r="G657" s="4" t="s">
        <v>25</v>
      </c>
      <c r="H657" s="4" t="s">
        <v>25</v>
      </c>
      <c r="I657" s="5">
        <v>44470</v>
      </c>
      <c r="J657" s="6">
        <v>0</v>
      </c>
      <c r="K657" s="6">
        <v>0</v>
      </c>
      <c r="L657" s="6">
        <v>1142.2860000000001</v>
      </c>
      <c r="M657" s="6">
        <v>1142.2860000000001</v>
      </c>
      <c r="N657" s="6">
        <v>1142.2860000000001</v>
      </c>
      <c r="O657" s="6">
        <v>1142.2860000000001</v>
      </c>
      <c r="P657" s="6">
        <v>1056</v>
      </c>
      <c r="Q657" s="4" t="s">
        <v>26</v>
      </c>
      <c r="R657" s="4">
        <v>0</v>
      </c>
      <c r="S657" s="4" t="s">
        <v>340</v>
      </c>
      <c r="T657" s="4" t="s">
        <v>585</v>
      </c>
      <c r="U657" s="4">
        <v>0</v>
      </c>
      <c r="V657" s="4">
        <v>44</v>
      </c>
      <c r="W657" s="4">
        <v>81</v>
      </c>
    </row>
    <row r="658" spans="1:23" ht="11.25" customHeight="1" x14ac:dyDescent="0.25">
      <c r="A658" s="4" t="s">
        <v>28</v>
      </c>
      <c r="B658" s="4" t="s">
        <v>39</v>
      </c>
      <c r="C658" s="4" t="s">
        <v>23</v>
      </c>
      <c r="D658" s="4" t="s">
        <v>42</v>
      </c>
      <c r="E658" s="4" t="s">
        <v>25</v>
      </c>
      <c r="F658" s="4" t="s">
        <v>25</v>
      </c>
      <c r="G658" s="4" t="s">
        <v>25</v>
      </c>
      <c r="H658" s="4" t="s">
        <v>25</v>
      </c>
      <c r="I658" s="5">
        <v>44470</v>
      </c>
      <c r="J658" s="6">
        <v>0</v>
      </c>
      <c r="K658" s="6">
        <v>0</v>
      </c>
      <c r="L658" s="6">
        <v>52.01</v>
      </c>
      <c r="M658" s="6">
        <v>52.01</v>
      </c>
      <c r="N658" s="6">
        <v>52.01</v>
      </c>
      <c r="O658" s="6">
        <v>52.01</v>
      </c>
      <c r="P658" s="6">
        <v>80</v>
      </c>
      <c r="Q658" s="4" t="s">
        <v>26</v>
      </c>
      <c r="R658" s="4">
        <v>0</v>
      </c>
      <c r="S658" s="4" t="s">
        <v>340</v>
      </c>
      <c r="T658" s="4" t="s">
        <v>585</v>
      </c>
      <c r="U658" s="4">
        <v>0</v>
      </c>
      <c r="V658" s="4">
        <v>44</v>
      </c>
      <c r="W658" s="4">
        <v>81</v>
      </c>
    </row>
    <row r="659" spans="1:23" ht="11.25" customHeight="1" x14ac:dyDescent="0.25">
      <c r="A659" s="4" t="s">
        <v>21</v>
      </c>
      <c r="B659" s="4" t="s">
        <v>39</v>
      </c>
      <c r="C659" s="4" t="s">
        <v>23</v>
      </c>
      <c r="D659" s="4" t="s">
        <v>42</v>
      </c>
      <c r="E659" s="4" t="s">
        <v>25</v>
      </c>
      <c r="F659" s="4" t="s">
        <v>25</v>
      </c>
      <c r="G659" s="4" t="s">
        <v>25</v>
      </c>
      <c r="H659" s="4" t="s">
        <v>25</v>
      </c>
      <c r="I659" s="5">
        <v>44501</v>
      </c>
      <c r="J659" s="6">
        <v>0</v>
      </c>
      <c r="K659" s="6">
        <v>0</v>
      </c>
      <c r="L659" s="6">
        <v>1120.029</v>
      </c>
      <c r="M659" s="6">
        <v>1120.029</v>
      </c>
      <c r="N659" s="6">
        <v>1120.029</v>
      </c>
      <c r="O659" s="6">
        <v>1120.029</v>
      </c>
      <c r="P659" s="6">
        <v>1057</v>
      </c>
      <c r="Q659" s="4" t="s">
        <v>26</v>
      </c>
      <c r="R659" s="4">
        <v>0</v>
      </c>
      <c r="S659" s="4" t="s">
        <v>341</v>
      </c>
      <c r="T659" s="4" t="s">
        <v>586</v>
      </c>
      <c r="U659" s="4">
        <v>0</v>
      </c>
      <c r="V659" s="4">
        <v>44</v>
      </c>
      <c r="W659" s="4">
        <v>81</v>
      </c>
    </row>
    <row r="660" spans="1:23" ht="11.25" customHeight="1" x14ac:dyDescent="0.25">
      <c r="A660" s="4" t="s">
        <v>28</v>
      </c>
      <c r="B660" s="4" t="s">
        <v>39</v>
      </c>
      <c r="C660" s="4" t="s">
        <v>23</v>
      </c>
      <c r="D660" s="4" t="s">
        <v>42</v>
      </c>
      <c r="E660" s="4" t="s">
        <v>25</v>
      </c>
      <c r="F660" s="4" t="s">
        <v>25</v>
      </c>
      <c r="G660" s="4" t="s">
        <v>25</v>
      </c>
      <c r="H660" s="4" t="s">
        <v>25</v>
      </c>
      <c r="I660" s="5">
        <v>44501</v>
      </c>
      <c r="J660" s="6">
        <v>0</v>
      </c>
      <c r="K660" s="6">
        <v>0</v>
      </c>
      <c r="L660" s="6">
        <v>41.081000000000003</v>
      </c>
      <c r="M660" s="6">
        <v>41.081000000000003</v>
      </c>
      <c r="N660" s="6">
        <v>41.081000000000003</v>
      </c>
      <c r="O660" s="6">
        <v>41.081000000000003</v>
      </c>
      <c r="P660" s="6">
        <v>84</v>
      </c>
      <c r="Q660" s="4" t="s">
        <v>26</v>
      </c>
      <c r="R660" s="4">
        <v>0</v>
      </c>
      <c r="S660" s="4" t="s">
        <v>341</v>
      </c>
      <c r="T660" s="4" t="s">
        <v>586</v>
      </c>
      <c r="U660" s="4">
        <v>0</v>
      </c>
      <c r="V660" s="4">
        <v>44</v>
      </c>
      <c r="W660" s="4">
        <v>81</v>
      </c>
    </row>
    <row r="661" spans="1:23" ht="11.25" customHeight="1" x14ac:dyDescent="0.25">
      <c r="A661" s="4" t="s">
        <v>21</v>
      </c>
      <c r="B661" s="4" t="s">
        <v>39</v>
      </c>
      <c r="C661" s="4" t="s">
        <v>23</v>
      </c>
      <c r="D661" s="4" t="s">
        <v>42</v>
      </c>
      <c r="E661" s="4" t="s">
        <v>25</v>
      </c>
      <c r="F661" s="4" t="s">
        <v>25</v>
      </c>
      <c r="G661" s="4" t="s">
        <v>25</v>
      </c>
      <c r="H661" s="4" t="s">
        <v>25</v>
      </c>
      <c r="I661" s="5">
        <v>44531</v>
      </c>
      <c r="J661" s="6">
        <v>0</v>
      </c>
      <c r="K661" s="6">
        <v>0</v>
      </c>
      <c r="L661" s="6">
        <v>1102.1210000000001</v>
      </c>
      <c r="M661" s="6">
        <v>1102.1210000000001</v>
      </c>
      <c r="N661" s="6">
        <v>1102.1210000000001</v>
      </c>
      <c r="O661" s="6">
        <v>1102.1210000000001</v>
      </c>
      <c r="P661" s="6">
        <v>1059</v>
      </c>
      <c r="Q661" s="4" t="s">
        <v>26</v>
      </c>
      <c r="R661" s="4">
        <v>0</v>
      </c>
      <c r="S661" s="4" t="s">
        <v>342</v>
      </c>
      <c r="T661" s="4" t="s">
        <v>587</v>
      </c>
      <c r="U661" s="4">
        <v>0</v>
      </c>
      <c r="V661" s="4">
        <v>44</v>
      </c>
      <c r="W661" s="4">
        <v>81</v>
      </c>
    </row>
    <row r="662" spans="1:23" ht="11.25" customHeight="1" x14ac:dyDescent="0.25">
      <c r="A662" s="4" t="s">
        <v>28</v>
      </c>
      <c r="B662" s="4" t="s">
        <v>39</v>
      </c>
      <c r="C662" s="4" t="s">
        <v>23</v>
      </c>
      <c r="D662" s="4" t="s">
        <v>42</v>
      </c>
      <c r="E662" s="4" t="s">
        <v>25</v>
      </c>
      <c r="F662" s="4" t="s">
        <v>25</v>
      </c>
      <c r="G662" s="4" t="s">
        <v>25</v>
      </c>
      <c r="H662" s="4" t="s">
        <v>25</v>
      </c>
      <c r="I662" s="5">
        <v>44531</v>
      </c>
      <c r="J662" s="6">
        <v>0</v>
      </c>
      <c r="K662" s="6">
        <v>0</v>
      </c>
      <c r="L662" s="6">
        <v>40.497999999999998</v>
      </c>
      <c r="M662" s="6">
        <v>40.497999999999998</v>
      </c>
      <c r="N662" s="6">
        <v>40.497999999999998</v>
      </c>
      <c r="O662" s="6">
        <v>40.497999999999998</v>
      </c>
      <c r="P662" s="6">
        <v>82</v>
      </c>
      <c r="Q662" s="4" t="s">
        <v>26</v>
      </c>
      <c r="R662" s="4">
        <v>0</v>
      </c>
      <c r="S662" s="4" t="s">
        <v>342</v>
      </c>
      <c r="T662" s="4" t="s">
        <v>587</v>
      </c>
      <c r="U662" s="4">
        <v>0</v>
      </c>
      <c r="V662" s="4">
        <v>44</v>
      </c>
      <c r="W662" s="4">
        <v>81</v>
      </c>
    </row>
    <row r="663" spans="1:23" ht="11.25" customHeight="1" x14ac:dyDescent="0.25">
      <c r="A663" s="4" t="s">
        <v>21</v>
      </c>
      <c r="B663" s="4" t="s">
        <v>39</v>
      </c>
      <c r="C663" s="4" t="s">
        <v>23</v>
      </c>
      <c r="D663" s="4" t="s">
        <v>42</v>
      </c>
      <c r="E663" s="4" t="s">
        <v>25</v>
      </c>
      <c r="F663" s="4" t="s">
        <v>25</v>
      </c>
      <c r="G663" s="4" t="s">
        <v>25</v>
      </c>
      <c r="H663" s="4" t="s">
        <v>25</v>
      </c>
      <c r="I663" s="5">
        <v>44562</v>
      </c>
      <c r="J663" s="6">
        <v>0</v>
      </c>
      <c r="K663" s="6">
        <v>0</v>
      </c>
      <c r="L663" s="6">
        <v>1089.5229999999999</v>
      </c>
      <c r="M663" s="6">
        <v>1089.5229999999999</v>
      </c>
      <c r="N663" s="6">
        <v>1089.5229999999999</v>
      </c>
      <c r="O663" s="6">
        <v>1089.5229999999999</v>
      </c>
      <c r="P663" s="6">
        <v>1056</v>
      </c>
      <c r="Q663" s="4" t="s">
        <v>26</v>
      </c>
      <c r="R663" s="4">
        <v>0</v>
      </c>
      <c r="S663" s="4" t="s">
        <v>343</v>
      </c>
      <c r="T663" s="4" t="s">
        <v>588</v>
      </c>
      <c r="U663" s="4">
        <v>0</v>
      </c>
      <c r="V663" s="4">
        <v>44</v>
      </c>
      <c r="W663" s="4">
        <v>81</v>
      </c>
    </row>
    <row r="664" spans="1:23" ht="11.25" customHeight="1" x14ac:dyDescent="0.25">
      <c r="A664" s="4" t="s">
        <v>28</v>
      </c>
      <c r="B664" s="4" t="s">
        <v>39</v>
      </c>
      <c r="C664" s="4" t="s">
        <v>23</v>
      </c>
      <c r="D664" s="4" t="s">
        <v>42</v>
      </c>
      <c r="E664" s="4" t="s">
        <v>25</v>
      </c>
      <c r="F664" s="4" t="s">
        <v>25</v>
      </c>
      <c r="G664" s="4" t="s">
        <v>25</v>
      </c>
      <c r="H664" s="4" t="s">
        <v>25</v>
      </c>
      <c r="I664" s="5">
        <v>44562</v>
      </c>
      <c r="J664" s="6">
        <v>0</v>
      </c>
      <c r="K664" s="6">
        <v>0</v>
      </c>
      <c r="L664" s="6">
        <v>44.49</v>
      </c>
      <c r="M664" s="6">
        <v>44.49</v>
      </c>
      <c r="N664" s="6">
        <v>44.49</v>
      </c>
      <c r="O664" s="6">
        <v>44.49</v>
      </c>
      <c r="P664" s="6">
        <v>83</v>
      </c>
      <c r="Q664" s="4" t="s">
        <v>26</v>
      </c>
      <c r="R664" s="4">
        <v>0</v>
      </c>
      <c r="S664" s="4" t="s">
        <v>343</v>
      </c>
      <c r="T664" s="4" t="s">
        <v>588</v>
      </c>
      <c r="U664" s="4">
        <v>0</v>
      </c>
      <c r="V664" s="4">
        <v>44</v>
      </c>
      <c r="W664" s="4">
        <v>81</v>
      </c>
    </row>
    <row r="665" spans="1:23" ht="11.25" customHeight="1" x14ac:dyDescent="0.25">
      <c r="A665" s="4" t="s">
        <v>21</v>
      </c>
      <c r="B665" s="4" t="s">
        <v>39</v>
      </c>
      <c r="C665" s="4" t="s">
        <v>23</v>
      </c>
      <c r="D665" s="4" t="s">
        <v>42</v>
      </c>
      <c r="E665" s="4" t="s">
        <v>25</v>
      </c>
      <c r="F665" s="4" t="s">
        <v>25</v>
      </c>
      <c r="G665" s="4" t="s">
        <v>25</v>
      </c>
      <c r="H665" s="4" t="s">
        <v>25</v>
      </c>
      <c r="I665" s="5">
        <v>44593</v>
      </c>
      <c r="J665" s="6">
        <v>0</v>
      </c>
      <c r="K665" s="6">
        <v>0</v>
      </c>
      <c r="L665" s="6">
        <v>1139.3879999999999</v>
      </c>
      <c r="M665" s="6">
        <v>1139.3879999999999</v>
      </c>
      <c r="N665" s="6">
        <v>1139.3879999999999</v>
      </c>
      <c r="O665" s="6">
        <v>1139.3879999999999</v>
      </c>
      <c r="P665" s="6">
        <v>1050</v>
      </c>
      <c r="Q665" s="4" t="s">
        <v>26</v>
      </c>
      <c r="R665" s="4">
        <v>0</v>
      </c>
      <c r="S665" s="4" t="s">
        <v>344</v>
      </c>
      <c r="T665" s="4" t="s">
        <v>589</v>
      </c>
      <c r="U665" s="4">
        <v>0</v>
      </c>
      <c r="V665" s="4">
        <v>44</v>
      </c>
      <c r="W665" s="4">
        <v>81</v>
      </c>
    </row>
    <row r="666" spans="1:23" ht="11.25" customHeight="1" x14ac:dyDescent="0.25">
      <c r="A666" s="4" t="s">
        <v>28</v>
      </c>
      <c r="B666" s="4" t="s">
        <v>39</v>
      </c>
      <c r="C666" s="4" t="s">
        <v>23</v>
      </c>
      <c r="D666" s="4" t="s">
        <v>42</v>
      </c>
      <c r="E666" s="4" t="s">
        <v>25</v>
      </c>
      <c r="F666" s="4" t="s">
        <v>25</v>
      </c>
      <c r="G666" s="4" t="s">
        <v>25</v>
      </c>
      <c r="H666" s="4" t="s">
        <v>25</v>
      </c>
      <c r="I666" s="5">
        <v>44593</v>
      </c>
      <c r="J666" s="6">
        <v>0</v>
      </c>
      <c r="K666" s="6">
        <v>0</v>
      </c>
      <c r="L666" s="6">
        <v>52.466000000000001</v>
      </c>
      <c r="M666" s="6">
        <v>52.466000000000001</v>
      </c>
      <c r="N666" s="6">
        <v>52.466000000000001</v>
      </c>
      <c r="O666" s="6">
        <v>52.466000000000001</v>
      </c>
      <c r="P666" s="6">
        <v>84</v>
      </c>
      <c r="Q666" s="4" t="s">
        <v>26</v>
      </c>
      <c r="R666" s="4">
        <v>0</v>
      </c>
      <c r="S666" s="4" t="s">
        <v>344</v>
      </c>
      <c r="T666" s="4" t="s">
        <v>589</v>
      </c>
      <c r="U666" s="4">
        <v>0</v>
      </c>
      <c r="V666" s="4">
        <v>44</v>
      </c>
      <c r="W666" s="4">
        <v>81</v>
      </c>
    </row>
    <row r="667" spans="1:23" ht="11.25" customHeight="1" x14ac:dyDescent="0.25">
      <c r="A667" s="4" t="s">
        <v>21</v>
      </c>
      <c r="B667" s="4" t="s">
        <v>39</v>
      </c>
      <c r="C667" s="4" t="s">
        <v>23</v>
      </c>
      <c r="D667" s="4" t="s">
        <v>42</v>
      </c>
      <c r="E667" s="4" t="s">
        <v>25</v>
      </c>
      <c r="F667" s="4" t="s">
        <v>25</v>
      </c>
      <c r="G667" s="4" t="s">
        <v>25</v>
      </c>
      <c r="H667" s="4" t="s">
        <v>25</v>
      </c>
      <c r="I667" s="5">
        <v>44621</v>
      </c>
      <c r="J667" s="6">
        <v>0</v>
      </c>
      <c r="K667" s="6">
        <v>0</v>
      </c>
      <c r="L667" s="6">
        <v>1257.308</v>
      </c>
      <c r="M667" s="6">
        <v>1257.308</v>
      </c>
      <c r="N667" s="6">
        <v>1257.308</v>
      </c>
      <c r="O667" s="6">
        <v>1257.308</v>
      </c>
      <c r="P667" s="6">
        <v>1047</v>
      </c>
      <c r="Q667" s="4" t="s">
        <v>26</v>
      </c>
      <c r="R667" s="4">
        <v>0</v>
      </c>
      <c r="S667" s="4" t="s">
        <v>345</v>
      </c>
      <c r="T667" s="4" t="s">
        <v>590</v>
      </c>
      <c r="U667" s="4">
        <v>0</v>
      </c>
      <c r="V667" s="4">
        <v>44</v>
      </c>
      <c r="W667" s="4">
        <v>81</v>
      </c>
    </row>
    <row r="668" spans="1:23" ht="11.25" customHeight="1" x14ac:dyDescent="0.25">
      <c r="A668" s="4" t="s">
        <v>28</v>
      </c>
      <c r="B668" s="4" t="s">
        <v>39</v>
      </c>
      <c r="C668" s="4" t="s">
        <v>23</v>
      </c>
      <c r="D668" s="4" t="s">
        <v>42</v>
      </c>
      <c r="E668" s="4" t="s">
        <v>25</v>
      </c>
      <c r="F668" s="4" t="s">
        <v>25</v>
      </c>
      <c r="G668" s="4" t="s">
        <v>25</v>
      </c>
      <c r="H668" s="4" t="s">
        <v>25</v>
      </c>
      <c r="I668" s="5">
        <v>44621</v>
      </c>
      <c r="J668" s="6">
        <v>0</v>
      </c>
      <c r="K668" s="6">
        <v>0</v>
      </c>
      <c r="L668" s="6">
        <v>59.981000000000002</v>
      </c>
      <c r="M668" s="6">
        <v>59.981000000000002</v>
      </c>
      <c r="N668" s="6">
        <v>59.981000000000002</v>
      </c>
      <c r="O668" s="6">
        <v>59.981000000000002</v>
      </c>
      <c r="P668" s="6">
        <v>91</v>
      </c>
      <c r="Q668" s="4" t="s">
        <v>26</v>
      </c>
      <c r="R668" s="4">
        <v>0</v>
      </c>
      <c r="S668" s="4" t="s">
        <v>345</v>
      </c>
      <c r="T668" s="4" t="s">
        <v>590</v>
      </c>
      <c r="U668" s="4">
        <v>0</v>
      </c>
      <c r="V668" s="4">
        <v>44</v>
      </c>
      <c r="W668" s="4">
        <v>81</v>
      </c>
    </row>
    <row r="669" spans="1:23" ht="11.25" customHeight="1" x14ac:dyDescent="0.25">
      <c r="A669" s="4" t="s">
        <v>21</v>
      </c>
      <c r="B669" s="4" t="s">
        <v>39</v>
      </c>
      <c r="C669" s="4" t="s">
        <v>23</v>
      </c>
      <c r="D669" s="4" t="s">
        <v>42</v>
      </c>
      <c r="E669" s="4" t="s">
        <v>25</v>
      </c>
      <c r="F669" s="4" t="s">
        <v>25</v>
      </c>
      <c r="G669" s="4" t="s">
        <v>25</v>
      </c>
      <c r="H669" s="4" t="s">
        <v>25</v>
      </c>
      <c r="I669" s="5">
        <v>44652</v>
      </c>
      <c r="J669" s="6">
        <v>0</v>
      </c>
      <c r="K669" s="6">
        <v>0</v>
      </c>
      <c r="L669" s="6">
        <v>1256.636</v>
      </c>
      <c r="M669" s="6">
        <v>1256.636</v>
      </c>
      <c r="N669" s="6">
        <v>1256.636</v>
      </c>
      <c r="O669" s="6">
        <v>1256.636</v>
      </c>
      <c r="P669" s="6">
        <v>1055</v>
      </c>
      <c r="Q669" s="4" t="s">
        <v>26</v>
      </c>
      <c r="R669" s="4">
        <v>0</v>
      </c>
      <c r="S669" s="4" t="s">
        <v>346</v>
      </c>
      <c r="T669" s="4" t="s">
        <v>591</v>
      </c>
      <c r="U669" s="4">
        <v>0</v>
      </c>
      <c r="V669" s="4">
        <v>44</v>
      </c>
      <c r="W669" s="4">
        <v>81</v>
      </c>
    </row>
    <row r="670" spans="1:23" ht="11.25" customHeight="1" x14ac:dyDescent="0.25">
      <c r="A670" s="4" t="s">
        <v>21</v>
      </c>
      <c r="B670" s="4" t="s">
        <v>39</v>
      </c>
      <c r="C670" s="4" t="s">
        <v>23</v>
      </c>
      <c r="D670" s="4" t="s">
        <v>52</v>
      </c>
      <c r="E670" s="4" t="s">
        <v>25</v>
      </c>
      <c r="F670" s="4" t="s">
        <v>25</v>
      </c>
      <c r="G670" s="4" t="s">
        <v>25</v>
      </c>
      <c r="H670" s="4" t="s">
        <v>25</v>
      </c>
      <c r="I670" s="5">
        <v>44317</v>
      </c>
      <c r="J670" s="6">
        <v>0</v>
      </c>
      <c r="K670" s="6">
        <v>0</v>
      </c>
      <c r="L670" s="6">
        <v>14.512</v>
      </c>
      <c r="M670" s="6">
        <v>14.512</v>
      </c>
      <c r="N670" s="6">
        <v>14.512</v>
      </c>
      <c r="O670" s="6">
        <v>14.512</v>
      </c>
      <c r="P670" s="6">
        <v>7</v>
      </c>
      <c r="Q670" s="4" t="s">
        <v>26</v>
      </c>
      <c r="R670" s="4">
        <v>0</v>
      </c>
      <c r="S670" s="4" t="s">
        <v>335</v>
      </c>
      <c r="T670" s="4" t="s">
        <v>580</v>
      </c>
      <c r="U670" s="4">
        <v>0</v>
      </c>
      <c r="V670" s="4">
        <v>44</v>
      </c>
      <c r="W670" s="4">
        <v>81</v>
      </c>
    </row>
    <row r="671" spans="1:23" ht="11.25" customHeight="1" x14ac:dyDescent="0.25">
      <c r="A671" s="4" t="s">
        <v>21</v>
      </c>
      <c r="B671" s="4" t="s">
        <v>39</v>
      </c>
      <c r="C671" s="4" t="s">
        <v>23</v>
      </c>
      <c r="D671" s="4" t="s">
        <v>52</v>
      </c>
      <c r="E671" s="4" t="s">
        <v>25</v>
      </c>
      <c r="F671" s="4" t="s">
        <v>25</v>
      </c>
      <c r="G671" s="4" t="s">
        <v>25</v>
      </c>
      <c r="H671" s="4" t="s">
        <v>25</v>
      </c>
      <c r="I671" s="5">
        <v>44348</v>
      </c>
      <c r="J671" s="6">
        <v>0</v>
      </c>
      <c r="K671" s="6">
        <v>0</v>
      </c>
      <c r="L671" s="6">
        <v>15.015000000000001</v>
      </c>
      <c r="M671" s="6">
        <v>15.015000000000001</v>
      </c>
      <c r="N671" s="6">
        <v>15.015000000000001</v>
      </c>
      <c r="O671" s="6">
        <v>15.015000000000001</v>
      </c>
      <c r="P671" s="6">
        <v>7</v>
      </c>
      <c r="Q671" s="4" t="s">
        <v>26</v>
      </c>
      <c r="R671" s="4">
        <v>0</v>
      </c>
      <c r="S671" s="4" t="s">
        <v>336</v>
      </c>
      <c r="T671" s="4" t="s">
        <v>581</v>
      </c>
      <c r="U671" s="4">
        <v>0</v>
      </c>
      <c r="V671" s="4">
        <v>44</v>
      </c>
      <c r="W671" s="4">
        <v>81</v>
      </c>
    </row>
    <row r="672" spans="1:23" ht="11.25" customHeight="1" x14ac:dyDescent="0.25">
      <c r="A672" s="4" t="s">
        <v>21</v>
      </c>
      <c r="B672" s="4" t="s">
        <v>39</v>
      </c>
      <c r="C672" s="4" t="s">
        <v>23</v>
      </c>
      <c r="D672" s="4" t="s">
        <v>52</v>
      </c>
      <c r="E672" s="4" t="s">
        <v>25</v>
      </c>
      <c r="F672" s="4" t="s">
        <v>25</v>
      </c>
      <c r="G672" s="4" t="s">
        <v>25</v>
      </c>
      <c r="H672" s="4" t="s">
        <v>25</v>
      </c>
      <c r="I672" s="5">
        <v>44378</v>
      </c>
      <c r="J672" s="6">
        <v>0</v>
      </c>
      <c r="K672" s="6">
        <v>0</v>
      </c>
      <c r="L672" s="6">
        <v>12.273999999999999</v>
      </c>
      <c r="M672" s="6">
        <v>12.273999999999999</v>
      </c>
      <c r="N672" s="6">
        <v>12.273999999999999</v>
      </c>
      <c r="O672" s="6">
        <v>12.273999999999999</v>
      </c>
      <c r="P672" s="6">
        <v>7</v>
      </c>
      <c r="Q672" s="4" t="s">
        <v>26</v>
      </c>
      <c r="R672" s="4">
        <v>0</v>
      </c>
      <c r="S672" s="4" t="s">
        <v>337</v>
      </c>
      <c r="T672" s="4" t="s">
        <v>582</v>
      </c>
      <c r="U672" s="4">
        <v>0</v>
      </c>
      <c r="V672" s="4">
        <v>44</v>
      </c>
      <c r="W672" s="4">
        <v>81</v>
      </c>
    </row>
    <row r="673" spans="1:23" ht="11.25" customHeight="1" x14ac:dyDescent="0.25">
      <c r="A673" s="4" t="s">
        <v>21</v>
      </c>
      <c r="B673" s="4" t="s">
        <v>39</v>
      </c>
      <c r="C673" s="4" t="s">
        <v>23</v>
      </c>
      <c r="D673" s="4" t="s">
        <v>52</v>
      </c>
      <c r="E673" s="4" t="s">
        <v>25</v>
      </c>
      <c r="F673" s="4" t="s">
        <v>25</v>
      </c>
      <c r="G673" s="4" t="s">
        <v>25</v>
      </c>
      <c r="H673" s="4" t="s">
        <v>25</v>
      </c>
      <c r="I673" s="5">
        <v>44409</v>
      </c>
      <c r="J673" s="6">
        <v>0</v>
      </c>
      <c r="K673" s="6">
        <v>0</v>
      </c>
      <c r="L673" s="6">
        <v>11.89</v>
      </c>
      <c r="M673" s="6">
        <v>11.89</v>
      </c>
      <c r="N673" s="6">
        <v>11.89</v>
      </c>
      <c r="O673" s="6">
        <v>11.89</v>
      </c>
      <c r="P673" s="6">
        <v>7</v>
      </c>
      <c r="Q673" s="4" t="s">
        <v>26</v>
      </c>
      <c r="R673" s="4">
        <v>0</v>
      </c>
      <c r="S673" s="4" t="s">
        <v>338</v>
      </c>
      <c r="T673" s="4" t="s">
        <v>583</v>
      </c>
      <c r="U673" s="4">
        <v>0</v>
      </c>
      <c r="V673" s="4">
        <v>44</v>
      </c>
      <c r="W673" s="4">
        <v>81</v>
      </c>
    </row>
    <row r="674" spans="1:23" ht="11.25" customHeight="1" x14ac:dyDescent="0.25">
      <c r="A674" s="4" t="s">
        <v>21</v>
      </c>
      <c r="B674" s="4" t="s">
        <v>39</v>
      </c>
      <c r="C674" s="4" t="s">
        <v>23</v>
      </c>
      <c r="D674" s="4" t="s">
        <v>52</v>
      </c>
      <c r="E674" s="4" t="s">
        <v>25</v>
      </c>
      <c r="F674" s="4" t="s">
        <v>25</v>
      </c>
      <c r="G674" s="4" t="s">
        <v>25</v>
      </c>
      <c r="H674" s="4" t="s">
        <v>25</v>
      </c>
      <c r="I674" s="5">
        <v>44440</v>
      </c>
      <c r="J674" s="6">
        <v>0</v>
      </c>
      <c r="K674" s="6">
        <v>0</v>
      </c>
      <c r="L674" s="6">
        <v>16.198</v>
      </c>
      <c r="M674" s="6">
        <v>16.198</v>
      </c>
      <c r="N674" s="6">
        <v>16.198</v>
      </c>
      <c r="O674" s="6">
        <v>16.198</v>
      </c>
      <c r="P674" s="6">
        <v>7</v>
      </c>
      <c r="Q674" s="4" t="s">
        <v>26</v>
      </c>
      <c r="R674" s="4">
        <v>0</v>
      </c>
      <c r="S674" s="4" t="s">
        <v>339</v>
      </c>
      <c r="T674" s="4" t="s">
        <v>584</v>
      </c>
      <c r="U674" s="4">
        <v>0</v>
      </c>
      <c r="V674" s="4">
        <v>44</v>
      </c>
      <c r="W674" s="4">
        <v>81</v>
      </c>
    </row>
    <row r="675" spans="1:23" ht="11.25" customHeight="1" x14ac:dyDescent="0.25">
      <c r="A675" s="4" t="s">
        <v>21</v>
      </c>
      <c r="B675" s="4" t="s">
        <v>39</v>
      </c>
      <c r="C675" s="4" t="s">
        <v>23</v>
      </c>
      <c r="D675" s="4" t="s">
        <v>52</v>
      </c>
      <c r="E675" s="4" t="s">
        <v>25</v>
      </c>
      <c r="F675" s="4" t="s">
        <v>25</v>
      </c>
      <c r="G675" s="4" t="s">
        <v>25</v>
      </c>
      <c r="H675" s="4" t="s">
        <v>25</v>
      </c>
      <c r="I675" s="5">
        <v>44470</v>
      </c>
      <c r="J675" s="6">
        <v>0</v>
      </c>
      <c r="K675" s="6">
        <v>0</v>
      </c>
      <c r="L675" s="6">
        <v>12.519</v>
      </c>
      <c r="M675" s="6">
        <v>12.519</v>
      </c>
      <c r="N675" s="6">
        <v>12.519</v>
      </c>
      <c r="O675" s="6">
        <v>12.519</v>
      </c>
      <c r="P675" s="6">
        <v>7</v>
      </c>
      <c r="Q675" s="4" t="s">
        <v>26</v>
      </c>
      <c r="R675" s="4">
        <v>0</v>
      </c>
      <c r="S675" s="4" t="s">
        <v>340</v>
      </c>
      <c r="T675" s="4" t="s">
        <v>585</v>
      </c>
      <c r="U675" s="4">
        <v>0</v>
      </c>
      <c r="V675" s="4">
        <v>44</v>
      </c>
      <c r="W675" s="4">
        <v>81</v>
      </c>
    </row>
    <row r="676" spans="1:23" ht="11.25" customHeight="1" x14ac:dyDescent="0.25">
      <c r="A676" s="4" t="s">
        <v>21</v>
      </c>
      <c r="B676" s="4" t="s">
        <v>39</v>
      </c>
      <c r="C676" s="4" t="s">
        <v>23</v>
      </c>
      <c r="D676" s="4" t="s">
        <v>52</v>
      </c>
      <c r="E676" s="4" t="s">
        <v>25</v>
      </c>
      <c r="F676" s="4" t="s">
        <v>25</v>
      </c>
      <c r="G676" s="4" t="s">
        <v>25</v>
      </c>
      <c r="H676" s="4" t="s">
        <v>25</v>
      </c>
      <c r="I676" s="5">
        <v>44501</v>
      </c>
      <c r="J676" s="6">
        <v>0</v>
      </c>
      <c r="K676" s="6">
        <v>0</v>
      </c>
      <c r="L676" s="6">
        <v>13.663</v>
      </c>
      <c r="M676" s="6">
        <v>13.663</v>
      </c>
      <c r="N676" s="6">
        <v>13.663</v>
      </c>
      <c r="O676" s="6">
        <v>13.663</v>
      </c>
      <c r="P676" s="6">
        <v>7</v>
      </c>
      <c r="Q676" s="4" t="s">
        <v>26</v>
      </c>
      <c r="R676" s="4">
        <v>0</v>
      </c>
      <c r="S676" s="4" t="s">
        <v>341</v>
      </c>
      <c r="T676" s="4" t="s">
        <v>586</v>
      </c>
      <c r="U676" s="4">
        <v>0</v>
      </c>
      <c r="V676" s="4">
        <v>44</v>
      </c>
      <c r="W676" s="4">
        <v>81</v>
      </c>
    </row>
    <row r="677" spans="1:23" ht="11.25" customHeight="1" x14ac:dyDescent="0.25">
      <c r="A677" s="4" t="s">
        <v>21</v>
      </c>
      <c r="B677" s="4" t="s">
        <v>39</v>
      </c>
      <c r="C677" s="4" t="s">
        <v>23</v>
      </c>
      <c r="D677" s="4" t="s">
        <v>52</v>
      </c>
      <c r="E677" s="4" t="s">
        <v>25</v>
      </c>
      <c r="F677" s="4" t="s">
        <v>25</v>
      </c>
      <c r="G677" s="4" t="s">
        <v>25</v>
      </c>
      <c r="H677" s="4" t="s">
        <v>25</v>
      </c>
      <c r="I677" s="5">
        <v>44531</v>
      </c>
      <c r="J677" s="6">
        <v>0</v>
      </c>
      <c r="K677" s="6">
        <v>0</v>
      </c>
      <c r="L677" s="6">
        <v>14.968</v>
      </c>
      <c r="M677" s="6">
        <v>14.968</v>
      </c>
      <c r="N677" s="6">
        <v>14.968</v>
      </c>
      <c r="O677" s="6">
        <v>14.968</v>
      </c>
      <c r="P677" s="6">
        <v>7</v>
      </c>
      <c r="Q677" s="4" t="s">
        <v>26</v>
      </c>
      <c r="R677" s="4">
        <v>0</v>
      </c>
      <c r="S677" s="4" t="s">
        <v>342</v>
      </c>
      <c r="T677" s="4" t="s">
        <v>587</v>
      </c>
      <c r="U677" s="4">
        <v>0</v>
      </c>
      <c r="V677" s="4">
        <v>44</v>
      </c>
      <c r="W677" s="4">
        <v>81</v>
      </c>
    </row>
    <row r="678" spans="1:23" ht="11.25" customHeight="1" x14ac:dyDescent="0.25">
      <c r="A678" s="4" t="s">
        <v>21</v>
      </c>
      <c r="B678" s="4" t="s">
        <v>39</v>
      </c>
      <c r="C678" s="4" t="s">
        <v>23</v>
      </c>
      <c r="D678" s="4" t="s">
        <v>52</v>
      </c>
      <c r="E678" s="4" t="s">
        <v>25</v>
      </c>
      <c r="F678" s="4" t="s">
        <v>25</v>
      </c>
      <c r="G678" s="4" t="s">
        <v>25</v>
      </c>
      <c r="H678" s="4" t="s">
        <v>25</v>
      </c>
      <c r="I678" s="5">
        <v>44562</v>
      </c>
      <c r="J678" s="6">
        <v>0</v>
      </c>
      <c r="K678" s="6">
        <v>0</v>
      </c>
      <c r="L678" s="6">
        <v>13.377000000000001</v>
      </c>
      <c r="M678" s="6">
        <v>13.377000000000001</v>
      </c>
      <c r="N678" s="6">
        <v>13.377000000000001</v>
      </c>
      <c r="O678" s="6">
        <v>13.377000000000001</v>
      </c>
      <c r="P678" s="6">
        <v>7</v>
      </c>
      <c r="Q678" s="4" t="s">
        <v>26</v>
      </c>
      <c r="R678" s="4">
        <v>0</v>
      </c>
      <c r="S678" s="4" t="s">
        <v>343</v>
      </c>
      <c r="T678" s="4" t="s">
        <v>588</v>
      </c>
      <c r="U678" s="4">
        <v>0</v>
      </c>
      <c r="V678" s="4">
        <v>44</v>
      </c>
      <c r="W678" s="4">
        <v>81</v>
      </c>
    </row>
    <row r="679" spans="1:23" ht="11.25" customHeight="1" x14ac:dyDescent="0.25">
      <c r="A679" s="4" t="s">
        <v>21</v>
      </c>
      <c r="B679" s="4" t="s">
        <v>39</v>
      </c>
      <c r="C679" s="4" t="s">
        <v>23</v>
      </c>
      <c r="D679" s="4" t="s">
        <v>52</v>
      </c>
      <c r="E679" s="4" t="s">
        <v>25</v>
      </c>
      <c r="F679" s="4" t="s">
        <v>25</v>
      </c>
      <c r="G679" s="4" t="s">
        <v>25</v>
      </c>
      <c r="H679" s="4" t="s">
        <v>25</v>
      </c>
      <c r="I679" s="5">
        <v>44593</v>
      </c>
      <c r="J679" s="6">
        <v>0</v>
      </c>
      <c r="K679" s="6">
        <v>0</v>
      </c>
      <c r="L679" s="6">
        <v>13.865</v>
      </c>
      <c r="M679" s="6">
        <v>13.865</v>
      </c>
      <c r="N679" s="6">
        <v>13.865</v>
      </c>
      <c r="O679" s="6">
        <v>13.865</v>
      </c>
      <c r="P679" s="6">
        <v>7</v>
      </c>
      <c r="Q679" s="4" t="s">
        <v>26</v>
      </c>
      <c r="R679" s="4">
        <v>0</v>
      </c>
      <c r="S679" s="4" t="s">
        <v>344</v>
      </c>
      <c r="T679" s="4" t="s">
        <v>589</v>
      </c>
      <c r="U679" s="4">
        <v>0</v>
      </c>
      <c r="V679" s="4">
        <v>44</v>
      </c>
      <c r="W679" s="4">
        <v>81</v>
      </c>
    </row>
    <row r="680" spans="1:23" ht="11.25" customHeight="1" x14ac:dyDescent="0.25">
      <c r="A680" s="4" t="s">
        <v>21</v>
      </c>
      <c r="B680" s="4" t="s">
        <v>39</v>
      </c>
      <c r="C680" s="4" t="s">
        <v>23</v>
      </c>
      <c r="D680" s="4" t="s">
        <v>52</v>
      </c>
      <c r="E680" s="4" t="s">
        <v>25</v>
      </c>
      <c r="F680" s="4" t="s">
        <v>25</v>
      </c>
      <c r="G680" s="4" t="s">
        <v>25</v>
      </c>
      <c r="H680" s="4" t="s">
        <v>25</v>
      </c>
      <c r="I680" s="5">
        <v>44621</v>
      </c>
      <c r="J680" s="6">
        <v>0</v>
      </c>
      <c r="K680" s="6">
        <v>0</v>
      </c>
      <c r="L680" s="6">
        <v>17.029</v>
      </c>
      <c r="M680" s="6">
        <v>17.029</v>
      </c>
      <c r="N680" s="6">
        <v>17.029</v>
      </c>
      <c r="O680" s="6">
        <v>17.029</v>
      </c>
      <c r="P680" s="6">
        <v>7</v>
      </c>
      <c r="Q680" s="4" t="s">
        <v>26</v>
      </c>
      <c r="R680" s="4">
        <v>0</v>
      </c>
      <c r="S680" s="4" t="s">
        <v>345</v>
      </c>
      <c r="T680" s="4" t="s">
        <v>590</v>
      </c>
      <c r="U680" s="4">
        <v>0</v>
      </c>
      <c r="V680" s="4">
        <v>44</v>
      </c>
      <c r="W680" s="4">
        <v>81</v>
      </c>
    </row>
    <row r="681" spans="1:23" ht="11.25" customHeight="1" x14ac:dyDescent="0.25">
      <c r="A681" s="4" t="s">
        <v>21</v>
      </c>
      <c r="B681" s="4" t="s">
        <v>39</v>
      </c>
      <c r="C681" s="4" t="s">
        <v>23</v>
      </c>
      <c r="D681" s="4" t="s">
        <v>52</v>
      </c>
      <c r="E681" s="4" t="s">
        <v>25</v>
      </c>
      <c r="F681" s="4" t="s">
        <v>25</v>
      </c>
      <c r="G681" s="4" t="s">
        <v>25</v>
      </c>
      <c r="H681" s="4" t="s">
        <v>25</v>
      </c>
      <c r="I681" s="5">
        <v>44652</v>
      </c>
      <c r="J681" s="6">
        <v>0</v>
      </c>
      <c r="K681" s="6">
        <v>0</v>
      </c>
      <c r="L681" s="6">
        <v>14.18</v>
      </c>
      <c r="M681" s="6">
        <v>14.18</v>
      </c>
      <c r="N681" s="6">
        <v>14.18</v>
      </c>
      <c r="O681" s="6">
        <v>14.18</v>
      </c>
      <c r="P681" s="6">
        <v>7</v>
      </c>
      <c r="Q681" s="4" t="s">
        <v>26</v>
      </c>
      <c r="R681" s="4">
        <v>0</v>
      </c>
      <c r="S681" s="4" t="s">
        <v>346</v>
      </c>
      <c r="T681" s="4" t="s">
        <v>591</v>
      </c>
      <c r="U681" s="4">
        <v>0</v>
      </c>
      <c r="V681" s="4">
        <v>44</v>
      </c>
      <c r="W681" s="4">
        <v>81</v>
      </c>
    </row>
    <row r="682" spans="1:23" ht="11.25" customHeight="1" x14ac:dyDescent="0.25">
      <c r="A682" s="4" t="s">
        <v>21</v>
      </c>
      <c r="B682" s="4" t="s">
        <v>39</v>
      </c>
      <c r="C682" s="4" t="s">
        <v>23</v>
      </c>
      <c r="D682" s="4" t="s">
        <v>40</v>
      </c>
      <c r="E682" s="4" t="s">
        <v>25</v>
      </c>
      <c r="F682" s="4" t="s">
        <v>25</v>
      </c>
      <c r="G682" s="4" t="s">
        <v>25</v>
      </c>
      <c r="H682" s="4" t="s">
        <v>25</v>
      </c>
      <c r="I682" s="5">
        <v>44317</v>
      </c>
      <c r="J682" s="6">
        <v>0</v>
      </c>
      <c r="K682" s="6">
        <v>0</v>
      </c>
      <c r="L682" s="6">
        <v>87.825000000000003</v>
      </c>
      <c r="M682" s="6">
        <v>87.825000000000003</v>
      </c>
      <c r="N682" s="6">
        <v>87.825000000000003</v>
      </c>
      <c r="O682" s="6">
        <v>87.825000000000003</v>
      </c>
      <c r="P682" s="6">
        <v>39</v>
      </c>
      <c r="Q682" s="4" t="s">
        <v>26</v>
      </c>
      <c r="R682" s="4">
        <v>0</v>
      </c>
      <c r="S682" s="4" t="s">
        <v>335</v>
      </c>
      <c r="T682" s="4" t="s">
        <v>580</v>
      </c>
      <c r="U682" s="4">
        <v>0</v>
      </c>
      <c r="V682" s="4">
        <v>44</v>
      </c>
      <c r="W682" s="4">
        <v>81</v>
      </c>
    </row>
    <row r="683" spans="1:23" ht="11.25" customHeight="1" x14ac:dyDescent="0.25">
      <c r="A683" s="4" t="s">
        <v>28</v>
      </c>
      <c r="B683" s="4" t="s">
        <v>39</v>
      </c>
      <c r="C683" s="4" t="s">
        <v>23</v>
      </c>
      <c r="D683" s="4" t="s">
        <v>40</v>
      </c>
      <c r="E683" s="4" t="s">
        <v>25</v>
      </c>
      <c r="F683" s="4" t="s">
        <v>25</v>
      </c>
      <c r="G683" s="4" t="s">
        <v>25</v>
      </c>
      <c r="H683" s="4" t="s">
        <v>25</v>
      </c>
      <c r="I683" s="5">
        <v>44317</v>
      </c>
      <c r="J683" s="6">
        <v>0</v>
      </c>
      <c r="K683" s="6">
        <v>0</v>
      </c>
      <c r="L683" s="6">
        <v>0.1</v>
      </c>
      <c r="M683" s="6">
        <v>0.1</v>
      </c>
      <c r="N683" s="6">
        <v>0.1</v>
      </c>
      <c r="O683" s="6">
        <v>0.1</v>
      </c>
      <c r="P683" s="6">
        <v>1</v>
      </c>
      <c r="Q683" s="4" t="s">
        <v>26</v>
      </c>
      <c r="R683" s="4">
        <v>0</v>
      </c>
      <c r="S683" s="4" t="s">
        <v>335</v>
      </c>
      <c r="T683" s="4" t="s">
        <v>580</v>
      </c>
      <c r="U683" s="4">
        <v>0</v>
      </c>
      <c r="V683" s="4">
        <v>44</v>
      </c>
      <c r="W683" s="4">
        <v>81</v>
      </c>
    </row>
    <row r="684" spans="1:23" ht="11.25" customHeight="1" x14ac:dyDescent="0.25">
      <c r="A684" s="4" t="s">
        <v>21</v>
      </c>
      <c r="B684" s="4" t="s">
        <v>39</v>
      </c>
      <c r="C684" s="4" t="s">
        <v>23</v>
      </c>
      <c r="D684" s="4" t="s">
        <v>40</v>
      </c>
      <c r="E684" s="4" t="s">
        <v>25</v>
      </c>
      <c r="F684" s="4" t="s">
        <v>25</v>
      </c>
      <c r="G684" s="4" t="s">
        <v>25</v>
      </c>
      <c r="H684" s="4" t="s">
        <v>25</v>
      </c>
      <c r="I684" s="5">
        <v>44348</v>
      </c>
      <c r="J684" s="6">
        <v>0</v>
      </c>
      <c r="K684" s="6">
        <v>0</v>
      </c>
      <c r="L684" s="6">
        <v>85.387</v>
      </c>
      <c r="M684" s="6">
        <v>85.387</v>
      </c>
      <c r="N684" s="6">
        <v>85.387</v>
      </c>
      <c r="O684" s="6">
        <v>85.387</v>
      </c>
      <c r="P684" s="6">
        <v>39</v>
      </c>
      <c r="Q684" s="4" t="s">
        <v>26</v>
      </c>
      <c r="R684" s="4">
        <v>0</v>
      </c>
      <c r="S684" s="4" t="s">
        <v>336</v>
      </c>
      <c r="T684" s="4" t="s">
        <v>581</v>
      </c>
      <c r="U684" s="4">
        <v>0</v>
      </c>
      <c r="V684" s="4">
        <v>44</v>
      </c>
      <c r="W684" s="4">
        <v>81</v>
      </c>
    </row>
    <row r="685" spans="1:23" ht="11.25" customHeight="1" x14ac:dyDescent="0.25">
      <c r="A685" s="4" t="s">
        <v>28</v>
      </c>
      <c r="B685" s="4" t="s">
        <v>39</v>
      </c>
      <c r="C685" s="4" t="s">
        <v>23</v>
      </c>
      <c r="D685" s="4" t="s">
        <v>40</v>
      </c>
      <c r="E685" s="4" t="s">
        <v>25</v>
      </c>
      <c r="F685" s="4" t="s">
        <v>25</v>
      </c>
      <c r="G685" s="4" t="s">
        <v>25</v>
      </c>
      <c r="H685" s="4" t="s">
        <v>25</v>
      </c>
      <c r="I685" s="5">
        <v>44348</v>
      </c>
      <c r="J685" s="6">
        <v>0</v>
      </c>
      <c r="K685" s="6">
        <v>0</v>
      </c>
      <c r="L685" s="6">
        <v>0.1</v>
      </c>
      <c r="M685" s="6">
        <v>0.1</v>
      </c>
      <c r="N685" s="6">
        <v>0.1</v>
      </c>
      <c r="O685" s="6">
        <v>0.1</v>
      </c>
      <c r="P685" s="6">
        <v>1</v>
      </c>
      <c r="Q685" s="4" t="s">
        <v>26</v>
      </c>
      <c r="R685" s="4">
        <v>0</v>
      </c>
      <c r="S685" s="4" t="s">
        <v>336</v>
      </c>
      <c r="T685" s="4" t="s">
        <v>581</v>
      </c>
      <c r="U685" s="4">
        <v>0</v>
      </c>
      <c r="V685" s="4">
        <v>44</v>
      </c>
      <c r="W685" s="4">
        <v>81</v>
      </c>
    </row>
    <row r="686" spans="1:23" ht="11.25" customHeight="1" x14ac:dyDescent="0.25">
      <c r="A686" s="4" t="s">
        <v>21</v>
      </c>
      <c r="B686" s="4" t="s">
        <v>39</v>
      </c>
      <c r="C686" s="4" t="s">
        <v>23</v>
      </c>
      <c r="D686" s="4" t="s">
        <v>40</v>
      </c>
      <c r="E686" s="4" t="s">
        <v>25</v>
      </c>
      <c r="F686" s="4" t="s">
        <v>25</v>
      </c>
      <c r="G686" s="4" t="s">
        <v>25</v>
      </c>
      <c r="H686" s="4" t="s">
        <v>25</v>
      </c>
      <c r="I686" s="5">
        <v>44378</v>
      </c>
      <c r="J686" s="6">
        <v>0</v>
      </c>
      <c r="K686" s="6">
        <v>0</v>
      </c>
      <c r="L686" s="6">
        <v>83.837000000000003</v>
      </c>
      <c r="M686" s="6">
        <v>83.837000000000003</v>
      </c>
      <c r="N686" s="6">
        <v>83.837000000000003</v>
      </c>
      <c r="O686" s="6">
        <v>83.837000000000003</v>
      </c>
      <c r="P686" s="6">
        <v>38</v>
      </c>
      <c r="Q686" s="4" t="s">
        <v>26</v>
      </c>
      <c r="R686" s="4">
        <v>0</v>
      </c>
      <c r="S686" s="4" t="s">
        <v>337</v>
      </c>
      <c r="T686" s="4" t="s">
        <v>582</v>
      </c>
      <c r="U686" s="4">
        <v>0</v>
      </c>
      <c r="V686" s="4">
        <v>44</v>
      </c>
      <c r="W686" s="4">
        <v>81</v>
      </c>
    </row>
    <row r="687" spans="1:23" ht="11.25" customHeight="1" x14ac:dyDescent="0.25">
      <c r="A687" s="4" t="s">
        <v>28</v>
      </c>
      <c r="B687" s="4" t="s">
        <v>39</v>
      </c>
      <c r="C687" s="4" t="s">
        <v>23</v>
      </c>
      <c r="D687" s="4" t="s">
        <v>40</v>
      </c>
      <c r="E687" s="4" t="s">
        <v>25</v>
      </c>
      <c r="F687" s="4" t="s">
        <v>25</v>
      </c>
      <c r="G687" s="4" t="s">
        <v>25</v>
      </c>
      <c r="H687" s="4" t="s">
        <v>25</v>
      </c>
      <c r="I687" s="5">
        <v>44378</v>
      </c>
      <c r="J687" s="6">
        <v>0</v>
      </c>
      <c r="K687" s="6">
        <v>0</v>
      </c>
      <c r="L687" s="6">
        <v>0.1</v>
      </c>
      <c r="M687" s="6">
        <v>0.1</v>
      </c>
      <c r="N687" s="6">
        <v>0.1</v>
      </c>
      <c r="O687" s="6">
        <v>0.1</v>
      </c>
      <c r="P687" s="6">
        <v>1</v>
      </c>
      <c r="Q687" s="4" t="s">
        <v>26</v>
      </c>
      <c r="R687" s="4">
        <v>0</v>
      </c>
      <c r="S687" s="4" t="s">
        <v>337</v>
      </c>
      <c r="T687" s="4" t="s">
        <v>582</v>
      </c>
      <c r="U687" s="4">
        <v>0</v>
      </c>
      <c r="V687" s="4">
        <v>44</v>
      </c>
      <c r="W687" s="4">
        <v>81</v>
      </c>
    </row>
    <row r="688" spans="1:23" ht="11.25" customHeight="1" x14ac:dyDescent="0.25">
      <c r="A688" s="4" t="s">
        <v>21</v>
      </c>
      <c r="B688" s="4" t="s">
        <v>39</v>
      </c>
      <c r="C688" s="4" t="s">
        <v>23</v>
      </c>
      <c r="D688" s="4" t="s">
        <v>40</v>
      </c>
      <c r="E688" s="4" t="s">
        <v>25</v>
      </c>
      <c r="F688" s="4" t="s">
        <v>25</v>
      </c>
      <c r="G688" s="4" t="s">
        <v>25</v>
      </c>
      <c r="H688" s="4" t="s">
        <v>25</v>
      </c>
      <c r="I688" s="5">
        <v>44409</v>
      </c>
      <c r="J688" s="6">
        <v>0</v>
      </c>
      <c r="K688" s="6">
        <v>0</v>
      </c>
      <c r="L688" s="6">
        <v>89.876999999999995</v>
      </c>
      <c r="M688" s="6">
        <v>89.876999999999995</v>
      </c>
      <c r="N688" s="6">
        <v>89.876999999999995</v>
      </c>
      <c r="O688" s="6">
        <v>89.876999999999995</v>
      </c>
      <c r="P688" s="6">
        <v>38</v>
      </c>
      <c r="Q688" s="4" t="s">
        <v>26</v>
      </c>
      <c r="R688" s="4">
        <v>0</v>
      </c>
      <c r="S688" s="4" t="s">
        <v>338</v>
      </c>
      <c r="T688" s="4" t="s">
        <v>583</v>
      </c>
      <c r="U688" s="4">
        <v>0</v>
      </c>
      <c r="V688" s="4">
        <v>44</v>
      </c>
      <c r="W688" s="4">
        <v>81</v>
      </c>
    </row>
    <row r="689" spans="1:23" ht="11.25" customHeight="1" x14ac:dyDescent="0.25">
      <c r="A689" s="4" t="s">
        <v>28</v>
      </c>
      <c r="B689" s="4" t="s">
        <v>39</v>
      </c>
      <c r="C689" s="4" t="s">
        <v>23</v>
      </c>
      <c r="D689" s="4" t="s">
        <v>40</v>
      </c>
      <c r="E689" s="4" t="s">
        <v>25</v>
      </c>
      <c r="F689" s="4" t="s">
        <v>25</v>
      </c>
      <c r="G689" s="4" t="s">
        <v>25</v>
      </c>
      <c r="H689" s="4" t="s">
        <v>25</v>
      </c>
      <c r="I689" s="5">
        <v>44409</v>
      </c>
      <c r="J689" s="6">
        <v>0</v>
      </c>
      <c r="K689" s="6">
        <v>0</v>
      </c>
      <c r="L689" s="6">
        <v>0.1</v>
      </c>
      <c r="M689" s="6">
        <v>0.1</v>
      </c>
      <c r="N689" s="6">
        <v>0.1</v>
      </c>
      <c r="O689" s="6">
        <v>0.1</v>
      </c>
      <c r="P689" s="6">
        <v>1</v>
      </c>
      <c r="Q689" s="4" t="s">
        <v>26</v>
      </c>
      <c r="R689" s="4">
        <v>0</v>
      </c>
      <c r="S689" s="4" t="s">
        <v>338</v>
      </c>
      <c r="T689" s="4" t="s">
        <v>583</v>
      </c>
      <c r="U689" s="4">
        <v>0</v>
      </c>
      <c r="V689" s="4">
        <v>44</v>
      </c>
      <c r="W689" s="4">
        <v>81</v>
      </c>
    </row>
    <row r="690" spans="1:23" ht="11.25" customHeight="1" x14ac:dyDescent="0.25">
      <c r="A690" s="4" t="s">
        <v>21</v>
      </c>
      <c r="B690" s="4" t="s">
        <v>39</v>
      </c>
      <c r="C690" s="4" t="s">
        <v>23</v>
      </c>
      <c r="D690" s="4" t="s">
        <v>40</v>
      </c>
      <c r="E690" s="4" t="s">
        <v>25</v>
      </c>
      <c r="F690" s="4" t="s">
        <v>25</v>
      </c>
      <c r="G690" s="4" t="s">
        <v>25</v>
      </c>
      <c r="H690" s="4" t="s">
        <v>25</v>
      </c>
      <c r="I690" s="5">
        <v>44440</v>
      </c>
      <c r="J690" s="6">
        <v>0</v>
      </c>
      <c r="K690" s="6">
        <v>0</v>
      </c>
      <c r="L690" s="6">
        <v>98.241</v>
      </c>
      <c r="M690" s="6">
        <v>98.241</v>
      </c>
      <c r="N690" s="6">
        <v>98.241</v>
      </c>
      <c r="O690" s="6">
        <v>98.241</v>
      </c>
      <c r="P690" s="6">
        <v>38</v>
      </c>
      <c r="Q690" s="4" t="s">
        <v>26</v>
      </c>
      <c r="R690" s="4">
        <v>0</v>
      </c>
      <c r="S690" s="4" t="s">
        <v>339</v>
      </c>
      <c r="T690" s="4" t="s">
        <v>584</v>
      </c>
      <c r="U690" s="4">
        <v>0</v>
      </c>
      <c r="V690" s="4">
        <v>44</v>
      </c>
      <c r="W690" s="4">
        <v>81</v>
      </c>
    </row>
    <row r="691" spans="1:23" ht="11.25" customHeight="1" x14ac:dyDescent="0.25">
      <c r="A691" s="4" t="s">
        <v>28</v>
      </c>
      <c r="B691" s="4" t="s">
        <v>39</v>
      </c>
      <c r="C691" s="4" t="s">
        <v>23</v>
      </c>
      <c r="D691" s="4" t="s">
        <v>40</v>
      </c>
      <c r="E691" s="4" t="s">
        <v>25</v>
      </c>
      <c r="F691" s="4" t="s">
        <v>25</v>
      </c>
      <c r="G691" s="4" t="s">
        <v>25</v>
      </c>
      <c r="H691" s="4" t="s">
        <v>25</v>
      </c>
      <c r="I691" s="5">
        <v>44440</v>
      </c>
      <c r="J691" s="6">
        <v>0</v>
      </c>
      <c r="K691" s="6">
        <v>0</v>
      </c>
      <c r="L691" s="6">
        <v>0.1</v>
      </c>
      <c r="M691" s="6">
        <v>0.1</v>
      </c>
      <c r="N691" s="6">
        <v>0.1</v>
      </c>
      <c r="O691" s="6">
        <v>0.1</v>
      </c>
      <c r="P691" s="6">
        <v>1</v>
      </c>
      <c r="Q691" s="4" t="s">
        <v>26</v>
      </c>
      <c r="R691" s="4">
        <v>0</v>
      </c>
      <c r="S691" s="4" t="s">
        <v>339</v>
      </c>
      <c r="T691" s="4" t="s">
        <v>584</v>
      </c>
      <c r="U691" s="4">
        <v>0</v>
      </c>
      <c r="V691" s="4">
        <v>44</v>
      </c>
      <c r="W691" s="4">
        <v>81</v>
      </c>
    </row>
    <row r="692" spans="1:23" ht="11.25" customHeight="1" x14ac:dyDescent="0.25">
      <c r="A692" s="4" t="s">
        <v>21</v>
      </c>
      <c r="B692" s="4" t="s">
        <v>39</v>
      </c>
      <c r="C692" s="4" t="s">
        <v>23</v>
      </c>
      <c r="D692" s="4" t="s">
        <v>40</v>
      </c>
      <c r="E692" s="4" t="s">
        <v>25</v>
      </c>
      <c r="F692" s="4" t="s">
        <v>25</v>
      </c>
      <c r="G692" s="4" t="s">
        <v>25</v>
      </c>
      <c r="H692" s="4" t="s">
        <v>25</v>
      </c>
      <c r="I692" s="5">
        <v>44470</v>
      </c>
      <c r="J692" s="6">
        <v>0</v>
      </c>
      <c r="K692" s="6">
        <v>0</v>
      </c>
      <c r="L692" s="6">
        <v>108.854</v>
      </c>
      <c r="M692" s="6">
        <v>108.854</v>
      </c>
      <c r="N692" s="6">
        <v>108.854</v>
      </c>
      <c r="O692" s="6">
        <v>108.854</v>
      </c>
      <c r="P692" s="6">
        <v>42</v>
      </c>
      <c r="Q692" s="4" t="s">
        <v>26</v>
      </c>
      <c r="R692" s="4">
        <v>0</v>
      </c>
      <c r="S692" s="4" t="s">
        <v>340</v>
      </c>
      <c r="T692" s="4" t="s">
        <v>585</v>
      </c>
      <c r="U692" s="4">
        <v>0</v>
      </c>
      <c r="V692" s="4">
        <v>44</v>
      </c>
      <c r="W692" s="4">
        <v>81</v>
      </c>
    </row>
    <row r="693" spans="1:23" ht="11.25" customHeight="1" x14ac:dyDescent="0.25">
      <c r="A693" s="4" t="s">
        <v>28</v>
      </c>
      <c r="B693" s="4" t="s">
        <v>39</v>
      </c>
      <c r="C693" s="4" t="s">
        <v>23</v>
      </c>
      <c r="D693" s="4" t="s">
        <v>40</v>
      </c>
      <c r="E693" s="4" t="s">
        <v>25</v>
      </c>
      <c r="F693" s="4" t="s">
        <v>25</v>
      </c>
      <c r="G693" s="4" t="s">
        <v>25</v>
      </c>
      <c r="H693" s="4" t="s">
        <v>25</v>
      </c>
      <c r="I693" s="5">
        <v>44470</v>
      </c>
      <c r="J693" s="6">
        <v>0</v>
      </c>
      <c r="K693" s="6">
        <v>0</v>
      </c>
      <c r="L693" s="6">
        <v>0.3</v>
      </c>
      <c r="M693" s="6">
        <v>0.3</v>
      </c>
      <c r="N693" s="6">
        <v>0.3</v>
      </c>
      <c r="O693" s="6">
        <v>0.3</v>
      </c>
      <c r="P693" s="6">
        <v>3</v>
      </c>
      <c r="Q693" s="4" t="s">
        <v>26</v>
      </c>
      <c r="R693" s="4">
        <v>0</v>
      </c>
      <c r="S693" s="4" t="s">
        <v>340</v>
      </c>
      <c r="T693" s="4" t="s">
        <v>585</v>
      </c>
      <c r="U693" s="4">
        <v>0</v>
      </c>
      <c r="V693" s="4">
        <v>44</v>
      </c>
      <c r="W693" s="4">
        <v>81</v>
      </c>
    </row>
    <row r="694" spans="1:23" ht="11.25" customHeight="1" x14ac:dyDescent="0.25">
      <c r="A694" s="4" t="s">
        <v>21</v>
      </c>
      <c r="B694" s="4" t="s">
        <v>39</v>
      </c>
      <c r="C694" s="4" t="s">
        <v>23</v>
      </c>
      <c r="D694" s="4" t="s">
        <v>40</v>
      </c>
      <c r="E694" s="4" t="s">
        <v>25</v>
      </c>
      <c r="F694" s="4" t="s">
        <v>25</v>
      </c>
      <c r="G694" s="4" t="s">
        <v>25</v>
      </c>
      <c r="H694" s="4" t="s">
        <v>25</v>
      </c>
      <c r="I694" s="5">
        <v>44501</v>
      </c>
      <c r="J694" s="6">
        <v>0</v>
      </c>
      <c r="K694" s="6">
        <v>0</v>
      </c>
      <c r="L694" s="6">
        <v>110.777</v>
      </c>
      <c r="M694" s="6">
        <v>110.777</v>
      </c>
      <c r="N694" s="6">
        <v>110.777</v>
      </c>
      <c r="O694" s="6">
        <v>110.777</v>
      </c>
      <c r="P694" s="6">
        <v>41</v>
      </c>
      <c r="Q694" s="4" t="s">
        <v>26</v>
      </c>
      <c r="R694" s="4">
        <v>0</v>
      </c>
      <c r="S694" s="4" t="s">
        <v>341</v>
      </c>
      <c r="T694" s="4" t="s">
        <v>586</v>
      </c>
      <c r="U694" s="4">
        <v>0</v>
      </c>
      <c r="V694" s="4">
        <v>44</v>
      </c>
      <c r="W694" s="4">
        <v>81</v>
      </c>
    </row>
    <row r="695" spans="1:23" ht="11.25" customHeight="1" x14ac:dyDescent="0.25">
      <c r="A695" s="4" t="s">
        <v>28</v>
      </c>
      <c r="B695" s="4" t="s">
        <v>39</v>
      </c>
      <c r="C695" s="4" t="s">
        <v>23</v>
      </c>
      <c r="D695" s="4" t="s">
        <v>40</v>
      </c>
      <c r="E695" s="4" t="s">
        <v>25</v>
      </c>
      <c r="F695" s="4" t="s">
        <v>25</v>
      </c>
      <c r="G695" s="4" t="s">
        <v>25</v>
      </c>
      <c r="H695" s="4" t="s">
        <v>25</v>
      </c>
      <c r="I695" s="5">
        <v>44501</v>
      </c>
      <c r="J695" s="6">
        <v>0</v>
      </c>
      <c r="K695" s="6">
        <v>0</v>
      </c>
      <c r="L695" s="6">
        <v>0.3</v>
      </c>
      <c r="M695" s="6">
        <v>0.3</v>
      </c>
      <c r="N695" s="6">
        <v>0.3</v>
      </c>
      <c r="O695" s="6">
        <v>0.3</v>
      </c>
      <c r="P695" s="6">
        <v>3</v>
      </c>
      <c r="Q695" s="4" t="s">
        <v>26</v>
      </c>
      <c r="R695" s="4">
        <v>0</v>
      </c>
      <c r="S695" s="4" t="s">
        <v>341</v>
      </c>
      <c r="T695" s="4" t="s">
        <v>586</v>
      </c>
      <c r="U695" s="4">
        <v>0</v>
      </c>
      <c r="V695" s="4">
        <v>44</v>
      </c>
      <c r="W695" s="4">
        <v>81</v>
      </c>
    </row>
    <row r="696" spans="1:23" ht="11.25" customHeight="1" x14ac:dyDescent="0.25">
      <c r="A696" s="4" t="s">
        <v>21</v>
      </c>
      <c r="B696" s="4" t="s">
        <v>39</v>
      </c>
      <c r="C696" s="4" t="s">
        <v>23</v>
      </c>
      <c r="D696" s="4" t="s">
        <v>40</v>
      </c>
      <c r="E696" s="4" t="s">
        <v>25</v>
      </c>
      <c r="F696" s="4" t="s">
        <v>25</v>
      </c>
      <c r="G696" s="4" t="s">
        <v>25</v>
      </c>
      <c r="H696" s="4" t="s">
        <v>25</v>
      </c>
      <c r="I696" s="5">
        <v>44531</v>
      </c>
      <c r="J696" s="6">
        <v>0</v>
      </c>
      <c r="K696" s="6">
        <v>0</v>
      </c>
      <c r="L696" s="6">
        <v>108.777</v>
      </c>
      <c r="M696" s="6">
        <v>108.777</v>
      </c>
      <c r="N696" s="6">
        <v>108.777</v>
      </c>
      <c r="O696" s="6">
        <v>108.777</v>
      </c>
      <c r="P696" s="6">
        <v>40</v>
      </c>
      <c r="Q696" s="4" t="s">
        <v>26</v>
      </c>
      <c r="R696" s="4">
        <v>0</v>
      </c>
      <c r="S696" s="4" t="s">
        <v>342</v>
      </c>
      <c r="T696" s="4" t="s">
        <v>587</v>
      </c>
      <c r="U696" s="4">
        <v>0</v>
      </c>
      <c r="V696" s="4">
        <v>44</v>
      </c>
      <c r="W696" s="4">
        <v>81</v>
      </c>
    </row>
    <row r="697" spans="1:23" ht="11.25" customHeight="1" x14ac:dyDescent="0.25">
      <c r="A697" s="4" t="s">
        <v>27</v>
      </c>
      <c r="B697" s="4" t="s">
        <v>39</v>
      </c>
      <c r="C697" s="4" t="s">
        <v>23</v>
      </c>
      <c r="D697" s="4" t="s">
        <v>40</v>
      </c>
      <c r="E697" s="4" t="s">
        <v>25</v>
      </c>
      <c r="F697" s="4" t="s">
        <v>25</v>
      </c>
      <c r="G697" s="4" t="s">
        <v>25</v>
      </c>
      <c r="H697" s="4" t="s">
        <v>25</v>
      </c>
      <c r="I697" s="5">
        <v>44531</v>
      </c>
      <c r="J697" s="6">
        <v>0</v>
      </c>
      <c r="K697" s="6">
        <v>0</v>
      </c>
      <c r="L697" s="6">
        <v>4.9950000000000001</v>
      </c>
      <c r="M697" s="6">
        <v>4.9950000000000001</v>
      </c>
      <c r="N697" s="6">
        <v>4.9950000000000001</v>
      </c>
      <c r="O697" s="6">
        <v>4.9950000000000001</v>
      </c>
      <c r="P697" s="6">
        <v>0</v>
      </c>
      <c r="Q697" s="4" t="s">
        <v>26</v>
      </c>
      <c r="R697" s="4">
        <v>0</v>
      </c>
      <c r="S697" s="4" t="s">
        <v>342</v>
      </c>
      <c r="T697" s="4" t="s">
        <v>587</v>
      </c>
      <c r="U697" s="4">
        <v>0</v>
      </c>
      <c r="V697" s="4">
        <v>44</v>
      </c>
      <c r="W697" s="4">
        <v>81</v>
      </c>
    </row>
    <row r="698" spans="1:23" ht="11.25" customHeight="1" x14ac:dyDescent="0.25">
      <c r="A698" s="4" t="s">
        <v>28</v>
      </c>
      <c r="B698" s="4" t="s">
        <v>39</v>
      </c>
      <c r="C698" s="4" t="s">
        <v>23</v>
      </c>
      <c r="D698" s="4" t="s">
        <v>40</v>
      </c>
      <c r="E698" s="4" t="s">
        <v>25</v>
      </c>
      <c r="F698" s="4" t="s">
        <v>25</v>
      </c>
      <c r="G698" s="4" t="s">
        <v>25</v>
      </c>
      <c r="H698" s="4" t="s">
        <v>25</v>
      </c>
      <c r="I698" s="5">
        <v>44531</v>
      </c>
      <c r="J698" s="6">
        <v>0</v>
      </c>
      <c r="K698" s="6">
        <v>0</v>
      </c>
      <c r="L698" s="6">
        <v>0.3</v>
      </c>
      <c r="M698" s="6">
        <v>0.3</v>
      </c>
      <c r="N698" s="6">
        <v>0.3</v>
      </c>
      <c r="O698" s="6">
        <v>0.3</v>
      </c>
      <c r="P698" s="6">
        <v>3</v>
      </c>
      <c r="Q698" s="4" t="s">
        <v>26</v>
      </c>
      <c r="R698" s="4">
        <v>0</v>
      </c>
      <c r="S698" s="4" t="s">
        <v>342</v>
      </c>
      <c r="T698" s="4" t="s">
        <v>587</v>
      </c>
      <c r="U698" s="4">
        <v>0</v>
      </c>
      <c r="V698" s="4">
        <v>44</v>
      </c>
      <c r="W698" s="4">
        <v>81</v>
      </c>
    </row>
    <row r="699" spans="1:23" ht="11.25" customHeight="1" x14ac:dyDescent="0.25">
      <c r="A699" s="4" t="s">
        <v>21</v>
      </c>
      <c r="B699" s="4" t="s">
        <v>39</v>
      </c>
      <c r="C699" s="4" t="s">
        <v>23</v>
      </c>
      <c r="D699" s="4" t="s">
        <v>40</v>
      </c>
      <c r="E699" s="4" t="s">
        <v>25</v>
      </c>
      <c r="F699" s="4" t="s">
        <v>25</v>
      </c>
      <c r="G699" s="4" t="s">
        <v>25</v>
      </c>
      <c r="H699" s="4" t="s">
        <v>25</v>
      </c>
      <c r="I699" s="5">
        <v>44562</v>
      </c>
      <c r="J699" s="6">
        <v>0</v>
      </c>
      <c r="K699" s="6">
        <v>0</v>
      </c>
      <c r="L699" s="6">
        <v>102.43300000000001</v>
      </c>
      <c r="M699" s="6">
        <v>102.43300000000001</v>
      </c>
      <c r="N699" s="6">
        <v>102.43300000000001</v>
      </c>
      <c r="O699" s="6">
        <v>102.43300000000001</v>
      </c>
      <c r="P699" s="6">
        <v>40</v>
      </c>
      <c r="Q699" s="4" t="s">
        <v>26</v>
      </c>
      <c r="R699" s="4">
        <v>0</v>
      </c>
      <c r="S699" s="4" t="s">
        <v>343</v>
      </c>
      <c r="T699" s="4" t="s">
        <v>588</v>
      </c>
      <c r="U699" s="4">
        <v>0</v>
      </c>
      <c r="V699" s="4">
        <v>44</v>
      </c>
      <c r="W699" s="4">
        <v>81</v>
      </c>
    </row>
    <row r="700" spans="1:23" ht="11.25" customHeight="1" x14ac:dyDescent="0.25">
      <c r="A700" s="4" t="s">
        <v>28</v>
      </c>
      <c r="B700" s="4" t="s">
        <v>39</v>
      </c>
      <c r="C700" s="4" t="s">
        <v>23</v>
      </c>
      <c r="D700" s="4" t="s">
        <v>40</v>
      </c>
      <c r="E700" s="4" t="s">
        <v>25</v>
      </c>
      <c r="F700" s="4" t="s">
        <v>25</v>
      </c>
      <c r="G700" s="4" t="s">
        <v>25</v>
      </c>
      <c r="H700" s="4" t="s">
        <v>25</v>
      </c>
      <c r="I700" s="5">
        <v>44562</v>
      </c>
      <c r="J700" s="6">
        <v>0</v>
      </c>
      <c r="K700" s="6">
        <v>0</v>
      </c>
      <c r="L700" s="6">
        <v>0.3</v>
      </c>
      <c r="M700" s="6">
        <v>0.3</v>
      </c>
      <c r="N700" s="6">
        <v>0.3</v>
      </c>
      <c r="O700" s="6">
        <v>0.3</v>
      </c>
      <c r="P700" s="6">
        <v>3</v>
      </c>
      <c r="Q700" s="4" t="s">
        <v>26</v>
      </c>
      <c r="R700" s="4">
        <v>0</v>
      </c>
      <c r="S700" s="4" t="s">
        <v>343</v>
      </c>
      <c r="T700" s="4" t="s">
        <v>588</v>
      </c>
      <c r="U700" s="4">
        <v>0</v>
      </c>
      <c r="V700" s="4">
        <v>44</v>
      </c>
      <c r="W700" s="4">
        <v>81</v>
      </c>
    </row>
    <row r="701" spans="1:23" ht="11.25" customHeight="1" x14ac:dyDescent="0.25">
      <c r="A701" s="4" t="s">
        <v>21</v>
      </c>
      <c r="B701" s="4" t="s">
        <v>39</v>
      </c>
      <c r="C701" s="4" t="s">
        <v>23</v>
      </c>
      <c r="D701" s="4" t="s">
        <v>40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44593</v>
      </c>
      <c r="J701" s="6">
        <v>0</v>
      </c>
      <c r="K701" s="6">
        <v>0</v>
      </c>
      <c r="L701" s="6">
        <v>118.384</v>
      </c>
      <c r="M701" s="6">
        <v>118.384</v>
      </c>
      <c r="N701" s="6">
        <v>118.384</v>
      </c>
      <c r="O701" s="6">
        <v>118.384</v>
      </c>
      <c r="P701" s="6">
        <v>40</v>
      </c>
      <c r="Q701" s="4" t="s">
        <v>26</v>
      </c>
      <c r="R701" s="4">
        <v>0</v>
      </c>
      <c r="S701" s="4" t="s">
        <v>344</v>
      </c>
      <c r="T701" s="4" t="s">
        <v>589</v>
      </c>
      <c r="U701" s="4">
        <v>0</v>
      </c>
      <c r="V701" s="4">
        <v>44</v>
      </c>
      <c r="W701" s="4">
        <v>81</v>
      </c>
    </row>
    <row r="702" spans="1:23" ht="11.25" customHeight="1" x14ac:dyDescent="0.25">
      <c r="A702" s="4" t="s">
        <v>28</v>
      </c>
      <c r="B702" s="4" t="s">
        <v>39</v>
      </c>
      <c r="C702" s="4" t="s">
        <v>23</v>
      </c>
      <c r="D702" s="4" t="s">
        <v>40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44593</v>
      </c>
      <c r="J702" s="6">
        <v>0</v>
      </c>
      <c r="K702" s="6">
        <v>0</v>
      </c>
      <c r="L702" s="6">
        <v>0.3</v>
      </c>
      <c r="M702" s="6">
        <v>0.3</v>
      </c>
      <c r="N702" s="6">
        <v>0.3</v>
      </c>
      <c r="O702" s="6">
        <v>0.3</v>
      </c>
      <c r="P702" s="6">
        <v>3</v>
      </c>
      <c r="Q702" s="4" t="s">
        <v>26</v>
      </c>
      <c r="R702" s="4">
        <v>0</v>
      </c>
      <c r="S702" s="4" t="s">
        <v>344</v>
      </c>
      <c r="T702" s="4" t="s">
        <v>589</v>
      </c>
      <c r="U702" s="4">
        <v>0</v>
      </c>
      <c r="V702" s="4">
        <v>44</v>
      </c>
      <c r="W702" s="4">
        <v>81</v>
      </c>
    </row>
    <row r="703" spans="1:23" ht="11.25" customHeight="1" x14ac:dyDescent="0.25">
      <c r="A703" s="4" t="s">
        <v>21</v>
      </c>
      <c r="B703" s="4" t="s">
        <v>39</v>
      </c>
      <c r="C703" s="4" t="s">
        <v>23</v>
      </c>
      <c r="D703" s="4" t="s">
        <v>40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44621</v>
      </c>
      <c r="J703" s="6">
        <v>0</v>
      </c>
      <c r="K703" s="6">
        <v>0</v>
      </c>
      <c r="L703" s="6">
        <v>118.161</v>
      </c>
      <c r="M703" s="6">
        <v>118.161</v>
      </c>
      <c r="N703" s="6">
        <v>118.161</v>
      </c>
      <c r="O703" s="6">
        <v>118.161</v>
      </c>
      <c r="P703" s="6">
        <v>38</v>
      </c>
      <c r="Q703" s="4" t="s">
        <v>26</v>
      </c>
      <c r="R703" s="4">
        <v>0</v>
      </c>
      <c r="S703" s="4" t="s">
        <v>345</v>
      </c>
      <c r="T703" s="4" t="s">
        <v>590</v>
      </c>
      <c r="U703" s="4">
        <v>0</v>
      </c>
      <c r="V703" s="4">
        <v>44</v>
      </c>
      <c r="W703" s="4">
        <v>81</v>
      </c>
    </row>
    <row r="704" spans="1:23" ht="11.25" customHeight="1" x14ac:dyDescent="0.25">
      <c r="A704" s="4" t="s">
        <v>28</v>
      </c>
      <c r="B704" s="4" t="s">
        <v>39</v>
      </c>
      <c r="C704" s="4" t="s">
        <v>23</v>
      </c>
      <c r="D704" s="4" t="s">
        <v>40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44621</v>
      </c>
      <c r="J704" s="6">
        <v>0</v>
      </c>
      <c r="K704" s="6">
        <v>0</v>
      </c>
      <c r="L704" s="6">
        <v>0.5</v>
      </c>
      <c r="M704" s="6">
        <v>0.5</v>
      </c>
      <c r="N704" s="6">
        <v>0.5</v>
      </c>
      <c r="O704" s="6">
        <v>0.5</v>
      </c>
      <c r="P704" s="6">
        <v>5</v>
      </c>
      <c r="Q704" s="4" t="s">
        <v>26</v>
      </c>
      <c r="R704" s="4">
        <v>0</v>
      </c>
      <c r="S704" s="4" t="s">
        <v>345</v>
      </c>
      <c r="T704" s="4" t="s">
        <v>590</v>
      </c>
      <c r="U704" s="4">
        <v>0</v>
      </c>
      <c r="V704" s="4">
        <v>44</v>
      </c>
      <c r="W704" s="4">
        <v>81</v>
      </c>
    </row>
    <row r="705" spans="1:23" ht="11.25" customHeight="1" x14ac:dyDescent="0.25">
      <c r="A705" s="4" t="s">
        <v>21</v>
      </c>
      <c r="B705" s="4" t="s">
        <v>39</v>
      </c>
      <c r="C705" s="4" t="s">
        <v>23</v>
      </c>
      <c r="D705" s="4" t="s">
        <v>40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44652</v>
      </c>
      <c r="J705" s="6">
        <v>0</v>
      </c>
      <c r="K705" s="6">
        <v>0</v>
      </c>
      <c r="L705" s="6">
        <v>120.07</v>
      </c>
      <c r="M705" s="6">
        <v>120.07</v>
      </c>
      <c r="N705" s="6">
        <v>120.07</v>
      </c>
      <c r="O705" s="6">
        <v>120.07</v>
      </c>
      <c r="P705" s="6">
        <v>38</v>
      </c>
      <c r="Q705" s="4" t="s">
        <v>26</v>
      </c>
      <c r="R705" s="4">
        <v>0</v>
      </c>
      <c r="S705" s="4" t="s">
        <v>346</v>
      </c>
      <c r="T705" s="4" t="s">
        <v>591</v>
      </c>
      <c r="U705" s="4">
        <v>0</v>
      </c>
      <c r="V705" s="4">
        <v>44</v>
      </c>
      <c r="W705" s="4">
        <v>81</v>
      </c>
    </row>
    <row r="706" spans="1:23" ht="11.25" customHeight="1" x14ac:dyDescent="0.25">
      <c r="A706" s="4" t="s">
        <v>21</v>
      </c>
      <c r="B706" s="4" t="s">
        <v>39</v>
      </c>
      <c r="C706" s="4" t="s">
        <v>23</v>
      </c>
      <c r="D706" s="4" t="s">
        <v>45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44317</v>
      </c>
      <c r="J706" s="6">
        <v>0</v>
      </c>
      <c r="K706" s="6">
        <v>0</v>
      </c>
      <c r="L706" s="6">
        <v>77.429000000000002</v>
      </c>
      <c r="M706" s="6">
        <v>77.429000000000002</v>
      </c>
      <c r="N706" s="6">
        <v>77.429000000000002</v>
      </c>
      <c r="O706" s="6">
        <v>77.429000000000002</v>
      </c>
      <c r="P706" s="6">
        <v>98</v>
      </c>
      <c r="Q706" s="4" t="s">
        <v>26</v>
      </c>
      <c r="R706" s="4">
        <v>0</v>
      </c>
      <c r="S706" s="4" t="s">
        <v>335</v>
      </c>
      <c r="T706" s="4" t="s">
        <v>580</v>
      </c>
      <c r="U706" s="4">
        <v>0</v>
      </c>
      <c r="V706" s="4">
        <v>44</v>
      </c>
      <c r="W706" s="4">
        <v>81</v>
      </c>
    </row>
    <row r="707" spans="1:23" ht="11.25" customHeight="1" x14ac:dyDescent="0.25">
      <c r="A707" s="4" t="s">
        <v>21</v>
      </c>
      <c r="B707" s="4" t="s">
        <v>39</v>
      </c>
      <c r="C707" s="4" t="s">
        <v>23</v>
      </c>
      <c r="D707" s="4" t="s">
        <v>45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44348</v>
      </c>
      <c r="J707" s="6">
        <v>0</v>
      </c>
      <c r="K707" s="6">
        <v>0</v>
      </c>
      <c r="L707" s="6">
        <v>86.322999999999993</v>
      </c>
      <c r="M707" s="6">
        <v>86.322999999999993</v>
      </c>
      <c r="N707" s="6">
        <v>86.322999999999993</v>
      </c>
      <c r="O707" s="6">
        <v>86.322999999999993</v>
      </c>
      <c r="P707" s="6">
        <v>98</v>
      </c>
      <c r="Q707" s="4" t="s">
        <v>26</v>
      </c>
      <c r="R707" s="4">
        <v>0</v>
      </c>
      <c r="S707" s="4" t="s">
        <v>336</v>
      </c>
      <c r="T707" s="4" t="s">
        <v>581</v>
      </c>
      <c r="U707" s="4">
        <v>0</v>
      </c>
      <c r="V707" s="4">
        <v>44</v>
      </c>
      <c r="W707" s="4">
        <v>81</v>
      </c>
    </row>
    <row r="708" spans="1:23" ht="11.25" customHeight="1" x14ac:dyDescent="0.25">
      <c r="A708" s="4" t="s">
        <v>21</v>
      </c>
      <c r="B708" s="4" t="s">
        <v>39</v>
      </c>
      <c r="C708" s="4" t="s">
        <v>23</v>
      </c>
      <c r="D708" s="4" t="s">
        <v>45</v>
      </c>
      <c r="E708" s="4" t="s">
        <v>25</v>
      </c>
      <c r="F708" s="4" t="s">
        <v>25</v>
      </c>
      <c r="G708" s="4" t="s">
        <v>25</v>
      </c>
      <c r="H708" s="4" t="s">
        <v>25</v>
      </c>
      <c r="I708" s="5">
        <v>44378</v>
      </c>
      <c r="J708" s="6">
        <v>0</v>
      </c>
      <c r="K708" s="6">
        <v>0</v>
      </c>
      <c r="L708" s="6">
        <v>84.78</v>
      </c>
      <c r="M708" s="6">
        <v>84.78</v>
      </c>
      <c r="N708" s="6">
        <v>84.78</v>
      </c>
      <c r="O708" s="6">
        <v>84.78</v>
      </c>
      <c r="P708" s="6">
        <v>98</v>
      </c>
      <c r="Q708" s="4" t="s">
        <v>26</v>
      </c>
      <c r="R708" s="4">
        <v>0</v>
      </c>
      <c r="S708" s="4" t="s">
        <v>337</v>
      </c>
      <c r="T708" s="4" t="s">
        <v>582</v>
      </c>
      <c r="U708" s="4">
        <v>0</v>
      </c>
      <c r="V708" s="4">
        <v>44</v>
      </c>
      <c r="W708" s="4">
        <v>81</v>
      </c>
    </row>
    <row r="709" spans="1:23" ht="11.25" customHeight="1" x14ac:dyDescent="0.25">
      <c r="A709" s="4" t="s">
        <v>21</v>
      </c>
      <c r="B709" s="4" t="s">
        <v>39</v>
      </c>
      <c r="C709" s="4" t="s">
        <v>23</v>
      </c>
      <c r="D709" s="4" t="s">
        <v>45</v>
      </c>
      <c r="E709" s="4" t="s">
        <v>25</v>
      </c>
      <c r="F709" s="4" t="s">
        <v>25</v>
      </c>
      <c r="G709" s="4" t="s">
        <v>25</v>
      </c>
      <c r="H709" s="4" t="s">
        <v>25</v>
      </c>
      <c r="I709" s="5">
        <v>44409</v>
      </c>
      <c r="J709" s="6">
        <v>0</v>
      </c>
      <c r="K709" s="6">
        <v>0</v>
      </c>
      <c r="L709" s="6">
        <v>94.953999999999994</v>
      </c>
      <c r="M709" s="6">
        <v>94.953999999999994</v>
      </c>
      <c r="N709" s="6">
        <v>94.953999999999994</v>
      </c>
      <c r="O709" s="6">
        <v>94.953999999999994</v>
      </c>
      <c r="P709" s="6">
        <v>98</v>
      </c>
      <c r="Q709" s="4" t="s">
        <v>26</v>
      </c>
      <c r="R709" s="4">
        <v>0</v>
      </c>
      <c r="S709" s="4" t="s">
        <v>338</v>
      </c>
      <c r="T709" s="4" t="s">
        <v>583</v>
      </c>
      <c r="U709" s="4">
        <v>0</v>
      </c>
      <c r="V709" s="4">
        <v>44</v>
      </c>
      <c r="W709" s="4">
        <v>81</v>
      </c>
    </row>
    <row r="710" spans="1:23" ht="11.25" customHeight="1" x14ac:dyDescent="0.25">
      <c r="A710" s="4" t="s">
        <v>21</v>
      </c>
      <c r="B710" s="4" t="s">
        <v>39</v>
      </c>
      <c r="C710" s="4" t="s">
        <v>23</v>
      </c>
      <c r="D710" s="4" t="s">
        <v>45</v>
      </c>
      <c r="E710" s="4" t="s">
        <v>25</v>
      </c>
      <c r="F710" s="4" t="s">
        <v>25</v>
      </c>
      <c r="G710" s="4" t="s">
        <v>25</v>
      </c>
      <c r="H710" s="4" t="s">
        <v>25</v>
      </c>
      <c r="I710" s="5">
        <v>44440</v>
      </c>
      <c r="J710" s="6">
        <v>0</v>
      </c>
      <c r="K710" s="6">
        <v>0</v>
      </c>
      <c r="L710" s="6">
        <v>114.669</v>
      </c>
      <c r="M710" s="6">
        <v>114.669</v>
      </c>
      <c r="N710" s="6">
        <v>114.669</v>
      </c>
      <c r="O710" s="6">
        <v>114.669</v>
      </c>
      <c r="P710" s="6">
        <v>98</v>
      </c>
      <c r="Q710" s="4" t="s">
        <v>26</v>
      </c>
      <c r="R710" s="4">
        <v>0</v>
      </c>
      <c r="S710" s="4" t="s">
        <v>339</v>
      </c>
      <c r="T710" s="4" t="s">
        <v>584</v>
      </c>
      <c r="U710" s="4">
        <v>0</v>
      </c>
      <c r="V710" s="4">
        <v>44</v>
      </c>
      <c r="W710" s="4">
        <v>81</v>
      </c>
    </row>
    <row r="711" spans="1:23" ht="11.25" customHeight="1" x14ac:dyDescent="0.25">
      <c r="A711" s="4" t="s">
        <v>21</v>
      </c>
      <c r="B711" s="4" t="s">
        <v>39</v>
      </c>
      <c r="C711" s="4" t="s">
        <v>23</v>
      </c>
      <c r="D711" s="4" t="s">
        <v>45</v>
      </c>
      <c r="E711" s="4" t="s">
        <v>25</v>
      </c>
      <c r="F711" s="4" t="s">
        <v>25</v>
      </c>
      <c r="G711" s="4" t="s">
        <v>25</v>
      </c>
      <c r="H711" s="4" t="s">
        <v>25</v>
      </c>
      <c r="I711" s="5">
        <v>44470</v>
      </c>
      <c r="J711" s="6">
        <v>0</v>
      </c>
      <c r="K711" s="6">
        <v>0</v>
      </c>
      <c r="L711" s="6">
        <v>110.247</v>
      </c>
      <c r="M711" s="6">
        <v>110.247</v>
      </c>
      <c r="N711" s="6">
        <v>110.247</v>
      </c>
      <c r="O711" s="6">
        <v>110.247</v>
      </c>
      <c r="P711" s="6">
        <v>99</v>
      </c>
      <c r="Q711" s="4" t="s">
        <v>26</v>
      </c>
      <c r="R711" s="4">
        <v>0</v>
      </c>
      <c r="S711" s="4" t="s">
        <v>340</v>
      </c>
      <c r="T711" s="4" t="s">
        <v>585</v>
      </c>
      <c r="U711" s="4">
        <v>0</v>
      </c>
      <c r="V711" s="4">
        <v>44</v>
      </c>
      <c r="W711" s="4">
        <v>81</v>
      </c>
    </row>
    <row r="712" spans="1:23" ht="11.25" customHeight="1" x14ac:dyDescent="0.25">
      <c r="A712" s="4" t="s">
        <v>21</v>
      </c>
      <c r="B712" s="4" t="s">
        <v>39</v>
      </c>
      <c r="C712" s="4" t="s">
        <v>23</v>
      </c>
      <c r="D712" s="4" t="s">
        <v>45</v>
      </c>
      <c r="E712" s="4" t="s">
        <v>25</v>
      </c>
      <c r="F712" s="4" t="s">
        <v>25</v>
      </c>
      <c r="G712" s="4" t="s">
        <v>25</v>
      </c>
      <c r="H712" s="4" t="s">
        <v>25</v>
      </c>
      <c r="I712" s="5">
        <v>44501</v>
      </c>
      <c r="J712" s="6">
        <v>0</v>
      </c>
      <c r="K712" s="6">
        <v>0</v>
      </c>
      <c r="L712" s="6">
        <v>119.422</v>
      </c>
      <c r="M712" s="6">
        <v>119.422</v>
      </c>
      <c r="N712" s="6">
        <v>119.422</v>
      </c>
      <c r="O712" s="6">
        <v>119.422</v>
      </c>
      <c r="P712" s="6">
        <v>100</v>
      </c>
      <c r="Q712" s="4" t="s">
        <v>26</v>
      </c>
      <c r="R712" s="4">
        <v>0</v>
      </c>
      <c r="S712" s="4" t="s">
        <v>341</v>
      </c>
      <c r="T712" s="4" t="s">
        <v>586</v>
      </c>
      <c r="U712" s="4">
        <v>0</v>
      </c>
      <c r="V712" s="4">
        <v>44</v>
      </c>
      <c r="W712" s="4">
        <v>81</v>
      </c>
    </row>
    <row r="713" spans="1:23" ht="11.25" customHeight="1" x14ac:dyDescent="0.25">
      <c r="A713" s="4" t="s">
        <v>21</v>
      </c>
      <c r="B713" s="4" t="s">
        <v>39</v>
      </c>
      <c r="C713" s="4" t="s">
        <v>23</v>
      </c>
      <c r="D713" s="4" t="s">
        <v>45</v>
      </c>
      <c r="E713" s="4" t="s">
        <v>25</v>
      </c>
      <c r="F713" s="4" t="s">
        <v>25</v>
      </c>
      <c r="G713" s="4" t="s">
        <v>25</v>
      </c>
      <c r="H713" s="4" t="s">
        <v>25</v>
      </c>
      <c r="I713" s="5">
        <v>44531</v>
      </c>
      <c r="J713" s="6">
        <v>0</v>
      </c>
      <c r="K713" s="6">
        <v>0</v>
      </c>
      <c r="L713" s="6">
        <v>120.28700000000001</v>
      </c>
      <c r="M713" s="6">
        <v>120.28700000000001</v>
      </c>
      <c r="N713" s="6">
        <v>120.28700000000001</v>
      </c>
      <c r="O713" s="6">
        <v>120.28700000000001</v>
      </c>
      <c r="P713" s="6">
        <v>101</v>
      </c>
      <c r="Q713" s="4" t="s">
        <v>26</v>
      </c>
      <c r="R713" s="4">
        <v>0</v>
      </c>
      <c r="S713" s="4" t="s">
        <v>342</v>
      </c>
      <c r="T713" s="4" t="s">
        <v>587</v>
      </c>
      <c r="U713" s="4">
        <v>0</v>
      </c>
      <c r="V713" s="4">
        <v>44</v>
      </c>
      <c r="W713" s="4">
        <v>81</v>
      </c>
    </row>
    <row r="714" spans="1:23" ht="11.25" customHeight="1" x14ac:dyDescent="0.25">
      <c r="A714" s="4" t="s">
        <v>21</v>
      </c>
      <c r="B714" s="4" t="s">
        <v>39</v>
      </c>
      <c r="C714" s="4" t="s">
        <v>23</v>
      </c>
      <c r="D714" s="4" t="s">
        <v>45</v>
      </c>
      <c r="E714" s="4" t="s">
        <v>25</v>
      </c>
      <c r="F714" s="4" t="s">
        <v>25</v>
      </c>
      <c r="G714" s="4" t="s">
        <v>25</v>
      </c>
      <c r="H714" s="4" t="s">
        <v>25</v>
      </c>
      <c r="I714" s="5">
        <v>44562</v>
      </c>
      <c r="J714" s="6">
        <v>0</v>
      </c>
      <c r="K714" s="6">
        <v>0</v>
      </c>
      <c r="L714" s="6">
        <v>93.695999999999998</v>
      </c>
      <c r="M714" s="6">
        <v>93.695999999999998</v>
      </c>
      <c r="N714" s="6">
        <v>93.695999999999998</v>
      </c>
      <c r="O714" s="6">
        <v>93.695999999999998</v>
      </c>
      <c r="P714" s="6">
        <v>101</v>
      </c>
      <c r="Q714" s="4" t="s">
        <v>26</v>
      </c>
      <c r="R714" s="4">
        <v>0</v>
      </c>
      <c r="S714" s="4" t="s">
        <v>343</v>
      </c>
      <c r="T714" s="4" t="s">
        <v>588</v>
      </c>
      <c r="U714" s="4">
        <v>0</v>
      </c>
      <c r="V714" s="4">
        <v>44</v>
      </c>
      <c r="W714" s="4">
        <v>81</v>
      </c>
    </row>
    <row r="715" spans="1:23" ht="11.25" customHeight="1" x14ac:dyDescent="0.25">
      <c r="A715" s="4" t="s">
        <v>27</v>
      </c>
      <c r="B715" s="4" t="s">
        <v>39</v>
      </c>
      <c r="C715" s="4" t="s">
        <v>23</v>
      </c>
      <c r="D715" s="4" t="s">
        <v>45</v>
      </c>
      <c r="E715" s="4" t="s">
        <v>25</v>
      </c>
      <c r="F715" s="4" t="s">
        <v>25</v>
      </c>
      <c r="G715" s="4" t="s">
        <v>25</v>
      </c>
      <c r="H715" s="4" t="s">
        <v>25</v>
      </c>
      <c r="I715" s="5">
        <v>44562</v>
      </c>
      <c r="J715" s="6">
        <v>0</v>
      </c>
      <c r="K715" s="6">
        <v>0</v>
      </c>
      <c r="L715" s="6">
        <v>-0.35899999999999999</v>
      </c>
      <c r="M715" s="6">
        <v>-0.35899999999999999</v>
      </c>
      <c r="N715" s="6">
        <v>-0.35899999999999999</v>
      </c>
      <c r="O715" s="6">
        <v>-0.35899999999999999</v>
      </c>
      <c r="P715" s="6">
        <v>0</v>
      </c>
      <c r="Q715" s="4" t="s">
        <v>26</v>
      </c>
      <c r="R715" s="4">
        <v>0</v>
      </c>
      <c r="S715" s="4" t="s">
        <v>343</v>
      </c>
      <c r="T715" s="4" t="s">
        <v>588</v>
      </c>
      <c r="U715" s="4">
        <v>0</v>
      </c>
      <c r="V715" s="4">
        <v>44</v>
      </c>
      <c r="W715" s="4">
        <v>81</v>
      </c>
    </row>
    <row r="716" spans="1:23" ht="11.25" customHeight="1" x14ac:dyDescent="0.25">
      <c r="A716" s="4" t="s">
        <v>21</v>
      </c>
      <c r="B716" s="4" t="s">
        <v>39</v>
      </c>
      <c r="C716" s="4" t="s">
        <v>23</v>
      </c>
      <c r="D716" s="4" t="s">
        <v>45</v>
      </c>
      <c r="E716" s="4" t="s">
        <v>25</v>
      </c>
      <c r="F716" s="4" t="s">
        <v>25</v>
      </c>
      <c r="G716" s="4" t="s">
        <v>25</v>
      </c>
      <c r="H716" s="4" t="s">
        <v>25</v>
      </c>
      <c r="I716" s="5">
        <v>44593</v>
      </c>
      <c r="J716" s="6">
        <v>0</v>
      </c>
      <c r="K716" s="6">
        <v>0</v>
      </c>
      <c r="L716" s="6">
        <v>102.80800000000001</v>
      </c>
      <c r="M716" s="6">
        <v>102.80800000000001</v>
      </c>
      <c r="N716" s="6">
        <v>102.80800000000001</v>
      </c>
      <c r="O716" s="6">
        <v>102.80800000000001</v>
      </c>
      <c r="P716" s="6">
        <v>100</v>
      </c>
      <c r="Q716" s="4" t="s">
        <v>26</v>
      </c>
      <c r="R716" s="4">
        <v>0</v>
      </c>
      <c r="S716" s="4" t="s">
        <v>344</v>
      </c>
      <c r="T716" s="4" t="s">
        <v>589</v>
      </c>
      <c r="U716" s="4">
        <v>0</v>
      </c>
      <c r="V716" s="4">
        <v>44</v>
      </c>
      <c r="W716" s="4">
        <v>81</v>
      </c>
    </row>
    <row r="717" spans="1:23" ht="11.25" customHeight="1" x14ac:dyDescent="0.25">
      <c r="A717" s="4" t="s">
        <v>21</v>
      </c>
      <c r="B717" s="4" t="s">
        <v>39</v>
      </c>
      <c r="C717" s="4" t="s">
        <v>23</v>
      </c>
      <c r="D717" s="4" t="s">
        <v>45</v>
      </c>
      <c r="E717" s="4" t="s">
        <v>25</v>
      </c>
      <c r="F717" s="4" t="s">
        <v>25</v>
      </c>
      <c r="G717" s="4" t="s">
        <v>25</v>
      </c>
      <c r="H717" s="4" t="s">
        <v>25</v>
      </c>
      <c r="I717" s="5">
        <v>44621</v>
      </c>
      <c r="J717" s="6">
        <v>0</v>
      </c>
      <c r="K717" s="6">
        <v>0</v>
      </c>
      <c r="L717" s="6">
        <v>138.53200000000001</v>
      </c>
      <c r="M717" s="6">
        <v>138.53200000000001</v>
      </c>
      <c r="N717" s="6">
        <v>138.53200000000001</v>
      </c>
      <c r="O717" s="6">
        <v>138.53200000000001</v>
      </c>
      <c r="P717" s="6">
        <v>100</v>
      </c>
      <c r="Q717" s="4" t="s">
        <v>26</v>
      </c>
      <c r="R717" s="4">
        <v>0</v>
      </c>
      <c r="S717" s="4" t="s">
        <v>345</v>
      </c>
      <c r="T717" s="4" t="s">
        <v>590</v>
      </c>
      <c r="U717" s="4">
        <v>0</v>
      </c>
      <c r="V717" s="4">
        <v>44</v>
      </c>
      <c r="W717" s="4">
        <v>81</v>
      </c>
    </row>
    <row r="718" spans="1:23" ht="11.25" customHeight="1" x14ac:dyDescent="0.25">
      <c r="A718" s="4" t="s">
        <v>21</v>
      </c>
      <c r="B718" s="4" t="s">
        <v>39</v>
      </c>
      <c r="C718" s="4" t="s">
        <v>23</v>
      </c>
      <c r="D718" s="4" t="s">
        <v>45</v>
      </c>
      <c r="E718" s="4" t="s">
        <v>25</v>
      </c>
      <c r="F718" s="4" t="s">
        <v>25</v>
      </c>
      <c r="G718" s="4" t="s">
        <v>25</v>
      </c>
      <c r="H718" s="4" t="s">
        <v>25</v>
      </c>
      <c r="I718" s="5">
        <v>44652</v>
      </c>
      <c r="J718" s="6">
        <v>0</v>
      </c>
      <c r="K718" s="6">
        <v>0</v>
      </c>
      <c r="L718" s="6">
        <v>134.03</v>
      </c>
      <c r="M718" s="6">
        <v>134.03</v>
      </c>
      <c r="N718" s="6">
        <v>134.03</v>
      </c>
      <c r="O718" s="6">
        <v>134.03</v>
      </c>
      <c r="P718" s="6">
        <v>100</v>
      </c>
      <c r="Q718" s="4" t="s">
        <v>26</v>
      </c>
      <c r="R718" s="4">
        <v>0</v>
      </c>
      <c r="S718" s="4" t="s">
        <v>346</v>
      </c>
      <c r="T718" s="4" t="s">
        <v>591</v>
      </c>
      <c r="U718" s="4">
        <v>0</v>
      </c>
      <c r="V718" s="4">
        <v>44</v>
      </c>
      <c r="W718" s="4">
        <v>81</v>
      </c>
    </row>
    <row r="719" spans="1:23" ht="11.25" customHeight="1" x14ac:dyDescent="0.25">
      <c r="A719" s="4" t="s">
        <v>21</v>
      </c>
      <c r="B719" s="4" t="s">
        <v>39</v>
      </c>
      <c r="C719" s="4" t="s">
        <v>23</v>
      </c>
      <c r="D719" s="4" t="s">
        <v>50</v>
      </c>
      <c r="E719" s="4" t="s">
        <v>51</v>
      </c>
      <c r="F719" s="4" t="s">
        <v>25</v>
      </c>
      <c r="G719" s="4" t="s">
        <v>25</v>
      </c>
      <c r="H719" s="4" t="s">
        <v>25</v>
      </c>
      <c r="I719" s="5">
        <v>44317</v>
      </c>
      <c r="J719" s="6">
        <v>0</v>
      </c>
      <c r="K719" s="6">
        <v>0</v>
      </c>
      <c r="L719" s="6">
        <v>80.828000000000003</v>
      </c>
      <c r="M719" s="6">
        <v>75.978319999999997</v>
      </c>
      <c r="N719" s="6">
        <v>80.828000000000003</v>
      </c>
      <c r="O719" s="6">
        <v>75.978319999999997</v>
      </c>
      <c r="P719" s="6">
        <v>25</v>
      </c>
      <c r="Q719" s="4" t="s">
        <v>26</v>
      </c>
      <c r="R719" s="4">
        <v>0</v>
      </c>
      <c r="S719" s="4" t="s">
        <v>335</v>
      </c>
      <c r="T719" s="4" t="s">
        <v>580</v>
      </c>
      <c r="U719" s="4">
        <v>0</v>
      </c>
      <c r="V719" s="4">
        <v>44</v>
      </c>
      <c r="W719" s="4">
        <v>81</v>
      </c>
    </row>
    <row r="720" spans="1:23" ht="11.25" customHeight="1" x14ac:dyDescent="0.25">
      <c r="A720" s="4" t="s">
        <v>21</v>
      </c>
      <c r="B720" s="4" t="s">
        <v>39</v>
      </c>
      <c r="C720" s="4" t="s">
        <v>23</v>
      </c>
      <c r="D720" s="4" t="s">
        <v>50</v>
      </c>
      <c r="E720" s="4" t="s">
        <v>51</v>
      </c>
      <c r="F720" s="4" t="s">
        <v>25</v>
      </c>
      <c r="G720" s="4" t="s">
        <v>25</v>
      </c>
      <c r="H720" s="4" t="s">
        <v>25</v>
      </c>
      <c r="I720" s="5">
        <v>44348</v>
      </c>
      <c r="J720" s="6">
        <v>0</v>
      </c>
      <c r="K720" s="6">
        <v>0</v>
      </c>
      <c r="L720" s="6">
        <v>76.587999999999994</v>
      </c>
      <c r="M720" s="6">
        <v>71.992719999999991</v>
      </c>
      <c r="N720" s="6">
        <v>76.587999999999994</v>
      </c>
      <c r="O720" s="6">
        <v>71.992719999999991</v>
      </c>
      <c r="P720" s="6">
        <v>26</v>
      </c>
      <c r="Q720" s="4" t="s">
        <v>26</v>
      </c>
      <c r="R720" s="4">
        <v>0</v>
      </c>
      <c r="S720" s="4" t="s">
        <v>336</v>
      </c>
      <c r="T720" s="4" t="s">
        <v>581</v>
      </c>
      <c r="U720" s="4">
        <v>0</v>
      </c>
      <c r="V720" s="4">
        <v>44</v>
      </c>
      <c r="W720" s="4">
        <v>81</v>
      </c>
    </row>
    <row r="721" spans="1:23" ht="11.25" customHeight="1" x14ac:dyDescent="0.25">
      <c r="A721" s="4" t="s">
        <v>21</v>
      </c>
      <c r="B721" s="4" t="s">
        <v>39</v>
      </c>
      <c r="C721" s="4" t="s">
        <v>23</v>
      </c>
      <c r="D721" s="4" t="s">
        <v>50</v>
      </c>
      <c r="E721" s="4" t="s">
        <v>51</v>
      </c>
      <c r="F721" s="4" t="s">
        <v>25</v>
      </c>
      <c r="G721" s="4" t="s">
        <v>25</v>
      </c>
      <c r="H721" s="4" t="s">
        <v>25</v>
      </c>
      <c r="I721" s="5">
        <v>44378</v>
      </c>
      <c r="J721" s="6">
        <v>0</v>
      </c>
      <c r="K721" s="6">
        <v>0</v>
      </c>
      <c r="L721" s="6">
        <v>74.275000000000006</v>
      </c>
      <c r="M721" s="6">
        <v>69.8185</v>
      </c>
      <c r="N721" s="6">
        <v>74.275000000000006</v>
      </c>
      <c r="O721" s="6">
        <v>69.8185</v>
      </c>
      <c r="P721" s="6">
        <v>26</v>
      </c>
      <c r="Q721" s="4" t="s">
        <v>26</v>
      </c>
      <c r="R721" s="4">
        <v>0</v>
      </c>
      <c r="S721" s="4" t="s">
        <v>337</v>
      </c>
      <c r="T721" s="4" t="s">
        <v>582</v>
      </c>
      <c r="U721" s="4">
        <v>0</v>
      </c>
      <c r="V721" s="4">
        <v>44</v>
      </c>
      <c r="W721" s="4">
        <v>81</v>
      </c>
    </row>
    <row r="722" spans="1:23" ht="11.25" customHeight="1" x14ac:dyDescent="0.25">
      <c r="A722" s="4" t="s">
        <v>21</v>
      </c>
      <c r="B722" s="4" t="s">
        <v>39</v>
      </c>
      <c r="C722" s="4" t="s">
        <v>23</v>
      </c>
      <c r="D722" s="4" t="s">
        <v>50</v>
      </c>
      <c r="E722" s="4" t="s">
        <v>51</v>
      </c>
      <c r="F722" s="4" t="s">
        <v>25</v>
      </c>
      <c r="G722" s="4" t="s">
        <v>25</v>
      </c>
      <c r="H722" s="4" t="s">
        <v>25</v>
      </c>
      <c r="I722" s="5">
        <v>44409</v>
      </c>
      <c r="J722" s="6">
        <v>0</v>
      </c>
      <c r="K722" s="6">
        <v>0</v>
      </c>
      <c r="L722" s="6">
        <v>77.135000000000005</v>
      </c>
      <c r="M722" s="6">
        <v>72.506900000000002</v>
      </c>
      <c r="N722" s="6">
        <v>77.135000000000005</v>
      </c>
      <c r="O722" s="6">
        <v>72.506900000000002</v>
      </c>
      <c r="P722" s="6">
        <v>26</v>
      </c>
      <c r="Q722" s="4" t="s">
        <v>26</v>
      </c>
      <c r="R722" s="4">
        <v>0</v>
      </c>
      <c r="S722" s="4" t="s">
        <v>338</v>
      </c>
      <c r="T722" s="4" t="s">
        <v>583</v>
      </c>
      <c r="U722" s="4">
        <v>0</v>
      </c>
      <c r="V722" s="4">
        <v>44</v>
      </c>
      <c r="W722" s="4">
        <v>81</v>
      </c>
    </row>
    <row r="723" spans="1:23" ht="11.25" customHeight="1" x14ac:dyDescent="0.25">
      <c r="A723" s="4" t="s">
        <v>21</v>
      </c>
      <c r="B723" s="4" t="s">
        <v>39</v>
      </c>
      <c r="C723" s="4" t="s">
        <v>23</v>
      </c>
      <c r="D723" s="4" t="s">
        <v>50</v>
      </c>
      <c r="E723" s="4" t="s">
        <v>51</v>
      </c>
      <c r="F723" s="4" t="s">
        <v>25</v>
      </c>
      <c r="G723" s="4" t="s">
        <v>25</v>
      </c>
      <c r="H723" s="4" t="s">
        <v>25</v>
      </c>
      <c r="I723" s="5">
        <v>44440</v>
      </c>
      <c r="J723" s="6">
        <v>0</v>
      </c>
      <c r="K723" s="6">
        <v>0</v>
      </c>
      <c r="L723" s="6">
        <v>90.194999999999993</v>
      </c>
      <c r="M723" s="6">
        <v>84.783299999999997</v>
      </c>
      <c r="N723" s="6">
        <v>90.194999999999993</v>
      </c>
      <c r="O723" s="6">
        <v>84.783299999999997</v>
      </c>
      <c r="P723" s="6">
        <v>26</v>
      </c>
      <c r="Q723" s="4" t="s">
        <v>26</v>
      </c>
      <c r="R723" s="4">
        <v>0</v>
      </c>
      <c r="S723" s="4" t="s">
        <v>339</v>
      </c>
      <c r="T723" s="4" t="s">
        <v>584</v>
      </c>
      <c r="U723" s="4">
        <v>0</v>
      </c>
      <c r="V723" s="4">
        <v>44</v>
      </c>
      <c r="W723" s="4">
        <v>81</v>
      </c>
    </row>
    <row r="724" spans="1:23" ht="11.25" customHeight="1" x14ac:dyDescent="0.25">
      <c r="A724" s="4" t="s">
        <v>21</v>
      </c>
      <c r="B724" s="4" t="s">
        <v>39</v>
      </c>
      <c r="C724" s="4" t="s">
        <v>23</v>
      </c>
      <c r="D724" s="4" t="s">
        <v>50</v>
      </c>
      <c r="E724" s="4" t="s">
        <v>51</v>
      </c>
      <c r="F724" s="4" t="s">
        <v>25</v>
      </c>
      <c r="G724" s="4" t="s">
        <v>25</v>
      </c>
      <c r="H724" s="4" t="s">
        <v>25</v>
      </c>
      <c r="I724" s="5">
        <v>44470</v>
      </c>
      <c r="J724" s="6">
        <v>0</v>
      </c>
      <c r="K724" s="6">
        <v>0</v>
      </c>
      <c r="L724" s="6">
        <v>66.856999999999999</v>
      </c>
      <c r="M724" s="6">
        <v>62.845579999999998</v>
      </c>
      <c r="N724" s="6">
        <v>66.856999999999999</v>
      </c>
      <c r="O724" s="6">
        <v>62.845579999999998</v>
      </c>
      <c r="P724" s="6">
        <v>25</v>
      </c>
      <c r="Q724" s="4" t="s">
        <v>26</v>
      </c>
      <c r="R724" s="4">
        <v>0</v>
      </c>
      <c r="S724" s="4" t="s">
        <v>340</v>
      </c>
      <c r="T724" s="4" t="s">
        <v>585</v>
      </c>
      <c r="U724" s="4">
        <v>0</v>
      </c>
      <c r="V724" s="4">
        <v>44</v>
      </c>
      <c r="W724" s="4">
        <v>81</v>
      </c>
    </row>
    <row r="725" spans="1:23" ht="11.25" customHeight="1" x14ac:dyDescent="0.25">
      <c r="A725" s="4" t="s">
        <v>21</v>
      </c>
      <c r="B725" s="4" t="s">
        <v>39</v>
      </c>
      <c r="C725" s="4" t="s">
        <v>23</v>
      </c>
      <c r="D725" s="4" t="s">
        <v>50</v>
      </c>
      <c r="E725" s="4" t="s">
        <v>51</v>
      </c>
      <c r="F725" s="4" t="s">
        <v>25</v>
      </c>
      <c r="G725" s="4" t="s">
        <v>25</v>
      </c>
      <c r="H725" s="4" t="s">
        <v>25</v>
      </c>
      <c r="I725" s="5">
        <v>44501</v>
      </c>
      <c r="J725" s="6">
        <v>0</v>
      </c>
      <c r="K725" s="6">
        <v>0</v>
      </c>
      <c r="L725" s="6">
        <v>62.64</v>
      </c>
      <c r="M725" s="6">
        <v>58.881599999999999</v>
      </c>
      <c r="N725" s="6">
        <v>62.64</v>
      </c>
      <c r="O725" s="6">
        <v>58.881599999999999</v>
      </c>
      <c r="P725" s="6">
        <v>26</v>
      </c>
      <c r="Q725" s="4" t="s">
        <v>26</v>
      </c>
      <c r="R725" s="4">
        <v>0</v>
      </c>
      <c r="S725" s="4" t="s">
        <v>341</v>
      </c>
      <c r="T725" s="4" t="s">
        <v>586</v>
      </c>
      <c r="U725" s="4">
        <v>0</v>
      </c>
      <c r="V725" s="4">
        <v>44</v>
      </c>
      <c r="W725" s="4">
        <v>81</v>
      </c>
    </row>
    <row r="726" spans="1:23" ht="11.25" customHeight="1" x14ac:dyDescent="0.25">
      <c r="A726" s="4" t="s">
        <v>21</v>
      </c>
      <c r="B726" s="4" t="s">
        <v>39</v>
      </c>
      <c r="C726" s="4" t="s">
        <v>23</v>
      </c>
      <c r="D726" s="4" t="s">
        <v>50</v>
      </c>
      <c r="E726" s="4" t="s">
        <v>51</v>
      </c>
      <c r="F726" s="4" t="s">
        <v>25</v>
      </c>
      <c r="G726" s="4" t="s">
        <v>25</v>
      </c>
      <c r="H726" s="4" t="s">
        <v>25</v>
      </c>
      <c r="I726" s="5">
        <v>44531</v>
      </c>
      <c r="J726" s="6">
        <v>0</v>
      </c>
      <c r="K726" s="6">
        <v>0</v>
      </c>
      <c r="L726" s="6">
        <v>105.90600000000001</v>
      </c>
      <c r="M726" s="6">
        <v>99.551640000000006</v>
      </c>
      <c r="N726" s="6">
        <v>105.90600000000001</v>
      </c>
      <c r="O726" s="6">
        <v>99.551640000000006</v>
      </c>
      <c r="P726" s="6">
        <v>27</v>
      </c>
      <c r="Q726" s="4" t="s">
        <v>26</v>
      </c>
      <c r="R726" s="4">
        <v>0</v>
      </c>
      <c r="S726" s="4" t="s">
        <v>342</v>
      </c>
      <c r="T726" s="4" t="s">
        <v>587</v>
      </c>
      <c r="U726" s="4">
        <v>0</v>
      </c>
      <c r="V726" s="4">
        <v>44</v>
      </c>
      <c r="W726" s="4">
        <v>81</v>
      </c>
    </row>
    <row r="727" spans="1:23" ht="11.25" customHeight="1" x14ac:dyDescent="0.25">
      <c r="A727" s="4" t="s">
        <v>21</v>
      </c>
      <c r="B727" s="4" t="s">
        <v>39</v>
      </c>
      <c r="C727" s="4" t="s">
        <v>23</v>
      </c>
      <c r="D727" s="4" t="s">
        <v>50</v>
      </c>
      <c r="E727" s="4" t="s">
        <v>51</v>
      </c>
      <c r="F727" s="4" t="s">
        <v>25</v>
      </c>
      <c r="G727" s="4" t="s">
        <v>25</v>
      </c>
      <c r="H727" s="4" t="s">
        <v>25</v>
      </c>
      <c r="I727" s="5">
        <v>44562</v>
      </c>
      <c r="J727" s="6">
        <v>0</v>
      </c>
      <c r="K727" s="6">
        <v>0</v>
      </c>
      <c r="L727" s="6">
        <v>82.733999999999995</v>
      </c>
      <c r="M727" s="6">
        <v>77.769959999999998</v>
      </c>
      <c r="N727" s="6">
        <v>82.733999999999995</v>
      </c>
      <c r="O727" s="6">
        <v>77.769959999999998</v>
      </c>
      <c r="P727" s="6">
        <v>26</v>
      </c>
      <c r="Q727" s="4" t="s">
        <v>26</v>
      </c>
      <c r="R727" s="4">
        <v>0</v>
      </c>
      <c r="S727" s="4" t="s">
        <v>343</v>
      </c>
      <c r="T727" s="4" t="s">
        <v>588</v>
      </c>
      <c r="U727" s="4">
        <v>0</v>
      </c>
      <c r="V727" s="4">
        <v>44</v>
      </c>
      <c r="W727" s="4">
        <v>81</v>
      </c>
    </row>
    <row r="728" spans="1:23" ht="11.25" customHeight="1" x14ac:dyDescent="0.25">
      <c r="A728" s="4" t="s">
        <v>21</v>
      </c>
      <c r="B728" s="4" t="s">
        <v>39</v>
      </c>
      <c r="C728" s="4" t="s">
        <v>23</v>
      </c>
      <c r="D728" s="4" t="s">
        <v>50</v>
      </c>
      <c r="E728" s="4" t="s">
        <v>51</v>
      </c>
      <c r="F728" s="4" t="s">
        <v>25</v>
      </c>
      <c r="G728" s="4" t="s">
        <v>25</v>
      </c>
      <c r="H728" s="4" t="s">
        <v>25</v>
      </c>
      <c r="I728" s="5">
        <v>44593</v>
      </c>
      <c r="J728" s="6">
        <v>0</v>
      </c>
      <c r="K728" s="6">
        <v>0</v>
      </c>
      <c r="L728" s="6">
        <v>76.2</v>
      </c>
      <c r="M728" s="6">
        <v>71.628</v>
      </c>
      <c r="N728" s="6">
        <v>76.2</v>
      </c>
      <c r="O728" s="6">
        <v>71.628</v>
      </c>
      <c r="P728" s="6">
        <v>26</v>
      </c>
      <c r="Q728" s="4" t="s">
        <v>26</v>
      </c>
      <c r="R728" s="4">
        <v>0</v>
      </c>
      <c r="S728" s="4" t="s">
        <v>344</v>
      </c>
      <c r="T728" s="4" t="s">
        <v>589</v>
      </c>
      <c r="U728" s="4">
        <v>0</v>
      </c>
      <c r="V728" s="4">
        <v>44</v>
      </c>
      <c r="W728" s="4">
        <v>81</v>
      </c>
    </row>
    <row r="729" spans="1:23" ht="11.25" customHeight="1" x14ac:dyDescent="0.25">
      <c r="A729" s="4" t="s">
        <v>21</v>
      </c>
      <c r="B729" s="4" t="s">
        <v>39</v>
      </c>
      <c r="C729" s="4" t="s">
        <v>23</v>
      </c>
      <c r="D729" s="4" t="s">
        <v>50</v>
      </c>
      <c r="E729" s="4" t="s">
        <v>51</v>
      </c>
      <c r="F729" s="4" t="s">
        <v>25</v>
      </c>
      <c r="G729" s="4" t="s">
        <v>25</v>
      </c>
      <c r="H729" s="4" t="s">
        <v>25</v>
      </c>
      <c r="I729" s="5">
        <v>44621</v>
      </c>
      <c r="J729" s="6">
        <v>0</v>
      </c>
      <c r="K729" s="6">
        <v>0</v>
      </c>
      <c r="L729" s="6">
        <v>84.373000000000005</v>
      </c>
      <c r="M729" s="6">
        <v>79.31062</v>
      </c>
      <c r="N729" s="6">
        <v>84.373000000000005</v>
      </c>
      <c r="O729" s="6">
        <v>79.31062</v>
      </c>
      <c r="P729" s="6">
        <v>26</v>
      </c>
      <c r="Q729" s="4" t="s">
        <v>26</v>
      </c>
      <c r="R729" s="4">
        <v>0</v>
      </c>
      <c r="S729" s="4" t="s">
        <v>345</v>
      </c>
      <c r="T729" s="4" t="s">
        <v>590</v>
      </c>
      <c r="U729" s="4">
        <v>0</v>
      </c>
      <c r="V729" s="4">
        <v>44</v>
      </c>
      <c r="W729" s="4">
        <v>81</v>
      </c>
    </row>
    <row r="730" spans="1:23" ht="11.25" customHeight="1" x14ac:dyDescent="0.25">
      <c r="A730" s="4" t="s">
        <v>21</v>
      </c>
      <c r="B730" s="4" t="s">
        <v>39</v>
      </c>
      <c r="C730" s="4" t="s">
        <v>23</v>
      </c>
      <c r="D730" s="4" t="s">
        <v>50</v>
      </c>
      <c r="E730" s="4" t="s">
        <v>51</v>
      </c>
      <c r="F730" s="4" t="s">
        <v>25</v>
      </c>
      <c r="G730" s="4" t="s">
        <v>25</v>
      </c>
      <c r="H730" s="4" t="s">
        <v>25</v>
      </c>
      <c r="I730" s="5">
        <v>44652</v>
      </c>
      <c r="J730" s="6">
        <v>0</v>
      </c>
      <c r="K730" s="6">
        <v>0</v>
      </c>
      <c r="L730" s="6">
        <v>93.983999999999995</v>
      </c>
      <c r="M730" s="6">
        <v>88.344959999999986</v>
      </c>
      <c r="N730" s="6">
        <v>93.983999999999995</v>
      </c>
      <c r="O730" s="6">
        <v>88.344959999999986</v>
      </c>
      <c r="P730" s="6">
        <v>26</v>
      </c>
      <c r="Q730" s="4" t="s">
        <v>26</v>
      </c>
      <c r="R730" s="4">
        <v>0</v>
      </c>
      <c r="S730" s="4" t="s">
        <v>346</v>
      </c>
      <c r="T730" s="4" t="s">
        <v>591</v>
      </c>
      <c r="U730" s="4">
        <v>0</v>
      </c>
      <c r="V730" s="4">
        <v>44</v>
      </c>
      <c r="W730" s="4">
        <v>81</v>
      </c>
    </row>
    <row r="731" spans="1:23" ht="11.25" customHeight="1" x14ac:dyDescent="0.25">
      <c r="A731" s="4" t="s">
        <v>21</v>
      </c>
      <c r="B731" s="4" t="s">
        <v>46</v>
      </c>
      <c r="C731" s="4" t="s">
        <v>23</v>
      </c>
      <c r="D731" s="4" t="s">
        <v>47</v>
      </c>
      <c r="E731" s="4" t="s">
        <v>48</v>
      </c>
      <c r="F731" s="4" t="s">
        <v>25</v>
      </c>
      <c r="G731" s="4" t="s">
        <v>25</v>
      </c>
      <c r="H731" s="4" t="s">
        <v>25</v>
      </c>
      <c r="I731" s="5">
        <v>44317</v>
      </c>
      <c r="J731" s="6">
        <v>0</v>
      </c>
      <c r="K731" s="6">
        <v>0</v>
      </c>
      <c r="L731" s="6">
        <v>315.18599999999998</v>
      </c>
      <c r="M731" s="6">
        <v>315.18599999999998</v>
      </c>
      <c r="N731" s="6">
        <v>315.18599999999998</v>
      </c>
      <c r="O731" s="6">
        <v>315.18599999999998</v>
      </c>
      <c r="P731" s="6">
        <v>47</v>
      </c>
      <c r="Q731" s="4" t="s">
        <v>26</v>
      </c>
      <c r="R731" s="4">
        <v>0</v>
      </c>
      <c r="S731" s="4" t="s">
        <v>347</v>
      </c>
      <c r="T731" s="4" t="s">
        <v>592</v>
      </c>
      <c r="U731" s="4">
        <v>0</v>
      </c>
      <c r="V731" s="4">
        <v>46</v>
      </c>
      <c r="W731" s="4">
        <v>83</v>
      </c>
    </row>
    <row r="732" spans="1:23" ht="11.25" customHeight="1" x14ac:dyDescent="0.25">
      <c r="A732" s="4" t="s">
        <v>21</v>
      </c>
      <c r="B732" s="4" t="s">
        <v>46</v>
      </c>
      <c r="C732" s="4" t="s">
        <v>23</v>
      </c>
      <c r="D732" s="4" t="s">
        <v>47</v>
      </c>
      <c r="E732" s="4" t="s">
        <v>48</v>
      </c>
      <c r="F732" s="4" t="s">
        <v>25</v>
      </c>
      <c r="G732" s="4" t="s">
        <v>25</v>
      </c>
      <c r="H732" s="4" t="s">
        <v>25</v>
      </c>
      <c r="I732" s="5">
        <v>44348</v>
      </c>
      <c r="J732" s="6">
        <v>0</v>
      </c>
      <c r="K732" s="6">
        <v>0</v>
      </c>
      <c r="L732" s="6">
        <v>313.87900000000002</v>
      </c>
      <c r="M732" s="6">
        <v>313.87900000000002</v>
      </c>
      <c r="N732" s="6">
        <v>313.87900000000002</v>
      </c>
      <c r="O732" s="6">
        <v>313.87900000000002</v>
      </c>
      <c r="P732" s="6">
        <v>47</v>
      </c>
      <c r="Q732" s="4" t="s">
        <v>26</v>
      </c>
      <c r="R732" s="4">
        <v>0</v>
      </c>
      <c r="S732" s="4" t="s">
        <v>348</v>
      </c>
      <c r="T732" s="4" t="s">
        <v>593</v>
      </c>
      <c r="U732" s="4">
        <v>0</v>
      </c>
      <c r="V732" s="4">
        <v>46</v>
      </c>
      <c r="W732" s="4">
        <v>83</v>
      </c>
    </row>
    <row r="733" spans="1:23" ht="11.25" customHeight="1" x14ac:dyDescent="0.25">
      <c r="A733" s="4" t="s">
        <v>21</v>
      </c>
      <c r="B733" s="4" t="s">
        <v>46</v>
      </c>
      <c r="C733" s="4" t="s">
        <v>23</v>
      </c>
      <c r="D733" s="4" t="s">
        <v>47</v>
      </c>
      <c r="E733" s="4" t="s">
        <v>48</v>
      </c>
      <c r="F733" s="4" t="s">
        <v>25</v>
      </c>
      <c r="G733" s="4" t="s">
        <v>25</v>
      </c>
      <c r="H733" s="4" t="s">
        <v>25</v>
      </c>
      <c r="I733" s="5">
        <v>44378</v>
      </c>
      <c r="J733" s="6">
        <v>0</v>
      </c>
      <c r="K733" s="6">
        <v>0</v>
      </c>
      <c r="L733" s="6">
        <v>318.577</v>
      </c>
      <c r="M733" s="6">
        <v>318.577</v>
      </c>
      <c r="N733" s="6">
        <v>318.577</v>
      </c>
      <c r="O733" s="6">
        <v>318.577</v>
      </c>
      <c r="P733" s="6">
        <v>47</v>
      </c>
      <c r="Q733" s="4" t="s">
        <v>26</v>
      </c>
      <c r="R733" s="4">
        <v>0</v>
      </c>
      <c r="S733" s="4" t="s">
        <v>349</v>
      </c>
      <c r="T733" s="4" t="s">
        <v>594</v>
      </c>
      <c r="U733" s="4">
        <v>0</v>
      </c>
      <c r="V733" s="4">
        <v>46</v>
      </c>
      <c r="W733" s="4">
        <v>83</v>
      </c>
    </row>
    <row r="734" spans="1:23" ht="11.25" customHeight="1" x14ac:dyDescent="0.25">
      <c r="A734" s="4" t="s">
        <v>21</v>
      </c>
      <c r="B734" s="4" t="s">
        <v>46</v>
      </c>
      <c r="C734" s="4" t="s">
        <v>23</v>
      </c>
      <c r="D734" s="4" t="s">
        <v>47</v>
      </c>
      <c r="E734" s="4" t="s">
        <v>48</v>
      </c>
      <c r="F734" s="4" t="s">
        <v>25</v>
      </c>
      <c r="G734" s="4" t="s">
        <v>25</v>
      </c>
      <c r="H734" s="4" t="s">
        <v>25</v>
      </c>
      <c r="I734" s="5">
        <v>44409</v>
      </c>
      <c r="J734" s="6">
        <v>0</v>
      </c>
      <c r="K734" s="6">
        <v>0</v>
      </c>
      <c r="L734" s="6">
        <v>319.39999999999998</v>
      </c>
      <c r="M734" s="6">
        <v>319.39999999999998</v>
      </c>
      <c r="N734" s="6">
        <v>319.39999999999998</v>
      </c>
      <c r="O734" s="6">
        <v>319.39999999999998</v>
      </c>
      <c r="P734" s="6">
        <v>48</v>
      </c>
      <c r="Q734" s="4" t="s">
        <v>26</v>
      </c>
      <c r="R734" s="4">
        <v>0</v>
      </c>
      <c r="S734" s="4" t="s">
        <v>350</v>
      </c>
      <c r="T734" s="4" t="s">
        <v>595</v>
      </c>
      <c r="U734" s="4">
        <v>0</v>
      </c>
      <c r="V734" s="4">
        <v>46</v>
      </c>
      <c r="W734" s="4">
        <v>83</v>
      </c>
    </row>
    <row r="735" spans="1:23" ht="11.25" customHeight="1" x14ac:dyDescent="0.25">
      <c r="A735" s="4" t="s">
        <v>21</v>
      </c>
      <c r="B735" s="4" t="s">
        <v>46</v>
      </c>
      <c r="C735" s="4" t="s">
        <v>23</v>
      </c>
      <c r="D735" s="4" t="s">
        <v>47</v>
      </c>
      <c r="E735" s="4" t="s">
        <v>48</v>
      </c>
      <c r="F735" s="4" t="s">
        <v>25</v>
      </c>
      <c r="G735" s="4" t="s">
        <v>25</v>
      </c>
      <c r="H735" s="4" t="s">
        <v>25</v>
      </c>
      <c r="I735" s="5">
        <v>44440</v>
      </c>
      <c r="J735" s="6">
        <v>0</v>
      </c>
      <c r="K735" s="6">
        <v>0</v>
      </c>
      <c r="L735" s="6">
        <v>310.22699999999998</v>
      </c>
      <c r="M735" s="6">
        <v>310.22699999999998</v>
      </c>
      <c r="N735" s="6">
        <v>310.22699999999998</v>
      </c>
      <c r="O735" s="6">
        <v>310.22699999999998</v>
      </c>
      <c r="P735" s="6">
        <v>48</v>
      </c>
      <c r="Q735" s="4" t="s">
        <v>26</v>
      </c>
      <c r="R735" s="4">
        <v>0</v>
      </c>
      <c r="S735" s="4" t="s">
        <v>351</v>
      </c>
      <c r="T735" s="4" t="s">
        <v>596</v>
      </c>
      <c r="U735" s="4">
        <v>0</v>
      </c>
      <c r="V735" s="4">
        <v>46</v>
      </c>
      <c r="W735" s="4">
        <v>83</v>
      </c>
    </row>
    <row r="736" spans="1:23" ht="11.25" customHeight="1" x14ac:dyDescent="0.25">
      <c r="A736" s="4" t="s">
        <v>21</v>
      </c>
      <c r="B736" s="4" t="s">
        <v>46</v>
      </c>
      <c r="C736" s="4" t="s">
        <v>23</v>
      </c>
      <c r="D736" s="4" t="s">
        <v>47</v>
      </c>
      <c r="E736" s="4" t="s">
        <v>48</v>
      </c>
      <c r="F736" s="4" t="s">
        <v>25</v>
      </c>
      <c r="G736" s="4" t="s">
        <v>25</v>
      </c>
      <c r="H736" s="4" t="s">
        <v>25</v>
      </c>
      <c r="I736" s="5">
        <v>44470</v>
      </c>
      <c r="J736" s="6">
        <v>0</v>
      </c>
      <c r="K736" s="6">
        <v>0</v>
      </c>
      <c r="L736" s="6">
        <v>311.78699999999998</v>
      </c>
      <c r="M736" s="6">
        <v>311.78699999999998</v>
      </c>
      <c r="N736" s="6">
        <v>311.78699999999998</v>
      </c>
      <c r="O736" s="6">
        <v>311.78699999999998</v>
      </c>
      <c r="P736" s="6">
        <v>48</v>
      </c>
      <c r="Q736" s="4" t="s">
        <v>26</v>
      </c>
      <c r="R736" s="4">
        <v>0</v>
      </c>
      <c r="S736" s="4" t="s">
        <v>352</v>
      </c>
      <c r="T736" s="4" t="s">
        <v>597</v>
      </c>
      <c r="U736" s="4">
        <v>0</v>
      </c>
      <c r="V736" s="4">
        <v>46</v>
      </c>
      <c r="W736" s="4">
        <v>83</v>
      </c>
    </row>
    <row r="737" spans="1:23" ht="11.25" customHeight="1" x14ac:dyDescent="0.25">
      <c r="A737" s="4" t="s">
        <v>21</v>
      </c>
      <c r="B737" s="4" t="s">
        <v>46</v>
      </c>
      <c r="C737" s="4" t="s">
        <v>23</v>
      </c>
      <c r="D737" s="4" t="s">
        <v>47</v>
      </c>
      <c r="E737" s="4" t="s">
        <v>48</v>
      </c>
      <c r="F737" s="4" t="s">
        <v>25</v>
      </c>
      <c r="G737" s="4" t="s">
        <v>25</v>
      </c>
      <c r="H737" s="4" t="s">
        <v>25</v>
      </c>
      <c r="I737" s="5">
        <v>44501</v>
      </c>
      <c r="J737" s="6">
        <v>0</v>
      </c>
      <c r="K737" s="6">
        <v>0</v>
      </c>
      <c r="L737" s="6">
        <v>302.637</v>
      </c>
      <c r="M737" s="6">
        <v>302.637</v>
      </c>
      <c r="N737" s="6">
        <v>302.637</v>
      </c>
      <c r="O737" s="6">
        <v>302.637</v>
      </c>
      <c r="P737" s="6">
        <v>48</v>
      </c>
      <c r="Q737" s="4" t="s">
        <v>26</v>
      </c>
      <c r="R737" s="4">
        <v>0</v>
      </c>
      <c r="S737" s="4" t="s">
        <v>353</v>
      </c>
      <c r="T737" s="4" t="s">
        <v>598</v>
      </c>
      <c r="U737" s="4">
        <v>0</v>
      </c>
      <c r="V737" s="4">
        <v>46</v>
      </c>
      <c r="W737" s="4">
        <v>83</v>
      </c>
    </row>
    <row r="738" spans="1:23" ht="11.25" customHeight="1" x14ac:dyDescent="0.25">
      <c r="A738" s="4" t="s">
        <v>21</v>
      </c>
      <c r="B738" s="4" t="s">
        <v>46</v>
      </c>
      <c r="C738" s="4" t="s">
        <v>23</v>
      </c>
      <c r="D738" s="4" t="s">
        <v>47</v>
      </c>
      <c r="E738" s="4" t="s">
        <v>48</v>
      </c>
      <c r="F738" s="4" t="s">
        <v>25</v>
      </c>
      <c r="G738" s="4" t="s">
        <v>25</v>
      </c>
      <c r="H738" s="4" t="s">
        <v>25</v>
      </c>
      <c r="I738" s="5">
        <v>44531</v>
      </c>
      <c r="J738" s="6">
        <v>0</v>
      </c>
      <c r="K738" s="6">
        <v>0</v>
      </c>
      <c r="L738" s="6">
        <v>309.173</v>
      </c>
      <c r="M738" s="6">
        <v>309.173</v>
      </c>
      <c r="N738" s="6">
        <v>309.173</v>
      </c>
      <c r="O738" s="6">
        <v>309.173</v>
      </c>
      <c r="P738" s="6">
        <v>48</v>
      </c>
      <c r="Q738" s="4" t="s">
        <v>26</v>
      </c>
      <c r="R738" s="4">
        <v>0</v>
      </c>
      <c r="S738" s="4" t="s">
        <v>354</v>
      </c>
      <c r="T738" s="4" t="s">
        <v>599</v>
      </c>
      <c r="U738" s="4">
        <v>0</v>
      </c>
      <c r="V738" s="4">
        <v>46</v>
      </c>
      <c r="W738" s="4">
        <v>83</v>
      </c>
    </row>
    <row r="739" spans="1:23" ht="11.25" customHeight="1" x14ac:dyDescent="0.25">
      <c r="A739" s="4" t="s">
        <v>21</v>
      </c>
      <c r="B739" s="4" t="s">
        <v>46</v>
      </c>
      <c r="C739" s="4" t="s">
        <v>23</v>
      </c>
      <c r="D739" s="4" t="s">
        <v>47</v>
      </c>
      <c r="E739" s="4" t="s">
        <v>48</v>
      </c>
      <c r="F739" s="4" t="s">
        <v>25</v>
      </c>
      <c r="G739" s="4" t="s">
        <v>25</v>
      </c>
      <c r="H739" s="4" t="s">
        <v>25</v>
      </c>
      <c r="I739" s="5">
        <v>44562</v>
      </c>
      <c r="J739" s="6">
        <v>0</v>
      </c>
      <c r="K739" s="6">
        <v>0</v>
      </c>
      <c r="L739" s="6">
        <v>303.60399999999998</v>
      </c>
      <c r="M739" s="6">
        <v>303.60399999999998</v>
      </c>
      <c r="N739" s="6">
        <v>303.60399999999998</v>
      </c>
      <c r="O739" s="6">
        <v>303.60399999999998</v>
      </c>
      <c r="P739" s="6">
        <v>48</v>
      </c>
      <c r="Q739" s="4" t="s">
        <v>26</v>
      </c>
      <c r="R739" s="4">
        <v>0</v>
      </c>
      <c r="S739" s="4" t="s">
        <v>355</v>
      </c>
      <c r="T739" s="4" t="s">
        <v>600</v>
      </c>
      <c r="U739" s="4">
        <v>0</v>
      </c>
      <c r="V739" s="4">
        <v>46</v>
      </c>
      <c r="W739" s="4">
        <v>83</v>
      </c>
    </row>
    <row r="740" spans="1:23" ht="11.25" customHeight="1" x14ac:dyDescent="0.25">
      <c r="A740" s="4" t="s">
        <v>21</v>
      </c>
      <c r="B740" s="4" t="s">
        <v>46</v>
      </c>
      <c r="C740" s="4" t="s">
        <v>23</v>
      </c>
      <c r="D740" s="4" t="s">
        <v>47</v>
      </c>
      <c r="E740" s="4" t="s">
        <v>48</v>
      </c>
      <c r="F740" s="4" t="s">
        <v>25</v>
      </c>
      <c r="G740" s="4" t="s">
        <v>25</v>
      </c>
      <c r="H740" s="4" t="s">
        <v>25</v>
      </c>
      <c r="I740" s="5">
        <v>44593</v>
      </c>
      <c r="J740" s="6">
        <v>0</v>
      </c>
      <c r="K740" s="6">
        <v>0</v>
      </c>
      <c r="L740" s="6">
        <v>279.94600000000003</v>
      </c>
      <c r="M740" s="6">
        <v>279.94600000000003</v>
      </c>
      <c r="N740" s="6">
        <v>279.94600000000003</v>
      </c>
      <c r="O740" s="6">
        <v>279.94600000000003</v>
      </c>
      <c r="P740" s="6">
        <v>48</v>
      </c>
      <c r="Q740" s="4" t="s">
        <v>26</v>
      </c>
      <c r="R740" s="4">
        <v>0</v>
      </c>
      <c r="S740" s="4" t="s">
        <v>356</v>
      </c>
      <c r="T740" s="4" t="s">
        <v>601</v>
      </c>
      <c r="U740" s="4">
        <v>0</v>
      </c>
      <c r="V740" s="4">
        <v>46</v>
      </c>
      <c r="W740" s="4">
        <v>83</v>
      </c>
    </row>
    <row r="741" spans="1:23" ht="11.25" customHeight="1" x14ac:dyDescent="0.25">
      <c r="A741" s="4" t="s">
        <v>21</v>
      </c>
      <c r="B741" s="4" t="s">
        <v>46</v>
      </c>
      <c r="C741" s="4" t="s">
        <v>23</v>
      </c>
      <c r="D741" s="4" t="s">
        <v>47</v>
      </c>
      <c r="E741" s="4" t="s">
        <v>48</v>
      </c>
      <c r="F741" s="4" t="s">
        <v>25</v>
      </c>
      <c r="G741" s="4" t="s">
        <v>25</v>
      </c>
      <c r="H741" s="4" t="s">
        <v>25</v>
      </c>
      <c r="I741" s="5">
        <v>44621</v>
      </c>
      <c r="J741" s="6">
        <v>0</v>
      </c>
      <c r="K741" s="6">
        <v>0</v>
      </c>
      <c r="L741" s="6">
        <v>315.32</v>
      </c>
      <c r="M741" s="6">
        <v>315.32</v>
      </c>
      <c r="N741" s="6">
        <v>315.32</v>
      </c>
      <c r="O741" s="6">
        <v>315.32</v>
      </c>
      <c r="P741" s="6">
        <v>48</v>
      </c>
      <c r="Q741" s="4" t="s">
        <v>26</v>
      </c>
      <c r="R741" s="4">
        <v>0</v>
      </c>
      <c r="S741" s="4" t="s">
        <v>357</v>
      </c>
      <c r="T741" s="4" t="s">
        <v>602</v>
      </c>
      <c r="U741" s="4">
        <v>0</v>
      </c>
      <c r="V741" s="4">
        <v>46</v>
      </c>
      <c r="W741" s="4">
        <v>83</v>
      </c>
    </row>
    <row r="742" spans="1:23" ht="11.25" customHeight="1" x14ac:dyDescent="0.25">
      <c r="A742" s="4" t="s">
        <v>21</v>
      </c>
      <c r="B742" s="4" t="s">
        <v>46</v>
      </c>
      <c r="C742" s="4" t="s">
        <v>23</v>
      </c>
      <c r="D742" s="4" t="s">
        <v>47</v>
      </c>
      <c r="E742" s="4" t="s">
        <v>48</v>
      </c>
      <c r="F742" s="4" t="s">
        <v>25</v>
      </c>
      <c r="G742" s="4" t="s">
        <v>25</v>
      </c>
      <c r="H742" s="4" t="s">
        <v>25</v>
      </c>
      <c r="I742" s="5">
        <v>44652</v>
      </c>
      <c r="J742" s="6">
        <v>0</v>
      </c>
      <c r="K742" s="6">
        <v>0</v>
      </c>
      <c r="L742" s="6">
        <v>309.26</v>
      </c>
      <c r="M742" s="6">
        <v>309.26</v>
      </c>
      <c r="N742" s="6">
        <v>309.26</v>
      </c>
      <c r="O742" s="6">
        <v>309.26</v>
      </c>
      <c r="P742" s="6">
        <v>48</v>
      </c>
      <c r="Q742" s="4" t="s">
        <v>26</v>
      </c>
      <c r="R742" s="4">
        <v>0</v>
      </c>
      <c r="S742" s="4" t="s">
        <v>358</v>
      </c>
      <c r="T742" s="4" t="s">
        <v>603</v>
      </c>
      <c r="U742" s="4">
        <v>0</v>
      </c>
      <c r="V742" s="4">
        <v>46</v>
      </c>
      <c r="W742" s="4">
        <v>83</v>
      </c>
    </row>
    <row r="743" spans="1:23" ht="11.25" customHeight="1" x14ac:dyDescent="0.25">
      <c r="A743" s="4" t="s">
        <v>21</v>
      </c>
      <c r="B743" s="4" t="s">
        <v>46</v>
      </c>
      <c r="C743" s="4" t="s">
        <v>23</v>
      </c>
      <c r="D743" s="4" t="s">
        <v>47</v>
      </c>
      <c r="E743" s="4" t="s">
        <v>49</v>
      </c>
      <c r="F743" s="4" t="s">
        <v>25</v>
      </c>
      <c r="G743" s="4" t="s">
        <v>25</v>
      </c>
      <c r="H743" s="4" t="s">
        <v>25</v>
      </c>
      <c r="I743" s="5">
        <v>44317</v>
      </c>
      <c r="J743" s="6">
        <v>0</v>
      </c>
      <c r="K743" s="6">
        <v>0</v>
      </c>
      <c r="L743" s="6">
        <v>28.617999999999999</v>
      </c>
      <c r="M743" s="6">
        <v>28.617999999999999</v>
      </c>
      <c r="N743" s="6">
        <v>28.617999999999999</v>
      </c>
      <c r="O743" s="6">
        <v>28.617999999999999</v>
      </c>
      <c r="P743" s="6">
        <v>4</v>
      </c>
      <c r="Q743" s="4" t="s">
        <v>26</v>
      </c>
      <c r="R743" s="4">
        <v>0</v>
      </c>
      <c r="S743" s="4" t="s">
        <v>359</v>
      </c>
      <c r="T743" s="4" t="s">
        <v>604</v>
      </c>
      <c r="U743" s="4">
        <v>0</v>
      </c>
      <c r="V743" s="4">
        <v>47</v>
      </c>
      <c r="W743" s="4">
        <v>84</v>
      </c>
    </row>
    <row r="744" spans="1:23" ht="11.25" customHeight="1" x14ac:dyDescent="0.25">
      <c r="A744" s="4" t="s">
        <v>21</v>
      </c>
      <c r="B744" s="4" t="s">
        <v>46</v>
      </c>
      <c r="C744" s="4" t="s">
        <v>23</v>
      </c>
      <c r="D744" s="4" t="s">
        <v>47</v>
      </c>
      <c r="E744" s="4" t="s">
        <v>49</v>
      </c>
      <c r="F744" s="4" t="s">
        <v>25</v>
      </c>
      <c r="G744" s="4" t="s">
        <v>25</v>
      </c>
      <c r="H744" s="4" t="s">
        <v>25</v>
      </c>
      <c r="I744" s="5">
        <v>44348</v>
      </c>
      <c r="J744" s="6">
        <v>0</v>
      </c>
      <c r="K744" s="6">
        <v>0</v>
      </c>
      <c r="L744" s="6">
        <v>27.693999999999999</v>
      </c>
      <c r="M744" s="6">
        <v>27.693999999999999</v>
      </c>
      <c r="N744" s="6">
        <v>27.693999999999999</v>
      </c>
      <c r="O744" s="6">
        <v>27.693999999999999</v>
      </c>
      <c r="P744" s="6">
        <v>4</v>
      </c>
      <c r="Q744" s="4" t="s">
        <v>26</v>
      </c>
      <c r="R744" s="4">
        <v>0</v>
      </c>
      <c r="S744" s="4" t="s">
        <v>360</v>
      </c>
      <c r="T744" s="4" t="s">
        <v>605</v>
      </c>
      <c r="U744" s="4">
        <v>0</v>
      </c>
      <c r="V744" s="4">
        <v>47</v>
      </c>
      <c r="W744" s="4">
        <v>84</v>
      </c>
    </row>
    <row r="745" spans="1:23" ht="11.25" customHeight="1" x14ac:dyDescent="0.25">
      <c r="A745" s="4" t="s">
        <v>21</v>
      </c>
      <c r="B745" s="4" t="s">
        <v>46</v>
      </c>
      <c r="C745" s="4" t="s">
        <v>23</v>
      </c>
      <c r="D745" s="4" t="s">
        <v>47</v>
      </c>
      <c r="E745" s="4" t="s">
        <v>49</v>
      </c>
      <c r="F745" s="4" t="s">
        <v>25</v>
      </c>
      <c r="G745" s="4" t="s">
        <v>25</v>
      </c>
      <c r="H745" s="4" t="s">
        <v>25</v>
      </c>
      <c r="I745" s="5">
        <v>44378</v>
      </c>
      <c r="J745" s="6">
        <v>0</v>
      </c>
      <c r="K745" s="6">
        <v>0</v>
      </c>
      <c r="L745" s="6">
        <v>28.617999999999999</v>
      </c>
      <c r="M745" s="6">
        <v>28.617999999999999</v>
      </c>
      <c r="N745" s="6">
        <v>28.617999999999999</v>
      </c>
      <c r="O745" s="6">
        <v>28.617999999999999</v>
      </c>
      <c r="P745" s="6">
        <v>4</v>
      </c>
      <c r="Q745" s="4" t="s">
        <v>26</v>
      </c>
      <c r="R745" s="4">
        <v>0</v>
      </c>
      <c r="S745" s="4" t="s">
        <v>361</v>
      </c>
      <c r="T745" s="4" t="s">
        <v>606</v>
      </c>
      <c r="U745" s="4">
        <v>0</v>
      </c>
      <c r="V745" s="4">
        <v>47</v>
      </c>
      <c r="W745" s="4">
        <v>84</v>
      </c>
    </row>
    <row r="746" spans="1:23" ht="11.25" customHeight="1" x14ac:dyDescent="0.25">
      <c r="A746" s="4" t="s">
        <v>21</v>
      </c>
      <c r="B746" s="4" t="s">
        <v>46</v>
      </c>
      <c r="C746" s="4" t="s">
        <v>23</v>
      </c>
      <c r="D746" s="4" t="s">
        <v>47</v>
      </c>
      <c r="E746" s="4" t="s">
        <v>49</v>
      </c>
      <c r="F746" s="4" t="s">
        <v>25</v>
      </c>
      <c r="G746" s="4" t="s">
        <v>25</v>
      </c>
      <c r="H746" s="4" t="s">
        <v>25</v>
      </c>
      <c r="I746" s="5">
        <v>44409</v>
      </c>
      <c r="J746" s="6">
        <v>0</v>
      </c>
      <c r="K746" s="6">
        <v>0</v>
      </c>
      <c r="L746" s="6">
        <v>28.617999999999999</v>
      </c>
      <c r="M746" s="6">
        <v>28.617999999999999</v>
      </c>
      <c r="N746" s="6">
        <v>28.617999999999999</v>
      </c>
      <c r="O746" s="6">
        <v>28.617999999999999</v>
      </c>
      <c r="P746" s="6">
        <v>4</v>
      </c>
      <c r="Q746" s="4" t="s">
        <v>26</v>
      </c>
      <c r="R746" s="4">
        <v>0</v>
      </c>
      <c r="S746" s="4" t="s">
        <v>362</v>
      </c>
      <c r="T746" s="4" t="s">
        <v>607</v>
      </c>
      <c r="U746" s="4">
        <v>0</v>
      </c>
      <c r="V746" s="4">
        <v>47</v>
      </c>
      <c r="W746" s="4">
        <v>84</v>
      </c>
    </row>
    <row r="747" spans="1:23" ht="11.25" customHeight="1" x14ac:dyDescent="0.25">
      <c r="A747" s="4" t="s">
        <v>21</v>
      </c>
      <c r="B747" s="4" t="s">
        <v>46</v>
      </c>
      <c r="C747" s="4" t="s">
        <v>23</v>
      </c>
      <c r="D747" s="4" t="s">
        <v>47</v>
      </c>
      <c r="E747" s="4" t="s">
        <v>49</v>
      </c>
      <c r="F747" s="4" t="s">
        <v>25</v>
      </c>
      <c r="G747" s="4" t="s">
        <v>25</v>
      </c>
      <c r="H747" s="4" t="s">
        <v>25</v>
      </c>
      <c r="I747" s="5">
        <v>44440</v>
      </c>
      <c r="J747" s="6">
        <v>0</v>
      </c>
      <c r="K747" s="6">
        <v>0</v>
      </c>
      <c r="L747" s="6">
        <v>27.693999999999999</v>
      </c>
      <c r="M747" s="6">
        <v>27.693999999999999</v>
      </c>
      <c r="N747" s="6">
        <v>27.693999999999999</v>
      </c>
      <c r="O747" s="6">
        <v>27.693999999999999</v>
      </c>
      <c r="P747" s="6">
        <v>4</v>
      </c>
      <c r="Q747" s="4" t="s">
        <v>26</v>
      </c>
      <c r="R747" s="4">
        <v>0</v>
      </c>
      <c r="S747" s="4" t="s">
        <v>363</v>
      </c>
      <c r="T747" s="4" t="s">
        <v>608</v>
      </c>
      <c r="U747" s="4">
        <v>0</v>
      </c>
      <c r="V747" s="4">
        <v>47</v>
      </c>
      <c r="W747" s="4">
        <v>84</v>
      </c>
    </row>
    <row r="748" spans="1:23" ht="11.25" customHeight="1" x14ac:dyDescent="0.25">
      <c r="A748" s="4" t="s">
        <v>21</v>
      </c>
      <c r="B748" s="4" t="s">
        <v>46</v>
      </c>
      <c r="C748" s="4" t="s">
        <v>23</v>
      </c>
      <c r="D748" s="4" t="s">
        <v>47</v>
      </c>
      <c r="E748" s="4" t="s">
        <v>49</v>
      </c>
      <c r="F748" s="4" t="s">
        <v>25</v>
      </c>
      <c r="G748" s="4" t="s">
        <v>25</v>
      </c>
      <c r="H748" s="4" t="s">
        <v>25</v>
      </c>
      <c r="I748" s="5">
        <v>44470</v>
      </c>
      <c r="J748" s="6">
        <v>0</v>
      </c>
      <c r="K748" s="6">
        <v>0</v>
      </c>
      <c r="L748" s="6">
        <v>28.617999999999999</v>
      </c>
      <c r="M748" s="6">
        <v>28.617999999999999</v>
      </c>
      <c r="N748" s="6">
        <v>28.617999999999999</v>
      </c>
      <c r="O748" s="6">
        <v>28.617999999999999</v>
      </c>
      <c r="P748" s="6">
        <v>4</v>
      </c>
      <c r="Q748" s="4" t="s">
        <v>26</v>
      </c>
      <c r="R748" s="4">
        <v>0</v>
      </c>
      <c r="S748" s="4" t="s">
        <v>364</v>
      </c>
      <c r="T748" s="4" t="s">
        <v>609</v>
      </c>
      <c r="U748" s="4">
        <v>0</v>
      </c>
      <c r="V748" s="4">
        <v>47</v>
      </c>
      <c r="W748" s="4">
        <v>84</v>
      </c>
    </row>
    <row r="749" spans="1:23" ht="11.25" customHeight="1" x14ac:dyDescent="0.25">
      <c r="A749" s="4" t="s">
        <v>21</v>
      </c>
      <c r="B749" s="4" t="s">
        <v>46</v>
      </c>
      <c r="C749" s="4" t="s">
        <v>23</v>
      </c>
      <c r="D749" s="4" t="s">
        <v>47</v>
      </c>
      <c r="E749" s="4" t="s">
        <v>49</v>
      </c>
      <c r="F749" s="4" t="s">
        <v>25</v>
      </c>
      <c r="G749" s="4" t="s">
        <v>25</v>
      </c>
      <c r="H749" s="4" t="s">
        <v>25</v>
      </c>
      <c r="I749" s="5">
        <v>44501</v>
      </c>
      <c r="J749" s="6">
        <v>0</v>
      </c>
      <c r="K749" s="6">
        <v>0</v>
      </c>
      <c r="L749" s="6">
        <v>27.693999999999999</v>
      </c>
      <c r="M749" s="6">
        <v>27.693999999999999</v>
      </c>
      <c r="N749" s="6">
        <v>27.693999999999999</v>
      </c>
      <c r="O749" s="6">
        <v>27.693999999999999</v>
      </c>
      <c r="P749" s="6">
        <v>4</v>
      </c>
      <c r="Q749" s="4" t="s">
        <v>26</v>
      </c>
      <c r="R749" s="4">
        <v>0</v>
      </c>
      <c r="S749" s="4" t="s">
        <v>365</v>
      </c>
      <c r="T749" s="4" t="s">
        <v>610</v>
      </c>
      <c r="U749" s="4">
        <v>0</v>
      </c>
      <c r="V749" s="4">
        <v>47</v>
      </c>
      <c r="W749" s="4">
        <v>84</v>
      </c>
    </row>
    <row r="750" spans="1:23" ht="11.25" customHeight="1" x14ac:dyDescent="0.25">
      <c r="A750" s="4" t="s">
        <v>21</v>
      </c>
      <c r="B750" s="4" t="s">
        <v>46</v>
      </c>
      <c r="C750" s="4" t="s">
        <v>23</v>
      </c>
      <c r="D750" s="4" t="s">
        <v>47</v>
      </c>
      <c r="E750" s="4" t="s">
        <v>49</v>
      </c>
      <c r="F750" s="4" t="s">
        <v>25</v>
      </c>
      <c r="G750" s="4" t="s">
        <v>25</v>
      </c>
      <c r="H750" s="4" t="s">
        <v>25</v>
      </c>
      <c r="I750" s="5">
        <v>44531</v>
      </c>
      <c r="J750" s="6">
        <v>0</v>
      </c>
      <c r="K750" s="6">
        <v>0</v>
      </c>
      <c r="L750" s="6">
        <v>28.617999999999999</v>
      </c>
      <c r="M750" s="6">
        <v>28.617999999999999</v>
      </c>
      <c r="N750" s="6">
        <v>28.617999999999999</v>
      </c>
      <c r="O750" s="6">
        <v>28.617999999999999</v>
      </c>
      <c r="P750" s="6">
        <v>4</v>
      </c>
      <c r="Q750" s="4" t="s">
        <v>26</v>
      </c>
      <c r="R750" s="4">
        <v>0</v>
      </c>
      <c r="S750" s="4" t="s">
        <v>366</v>
      </c>
      <c r="T750" s="4" t="s">
        <v>611</v>
      </c>
      <c r="U750" s="4">
        <v>0</v>
      </c>
      <c r="V750" s="4">
        <v>47</v>
      </c>
      <c r="W750" s="4">
        <v>84</v>
      </c>
    </row>
    <row r="751" spans="1:23" ht="11.25" customHeight="1" x14ac:dyDescent="0.25">
      <c r="A751" s="4" t="s">
        <v>21</v>
      </c>
      <c r="B751" s="4" t="s">
        <v>46</v>
      </c>
      <c r="C751" s="4" t="s">
        <v>23</v>
      </c>
      <c r="D751" s="4" t="s">
        <v>47</v>
      </c>
      <c r="E751" s="4" t="s">
        <v>49</v>
      </c>
      <c r="F751" s="4" t="s">
        <v>25</v>
      </c>
      <c r="G751" s="4" t="s">
        <v>25</v>
      </c>
      <c r="H751" s="4" t="s">
        <v>25</v>
      </c>
      <c r="I751" s="5">
        <v>44562</v>
      </c>
      <c r="J751" s="6">
        <v>0</v>
      </c>
      <c r="K751" s="6">
        <v>0</v>
      </c>
      <c r="L751" s="6">
        <v>28.617999999999999</v>
      </c>
      <c r="M751" s="6">
        <v>28.617999999999999</v>
      </c>
      <c r="N751" s="6">
        <v>28.617999999999999</v>
      </c>
      <c r="O751" s="6">
        <v>28.617999999999999</v>
      </c>
      <c r="P751" s="6">
        <v>4</v>
      </c>
      <c r="Q751" s="4" t="s">
        <v>26</v>
      </c>
      <c r="R751" s="4">
        <v>0</v>
      </c>
      <c r="S751" s="4" t="s">
        <v>367</v>
      </c>
      <c r="T751" s="4" t="s">
        <v>612</v>
      </c>
      <c r="U751" s="4">
        <v>0</v>
      </c>
      <c r="V751" s="4">
        <v>47</v>
      </c>
      <c r="W751" s="4">
        <v>84</v>
      </c>
    </row>
    <row r="752" spans="1:23" ht="11.25" customHeight="1" x14ac:dyDescent="0.25">
      <c r="A752" s="4" t="s">
        <v>21</v>
      </c>
      <c r="B752" s="4" t="s">
        <v>46</v>
      </c>
      <c r="C752" s="4" t="s">
        <v>23</v>
      </c>
      <c r="D752" s="4" t="s">
        <v>47</v>
      </c>
      <c r="E752" s="4" t="s">
        <v>49</v>
      </c>
      <c r="F752" s="4" t="s">
        <v>25</v>
      </c>
      <c r="G752" s="4" t="s">
        <v>25</v>
      </c>
      <c r="H752" s="4" t="s">
        <v>25</v>
      </c>
      <c r="I752" s="5">
        <v>44593</v>
      </c>
      <c r="J752" s="6">
        <v>0</v>
      </c>
      <c r="K752" s="6">
        <v>0</v>
      </c>
      <c r="L752" s="6">
        <v>25.847999999999999</v>
      </c>
      <c r="M752" s="6">
        <v>25.847999999999999</v>
      </c>
      <c r="N752" s="6">
        <v>25.847999999999999</v>
      </c>
      <c r="O752" s="6">
        <v>25.847999999999999</v>
      </c>
      <c r="P752" s="6">
        <v>4</v>
      </c>
      <c r="Q752" s="4" t="s">
        <v>26</v>
      </c>
      <c r="R752" s="4">
        <v>0</v>
      </c>
      <c r="S752" s="4" t="s">
        <v>368</v>
      </c>
      <c r="T752" s="4" t="s">
        <v>613</v>
      </c>
      <c r="U752" s="4">
        <v>0</v>
      </c>
      <c r="V752" s="4">
        <v>47</v>
      </c>
      <c r="W752" s="4">
        <v>84</v>
      </c>
    </row>
    <row r="753" spans="1:23" ht="11.25" customHeight="1" x14ac:dyDescent="0.25">
      <c r="A753" s="4" t="s">
        <v>21</v>
      </c>
      <c r="B753" s="4" t="s">
        <v>46</v>
      </c>
      <c r="C753" s="4" t="s">
        <v>23</v>
      </c>
      <c r="D753" s="4" t="s">
        <v>47</v>
      </c>
      <c r="E753" s="4" t="s">
        <v>49</v>
      </c>
      <c r="F753" s="4" t="s">
        <v>25</v>
      </c>
      <c r="G753" s="4" t="s">
        <v>25</v>
      </c>
      <c r="H753" s="4" t="s">
        <v>25</v>
      </c>
      <c r="I753" s="5">
        <v>44621</v>
      </c>
      <c r="J753" s="6">
        <v>0</v>
      </c>
      <c r="K753" s="6">
        <v>0</v>
      </c>
      <c r="L753" s="6">
        <v>28.617999999999999</v>
      </c>
      <c r="M753" s="6">
        <v>28.617999999999999</v>
      </c>
      <c r="N753" s="6">
        <v>28.617999999999999</v>
      </c>
      <c r="O753" s="6">
        <v>28.617999999999999</v>
      </c>
      <c r="P753" s="6">
        <v>4</v>
      </c>
      <c r="Q753" s="4" t="s">
        <v>26</v>
      </c>
      <c r="R753" s="4">
        <v>0</v>
      </c>
      <c r="S753" s="4" t="s">
        <v>369</v>
      </c>
      <c r="T753" s="4" t="s">
        <v>614</v>
      </c>
      <c r="U753" s="4">
        <v>0</v>
      </c>
      <c r="V753" s="4">
        <v>47</v>
      </c>
      <c r="W753" s="4">
        <v>84</v>
      </c>
    </row>
    <row r="754" spans="1:23" ht="11.25" customHeight="1" x14ac:dyDescent="0.25">
      <c r="A754" s="4" t="s">
        <v>21</v>
      </c>
      <c r="B754" s="4" t="s">
        <v>46</v>
      </c>
      <c r="C754" s="4" t="s">
        <v>23</v>
      </c>
      <c r="D754" s="4" t="s">
        <v>47</v>
      </c>
      <c r="E754" s="4" t="s">
        <v>49</v>
      </c>
      <c r="F754" s="4" t="s">
        <v>25</v>
      </c>
      <c r="G754" s="4" t="s">
        <v>25</v>
      </c>
      <c r="H754" s="4" t="s">
        <v>25</v>
      </c>
      <c r="I754" s="5">
        <v>44652</v>
      </c>
      <c r="J754" s="6">
        <v>0</v>
      </c>
      <c r="K754" s="6">
        <v>0</v>
      </c>
      <c r="L754" s="6">
        <v>27.693999999999999</v>
      </c>
      <c r="M754" s="6">
        <v>27.693999999999999</v>
      </c>
      <c r="N754" s="6">
        <v>27.693999999999999</v>
      </c>
      <c r="O754" s="6">
        <v>27.693999999999999</v>
      </c>
      <c r="P754" s="6">
        <v>4</v>
      </c>
      <c r="Q754" s="4" t="s">
        <v>26</v>
      </c>
      <c r="R754" s="4">
        <v>0</v>
      </c>
      <c r="S754" s="4" t="s">
        <v>370</v>
      </c>
      <c r="T754" s="4" t="s">
        <v>615</v>
      </c>
      <c r="U754" s="4">
        <v>0</v>
      </c>
      <c r="V754" s="4">
        <v>47</v>
      </c>
      <c r="W754" s="4">
        <v>84</v>
      </c>
    </row>
  </sheetData>
  <sortState xmlns:xlrd2="http://schemas.microsoft.com/office/spreadsheetml/2017/richdata2" ref="A2:W754">
    <sortCondition ref="B2:B754"/>
    <sortCondition ref="C2:C754"/>
    <sortCondition ref="D2:D754"/>
    <sortCondition ref="E2:E754"/>
    <sortCondition ref="F2:F754"/>
    <sortCondition ref="H2:H754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8ECF-3613-44CB-9609-D4A316AA7327}">
  <dimension ref="A1:H102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60</v>
      </c>
      <c r="B1" s="7" t="s">
        <v>61</v>
      </c>
      <c r="C1" s="7" t="s">
        <v>62</v>
      </c>
      <c r="D1" s="7" t="s">
        <v>63</v>
      </c>
      <c r="E1" s="7" t="s">
        <v>64</v>
      </c>
      <c r="G1" s="7" t="s">
        <v>65</v>
      </c>
      <c r="H1" s="7">
        <f>COUNTA(A:A)</f>
        <v>102</v>
      </c>
    </row>
    <row r="2" spans="1:8" ht="11.25" customHeight="1" x14ac:dyDescent="0.25">
      <c r="A2" s="8" t="s">
        <v>396</v>
      </c>
      <c r="B2" s="8" t="s">
        <v>397</v>
      </c>
      <c r="C2" s="8" t="s">
        <v>398</v>
      </c>
      <c r="D2" s="8">
        <v>46</v>
      </c>
      <c r="E2" s="8" t="s">
        <v>399</v>
      </c>
    </row>
    <row r="3" spans="1:8" ht="11.25" customHeight="1" x14ac:dyDescent="0.25">
      <c r="A3" s="8" t="s">
        <v>396</v>
      </c>
      <c r="B3" s="8" t="s">
        <v>397</v>
      </c>
      <c r="C3" s="8" t="s">
        <v>398</v>
      </c>
      <c r="D3" s="8">
        <v>47</v>
      </c>
      <c r="E3" s="8" t="s">
        <v>399</v>
      </c>
    </row>
    <row r="4" spans="1:8" ht="11.25" customHeight="1" x14ac:dyDescent="0.25">
      <c r="A4" s="8" t="s">
        <v>396</v>
      </c>
      <c r="B4" s="8" t="s">
        <v>397</v>
      </c>
      <c r="C4" s="8" t="s">
        <v>398</v>
      </c>
      <c r="D4" s="8">
        <v>48</v>
      </c>
      <c r="E4" s="8" t="s">
        <v>399</v>
      </c>
    </row>
    <row r="5" spans="1:8" ht="11.25" customHeight="1" x14ac:dyDescent="0.25">
      <c r="A5" s="8" t="s">
        <v>396</v>
      </c>
      <c r="B5" s="8" t="s">
        <v>397</v>
      </c>
      <c r="C5" s="8" t="s">
        <v>398</v>
      </c>
      <c r="D5" s="8">
        <v>49</v>
      </c>
      <c r="E5" s="8" t="s">
        <v>399</v>
      </c>
    </row>
    <row r="6" spans="1:8" ht="11.25" customHeight="1" x14ac:dyDescent="0.25">
      <c r="A6" s="8" t="s">
        <v>396</v>
      </c>
      <c r="B6" s="8" t="s">
        <v>397</v>
      </c>
      <c r="C6" s="8" t="s">
        <v>398</v>
      </c>
      <c r="D6" s="8">
        <v>50</v>
      </c>
      <c r="E6" s="8" t="s">
        <v>399</v>
      </c>
    </row>
    <row r="7" spans="1:8" ht="11.25" customHeight="1" x14ac:dyDescent="0.25">
      <c r="A7" s="8" t="s">
        <v>396</v>
      </c>
      <c r="B7" s="8" t="s">
        <v>397</v>
      </c>
      <c r="C7" s="8" t="s">
        <v>398</v>
      </c>
      <c r="D7" s="8">
        <v>51</v>
      </c>
      <c r="E7" s="8" t="s">
        <v>399</v>
      </c>
    </row>
    <row r="8" spans="1:8" ht="11.25" customHeight="1" x14ac:dyDescent="0.25">
      <c r="A8" s="8" t="s">
        <v>396</v>
      </c>
      <c r="B8" s="8" t="s">
        <v>397</v>
      </c>
      <c r="C8" s="8" t="s">
        <v>398</v>
      </c>
      <c r="D8" s="8">
        <v>52</v>
      </c>
      <c r="E8" s="8" t="s">
        <v>399</v>
      </c>
    </row>
    <row r="9" spans="1:8" ht="11.25" customHeight="1" x14ac:dyDescent="0.25">
      <c r="A9" s="8" t="s">
        <v>396</v>
      </c>
      <c r="B9" s="8" t="s">
        <v>397</v>
      </c>
      <c r="C9" s="8" t="s">
        <v>398</v>
      </c>
      <c r="D9" s="8">
        <v>53</v>
      </c>
      <c r="E9" s="8" t="s">
        <v>399</v>
      </c>
    </row>
    <row r="10" spans="1:8" ht="11.25" customHeight="1" x14ac:dyDescent="0.25">
      <c r="A10" s="8" t="s">
        <v>396</v>
      </c>
      <c r="B10" s="8" t="s">
        <v>397</v>
      </c>
      <c r="C10" s="8" t="s">
        <v>398</v>
      </c>
      <c r="D10" s="8">
        <v>54</v>
      </c>
      <c r="E10" s="8" t="s">
        <v>399</v>
      </c>
    </row>
    <row r="11" spans="1:8" ht="11.25" customHeight="1" x14ac:dyDescent="0.25">
      <c r="A11" s="8" t="s">
        <v>396</v>
      </c>
      <c r="B11" s="8" t="s">
        <v>397</v>
      </c>
      <c r="C11" s="8" t="s">
        <v>398</v>
      </c>
      <c r="D11" s="8">
        <v>55</v>
      </c>
      <c r="E11" s="8" t="s">
        <v>399</v>
      </c>
    </row>
    <row r="12" spans="1:8" ht="11.25" customHeight="1" x14ac:dyDescent="0.25">
      <c r="A12" s="8" t="s">
        <v>396</v>
      </c>
      <c r="B12" s="8" t="s">
        <v>397</v>
      </c>
      <c r="C12" s="8" t="s">
        <v>398</v>
      </c>
      <c r="D12" s="8">
        <v>56</v>
      </c>
      <c r="E12" s="8" t="s">
        <v>399</v>
      </c>
    </row>
    <row r="13" spans="1:8" ht="11.25" customHeight="1" x14ac:dyDescent="0.25">
      <c r="A13" s="8" t="s">
        <v>396</v>
      </c>
      <c r="B13" s="8" t="s">
        <v>397</v>
      </c>
      <c r="C13" s="8" t="s">
        <v>398</v>
      </c>
      <c r="D13" s="8">
        <v>57</v>
      </c>
      <c r="E13" s="8" t="s">
        <v>399</v>
      </c>
    </row>
    <row r="14" spans="1:8" ht="11.25" customHeight="1" x14ac:dyDescent="0.25">
      <c r="A14" s="8" t="s">
        <v>396</v>
      </c>
      <c r="B14" s="8" t="s">
        <v>397</v>
      </c>
      <c r="C14" s="8" t="s">
        <v>398</v>
      </c>
      <c r="D14" s="8">
        <v>58</v>
      </c>
      <c r="E14" s="8" t="s">
        <v>399</v>
      </c>
    </row>
    <row r="15" spans="1:8" ht="11.25" customHeight="1" x14ac:dyDescent="0.25">
      <c r="A15" s="8" t="s">
        <v>396</v>
      </c>
      <c r="B15" s="8" t="s">
        <v>397</v>
      </c>
      <c r="C15" s="8" t="s">
        <v>398</v>
      </c>
      <c r="D15" s="8">
        <v>59</v>
      </c>
      <c r="E15" s="8" t="s">
        <v>399</v>
      </c>
    </row>
    <row r="16" spans="1:8" ht="11.25" customHeight="1" x14ac:dyDescent="0.25">
      <c r="A16" s="8" t="s">
        <v>396</v>
      </c>
      <c r="B16" s="8" t="s">
        <v>397</v>
      </c>
      <c r="C16" s="8" t="s">
        <v>398</v>
      </c>
      <c r="D16" s="8">
        <v>60</v>
      </c>
      <c r="E16" s="8" t="s">
        <v>399</v>
      </c>
    </row>
    <row r="17" spans="1:5" ht="11.25" customHeight="1" x14ac:dyDescent="0.25">
      <c r="A17" s="8" t="s">
        <v>396</v>
      </c>
      <c r="B17" s="8" t="s">
        <v>397</v>
      </c>
      <c r="C17" s="8" t="s">
        <v>398</v>
      </c>
      <c r="D17" s="8">
        <v>61</v>
      </c>
      <c r="E17" s="8" t="s">
        <v>399</v>
      </c>
    </row>
    <row r="18" spans="1:5" ht="11.25" customHeight="1" x14ac:dyDescent="0.25">
      <c r="A18" s="8" t="s">
        <v>396</v>
      </c>
      <c r="B18" s="8" t="s">
        <v>397</v>
      </c>
      <c r="C18" s="8" t="s">
        <v>398</v>
      </c>
      <c r="D18" s="8">
        <v>62</v>
      </c>
      <c r="E18" s="8" t="s">
        <v>399</v>
      </c>
    </row>
    <row r="19" spans="1:5" ht="11.25" customHeight="1" x14ac:dyDescent="0.25">
      <c r="A19" s="8" t="s">
        <v>396</v>
      </c>
      <c r="B19" s="8" t="s">
        <v>397</v>
      </c>
      <c r="C19" s="8" t="s">
        <v>398</v>
      </c>
      <c r="D19" s="8">
        <v>63</v>
      </c>
      <c r="E19" s="8" t="s">
        <v>399</v>
      </c>
    </row>
    <row r="20" spans="1:5" ht="11.25" customHeight="1" x14ac:dyDescent="0.25">
      <c r="A20" s="8" t="s">
        <v>396</v>
      </c>
      <c r="B20" s="8" t="s">
        <v>397</v>
      </c>
      <c r="C20" s="8" t="s">
        <v>398</v>
      </c>
      <c r="D20" s="8">
        <v>138</v>
      </c>
      <c r="E20" s="8" t="s">
        <v>399</v>
      </c>
    </row>
    <row r="21" spans="1:5" ht="11.25" customHeight="1" x14ac:dyDescent="0.25">
      <c r="A21" s="8" t="s">
        <v>396</v>
      </c>
      <c r="B21" s="8" t="s">
        <v>397</v>
      </c>
      <c r="C21" s="8" t="s">
        <v>398</v>
      </c>
      <c r="D21" s="8">
        <v>139</v>
      </c>
      <c r="E21" s="8" t="s">
        <v>399</v>
      </c>
    </row>
    <row r="22" spans="1:5" ht="11.25" customHeight="1" x14ac:dyDescent="0.25">
      <c r="A22" s="8" t="s">
        <v>396</v>
      </c>
      <c r="B22" s="8" t="s">
        <v>397</v>
      </c>
      <c r="C22" s="8" t="s">
        <v>398</v>
      </c>
      <c r="D22" s="8">
        <v>140</v>
      </c>
      <c r="E22" s="8" t="s">
        <v>399</v>
      </c>
    </row>
    <row r="23" spans="1:5" ht="11.25" customHeight="1" x14ac:dyDescent="0.25">
      <c r="A23" s="8" t="s">
        <v>396</v>
      </c>
      <c r="B23" s="8" t="s">
        <v>397</v>
      </c>
      <c r="C23" s="8" t="s">
        <v>398</v>
      </c>
      <c r="D23" s="8">
        <v>141</v>
      </c>
      <c r="E23" s="8" t="s">
        <v>399</v>
      </c>
    </row>
    <row r="24" spans="1:5" ht="11.25" customHeight="1" x14ac:dyDescent="0.25">
      <c r="A24" s="8" t="s">
        <v>396</v>
      </c>
      <c r="B24" s="8" t="s">
        <v>397</v>
      </c>
      <c r="C24" s="8" t="s">
        <v>398</v>
      </c>
      <c r="D24" s="8">
        <v>142</v>
      </c>
      <c r="E24" s="8" t="s">
        <v>399</v>
      </c>
    </row>
    <row r="25" spans="1:5" ht="11.25" customHeight="1" x14ac:dyDescent="0.25">
      <c r="A25" s="8" t="s">
        <v>396</v>
      </c>
      <c r="B25" s="8" t="s">
        <v>397</v>
      </c>
      <c r="C25" s="8" t="s">
        <v>398</v>
      </c>
      <c r="D25" s="8">
        <v>143</v>
      </c>
      <c r="E25" s="8" t="s">
        <v>399</v>
      </c>
    </row>
    <row r="26" spans="1:5" ht="11.25" customHeight="1" x14ac:dyDescent="0.25">
      <c r="A26" s="8" t="s">
        <v>396</v>
      </c>
      <c r="B26" s="8" t="s">
        <v>397</v>
      </c>
      <c r="C26" s="8" t="s">
        <v>398</v>
      </c>
      <c r="D26" s="8">
        <v>144</v>
      </c>
      <c r="E26" s="8" t="s">
        <v>399</v>
      </c>
    </row>
    <row r="27" spans="1:5" ht="11.25" customHeight="1" x14ac:dyDescent="0.25">
      <c r="A27" s="8" t="s">
        <v>396</v>
      </c>
      <c r="B27" s="8" t="s">
        <v>397</v>
      </c>
      <c r="C27" s="8" t="s">
        <v>398</v>
      </c>
      <c r="D27" s="8">
        <v>145</v>
      </c>
      <c r="E27" s="8" t="s">
        <v>399</v>
      </c>
    </row>
    <row r="28" spans="1:5" ht="11.25" customHeight="1" x14ac:dyDescent="0.25">
      <c r="A28" s="8" t="s">
        <v>396</v>
      </c>
      <c r="B28" s="8" t="s">
        <v>397</v>
      </c>
      <c r="C28" s="8" t="s">
        <v>398</v>
      </c>
      <c r="D28" s="8">
        <v>146</v>
      </c>
      <c r="E28" s="8" t="s">
        <v>399</v>
      </c>
    </row>
    <row r="29" spans="1:5" ht="11.25" customHeight="1" x14ac:dyDescent="0.25">
      <c r="A29" s="8" t="s">
        <v>396</v>
      </c>
      <c r="B29" s="8" t="s">
        <v>397</v>
      </c>
      <c r="C29" s="8" t="s">
        <v>398</v>
      </c>
      <c r="D29" s="8">
        <v>147</v>
      </c>
      <c r="E29" s="8" t="s">
        <v>399</v>
      </c>
    </row>
    <row r="30" spans="1:5" ht="11.25" customHeight="1" x14ac:dyDescent="0.25">
      <c r="A30" s="8" t="s">
        <v>396</v>
      </c>
      <c r="B30" s="8" t="s">
        <v>397</v>
      </c>
      <c r="C30" s="8" t="s">
        <v>398</v>
      </c>
      <c r="D30" s="8">
        <v>148</v>
      </c>
      <c r="E30" s="8" t="s">
        <v>399</v>
      </c>
    </row>
    <row r="31" spans="1:5" ht="11.25" customHeight="1" x14ac:dyDescent="0.25">
      <c r="A31" s="8" t="s">
        <v>396</v>
      </c>
      <c r="B31" s="8" t="s">
        <v>397</v>
      </c>
      <c r="C31" s="8" t="s">
        <v>398</v>
      </c>
      <c r="D31" s="8">
        <v>149</v>
      </c>
      <c r="E31" s="8" t="s">
        <v>399</v>
      </c>
    </row>
    <row r="32" spans="1:5" ht="11.25" customHeight="1" x14ac:dyDescent="0.25">
      <c r="A32" s="8" t="s">
        <v>396</v>
      </c>
      <c r="B32" s="8" t="s">
        <v>397</v>
      </c>
      <c r="C32" s="8" t="s">
        <v>398</v>
      </c>
      <c r="D32" s="8">
        <v>150</v>
      </c>
      <c r="E32" s="8" t="s">
        <v>399</v>
      </c>
    </row>
    <row r="33" spans="1:5" ht="11.25" customHeight="1" x14ac:dyDescent="0.25">
      <c r="A33" s="8" t="s">
        <v>396</v>
      </c>
      <c r="B33" s="8" t="s">
        <v>397</v>
      </c>
      <c r="C33" s="8" t="s">
        <v>398</v>
      </c>
      <c r="D33" s="8">
        <v>151</v>
      </c>
      <c r="E33" s="8" t="s">
        <v>399</v>
      </c>
    </row>
    <row r="34" spans="1:5" ht="11.25" customHeight="1" x14ac:dyDescent="0.25">
      <c r="A34" s="8" t="s">
        <v>396</v>
      </c>
      <c r="B34" s="8" t="s">
        <v>397</v>
      </c>
      <c r="C34" s="8" t="s">
        <v>398</v>
      </c>
      <c r="D34" s="8">
        <v>152</v>
      </c>
      <c r="E34" s="8" t="s">
        <v>399</v>
      </c>
    </row>
    <row r="35" spans="1:5" ht="11.25" customHeight="1" x14ac:dyDescent="0.25">
      <c r="A35" s="8" t="s">
        <v>396</v>
      </c>
      <c r="B35" s="8" t="s">
        <v>397</v>
      </c>
      <c r="C35" s="8" t="s">
        <v>398</v>
      </c>
      <c r="D35" s="8">
        <v>153</v>
      </c>
      <c r="E35" s="8" t="s">
        <v>399</v>
      </c>
    </row>
    <row r="36" spans="1:5" ht="11.25" customHeight="1" x14ac:dyDescent="0.25">
      <c r="A36" s="8" t="s">
        <v>396</v>
      </c>
      <c r="B36" s="8" t="s">
        <v>397</v>
      </c>
      <c r="C36" s="8" t="s">
        <v>398</v>
      </c>
      <c r="D36" s="8">
        <v>154</v>
      </c>
      <c r="E36" s="8" t="s">
        <v>399</v>
      </c>
    </row>
    <row r="37" spans="1:5" ht="11.25" customHeight="1" x14ac:dyDescent="0.25">
      <c r="A37" s="8" t="s">
        <v>396</v>
      </c>
      <c r="B37" s="8" t="s">
        <v>397</v>
      </c>
      <c r="C37" s="8" t="s">
        <v>398</v>
      </c>
      <c r="D37" s="8">
        <v>155</v>
      </c>
      <c r="E37" s="8" t="s">
        <v>399</v>
      </c>
    </row>
    <row r="38" spans="1:5" ht="11.25" customHeight="1" x14ac:dyDescent="0.25">
      <c r="A38" s="8" t="s">
        <v>396</v>
      </c>
      <c r="B38" s="8" t="s">
        <v>397</v>
      </c>
      <c r="C38" s="8" t="s">
        <v>398</v>
      </c>
      <c r="D38" s="8">
        <v>156</v>
      </c>
      <c r="E38" s="8" t="s">
        <v>399</v>
      </c>
    </row>
    <row r="39" spans="1:5" ht="11.25" customHeight="1" x14ac:dyDescent="0.25">
      <c r="A39" s="8" t="s">
        <v>396</v>
      </c>
      <c r="B39" s="8" t="s">
        <v>397</v>
      </c>
      <c r="C39" s="8" t="s">
        <v>398</v>
      </c>
      <c r="D39" s="8">
        <v>157</v>
      </c>
      <c r="E39" s="8" t="s">
        <v>399</v>
      </c>
    </row>
    <row r="40" spans="1:5" ht="11.25" customHeight="1" x14ac:dyDescent="0.25">
      <c r="A40" s="8" t="s">
        <v>396</v>
      </c>
      <c r="B40" s="8" t="s">
        <v>397</v>
      </c>
      <c r="C40" s="8" t="s">
        <v>398</v>
      </c>
      <c r="D40" s="8">
        <v>158</v>
      </c>
      <c r="E40" s="8" t="s">
        <v>399</v>
      </c>
    </row>
    <row r="41" spans="1:5" ht="11.25" customHeight="1" x14ac:dyDescent="0.25">
      <c r="A41" s="8" t="s">
        <v>396</v>
      </c>
      <c r="B41" s="8" t="s">
        <v>397</v>
      </c>
      <c r="C41" s="8" t="s">
        <v>398</v>
      </c>
      <c r="D41" s="8">
        <v>159</v>
      </c>
      <c r="E41" s="8" t="s">
        <v>399</v>
      </c>
    </row>
    <row r="42" spans="1:5" ht="11.25" customHeight="1" x14ac:dyDescent="0.25">
      <c r="A42" s="8" t="s">
        <v>396</v>
      </c>
      <c r="B42" s="8" t="s">
        <v>397</v>
      </c>
      <c r="C42" s="8" t="s">
        <v>398</v>
      </c>
      <c r="D42" s="8">
        <v>160</v>
      </c>
      <c r="E42" s="8" t="s">
        <v>399</v>
      </c>
    </row>
    <row r="43" spans="1:5" ht="11.25" customHeight="1" x14ac:dyDescent="0.25">
      <c r="A43" s="8" t="s">
        <v>396</v>
      </c>
      <c r="B43" s="8" t="s">
        <v>397</v>
      </c>
      <c r="C43" s="8" t="s">
        <v>398</v>
      </c>
      <c r="D43" s="8">
        <v>196</v>
      </c>
      <c r="E43" s="8" t="s">
        <v>399</v>
      </c>
    </row>
    <row r="44" spans="1:5" ht="11.25" customHeight="1" x14ac:dyDescent="0.25">
      <c r="A44" s="8" t="s">
        <v>396</v>
      </c>
      <c r="B44" s="8" t="s">
        <v>397</v>
      </c>
      <c r="C44" s="8" t="s">
        <v>398</v>
      </c>
      <c r="D44" s="8">
        <v>197</v>
      </c>
      <c r="E44" s="8" t="s">
        <v>399</v>
      </c>
    </row>
    <row r="45" spans="1:5" ht="11.25" customHeight="1" x14ac:dyDescent="0.25">
      <c r="A45" s="8" t="s">
        <v>396</v>
      </c>
      <c r="B45" s="8" t="s">
        <v>397</v>
      </c>
      <c r="C45" s="8" t="s">
        <v>398</v>
      </c>
      <c r="D45" s="8">
        <v>198</v>
      </c>
      <c r="E45" s="8" t="s">
        <v>399</v>
      </c>
    </row>
    <row r="46" spans="1:5" ht="11.25" customHeight="1" x14ac:dyDescent="0.25">
      <c r="A46" s="8" t="s">
        <v>396</v>
      </c>
      <c r="B46" s="8" t="s">
        <v>397</v>
      </c>
      <c r="C46" s="8" t="s">
        <v>398</v>
      </c>
      <c r="D46" s="8">
        <v>199</v>
      </c>
      <c r="E46" s="8" t="s">
        <v>399</v>
      </c>
    </row>
    <row r="47" spans="1:5" ht="11.25" customHeight="1" x14ac:dyDescent="0.25">
      <c r="A47" s="8" t="s">
        <v>396</v>
      </c>
      <c r="B47" s="8" t="s">
        <v>397</v>
      </c>
      <c r="C47" s="8" t="s">
        <v>398</v>
      </c>
      <c r="D47" s="8">
        <v>200</v>
      </c>
      <c r="E47" s="8" t="s">
        <v>399</v>
      </c>
    </row>
    <row r="48" spans="1:5" ht="11.25" customHeight="1" x14ac:dyDescent="0.25">
      <c r="A48" s="8" t="s">
        <v>396</v>
      </c>
      <c r="B48" s="8" t="s">
        <v>397</v>
      </c>
      <c r="C48" s="8" t="s">
        <v>398</v>
      </c>
      <c r="D48" s="8">
        <v>201</v>
      </c>
      <c r="E48" s="8" t="s">
        <v>399</v>
      </c>
    </row>
    <row r="49" spans="1:5" ht="11.25" customHeight="1" x14ac:dyDescent="0.25">
      <c r="A49" s="8" t="s">
        <v>396</v>
      </c>
      <c r="B49" s="8" t="s">
        <v>397</v>
      </c>
      <c r="C49" s="8" t="s">
        <v>398</v>
      </c>
      <c r="D49" s="8">
        <v>202</v>
      </c>
      <c r="E49" s="8" t="s">
        <v>399</v>
      </c>
    </row>
    <row r="50" spans="1:5" ht="11.25" customHeight="1" x14ac:dyDescent="0.25">
      <c r="A50" s="8" t="s">
        <v>396</v>
      </c>
      <c r="B50" s="8" t="s">
        <v>397</v>
      </c>
      <c r="C50" s="8" t="s">
        <v>398</v>
      </c>
      <c r="D50" s="8">
        <v>203</v>
      </c>
      <c r="E50" s="8" t="s">
        <v>399</v>
      </c>
    </row>
    <row r="51" spans="1:5" ht="11.25" customHeight="1" x14ac:dyDescent="0.25">
      <c r="A51" s="8" t="s">
        <v>396</v>
      </c>
      <c r="B51" s="8" t="s">
        <v>397</v>
      </c>
      <c r="C51" s="8" t="s">
        <v>398</v>
      </c>
      <c r="D51" s="8">
        <v>204</v>
      </c>
      <c r="E51" s="8" t="s">
        <v>399</v>
      </c>
    </row>
    <row r="52" spans="1:5" ht="11.25" customHeight="1" x14ac:dyDescent="0.25">
      <c r="A52" s="8" t="s">
        <v>396</v>
      </c>
      <c r="B52" s="8" t="s">
        <v>397</v>
      </c>
      <c r="C52" s="8" t="s">
        <v>398</v>
      </c>
      <c r="D52" s="8">
        <v>205</v>
      </c>
      <c r="E52" s="8" t="s">
        <v>399</v>
      </c>
    </row>
    <row r="53" spans="1:5" ht="11.25" customHeight="1" x14ac:dyDescent="0.25">
      <c r="A53" s="8" t="s">
        <v>396</v>
      </c>
      <c r="B53" s="8" t="s">
        <v>397</v>
      </c>
      <c r="C53" s="8" t="s">
        <v>398</v>
      </c>
      <c r="D53" s="8">
        <v>206</v>
      </c>
      <c r="E53" s="8" t="s">
        <v>399</v>
      </c>
    </row>
    <row r="54" spans="1:5" ht="11.25" customHeight="1" x14ac:dyDescent="0.25">
      <c r="A54" s="8" t="s">
        <v>396</v>
      </c>
      <c r="B54" s="8" t="s">
        <v>397</v>
      </c>
      <c r="C54" s="8" t="s">
        <v>398</v>
      </c>
      <c r="D54" s="8">
        <v>207</v>
      </c>
      <c r="E54" s="8" t="s">
        <v>399</v>
      </c>
    </row>
    <row r="55" spans="1:5" ht="11.25" customHeight="1" x14ac:dyDescent="0.25">
      <c r="A55" s="8" t="s">
        <v>396</v>
      </c>
      <c r="B55" s="8" t="s">
        <v>397</v>
      </c>
      <c r="C55" s="8" t="s">
        <v>398</v>
      </c>
      <c r="D55" s="8">
        <v>244</v>
      </c>
      <c r="E55" s="8" t="s">
        <v>399</v>
      </c>
    </row>
    <row r="56" spans="1:5" ht="11.25" customHeight="1" x14ac:dyDescent="0.25">
      <c r="A56" s="8" t="s">
        <v>396</v>
      </c>
      <c r="B56" s="8" t="s">
        <v>397</v>
      </c>
      <c r="C56" s="8" t="s">
        <v>398</v>
      </c>
      <c r="D56" s="8">
        <v>245</v>
      </c>
      <c r="E56" s="8" t="s">
        <v>399</v>
      </c>
    </row>
    <row r="57" spans="1:5" ht="11.25" customHeight="1" x14ac:dyDescent="0.25">
      <c r="A57" s="8" t="s">
        <v>396</v>
      </c>
      <c r="B57" s="8" t="s">
        <v>397</v>
      </c>
      <c r="C57" s="8" t="s">
        <v>398</v>
      </c>
      <c r="D57" s="8">
        <v>246</v>
      </c>
      <c r="E57" s="8" t="s">
        <v>399</v>
      </c>
    </row>
    <row r="58" spans="1:5" ht="11.25" customHeight="1" x14ac:dyDescent="0.25">
      <c r="A58" s="8" t="s">
        <v>396</v>
      </c>
      <c r="B58" s="8" t="s">
        <v>397</v>
      </c>
      <c r="C58" s="8" t="s">
        <v>398</v>
      </c>
      <c r="D58" s="8">
        <v>247</v>
      </c>
      <c r="E58" s="8" t="s">
        <v>399</v>
      </c>
    </row>
    <row r="59" spans="1:5" ht="11.25" customHeight="1" x14ac:dyDescent="0.25">
      <c r="A59" s="8" t="s">
        <v>396</v>
      </c>
      <c r="B59" s="8" t="s">
        <v>397</v>
      </c>
      <c r="C59" s="8" t="s">
        <v>398</v>
      </c>
      <c r="D59" s="8">
        <v>248</v>
      </c>
      <c r="E59" s="8" t="s">
        <v>399</v>
      </c>
    </row>
    <row r="60" spans="1:5" ht="11.25" customHeight="1" x14ac:dyDescent="0.25">
      <c r="A60" s="8" t="s">
        <v>396</v>
      </c>
      <c r="B60" s="8" t="s">
        <v>397</v>
      </c>
      <c r="C60" s="8" t="s">
        <v>398</v>
      </c>
      <c r="D60" s="8">
        <v>249</v>
      </c>
      <c r="E60" s="8" t="s">
        <v>399</v>
      </c>
    </row>
    <row r="61" spans="1:5" ht="11.25" customHeight="1" x14ac:dyDescent="0.25">
      <c r="A61" s="8" t="s">
        <v>396</v>
      </c>
      <c r="B61" s="8" t="s">
        <v>397</v>
      </c>
      <c r="C61" s="8" t="s">
        <v>398</v>
      </c>
      <c r="D61" s="8">
        <v>250</v>
      </c>
      <c r="E61" s="8" t="s">
        <v>399</v>
      </c>
    </row>
    <row r="62" spans="1:5" ht="11.25" customHeight="1" x14ac:dyDescent="0.25">
      <c r="A62" s="8" t="s">
        <v>396</v>
      </c>
      <c r="B62" s="8" t="s">
        <v>397</v>
      </c>
      <c r="C62" s="8" t="s">
        <v>398</v>
      </c>
      <c r="D62" s="8">
        <v>251</v>
      </c>
      <c r="E62" s="8" t="s">
        <v>399</v>
      </c>
    </row>
    <row r="63" spans="1:5" ht="11.25" customHeight="1" x14ac:dyDescent="0.25">
      <c r="A63" s="8" t="s">
        <v>396</v>
      </c>
      <c r="B63" s="8" t="s">
        <v>397</v>
      </c>
      <c r="C63" s="8" t="s">
        <v>398</v>
      </c>
      <c r="D63" s="8">
        <v>252</v>
      </c>
      <c r="E63" s="8" t="s">
        <v>399</v>
      </c>
    </row>
    <row r="64" spans="1:5" ht="11.25" customHeight="1" x14ac:dyDescent="0.25">
      <c r="A64" s="8" t="s">
        <v>396</v>
      </c>
      <c r="B64" s="8" t="s">
        <v>397</v>
      </c>
      <c r="C64" s="8" t="s">
        <v>398</v>
      </c>
      <c r="D64" s="8">
        <v>253</v>
      </c>
      <c r="E64" s="8" t="s">
        <v>399</v>
      </c>
    </row>
    <row r="65" spans="1:5" ht="11.25" customHeight="1" x14ac:dyDescent="0.25">
      <c r="A65" s="8" t="s">
        <v>396</v>
      </c>
      <c r="B65" s="8" t="s">
        <v>397</v>
      </c>
      <c r="C65" s="8" t="s">
        <v>398</v>
      </c>
      <c r="D65" s="8">
        <v>254</v>
      </c>
      <c r="E65" s="8" t="s">
        <v>399</v>
      </c>
    </row>
    <row r="66" spans="1:5" ht="11.25" customHeight="1" x14ac:dyDescent="0.25">
      <c r="A66" s="8" t="s">
        <v>396</v>
      </c>
      <c r="B66" s="8" t="s">
        <v>397</v>
      </c>
      <c r="C66" s="8" t="s">
        <v>398</v>
      </c>
      <c r="D66" s="8">
        <v>255</v>
      </c>
      <c r="E66" s="8" t="s">
        <v>399</v>
      </c>
    </row>
    <row r="67" spans="1:5" ht="11.25" customHeight="1" x14ac:dyDescent="0.25">
      <c r="A67" s="8" t="s">
        <v>396</v>
      </c>
      <c r="B67" s="8" t="s">
        <v>397</v>
      </c>
      <c r="C67" s="8" t="s">
        <v>398</v>
      </c>
      <c r="D67" s="8">
        <v>286</v>
      </c>
      <c r="E67" s="8" t="s">
        <v>399</v>
      </c>
    </row>
    <row r="68" spans="1:5" ht="11.25" customHeight="1" x14ac:dyDescent="0.25">
      <c r="A68" s="8" t="s">
        <v>396</v>
      </c>
      <c r="B68" s="8" t="s">
        <v>397</v>
      </c>
      <c r="C68" s="8" t="s">
        <v>398</v>
      </c>
      <c r="D68" s="8">
        <v>287</v>
      </c>
      <c r="E68" s="8" t="s">
        <v>399</v>
      </c>
    </row>
    <row r="69" spans="1:5" ht="11.25" customHeight="1" x14ac:dyDescent="0.25">
      <c r="A69" s="8" t="s">
        <v>396</v>
      </c>
      <c r="B69" s="8" t="s">
        <v>397</v>
      </c>
      <c r="C69" s="8" t="s">
        <v>398</v>
      </c>
      <c r="D69" s="8">
        <v>288</v>
      </c>
      <c r="E69" s="8" t="s">
        <v>399</v>
      </c>
    </row>
    <row r="70" spans="1:5" ht="11.25" customHeight="1" x14ac:dyDescent="0.25">
      <c r="A70" s="8" t="s">
        <v>396</v>
      </c>
      <c r="B70" s="8" t="s">
        <v>397</v>
      </c>
      <c r="C70" s="8" t="s">
        <v>398</v>
      </c>
      <c r="D70" s="8">
        <v>289</v>
      </c>
      <c r="E70" s="8" t="s">
        <v>399</v>
      </c>
    </row>
    <row r="71" spans="1:5" ht="11.25" customHeight="1" x14ac:dyDescent="0.25">
      <c r="A71" s="8" t="s">
        <v>396</v>
      </c>
      <c r="B71" s="8" t="s">
        <v>397</v>
      </c>
      <c r="C71" s="8" t="s">
        <v>398</v>
      </c>
      <c r="D71" s="8">
        <v>290</v>
      </c>
      <c r="E71" s="8" t="s">
        <v>399</v>
      </c>
    </row>
    <row r="72" spans="1:5" ht="11.25" customHeight="1" x14ac:dyDescent="0.25">
      <c r="A72" s="8" t="s">
        <v>396</v>
      </c>
      <c r="B72" s="8" t="s">
        <v>397</v>
      </c>
      <c r="C72" s="8" t="s">
        <v>398</v>
      </c>
      <c r="D72" s="8">
        <v>291</v>
      </c>
      <c r="E72" s="8" t="s">
        <v>399</v>
      </c>
    </row>
    <row r="73" spans="1:5" ht="11.25" customHeight="1" x14ac:dyDescent="0.25">
      <c r="A73" s="8" t="s">
        <v>396</v>
      </c>
      <c r="B73" s="8" t="s">
        <v>397</v>
      </c>
      <c r="C73" s="8" t="s">
        <v>398</v>
      </c>
      <c r="D73" s="8">
        <v>292</v>
      </c>
      <c r="E73" s="8" t="s">
        <v>399</v>
      </c>
    </row>
    <row r="74" spans="1:5" ht="11.25" customHeight="1" x14ac:dyDescent="0.25">
      <c r="A74" s="8" t="s">
        <v>396</v>
      </c>
      <c r="B74" s="8" t="s">
        <v>397</v>
      </c>
      <c r="C74" s="8" t="s">
        <v>398</v>
      </c>
      <c r="D74" s="8">
        <v>293</v>
      </c>
      <c r="E74" s="8" t="s">
        <v>399</v>
      </c>
    </row>
    <row r="75" spans="1:5" ht="11.25" customHeight="1" x14ac:dyDescent="0.25">
      <c r="A75" s="8" t="s">
        <v>396</v>
      </c>
      <c r="B75" s="8" t="s">
        <v>397</v>
      </c>
      <c r="C75" s="8" t="s">
        <v>398</v>
      </c>
      <c r="D75" s="8">
        <v>294</v>
      </c>
      <c r="E75" s="8" t="s">
        <v>399</v>
      </c>
    </row>
    <row r="76" spans="1:5" ht="11.25" customHeight="1" x14ac:dyDescent="0.25">
      <c r="A76" s="8" t="s">
        <v>396</v>
      </c>
      <c r="B76" s="8" t="s">
        <v>397</v>
      </c>
      <c r="C76" s="8" t="s">
        <v>398</v>
      </c>
      <c r="D76" s="8">
        <v>295</v>
      </c>
      <c r="E76" s="8" t="s">
        <v>399</v>
      </c>
    </row>
    <row r="77" spans="1:5" ht="11.25" customHeight="1" x14ac:dyDescent="0.25">
      <c r="A77" s="8" t="s">
        <v>396</v>
      </c>
      <c r="B77" s="8" t="s">
        <v>397</v>
      </c>
      <c r="C77" s="8" t="s">
        <v>398</v>
      </c>
      <c r="D77" s="8">
        <v>296</v>
      </c>
      <c r="E77" s="8" t="s">
        <v>399</v>
      </c>
    </row>
    <row r="78" spans="1:5" ht="11.25" customHeight="1" x14ac:dyDescent="0.25">
      <c r="A78" s="8" t="s">
        <v>396</v>
      </c>
      <c r="B78" s="8" t="s">
        <v>397</v>
      </c>
      <c r="C78" s="8" t="s">
        <v>398</v>
      </c>
      <c r="D78" s="8">
        <v>297</v>
      </c>
      <c r="E78" s="8" t="s">
        <v>399</v>
      </c>
    </row>
    <row r="79" spans="1:5" ht="11.25" customHeight="1" x14ac:dyDescent="0.25">
      <c r="A79" s="8" t="s">
        <v>396</v>
      </c>
      <c r="B79" s="8" t="s">
        <v>397</v>
      </c>
      <c r="C79" s="8" t="s">
        <v>398</v>
      </c>
      <c r="D79" s="8">
        <v>298</v>
      </c>
      <c r="E79" s="8" t="s">
        <v>399</v>
      </c>
    </row>
    <row r="80" spans="1:5" ht="11.25" customHeight="1" x14ac:dyDescent="0.25">
      <c r="A80" s="8" t="s">
        <v>396</v>
      </c>
      <c r="B80" s="8" t="s">
        <v>397</v>
      </c>
      <c r="C80" s="8" t="s">
        <v>398</v>
      </c>
      <c r="D80" s="8">
        <v>299</v>
      </c>
      <c r="E80" s="8" t="s">
        <v>399</v>
      </c>
    </row>
    <row r="81" spans="1:5" ht="11.25" customHeight="1" x14ac:dyDescent="0.25">
      <c r="A81" s="8" t="s">
        <v>396</v>
      </c>
      <c r="B81" s="8" t="s">
        <v>397</v>
      </c>
      <c r="C81" s="8" t="s">
        <v>398</v>
      </c>
      <c r="D81" s="8">
        <v>300</v>
      </c>
      <c r="E81" s="8" t="s">
        <v>399</v>
      </c>
    </row>
    <row r="82" spans="1:5" ht="11.25" customHeight="1" x14ac:dyDescent="0.25">
      <c r="A82" s="8" t="s">
        <v>396</v>
      </c>
      <c r="B82" s="8" t="s">
        <v>397</v>
      </c>
      <c r="C82" s="8" t="s">
        <v>398</v>
      </c>
      <c r="D82" s="8">
        <v>301</v>
      </c>
      <c r="E82" s="8" t="s">
        <v>399</v>
      </c>
    </row>
    <row r="83" spans="1:5" ht="11.25" customHeight="1" x14ac:dyDescent="0.25">
      <c r="A83" s="8" t="s">
        <v>396</v>
      </c>
      <c r="B83" s="8" t="s">
        <v>397</v>
      </c>
      <c r="C83" s="8" t="s">
        <v>398</v>
      </c>
      <c r="D83" s="8">
        <v>302</v>
      </c>
      <c r="E83" s="8" t="s">
        <v>399</v>
      </c>
    </row>
    <row r="84" spans="1:5" ht="11.25" customHeight="1" x14ac:dyDescent="0.25">
      <c r="A84" s="8" t="s">
        <v>396</v>
      </c>
      <c r="B84" s="8" t="s">
        <v>397</v>
      </c>
      <c r="C84" s="8" t="s">
        <v>398</v>
      </c>
      <c r="D84" s="8">
        <v>303</v>
      </c>
      <c r="E84" s="8" t="s">
        <v>399</v>
      </c>
    </row>
    <row r="85" spans="1:5" ht="11.25" customHeight="1" x14ac:dyDescent="0.25">
      <c r="A85" s="8" t="s">
        <v>396</v>
      </c>
      <c r="B85" s="8" t="s">
        <v>397</v>
      </c>
      <c r="C85" s="8" t="s">
        <v>398</v>
      </c>
      <c r="D85" s="8">
        <v>304</v>
      </c>
      <c r="E85" s="8" t="s">
        <v>399</v>
      </c>
    </row>
    <row r="86" spans="1:5" ht="11.25" customHeight="1" x14ac:dyDescent="0.25">
      <c r="A86" s="8" t="s">
        <v>396</v>
      </c>
      <c r="B86" s="8" t="s">
        <v>397</v>
      </c>
      <c r="C86" s="8" t="s">
        <v>398</v>
      </c>
      <c r="D86" s="8">
        <v>305</v>
      </c>
      <c r="E86" s="8" t="s">
        <v>399</v>
      </c>
    </row>
    <row r="87" spans="1:5" ht="11.25" customHeight="1" x14ac:dyDescent="0.25">
      <c r="A87" s="8" t="s">
        <v>396</v>
      </c>
      <c r="B87" s="8" t="s">
        <v>397</v>
      </c>
      <c r="C87" s="8" t="s">
        <v>398</v>
      </c>
      <c r="D87" s="8">
        <v>306</v>
      </c>
      <c r="E87" s="8" t="s">
        <v>399</v>
      </c>
    </row>
    <row r="88" spans="1:5" ht="11.25" customHeight="1" x14ac:dyDescent="0.25">
      <c r="A88" s="8" t="s">
        <v>396</v>
      </c>
      <c r="B88" s="8" t="s">
        <v>397</v>
      </c>
      <c r="C88" s="8" t="s">
        <v>398</v>
      </c>
      <c r="D88" s="8">
        <v>307</v>
      </c>
      <c r="E88" s="8" t="s">
        <v>399</v>
      </c>
    </row>
    <row r="89" spans="1:5" ht="11.25" customHeight="1" x14ac:dyDescent="0.25">
      <c r="A89" s="8" t="s">
        <v>396</v>
      </c>
      <c r="B89" s="8" t="s">
        <v>397</v>
      </c>
      <c r="C89" s="8" t="s">
        <v>398</v>
      </c>
      <c r="D89" s="8">
        <v>308</v>
      </c>
      <c r="E89" s="8" t="s">
        <v>399</v>
      </c>
    </row>
    <row r="90" spans="1:5" ht="11.25" customHeight="1" x14ac:dyDescent="0.25">
      <c r="A90" s="8" t="s">
        <v>396</v>
      </c>
      <c r="B90" s="8" t="s">
        <v>397</v>
      </c>
      <c r="C90" s="8" t="s">
        <v>398</v>
      </c>
      <c r="D90" s="8">
        <v>340</v>
      </c>
      <c r="E90" s="8" t="s">
        <v>399</v>
      </c>
    </row>
    <row r="91" spans="1:5" ht="11.25" customHeight="1" x14ac:dyDescent="0.25">
      <c r="A91" s="8" t="s">
        <v>396</v>
      </c>
      <c r="B91" s="8" t="s">
        <v>397</v>
      </c>
      <c r="C91" s="8" t="s">
        <v>398</v>
      </c>
      <c r="D91" s="8">
        <v>341</v>
      </c>
      <c r="E91" s="8" t="s">
        <v>399</v>
      </c>
    </row>
    <row r="92" spans="1:5" ht="11.25" customHeight="1" x14ac:dyDescent="0.25">
      <c r="A92" s="8" t="s">
        <v>396</v>
      </c>
      <c r="B92" s="8" t="s">
        <v>397</v>
      </c>
      <c r="C92" s="8" t="s">
        <v>398</v>
      </c>
      <c r="D92" s="8">
        <v>342</v>
      </c>
      <c r="E92" s="8" t="s">
        <v>399</v>
      </c>
    </row>
    <row r="93" spans="1:5" ht="11.25" customHeight="1" x14ac:dyDescent="0.25">
      <c r="A93" s="8" t="s">
        <v>396</v>
      </c>
      <c r="B93" s="8" t="s">
        <v>397</v>
      </c>
      <c r="C93" s="8" t="s">
        <v>398</v>
      </c>
      <c r="D93" s="8">
        <v>343</v>
      </c>
      <c r="E93" s="8" t="s">
        <v>399</v>
      </c>
    </row>
    <row r="94" spans="1:5" ht="11.25" customHeight="1" x14ac:dyDescent="0.25">
      <c r="A94" s="8" t="s">
        <v>396</v>
      </c>
      <c r="B94" s="8" t="s">
        <v>397</v>
      </c>
      <c r="C94" s="8" t="s">
        <v>398</v>
      </c>
      <c r="D94" s="8">
        <v>344</v>
      </c>
      <c r="E94" s="8" t="s">
        <v>399</v>
      </c>
    </row>
    <row r="95" spans="1:5" ht="11.25" customHeight="1" x14ac:dyDescent="0.25">
      <c r="A95" s="8" t="s">
        <v>396</v>
      </c>
      <c r="B95" s="8" t="s">
        <v>397</v>
      </c>
      <c r="C95" s="8" t="s">
        <v>398</v>
      </c>
      <c r="D95" s="8">
        <v>345</v>
      </c>
      <c r="E95" s="8" t="s">
        <v>399</v>
      </c>
    </row>
    <row r="96" spans="1:5" ht="11.25" customHeight="1" x14ac:dyDescent="0.25">
      <c r="A96" s="8" t="s">
        <v>396</v>
      </c>
      <c r="B96" s="8" t="s">
        <v>397</v>
      </c>
      <c r="C96" s="8" t="s">
        <v>398</v>
      </c>
      <c r="D96" s="8">
        <v>346</v>
      </c>
      <c r="E96" s="8" t="s">
        <v>399</v>
      </c>
    </row>
    <row r="97" spans="1:5" ht="11.25" customHeight="1" x14ac:dyDescent="0.25">
      <c r="A97" s="8" t="s">
        <v>396</v>
      </c>
      <c r="B97" s="8" t="s">
        <v>397</v>
      </c>
      <c r="C97" s="8" t="s">
        <v>398</v>
      </c>
      <c r="D97" s="8">
        <v>347</v>
      </c>
      <c r="E97" s="8" t="s">
        <v>399</v>
      </c>
    </row>
    <row r="98" spans="1:5" ht="11.25" customHeight="1" x14ac:dyDescent="0.25">
      <c r="A98" s="8" t="s">
        <v>396</v>
      </c>
      <c r="B98" s="8" t="s">
        <v>397</v>
      </c>
      <c r="C98" s="8" t="s">
        <v>398</v>
      </c>
      <c r="D98" s="8">
        <v>348</v>
      </c>
      <c r="E98" s="8" t="s">
        <v>399</v>
      </c>
    </row>
    <row r="99" spans="1:5" ht="11.25" customHeight="1" x14ac:dyDescent="0.25">
      <c r="A99" s="8" t="s">
        <v>396</v>
      </c>
      <c r="B99" s="8" t="s">
        <v>397</v>
      </c>
      <c r="C99" s="8" t="s">
        <v>398</v>
      </c>
      <c r="D99" s="8">
        <v>349</v>
      </c>
      <c r="E99" s="8" t="s">
        <v>399</v>
      </c>
    </row>
    <row r="100" spans="1:5" ht="11.25" customHeight="1" x14ac:dyDescent="0.25">
      <c r="A100" s="8" t="s">
        <v>396</v>
      </c>
      <c r="B100" s="8" t="s">
        <v>397</v>
      </c>
      <c r="C100" s="8" t="s">
        <v>398</v>
      </c>
      <c r="D100" s="8">
        <v>350</v>
      </c>
      <c r="E100" s="8" t="s">
        <v>399</v>
      </c>
    </row>
    <row r="101" spans="1:5" ht="11.25" customHeight="1" x14ac:dyDescent="0.25">
      <c r="A101" s="8" t="s">
        <v>396</v>
      </c>
      <c r="B101" s="8" t="s">
        <v>397</v>
      </c>
      <c r="C101" s="8" t="s">
        <v>398</v>
      </c>
      <c r="D101" s="8">
        <v>351</v>
      </c>
      <c r="E101" s="8" t="s">
        <v>399</v>
      </c>
    </row>
    <row r="102" spans="1:5" ht="11.25" customHeight="1" x14ac:dyDescent="0.25">
      <c r="A102" s="8" t="s">
        <v>396</v>
      </c>
      <c r="C102" s="8" t="s">
        <v>704</v>
      </c>
      <c r="D102" s="8">
        <v>39</v>
      </c>
      <c r="E102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5CCB8-E855-4003-88D4-1ED82885A257}">
  <dimension ref="A1:AX85"/>
  <sheetViews>
    <sheetView showGridLines="0" workbookViewId="0"/>
  </sheetViews>
  <sheetFormatPr defaultRowHeight="11.25" x14ac:dyDescent="0.25"/>
  <cols>
    <col min="1" max="1" width="4.7109375" style="66" bestFit="1" customWidth="1"/>
    <col min="2" max="2" width="8.85546875" style="66" bestFit="1" customWidth="1"/>
    <col min="3" max="3" width="8.7109375" style="66" bestFit="1" customWidth="1"/>
    <col min="4" max="4" width="27.140625" style="66" bestFit="1" customWidth="1"/>
    <col min="5" max="5" width="13.5703125" style="66" bestFit="1" customWidth="1"/>
    <col min="6" max="6" width="25.140625" style="66" bestFit="1" customWidth="1"/>
    <col min="7" max="9" width="10.28515625" style="66" bestFit="1" customWidth="1"/>
    <col min="10" max="10" width="6.85546875" style="66" bestFit="1" customWidth="1"/>
    <col min="11" max="11" width="4.5703125" style="66" bestFit="1" customWidth="1"/>
    <col min="12" max="12" width="4.42578125" style="66" bestFit="1" customWidth="1"/>
    <col min="13" max="13" width="6.7109375" style="66" bestFit="1" customWidth="1"/>
    <col min="14" max="14" width="6.28515625" style="66" bestFit="1" customWidth="1"/>
    <col min="15" max="15" width="11.140625" style="66" bestFit="1" customWidth="1"/>
    <col min="16" max="16" width="10.42578125" style="66" bestFit="1" customWidth="1"/>
    <col min="17" max="16384" width="9.140625" style="66"/>
  </cols>
  <sheetData>
    <row r="1" spans="1:50" ht="11.25" customHeight="1" x14ac:dyDescent="0.25">
      <c r="A1" s="67" t="s">
        <v>758</v>
      </c>
      <c r="B1" s="67" t="s">
        <v>749</v>
      </c>
      <c r="C1" s="67" t="s">
        <v>1</v>
      </c>
      <c r="D1" s="67" t="s">
        <v>2</v>
      </c>
      <c r="E1" s="67" t="s">
        <v>3</v>
      </c>
      <c r="F1" s="67" t="s">
        <v>4</v>
      </c>
      <c r="G1" s="67" t="s">
        <v>5</v>
      </c>
      <c r="H1" s="67" t="s">
        <v>6</v>
      </c>
      <c r="I1" s="67" t="s">
        <v>7</v>
      </c>
      <c r="J1" s="67" t="s">
        <v>750</v>
      </c>
      <c r="K1" s="67" t="s">
        <v>751</v>
      </c>
      <c r="L1" s="67" t="s">
        <v>752</v>
      </c>
      <c r="M1" s="67" t="s">
        <v>753</v>
      </c>
      <c r="N1" s="67" t="s">
        <v>754</v>
      </c>
      <c r="O1" s="67" t="s">
        <v>637</v>
      </c>
      <c r="P1" s="67" t="s">
        <v>623</v>
      </c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</row>
    <row r="2" spans="1:50" ht="11.25" customHeight="1" x14ac:dyDescent="0.25">
      <c r="A2" s="68">
        <v>1</v>
      </c>
      <c r="B2" s="68" t="s">
        <v>617</v>
      </c>
      <c r="C2" s="68" t="s">
        <v>33</v>
      </c>
      <c r="D2" s="68" t="s">
        <v>41</v>
      </c>
      <c r="E2" s="68" t="s">
        <v>25</v>
      </c>
      <c r="F2" s="68" t="s">
        <v>25</v>
      </c>
      <c r="G2" s="68" t="s">
        <v>25</v>
      </c>
      <c r="H2" s="68" t="s">
        <v>25</v>
      </c>
      <c r="I2" s="68" t="s">
        <v>35</v>
      </c>
      <c r="J2" s="68" t="s">
        <v>755</v>
      </c>
      <c r="K2" s="68" t="s">
        <v>756</v>
      </c>
      <c r="L2" s="68" t="s">
        <v>79</v>
      </c>
      <c r="M2" s="68">
        <v>2021</v>
      </c>
      <c r="N2" s="68">
        <v>0</v>
      </c>
      <c r="O2" s="68">
        <v>36.700000000000003</v>
      </c>
      <c r="P2" s="68">
        <v>0</v>
      </c>
    </row>
    <row r="3" spans="1:50" ht="11.25" customHeight="1" x14ac:dyDescent="0.25">
      <c r="A3" s="68">
        <v>2</v>
      </c>
      <c r="B3" s="68" t="s">
        <v>617</v>
      </c>
      <c r="C3" s="68" t="s">
        <v>33</v>
      </c>
      <c r="D3" s="68" t="s">
        <v>41</v>
      </c>
      <c r="E3" s="68" t="s">
        <v>25</v>
      </c>
      <c r="F3" s="68" t="s">
        <v>25</v>
      </c>
      <c r="G3" s="68" t="s">
        <v>25</v>
      </c>
      <c r="H3" s="68" t="s">
        <v>25</v>
      </c>
      <c r="I3" s="68" t="s">
        <v>36</v>
      </c>
      <c r="J3" s="68" t="s">
        <v>755</v>
      </c>
      <c r="K3" s="68" t="s">
        <v>756</v>
      </c>
      <c r="L3" s="68" t="s">
        <v>79</v>
      </c>
      <c r="M3" s="68">
        <v>2021</v>
      </c>
      <c r="N3" s="68">
        <v>0</v>
      </c>
      <c r="O3" s="68">
        <v>19.32</v>
      </c>
      <c r="P3" s="68">
        <v>0</v>
      </c>
    </row>
    <row r="4" spans="1:50" ht="11.25" customHeight="1" x14ac:dyDescent="0.25">
      <c r="A4" s="68">
        <v>3</v>
      </c>
      <c r="B4" s="68" t="s">
        <v>617</v>
      </c>
      <c r="C4" s="68" t="s">
        <v>33</v>
      </c>
      <c r="D4" s="68" t="s">
        <v>41</v>
      </c>
      <c r="E4" s="68" t="s">
        <v>25</v>
      </c>
      <c r="F4" s="68" t="s">
        <v>25</v>
      </c>
      <c r="G4" s="68" t="s">
        <v>25</v>
      </c>
      <c r="H4" s="68" t="s">
        <v>25</v>
      </c>
      <c r="I4" s="68" t="s">
        <v>25</v>
      </c>
      <c r="J4" s="68" t="s">
        <v>757</v>
      </c>
      <c r="K4" s="68" t="s">
        <v>756</v>
      </c>
      <c r="L4" s="68" t="s">
        <v>76</v>
      </c>
      <c r="M4" s="68">
        <v>2021</v>
      </c>
      <c r="N4" s="68">
        <v>0</v>
      </c>
      <c r="O4" s="68">
        <v>65.61</v>
      </c>
      <c r="P4" s="68">
        <v>49.8626855447461</v>
      </c>
    </row>
    <row r="5" spans="1:50" ht="11.25" customHeight="1" x14ac:dyDescent="0.25">
      <c r="A5" s="68">
        <v>4</v>
      </c>
      <c r="B5" s="68" t="s">
        <v>617</v>
      </c>
      <c r="C5" s="68" t="s">
        <v>33</v>
      </c>
      <c r="D5" s="68" t="s">
        <v>41</v>
      </c>
      <c r="E5" s="68" t="s">
        <v>25</v>
      </c>
      <c r="F5" s="68" t="s">
        <v>25</v>
      </c>
      <c r="G5" s="68" t="s">
        <v>83</v>
      </c>
      <c r="H5" s="68" t="s">
        <v>25</v>
      </c>
      <c r="I5" s="68" t="s">
        <v>25</v>
      </c>
      <c r="J5" s="68" t="s">
        <v>757</v>
      </c>
      <c r="K5" s="68" t="s">
        <v>756</v>
      </c>
      <c r="L5" s="68" t="s">
        <v>76</v>
      </c>
      <c r="M5" s="68">
        <v>2021</v>
      </c>
      <c r="N5" s="68">
        <v>0</v>
      </c>
      <c r="O5" s="68">
        <v>6.52</v>
      </c>
      <c r="P5" s="68">
        <v>0</v>
      </c>
    </row>
    <row r="6" spans="1:50" ht="11.25" customHeight="1" x14ac:dyDescent="0.25">
      <c r="A6" s="68">
        <v>5</v>
      </c>
      <c r="B6" s="68" t="s">
        <v>617</v>
      </c>
      <c r="C6" s="68" t="s">
        <v>33</v>
      </c>
      <c r="D6" s="68" t="s">
        <v>84</v>
      </c>
      <c r="E6" s="68" t="s">
        <v>25</v>
      </c>
      <c r="F6" s="68" t="s">
        <v>25</v>
      </c>
      <c r="G6" s="68" t="s">
        <v>25</v>
      </c>
      <c r="H6" s="68" t="s">
        <v>25</v>
      </c>
      <c r="I6" s="68" t="s">
        <v>25</v>
      </c>
      <c r="J6" s="68" t="s">
        <v>755</v>
      </c>
      <c r="K6" s="68" t="s">
        <v>756</v>
      </c>
      <c r="L6" s="68" t="s">
        <v>79</v>
      </c>
      <c r="M6" s="68">
        <v>2021</v>
      </c>
      <c r="N6" s="68">
        <v>0</v>
      </c>
      <c r="O6" s="68">
        <v>2.97</v>
      </c>
      <c r="P6" s="68">
        <v>0</v>
      </c>
    </row>
    <row r="7" spans="1:50" ht="11.25" customHeight="1" x14ac:dyDescent="0.25">
      <c r="A7" s="68">
        <v>6</v>
      </c>
      <c r="B7" s="68" t="s">
        <v>617</v>
      </c>
      <c r="C7" s="68" t="s">
        <v>33</v>
      </c>
      <c r="D7" s="68" t="s">
        <v>34</v>
      </c>
      <c r="E7" s="68" t="s">
        <v>25</v>
      </c>
      <c r="F7" s="68" t="s">
        <v>25</v>
      </c>
      <c r="G7" s="68" t="s">
        <v>25</v>
      </c>
      <c r="H7" s="68" t="s">
        <v>25</v>
      </c>
      <c r="I7" s="68" t="s">
        <v>25</v>
      </c>
      <c r="J7" s="68" t="s">
        <v>755</v>
      </c>
      <c r="K7" s="68" t="s">
        <v>756</v>
      </c>
      <c r="L7" s="68" t="s">
        <v>79</v>
      </c>
      <c r="M7" s="68">
        <v>2021</v>
      </c>
      <c r="N7" s="68">
        <v>0</v>
      </c>
      <c r="O7" s="68">
        <v>19.32</v>
      </c>
      <c r="P7" s="68">
        <v>0</v>
      </c>
    </row>
    <row r="8" spans="1:50" ht="11.25" customHeight="1" x14ac:dyDescent="0.25">
      <c r="A8" s="68">
        <v>7</v>
      </c>
      <c r="B8" s="68" t="s">
        <v>617</v>
      </c>
      <c r="C8" s="68" t="s">
        <v>33</v>
      </c>
      <c r="D8" s="68" t="s">
        <v>34</v>
      </c>
      <c r="E8" s="68" t="s">
        <v>25</v>
      </c>
      <c r="F8" s="68" t="s">
        <v>25</v>
      </c>
      <c r="G8" s="68" t="s">
        <v>25</v>
      </c>
      <c r="H8" s="68" t="s">
        <v>25</v>
      </c>
      <c r="I8" s="68" t="s">
        <v>35</v>
      </c>
      <c r="J8" s="68" t="s">
        <v>757</v>
      </c>
      <c r="K8" s="68" t="s">
        <v>756</v>
      </c>
      <c r="L8" s="68" t="s">
        <v>76</v>
      </c>
      <c r="M8" s="68">
        <v>2021</v>
      </c>
      <c r="N8" s="68">
        <v>0</v>
      </c>
      <c r="O8" s="68">
        <v>948.15</v>
      </c>
      <c r="P8" s="68">
        <v>49.8626855447461</v>
      </c>
    </row>
    <row r="9" spans="1:50" ht="11.25" customHeight="1" x14ac:dyDescent="0.25">
      <c r="A9" s="68">
        <v>8</v>
      </c>
      <c r="B9" s="68" t="s">
        <v>617</v>
      </c>
      <c r="C9" s="68" t="s">
        <v>33</v>
      </c>
      <c r="D9" s="68" t="s">
        <v>34</v>
      </c>
      <c r="E9" s="68" t="s">
        <v>25</v>
      </c>
      <c r="F9" s="68" t="s">
        <v>25</v>
      </c>
      <c r="G9" s="68" t="s">
        <v>25</v>
      </c>
      <c r="H9" s="68" t="s">
        <v>25</v>
      </c>
      <c r="I9" s="68" t="s">
        <v>36</v>
      </c>
      <c r="J9" s="68" t="s">
        <v>757</v>
      </c>
      <c r="K9" s="68" t="s">
        <v>756</v>
      </c>
      <c r="L9" s="68" t="s">
        <v>76</v>
      </c>
      <c r="M9" s="68">
        <v>2021</v>
      </c>
      <c r="N9" s="68">
        <v>0</v>
      </c>
      <c r="O9" s="68">
        <v>65.61</v>
      </c>
      <c r="P9" s="68">
        <v>49.8626855447461</v>
      </c>
    </row>
    <row r="10" spans="1:50" ht="11.25" customHeight="1" x14ac:dyDescent="0.25">
      <c r="A10" s="68">
        <v>9</v>
      </c>
      <c r="B10" s="68" t="s">
        <v>617</v>
      </c>
      <c r="C10" s="68" t="s">
        <v>33</v>
      </c>
      <c r="D10" s="68" t="s">
        <v>34</v>
      </c>
      <c r="E10" s="68" t="s">
        <v>25</v>
      </c>
      <c r="F10" s="68" t="s">
        <v>25</v>
      </c>
      <c r="G10" s="68" t="s">
        <v>83</v>
      </c>
      <c r="H10" s="68" t="s">
        <v>25</v>
      </c>
      <c r="I10" s="68" t="s">
        <v>35</v>
      </c>
      <c r="J10" s="68" t="s">
        <v>757</v>
      </c>
      <c r="K10" s="68" t="s">
        <v>756</v>
      </c>
      <c r="L10" s="68" t="s">
        <v>76</v>
      </c>
      <c r="M10" s="68">
        <v>2021</v>
      </c>
      <c r="N10" s="68">
        <v>0</v>
      </c>
      <c r="O10" s="68">
        <v>889.05</v>
      </c>
      <c r="P10" s="68">
        <v>0</v>
      </c>
    </row>
    <row r="11" spans="1:50" ht="11.25" customHeight="1" x14ac:dyDescent="0.25">
      <c r="A11" s="68">
        <v>10</v>
      </c>
      <c r="B11" s="68" t="s">
        <v>617</v>
      </c>
      <c r="C11" s="68" t="s">
        <v>33</v>
      </c>
      <c r="D11" s="68" t="s">
        <v>34</v>
      </c>
      <c r="E11" s="68" t="s">
        <v>25</v>
      </c>
      <c r="F11" s="68" t="s">
        <v>25</v>
      </c>
      <c r="G11" s="68" t="s">
        <v>83</v>
      </c>
      <c r="H11" s="68" t="s">
        <v>25</v>
      </c>
      <c r="I11" s="68" t="s">
        <v>36</v>
      </c>
      <c r="J11" s="68" t="s">
        <v>757</v>
      </c>
      <c r="K11" s="68" t="s">
        <v>756</v>
      </c>
      <c r="L11" s="68" t="s">
        <v>76</v>
      </c>
      <c r="M11" s="68">
        <v>2021</v>
      </c>
      <c r="N11" s="68">
        <v>0</v>
      </c>
      <c r="O11" s="68">
        <v>6.52</v>
      </c>
      <c r="P11" s="68">
        <v>0</v>
      </c>
    </row>
    <row r="12" spans="1:50" ht="11.25" customHeight="1" x14ac:dyDescent="0.25">
      <c r="A12" s="68">
        <v>11</v>
      </c>
      <c r="B12" s="68" t="s">
        <v>617</v>
      </c>
      <c r="C12" s="68" t="s">
        <v>85</v>
      </c>
      <c r="D12" s="68" t="s">
        <v>84</v>
      </c>
      <c r="E12" s="68" t="s">
        <v>25</v>
      </c>
      <c r="F12" s="68" t="s">
        <v>25</v>
      </c>
      <c r="G12" s="68" t="s">
        <v>86</v>
      </c>
      <c r="H12" s="68" t="s">
        <v>25</v>
      </c>
      <c r="I12" s="68" t="s">
        <v>25</v>
      </c>
      <c r="J12" s="68" t="s">
        <v>755</v>
      </c>
      <c r="K12" s="68" t="s">
        <v>756</v>
      </c>
      <c r="L12" s="68" t="s">
        <v>79</v>
      </c>
      <c r="M12" s="68">
        <v>2021</v>
      </c>
      <c r="N12" s="68">
        <v>0</v>
      </c>
      <c r="O12" s="68">
        <v>0</v>
      </c>
      <c r="P12" s="68">
        <v>0</v>
      </c>
    </row>
    <row r="13" spans="1:50" ht="11.25" customHeight="1" x14ac:dyDescent="0.25">
      <c r="A13" s="68">
        <v>12</v>
      </c>
      <c r="B13" s="68" t="s">
        <v>617</v>
      </c>
      <c r="C13" s="68" t="s">
        <v>85</v>
      </c>
      <c r="D13" s="68" t="s">
        <v>84</v>
      </c>
      <c r="E13" s="68" t="s">
        <v>25</v>
      </c>
      <c r="F13" s="68" t="s">
        <v>25</v>
      </c>
      <c r="G13" s="68" t="s">
        <v>87</v>
      </c>
      <c r="H13" s="68" t="s">
        <v>25</v>
      </c>
      <c r="I13" s="68" t="s">
        <v>25</v>
      </c>
      <c r="J13" s="68" t="s">
        <v>755</v>
      </c>
      <c r="K13" s="68" t="s">
        <v>756</v>
      </c>
      <c r="L13" s="68" t="s">
        <v>79</v>
      </c>
      <c r="M13" s="68">
        <v>2021</v>
      </c>
      <c r="N13" s="68">
        <v>0</v>
      </c>
      <c r="O13" s="68">
        <v>0</v>
      </c>
      <c r="P13" s="68">
        <v>0</v>
      </c>
    </row>
    <row r="14" spans="1:50" ht="11.25" customHeight="1" x14ac:dyDescent="0.25">
      <c r="A14" s="68">
        <v>13</v>
      </c>
      <c r="B14" s="68" t="s">
        <v>617</v>
      </c>
      <c r="C14" s="68" t="s">
        <v>22</v>
      </c>
      <c r="D14" s="68" t="s">
        <v>37</v>
      </c>
      <c r="E14" s="68" t="s">
        <v>24</v>
      </c>
      <c r="F14" s="68" t="s">
        <v>24</v>
      </c>
      <c r="G14" s="68" t="s">
        <v>25</v>
      </c>
      <c r="H14" s="68" t="s">
        <v>25</v>
      </c>
      <c r="I14" s="68" t="s">
        <v>35</v>
      </c>
      <c r="J14" s="68" t="s">
        <v>757</v>
      </c>
      <c r="K14" s="68" t="s">
        <v>756</v>
      </c>
      <c r="L14" s="68" t="s">
        <v>76</v>
      </c>
      <c r="M14" s="68">
        <v>2021</v>
      </c>
      <c r="N14" s="68">
        <v>0</v>
      </c>
      <c r="O14" s="68">
        <v>562.1</v>
      </c>
      <c r="P14" s="68">
        <v>57.3134316606277</v>
      </c>
    </row>
    <row r="15" spans="1:50" ht="11.25" customHeight="1" x14ac:dyDescent="0.25">
      <c r="A15" s="68">
        <v>14</v>
      </c>
      <c r="B15" s="68" t="s">
        <v>617</v>
      </c>
      <c r="C15" s="68" t="s">
        <v>22</v>
      </c>
      <c r="D15" s="68" t="s">
        <v>37</v>
      </c>
      <c r="E15" s="68" t="s">
        <v>24</v>
      </c>
      <c r="F15" s="68" t="s">
        <v>24</v>
      </c>
      <c r="G15" s="68" t="s">
        <v>25</v>
      </c>
      <c r="H15" s="68" t="s">
        <v>25</v>
      </c>
      <c r="I15" s="68" t="s">
        <v>38</v>
      </c>
      <c r="J15" s="68" t="s">
        <v>757</v>
      </c>
      <c r="K15" s="68" t="s">
        <v>756</v>
      </c>
      <c r="L15" s="68" t="s">
        <v>76</v>
      </c>
      <c r="M15" s="68">
        <v>2021</v>
      </c>
      <c r="N15" s="68">
        <v>0</v>
      </c>
      <c r="O15" s="68">
        <v>369.83</v>
      </c>
      <c r="P15" s="68">
        <v>57.3134316606277</v>
      </c>
    </row>
    <row r="16" spans="1:50" ht="11.25" customHeight="1" x14ac:dyDescent="0.25">
      <c r="A16" s="68">
        <v>15</v>
      </c>
      <c r="B16" s="68" t="s">
        <v>617</v>
      </c>
      <c r="C16" s="68" t="s">
        <v>22</v>
      </c>
      <c r="D16" s="68" t="s">
        <v>37</v>
      </c>
      <c r="E16" s="68" t="s">
        <v>24</v>
      </c>
      <c r="F16" s="68" t="s">
        <v>24</v>
      </c>
      <c r="G16" s="68" t="s">
        <v>25</v>
      </c>
      <c r="H16" s="68" t="s">
        <v>25</v>
      </c>
      <c r="I16" s="68" t="s">
        <v>36</v>
      </c>
      <c r="J16" s="68" t="s">
        <v>757</v>
      </c>
      <c r="K16" s="68" t="s">
        <v>756</v>
      </c>
      <c r="L16" s="68" t="s">
        <v>76</v>
      </c>
      <c r="M16" s="68">
        <v>2021</v>
      </c>
      <c r="N16" s="68">
        <v>0</v>
      </c>
      <c r="O16" s="68">
        <v>177.55</v>
      </c>
      <c r="P16" s="68">
        <v>57.3134316606277</v>
      </c>
    </row>
    <row r="17" spans="1:16" ht="11.25" customHeight="1" x14ac:dyDescent="0.25">
      <c r="A17" s="68">
        <v>16</v>
      </c>
      <c r="B17" s="68" t="s">
        <v>617</v>
      </c>
      <c r="C17" s="68" t="s">
        <v>22</v>
      </c>
      <c r="D17" s="68" t="s">
        <v>23</v>
      </c>
      <c r="E17" s="68" t="s">
        <v>24</v>
      </c>
      <c r="F17" s="68" t="s">
        <v>24</v>
      </c>
      <c r="G17" s="68" t="s">
        <v>25</v>
      </c>
      <c r="H17" s="68" t="s">
        <v>25</v>
      </c>
      <c r="I17" s="68" t="s">
        <v>25</v>
      </c>
      <c r="J17" s="68" t="s">
        <v>757</v>
      </c>
      <c r="K17" s="68" t="s">
        <v>756</v>
      </c>
      <c r="L17" s="68" t="s">
        <v>76</v>
      </c>
      <c r="M17" s="68">
        <v>2021</v>
      </c>
      <c r="N17" s="68">
        <v>0</v>
      </c>
      <c r="O17" s="68">
        <v>273.69</v>
      </c>
      <c r="P17" s="68">
        <v>57.3134316606277</v>
      </c>
    </row>
    <row r="18" spans="1:16" ht="11.25" customHeight="1" x14ac:dyDescent="0.25">
      <c r="A18" s="68">
        <v>17</v>
      </c>
      <c r="B18" s="68" t="s">
        <v>617</v>
      </c>
      <c r="C18" s="68" t="s">
        <v>22</v>
      </c>
      <c r="D18" s="68" t="s">
        <v>23</v>
      </c>
      <c r="E18" s="68" t="s">
        <v>24</v>
      </c>
      <c r="F18" s="68" t="s">
        <v>29</v>
      </c>
      <c r="G18" s="68" t="s">
        <v>25</v>
      </c>
      <c r="H18" s="68" t="s">
        <v>25</v>
      </c>
      <c r="I18" s="68" t="s">
        <v>25</v>
      </c>
      <c r="J18" s="68" t="s">
        <v>757</v>
      </c>
      <c r="K18" s="68" t="s">
        <v>756</v>
      </c>
      <c r="L18" s="68" t="s">
        <v>76</v>
      </c>
      <c r="M18" s="68">
        <v>2021</v>
      </c>
      <c r="N18" s="68">
        <v>0</v>
      </c>
      <c r="O18" s="68">
        <v>72.489999999999995</v>
      </c>
      <c r="P18" s="68">
        <v>0</v>
      </c>
    </row>
    <row r="19" spans="1:16" ht="11.25" customHeight="1" x14ac:dyDescent="0.25">
      <c r="A19" s="68">
        <v>18</v>
      </c>
      <c r="B19" s="68" t="s">
        <v>617</v>
      </c>
      <c r="C19" s="68" t="s">
        <v>22</v>
      </c>
      <c r="D19" s="68" t="s">
        <v>23</v>
      </c>
      <c r="E19" s="68" t="s">
        <v>24</v>
      </c>
      <c r="F19" s="68" t="s">
        <v>30</v>
      </c>
      <c r="G19" s="68" t="s">
        <v>25</v>
      </c>
      <c r="H19" s="68" t="s">
        <v>25</v>
      </c>
      <c r="I19" s="68" t="s">
        <v>25</v>
      </c>
      <c r="J19" s="68" t="s">
        <v>757</v>
      </c>
      <c r="K19" s="68" t="s">
        <v>756</v>
      </c>
      <c r="L19" s="68" t="s">
        <v>76</v>
      </c>
      <c r="M19" s="68">
        <v>2021</v>
      </c>
      <c r="N19" s="68">
        <v>0</v>
      </c>
      <c r="O19" s="68">
        <v>124.26</v>
      </c>
      <c r="P19" s="68">
        <v>0</v>
      </c>
    </row>
    <row r="20" spans="1:16" ht="11.25" customHeight="1" x14ac:dyDescent="0.25">
      <c r="A20" s="68">
        <v>19</v>
      </c>
      <c r="B20" s="68" t="s">
        <v>617</v>
      </c>
      <c r="C20" s="68" t="s">
        <v>22</v>
      </c>
      <c r="D20" s="68" t="s">
        <v>23</v>
      </c>
      <c r="E20" s="68" t="s">
        <v>24</v>
      </c>
      <c r="F20" s="68" t="s">
        <v>31</v>
      </c>
      <c r="G20" s="68" t="s">
        <v>25</v>
      </c>
      <c r="H20" s="68" t="s">
        <v>25</v>
      </c>
      <c r="I20" s="68" t="s">
        <v>25</v>
      </c>
      <c r="J20" s="68" t="s">
        <v>757</v>
      </c>
      <c r="K20" s="68" t="s">
        <v>756</v>
      </c>
      <c r="L20" s="68" t="s">
        <v>76</v>
      </c>
      <c r="M20" s="68">
        <v>2021</v>
      </c>
      <c r="N20" s="68">
        <v>0</v>
      </c>
      <c r="O20" s="68">
        <v>186.4</v>
      </c>
      <c r="P20" s="68">
        <v>0</v>
      </c>
    </row>
    <row r="21" spans="1:16" ht="11.25" customHeight="1" x14ac:dyDescent="0.25">
      <c r="A21" s="68">
        <v>20</v>
      </c>
      <c r="B21" s="68" t="s">
        <v>617</v>
      </c>
      <c r="C21" s="68" t="s">
        <v>22</v>
      </c>
      <c r="D21" s="68" t="s">
        <v>23</v>
      </c>
      <c r="E21" s="68" t="s">
        <v>24</v>
      </c>
      <c r="F21" s="68" t="s">
        <v>32</v>
      </c>
      <c r="G21" s="68" t="s">
        <v>25</v>
      </c>
      <c r="H21" s="68" t="s">
        <v>25</v>
      </c>
      <c r="I21" s="68" t="s">
        <v>25</v>
      </c>
      <c r="J21" s="68" t="s">
        <v>757</v>
      </c>
      <c r="K21" s="68" t="s">
        <v>756</v>
      </c>
      <c r="L21" s="68" t="s">
        <v>76</v>
      </c>
      <c r="M21" s="68">
        <v>2021</v>
      </c>
      <c r="N21" s="68">
        <v>0</v>
      </c>
      <c r="O21" s="68">
        <v>207.11</v>
      </c>
      <c r="P21" s="68">
        <v>0</v>
      </c>
    </row>
    <row r="22" spans="1:16" ht="11.25" customHeight="1" x14ac:dyDescent="0.25">
      <c r="A22" s="68">
        <v>21</v>
      </c>
      <c r="B22" s="68" t="s">
        <v>617</v>
      </c>
      <c r="C22" s="68" t="s">
        <v>22</v>
      </c>
      <c r="D22" s="68" t="s">
        <v>91</v>
      </c>
      <c r="E22" s="68" t="s">
        <v>24</v>
      </c>
      <c r="F22" s="68" t="s">
        <v>24</v>
      </c>
      <c r="G22" s="68" t="s">
        <v>25</v>
      </c>
      <c r="H22" s="68" t="s">
        <v>25</v>
      </c>
      <c r="I22" s="68" t="s">
        <v>25</v>
      </c>
      <c r="J22" s="68" t="s">
        <v>757</v>
      </c>
      <c r="K22" s="68" t="s">
        <v>756</v>
      </c>
      <c r="L22" s="68" t="s">
        <v>76</v>
      </c>
      <c r="M22" s="68">
        <v>2021</v>
      </c>
      <c r="N22" s="68">
        <v>0</v>
      </c>
      <c r="O22" s="68">
        <v>273.69</v>
      </c>
      <c r="P22" s="68">
        <v>57.3134316606277</v>
      </c>
    </row>
    <row r="23" spans="1:16" ht="11.25" customHeight="1" x14ac:dyDescent="0.25">
      <c r="A23" s="68">
        <v>22</v>
      </c>
      <c r="B23" s="68" t="s">
        <v>617</v>
      </c>
      <c r="C23" s="68" t="s">
        <v>22</v>
      </c>
      <c r="D23" s="68" t="s">
        <v>91</v>
      </c>
      <c r="E23" s="68" t="s">
        <v>24</v>
      </c>
      <c r="F23" s="68" t="s">
        <v>29</v>
      </c>
      <c r="G23" s="68" t="s">
        <v>25</v>
      </c>
      <c r="H23" s="68" t="s">
        <v>25</v>
      </c>
      <c r="I23" s="68" t="s">
        <v>25</v>
      </c>
      <c r="J23" s="68" t="s">
        <v>757</v>
      </c>
      <c r="K23" s="68" t="s">
        <v>756</v>
      </c>
      <c r="L23" s="68" t="s">
        <v>76</v>
      </c>
      <c r="M23" s="68">
        <v>2021</v>
      </c>
      <c r="N23" s="68">
        <v>0</v>
      </c>
      <c r="O23" s="68">
        <v>72.489999999999995</v>
      </c>
      <c r="P23" s="68">
        <v>0</v>
      </c>
    </row>
    <row r="24" spans="1:16" ht="11.25" customHeight="1" x14ac:dyDescent="0.25">
      <c r="A24" s="68">
        <v>23</v>
      </c>
      <c r="B24" s="68" t="s">
        <v>617</v>
      </c>
      <c r="C24" s="68" t="s">
        <v>22</v>
      </c>
      <c r="D24" s="68" t="s">
        <v>91</v>
      </c>
      <c r="E24" s="68" t="s">
        <v>24</v>
      </c>
      <c r="F24" s="68" t="s">
        <v>30</v>
      </c>
      <c r="G24" s="68" t="s">
        <v>25</v>
      </c>
      <c r="H24" s="68" t="s">
        <v>25</v>
      </c>
      <c r="I24" s="68" t="s">
        <v>25</v>
      </c>
      <c r="J24" s="68" t="s">
        <v>757</v>
      </c>
      <c r="K24" s="68" t="s">
        <v>756</v>
      </c>
      <c r="L24" s="68" t="s">
        <v>76</v>
      </c>
      <c r="M24" s="68">
        <v>2021</v>
      </c>
      <c r="N24" s="68">
        <v>0</v>
      </c>
      <c r="O24" s="68">
        <v>124.26</v>
      </c>
      <c r="P24" s="68">
        <v>0</v>
      </c>
    </row>
    <row r="25" spans="1:16" ht="11.25" customHeight="1" x14ac:dyDescent="0.25">
      <c r="A25" s="68">
        <v>24</v>
      </c>
      <c r="B25" s="68" t="s">
        <v>617</v>
      </c>
      <c r="C25" s="68" t="s">
        <v>22</v>
      </c>
      <c r="D25" s="68" t="s">
        <v>91</v>
      </c>
      <c r="E25" s="68" t="s">
        <v>24</v>
      </c>
      <c r="F25" s="68" t="s">
        <v>31</v>
      </c>
      <c r="G25" s="68" t="s">
        <v>25</v>
      </c>
      <c r="H25" s="68" t="s">
        <v>25</v>
      </c>
      <c r="I25" s="68" t="s">
        <v>25</v>
      </c>
      <c r="J25" s="68" t="s">
        <v>757</v>
      </c>
      <c r="K25" s="68" t="s">
        <v>756</v>
      </c>
      <c r="L25" s="68" t="s">
        <v>76</v>
      </c>
      <c r="M25" s="68">
        <v>2021</v>
      </c>
      <c r="N25" s="68">
        <v>0</v>
      </c>
      <c r="O25" s="68">
        <v>186.4</v>
      </c>
      <c r="P25" s="68">
        <v>0</v>
      </c>
    </row>
    <row r="26" spans="1:16" ht="11.25" customHeight="1" x14ac:dyDescent="0.25">
      <c r="A26" s="68">
        <v>25</v>
      </c>
      <c r="B26" s="68" t="s">
        <v>617</v>
      </c>
      <c r="C26" s="68" t="s">
        <v>22</v>
      </c>
      <c r="D26" s="68" t="s">
        <v>91</v>
      </c>
      <c r="E26" s="68" t="s">
        <v>24</v>
      </c>
      <c r="F26" s="68" t="s">
        <v>32</v>
      </c>
      <c r="G26" s="68" t="s">
        <v>25</v>
      </c>
      <c r="H26" s="68" t="s">
        <v>25</v>
      </c>
      <c r="I26" s="68" t="s">
        <v>25</v>
      </c>
      <c r="J26" s="68" t="s">
        <v>757</v>
      </c>
      <c r="K26" s="68" t="s">
        <v>756</v>
      </c>
      <c r="L26" s="68" t="s">
        <v>76</v>
      </c>
      <c r="M26" s="68">
        <v>2021</v>
      </c>
      <c r="N26" s="68">
        <v>0</v>
      </c>
      <c r="O26" s="68">
        <v>207.11</v>
      </c>
      <c r="P26" s="68">
        <v>0</v>
      </c>
    </row>
    <row r="27" spans="1:16" ht="11.25" customHeight="1" x14ac:dyDescent="0.25">
      <c r="A27" s="68">
        <v>26</v>
      </c>
      <c r="B27" s="68" t="s">
        <v>617</v>
      </c>
      <c r="C27" s="68" t="s">
        <v>43</v>
      </c>
      <c r="D27" s="68" t="s">
        <v>37</v>
      </c>
      <c r="E27" s="68" t="s">
        <v>44</v>
      </c>
      <c r="F27" s="68" t="s">
        <v>25</v>
      </c>
      <c r="G27" s="68" t="s">
        <v>25</v>
      </c>
      <c r="H27" s="68" t="s">
        <v>25</v>
      </c>
      <c r="I27" s="68" t="s">
        <v>35</v>
      </c>
      <c r="J27" s="68" t="s">
        <v>757</v>
      </c>
      <c r="K27" s="68" t="s">
        <v>756</v>
      </c>
      <c r="L27" s="68" t="s">
        <v>76</v>
      </c>
      <c r="M27" s="68">
        <v>2021</v>
      </c>
      <c r="N27" s="68">
        <v>0</v>
      </c>
      <c r="O27" s="68">
        <v>536.95000000000005</v>
      </c>
      <c r="P27" s="68">
        <v>50.4358198613524</v>
      </c>
    </row>
    <row r="28" spans="1:16" ht="11.25" customHeight="1" x14ac:dyDescent="0.25">
      <c r="A28" s="68">
        <v>27</v>
      </c>
      <c r="B28" s="68" t="s">
        <v>617</v>
      </c>
      <c r="C28" s="68" t="s">
        <v>43</v>
      </c>
      <c r="D28" s="68" t="s">
        <v>37</v>
      </c>
      <c r="E28" s="68" t="s">
        <v>44</v>
      </c>
      <c r="F28" s="68" t="s">
        <v>25</v>
      </c>
      <c r="G28" s="68" t="s">
        <v>25</v>
      </c>
      <c r="H28" s="68" t="s">
        <v>25</v>
      </c>
      <c r="I28" s="68" t="s">
        <v>38</v>
      </c>
      <c r="J28" s="68" t="s">
        <v>757</v>
      </c>
      <c r="K28" s="68" t="s">
        <v>756</v>
      </c>
      <c r="L28" s="68" t="s">
        <v>76</v>
      </c>
      <c r="M28" s="68">
        <v>2021</v>
      </c>
      <c r="N28" s="68">
        <v>0</v>
      </c>
      <c r="O28" s="68">
        <v>350.83</v>
      </c>
      <c r="P28" s="68">
        <v>50.4358198613524</v>
      </c>
    </row>
    <row r="29" spans="1:16" ht="11.25" customHeight="1" x14ac:dyDescent="0.25">
      <c r="A29" s="68">
        <v>28</v>
      </c>
      <c r="B29" s="68" t="s">
        <v>617</v>
      </c>
      <c r="C29" s="68" t="s">
        <v>43</v>
      </c>
      <c r="D29" s="68" t="s">
        <v>37</v>
      </c>
      <c r="E29" s="68" t="s">
        <v>44</v>
      </c>
      <c r="F29" s="68" t="s">
        <v>25</v>
      </c>
      <c r="G29" s="68" t="s">
        <v>25</v>
      </c>
      <c r="H29" s="68" t="s">
        <v>25</v>
      </c>
      <c r="I29" s="68" t="s">
        <v>36</v>
      </c>
      <c r="J29" s="68" t="s">
        <v>757</v>
      </c>
      <c r="K29" s="68" t="s">
        <v>756</v>
      </c>
      <c r="L29" s="68" t="s">
        <v>76</v>
      </c>
      <c r="M29" s="68">
        <v>2021</v>
      </c>
      <c r="N29" s="68">
        <v>0</v>
      </c>
      <c r="O29" s="68">
        <v>164.71</v>
      </c>
      <c r="P29" s="68">
        <v>50.4358198613524</v>
      </c>
    </row>
    <row r="30" spans="1:16" ht="11.25" customHeight="1" x14ac:dyDescent="0.25">
      <c r="A30" s="68">
        <v>29</v>
      </c>
      <c r="B30" s="68" t="s">
        <v>617</v>
      </c>
      <c r="C30" s="68" t="s">
        <v>43</v>
      </c>
      <c r="D30" s="68" t="s">
        <v>23</v>
      </c>
      <c r="E30" s="68" t="s">
        <v>44</v>
      </c>
      <c r="F30" s="68" t="s">
        <v>25</v>
      </c>
      <c r="G30" s="68" t="s">
        <v>25</v>
      </c>
      <c r="H30" s="68" t="s">
        <v>25</v>
      </c>
      <c r="I30" s="68" t="s">
        <v>25</v>
      </c>
      <c r="J30" s="68" t="s">
        <v>757</v>
      </c>
      <c r="K30" s="68" t="s">
        <v>756</v>
      </c>
      <c r="L30" s="68" t="s">
        <v>76</v>
      </c>
      <c r="M30" s="68">
        <v>2021</v>
      </c>
      <c r="N30" s="68">
        <v>0</v>
      </c>
      <c r="O30" s="68">
        <v>240.85</v>
      </c>
      <c r="P30" s="68">
        <v>50.4358198613524</v>
      </c>
    </row>
    <row r="31" spans="1:16" ht="11.25" customHeight="1" x14ac:dyDescent="0.25">
      <c r="A31" s="68">
        <v>30</v>
      </c>
      <c r="B31" s="68" t="s">
        <v>617</v>
      </c>
      <c r="C31" s="68" t="s">
        <v>43</v>
      </c>
      <c r="D31" s="68" t="s">
        <v>37</v>
      </c>
      <c r="E31" s="68" t="s">
        <v>44</v>
      </c>
      <c r="F31" s="68" t="s">
        <v>92</v>
      </c>
      <c r="G31" s="68" t="s">
        <v>25</v>
      </c>
      <c r="H31" s="68" t="s">
        <v>25</v>
      </c>
      <c r="I31" s="68" t="s">
        <v>35</v>
      </c>
      <c r="J31" s="68" t="s">
        <v>757</v>
      </c>
      <c r="K31" s="68" t="s">
        <v>756</v>
      </c>
      <c r="L31" s="68" t="s">
        <v>76</v>
      </c>
      <c r="M31" s="68">
        <v>2021</v>
      </c>
      <c r="N31" s="68">
        <v>0</v>
      </c>
      <c r="O31" s="68">
        <v>536.95000000000005</v>
      </c>
      <c r="P31" s="68">
        <v>50.4358198613524</v>
      </c>
    </row>
    <row r="32" spans="1:16" ht="11.25" customHeight="1" x14ac:dyDescent="0.25">
      <c r="A32" s="68">
        <v>31</v>
      </c>
      <c r="B32" s="68" t="s">
        <v>617</v>
      </c>
      <c r="C32" s="68" t="s">
        <v>43</v>
      </c>
      <c r="D32" s="68" t="s">
        <v>37</v>
      </c>
      <c r="E32" s="68" t="s">
        <v>44</v>
      </c>
      <c r="F32" s="68" t="s">
        <v>92</v>
      </c>
      <c r="G32" s="68" t="s">
        <v>25</v>
      </c>
      <c r="H32" s="68" t="s">
        <v>25</v>
      </c>
      <c r="I32" s="68" t="s">
        <v>38</v>
      </c>
      <c r="J32" s="68" t="s">
        <v>757</v>
      </c>
      <c r="K32" s="68" t="s">
        <v>756</v>
      </c>
      <c r="L32" s="68" t="s">
        <v>76</v>
      </c>
      <c r="M32" s="68">
        <v>2021</v>
      </c>
      <c r="N32" s="68">
        <v>0</v>
      </c>
      <c r="O32" s="68">
        <v>350.83</v>
      </c>
      <c r="P32" s="68">
        <v>50.4358198613524</v>
      </c>
    </row>
    <row r="33" spans="1:16" ht="11.25" customHeight="1" x14ac:dyDescent="0.25">
      <c r="A33" s="68">
        <v>32</v>
      </c>
      <c r="B33" s="68" t="s">
        <v>617</v>
      </c>
      <c r="C33" s="68" t="s">
        <v>43</v>
      </c>
      <c r="D33" s="68" t="s">
        <v>37</v>
      </c>
      <c r="E33" s="68" t="s">
        <v>44</v>
      </c>
      <c r="F33" s="68" t="s">
        <v>92</v>
      </c>
      <c r="G33" s="68" t="s">
        <v>25</v>
      </c>
      <c r="H33" s="68" t="s">
        <v>25</v>
      </c>
      <c r="I33" s="68" t="s">
        <v>36</v>
      </c>
      <c r="J33" s="68" t="s">
        <v>757</v>
      </c>
      <c r="K33" s="68" t="s">
        <v>756</v>
      </c>
      <c r="L33" s="68" t="s">
        <v>76</v>
      </c>
      <c r="M33" s="68">
        <v>2021</v>
      </c>
      <c r="N33" s="68">
        <v>0</v>
      </c>
      <c r="O33" s="68">
        <v>164.71</v>
      </c>
      <c r="P33" s="68">
        <v>50.4358198613524</v>
      </c>
    </row>
    <row r="34" spans="1:16" ht="11.25" customHeight="1" x14ac:dyDescent="0.25">
      <c r="A34" s="68">
        <v>33</v>
      </c>
      <c r="B34" s="68" t="s">
        <v>617</v>
      </c>
      <c r="C34" s="68" t="s">
        <v>43</v>
      </c>
      <c r="D34" s="68" t="s">
        <v>23</v>
      </c>
      <c r="E34" s="68" t="s">
        <v>44</v>
      </c>
      <c r="F34" s="68" t="s">
        <v>92</v>
      </c>
      <c r="G34" s="68" t="s">
        <v>25</v>
      </c>
      <c r="H34" s="68" t="s">
        <v>25</v>
      </c>
      <c r="I34" s="68" t="s">
        <v>25</v>
      </c>
      <c r="J34" s="68" t="s">
        <v>757</v>
      </c>
      <c r="K34" s="68" t="s">
        <v>756</v>
      </c>
      <c r="L34" s="68" t="s">
        <v>76</v>
      </c>
      <c r="M34" s="68">
        <v>2021</v>
      </c>
      <c r="N34" s="68">
        <v>0</v>
      </c>
      <c r="O34" s="68">
        <v>240.85</v>
      </c>
      <c r="P34" s="68">
        <v>50.4358198613524</v>
      </c>
    </row>
    <row r="35" spans="1:16" ht="11.25" customHeight="1" x14ac:dyDescent="0.25">
      <c r="A35" s="68">
        <v>34</v>
      </c>
      <c r="B35" s="68" t="s">
        <v>617</v>
      </c>
      <c r="C35" s="68" t="s">
        <v>43</v>
      </c>
      <c r="D35" s="68" t="s">
        <v>37</v>
      </c>
      <c r="E35" s="68" t="s">
        <v>44</v>
      </c>
      <c r="F35" s="68" t="s">
        <v>93</v>
      </c>
      <c r="G35" s="68" t="s">
        <v>25</v>
      </c>
      <c r="H35" s="68" t="s">
        <v>25</v>
      </c>
      <c r="I35" s="68" t="s">
        <v>35</v>
      </c>
      <c r="J35" s="68" t="s">
        <v>757</v>
      </c>
      <c r="K35" s="68" t="s">
        <v>756</v>
      </c>
      <c r="L35" s="68" t="s">
        <v>76</v>
      </c>
      <c r="M35" s="68">
        <v>2021</v>
      </c>
      <c r="N35" s="68">
        <v>0</v>
      </c>
      <c r="O35" s="68">
        <v>512.54999999999995</v>
      </c>
      <c r="P35" s="68">
        <v>48.1432825949273</v>
      </c>
    </row>
    <row r="36" spans="1:16" ht="11.25" customHeight="1" x14ac:dyDescent="0.25">
      <c r="A36" s="68">
        <v>35</v>
      </c>
      <c r="B36" s="68" t="s">
        <v>617</v>
      </c>
      <c r="C36" s="68" t="s">
        <v>43</v>
      </c>
      <c r="D36" s="68" t="s">
        <v>37</v>
      </c>
      <c r="E36" s="68" t="s">
        <v>44</v>
      </c>
      <c r="F36" s="68" t="s">
        <v>93</v>
      </c>
      <c r="G36" s="68" t="s">
        <v>25</v>
      </c>
      <c r="H36" s="68" t="s">
        <v>25</v>
      </c>
      <c r="I36" s="68" t="s">
        <v>38</v>
      </c>
      <c r="J36" s="68" t="s">
        <v>757</v>
      </c>
      <c r="K36" s="68" t="s">
        <v>756</v>
      </c>
      <c r="L36" s="68" t="s">
        <v>76</v>
      </c>
      <c r="M36" s="68">
        <v>2021</v>
      </c>
      <c r="N36" s="68">
        <v>0</v>
      </c>
      <c r="O36" s="68">
        <v>334.88</v>
      </c>
      <c r="P36" s="68">
        <v>48.1432825949273</v>
      </c>
    </row>
    <row r="37" spans="1:16" ht="11.25" customHeight="1" x14ac:dyDescent="0.25">
      <c r="A37" s="68">
        <v>36</v>
      </c>
      <c r="B37" s="68" t="s">
        <v>617</v>
      </c>
      <c r="C37" s="68" t="s">
        <v>43</v>
      </c>
      <c r="D37" s="68" t="s">
        <v>37</v>
      </c>
      <c r="E37" s="68" t="s">
        <v>44</v>
      </c>
      <c r="F37" s="68" t="s">
        <v>93</v>
      </c>
      <c r="G37" s="68" t="s">
        <v>25</v>
      </c>
      <c r="H37" s="68" t="s">
        <v>25</v>
      </c>
      <c r="I37" s="68" t="s">
        <v>36</v>
      </c>
      <c r="J37" s="68" t="s">
        <v>757</v>
      </c>
      <c r="K37" s="68" t="s">
        <v>756</v>
      </c>
      <c r="L37" s="68" t="s">
        <v>76</v>
      </c>
      <c r="M37" s="68">
        <v>2021</v>
      </c>
      <c r="N37" s="68">
        <v>0</v>
      </c>
      <c r="O37" s="68">
        <v>157.22</v>
      </c>
      <c r="P37" s="68">
        <v>48.1432825949273</v>
      </c>
    </row>
    <row r="38" spans="1:16" ht="11.25" customHeight="1" x14ac:dyDescent="0.25">
      <c r="A38" s="68">
        <v>37</v>
      </c>
      <c r="B38" s="68" t="s">
        <v>617</v>
      </c>
      <c r="C38" s="68" t="s">
        <v>43</v>
      </c>
      <c r="D38" s="68" t="s">
        <v>23</v>
      </c>
      <c r="E38" s="68" t="s">
        <v>44</v>
      </c>
      <c r="F38" s="68" t="s">
        <v>93</v>
      </c>
      <c r="G38" s="68" t="s">
        <v>25</v>
      </c>
      <c r="H38" s="68" t="s">
        <v>25</v>
      </c>
      <c r="I38" s="68" t="s">
        <v>25</v>
      </c>
      <c r="J38" s="68" t="s">
        <v>757</v>
      </c>
      <c r="K38" s="68" t="s">
        <v>756</v>
      </c>
      <c r="L38" s="68" t="s">
        <v>76</v>
      </c>
      <c r="M38" s="68">
        <v>2021</v>
      </c>
      <c r="N38" s="68">
        <v>0</v>
      </c>
      <c r="O38" s="68">
        <v>229.9</v>
      </c>
      <c r="P38" s="68">
        <v>48.1432825949273</v>
      </c>
    </row>
    <row r="39" spans="1:16" ht="11.25" customHeight="1" x14ac:dyDescent="0.25">
      <c r="A39" s="68">
        <v>38</v>
      </c>
      <c r="B39" s="68" t="s">
        <v>617</v>
      </c>
      <c r="C39" s="68" t="s">
        <v>43</v>
      </c>
      <c r="D39" s="68" t="s">
        <v>91</v>
      </c>
      <c r="E39" s="68" t="s">
        <v>44</v>
      </c>
      <c r="F39" s="68" t="s">
        <v>25</v>
      </c>
      <c r="G39" s="68" t="s">
        <v>25</v>
      </c>
      <c r="H39" s="68" t="s">
        <v>25</v>
      </c>
      <c r="I39" s="68" t="s">
        <v>25</v>
      </c>
      <c r="J39" s="68" t="s">
        <v>757</v>
      </c>
      <c r="K39" s="68" t="s">
        <v>756</v>
      </c>
      <c r="L39" s="68" t="s">
        <v>76</v>
      </c>
      <c r="M39" s="68">
        <v>2021</v>
      </c>
      <c r="N39" s="68">
        <v>0</v>
      </c>
      <c r="O39" s="68">
        <v>240.85</v>
      </c>
      <c r="P39" s="68">
        <v>50.4358198613524</v>
      </c>
    </row>
    <row r="40" spans="1:16" ht="11.25" customHeight="1" x14ac:dyDescent="0.25">
      <c r="A40" s="68">
        <v>39</v>
      </c>
      <c r="B40" s="68" t="s">
        <v>617</v>
      </c>
      <c r="C40" s="68" t="s">
        <v>43</v>
      </c>
      <c r="D40" s="68" t="s">
        <v>91</v>
      </c>
      <c r="E40" s="68" t="s">
        <v>44</v>
      </c>
      <c r="F40" s="68" t="s">
        <v>92</v>
      </c>
      <c r="G40" s="68" t="s">
        <v>25</v>
      </c>
      <c r="H40" s="68" t="s">
        <v>25</v>
      </c>
      <c r="I40" s="68" t="s">
        <v>25</v>
      </c>
      <c r="J40" s="68" t="s">
        <v>757</v>
      </c>
      <c r="K40" s="68" t="s">
        <v>756</v>
      </c>
      <c r="L40" s="68" t="s">
        <v>76</v>
      </c>
      <c r="M40" s="68">
        <v>2021</v>
      </c>
      <c r="N40" s="68">
        <v>0</v>
      </c>
      <c r="O40" s="68">
        <v>240.85</v>
      </c>
      <c r="P40" s="68">
        <v>50.4358198613524</v>
      </c>
    </row>
    <row r="41" spans="1:16" ht="11.25" customHeight="1" x14ac:dyDescent="0.25">
      <c r="A41" s="68">
        <v>40</v>
      </c>
      <c r="B41" s="68" t="s">
        <v>617</v>
      </c>
      <c r="C41" s="68" t="s">
        <v>43</v>
      </c>
      <c r="D41" s="68" t="s">
        <v>91</v>
      </c>
      <c r="E41" s="68" t="s">
        <v>44</v>
      </c>
      <c r="F41" s="68" t="s">
        <v>93</v>
      </c>
      <c r="G41" s="68" t="s">
        <v>25</v>
      </c>
      <c r="H41" s="68" t="s">
        <v>25</v>
      </c>
      <c r="I41" s="68" t="s">
        <v>25</v>
      </c>
      <c r="J41" s="68" t="s">
        <v>757</v>
      </c>
      <c r="K41" s="68" t="s">
        <v>756</v>
      </c>
      <c r="L41" s="68" t="s">
        <v>76</v>
      </c>
      <c r="M41" s="68">
        <v>2021</v>
      </c>
      <c r="N41" s="68">
        <v>0</v>
      </c>
      <c r="O41" s="68">
        <v>229.9</v>
      </c>
      <c r="P41" s="68">
        <v>48.1432825949273</v>
      </c>
    </row>
    <row r="42" spans="1:16" ht="11.25" customHeight="1" x14ac:dyDescent="0.25">
      <c r="A42" s="68">
        <v>41</v>
      </c>
      <c r="B42" s="68" t="s">
        <v>617</v>
      </c>
      <c r="C42" s="68" t="s">
        <v>39</v>
      </c>
      <c r="D42" s="68" t="s">
        <v>37</v>
      </c>
      <c r="E42" s="68" t="s">
        <v>25</v>
      </c>
      <c r="F42" s="68" t="s">
        <v>25</v>
      </c>
      <c r="G42" s="68" t="s">
        <v>25</v>
      </c>
      <c r="H42" s="68" t="s">
        <v>25</v>
      </c>
      <c r="I42" s="68" t="s">
        <v>35</v>
      </c>
      <c r="J42" s="68" t="s">
        <v>757</v>
      </c>
      <c r="K42" s="68" t="s">
        <v>756</v>
      </c>
      <c r="L42" s="68" t="s">
        <v>76</v>
      </c>
      <c r="M42" s="68">
        <v>2021</v>
      </c>
      <c r="N42" s="68">
        <v>0</v>
      </c>
      <c r="O42" s="68">
        <v>677.47</v>
      </c>
      <c r="P42" s="68">
        <v>57.3134316606277</v>
      </c>
    </row>
    <row r="43" spans="1:16" ht="11.25" customHeight="1" x14ac:dyDescent="0.25">
      <c r="A43" s="68">
        <v>42</v>
      </c>
      <c r="B43" s="68" t="s">
        <v>617</v>
      </c>
      <c r="C43" s="68" t="s">
        <v>39</v>
      </c>
      <c r="D43" s="68" t="s">
        <v>37</v>
      </c>
      <c r="E43" s="68" t="s">
        <v>25</v>
      </c>
      <c r="F43" s="68" t="s">
        <v>25</v>
      </c>
      <c r="G43" s="68" t="s">
        <v>25</v>
      </c>
      <c r="H43" s="68" t="s">
        <v>25</v>
      </c>
      <c r="I43" s="68" t="s">
        <v>38</v>
      </c>
      <c r="J43" s="68" t="s">
        <v>757</v>
      </c>
      <c r="K43" s="68" t="s">
        <v>756</v>
      </c>
      <c r="L43" s="68" t="s">
        <v>76</v>
      </c>
      <c r="M43" s="68">
        <v>2021</v>
      </c>
      <c r="N43" s="68">
        <v>0</v>
      </c>
      <c r="O43" s="68">
        <v>439.05</v>
      </c>
      <c r="P43" s="68">
        <v>57.3134316606277</v>
      </c>
    </row>
    <row r="44" spans="1:16" ht="11.25" customHeight="1" x14ac:dyDescent="0.25">
      <c r="A44" s="68">
        <v>43</v>
      </c>
      <c r="B44" s="68" t="s">
        <v>617</v>
      </c>
      <c r="C44" s="68" t="s">
        <v>39</v>
      </c>
      <c r="D44" s="68" t="s">
        <v>37</v>
      </c>
      <c r="E44" s="68" t="s">
        <v>25</v>
      </c>
      <c r="F44" s="68" t="s">
        <v>25</v>
      </c>
      <c r="G44" s="68" t="s">
        <v>25</v>
      </c>
      <c r="H44" s="68" t="s">
        <v>25</v>
      </c>
      <c r="I44" s="68" t="s">
        <v>36</v>
      </c>
      <c r="J44" s="68" t="s">
        <v>757</v>
      </c>
      <c r="K44" s="68" t="s">
        <v>756</v>
      </c>
      <c r="L44" s="68" t="s">
        <v>76</v>
      </c>
      <c r="M44" s="68">
        <v>2021</v>
      </c>
      <c r="N44" s="68">
        <v>0</v>
      </c>
      <c r="O44" s="68">
        <v>200.63</v>
      </c>
      <c r="P44" s="68">
        <v>57.3134316606277</v>
      </c>
    </row>
    <row r="45" spans="1:16" ht="11.25" customHeight="1" x14ac:dyDescent="0.25">
      <c r="A45" s="68">
        <v>44</v>
      </c>
      <c r="B45" s="68" t="s">
        <v>617</v>
      </c>
      <c r="C45" s="68" t="s">
        <v>39</v>
      </c>
      <c r="D45" s="68" t="s">
        <v>23</v>
      </c>
      <c r="E45" s="68" t="s">
        <v>25</v>
      </c>
      <c r="F45" s="68" t="s">
        <v>25</v>
      </c>
      <c r="G45" s="68" t="s">
        <v>25</v>
      </c>
      <c r="H45" s="68" t="s">
        <v>25</v>
      </c>
      <c r="I45" s="68" t="s">
        <v>25</v>
      </c>
      <c r="J45" s="68" t="s">
        <v>757</v>
      </c>
      <c r="K45" s="68" t="s">
        <v>756</v>
      </c>
      <c r="L45" s="68" t="s">
        <v>76</v>
      </c>
      <c r="M45" s="68">
        <v>2021</v>
      </c>
      <c r="N45" s="68">
        <v>0</v>
      </c>
      <c r="O45" s="68">
        <v>273.69</v>
      </c>
      <c r="P45" s="68">
        <v>57.3134316606277</v>
      </c>
    </row>
    <row r="46" spans="1:16" ht="11.25" customHeight="1" x14ac:dyDescent="0.25">
      <c r="A46" s="68">
        <v>45</v>
      </c>
      <c r="B46" s="68" t="s">
        <v>617</v>
      </c>
      <c r="C46" s="68" t="s">
        <v>39</v>
      </c>
      <c r="D46" s="68" t="s">
        <v>91</v>
      </c>
      <c r="E46" s="68" t="s">
        <v>25</v>
      </c>
      <c r="F46" s="68" t="s">
        <v>25</v>
      </c>
      <c r="G46" s="68" t="s">
        <v>25</v>
      </c>
      <c r="H46" s="68" t="s">
        <v>25</v>
      </c>
      <c r="I46" s="68" t="s">
        <v>25</v>
      </c>
      <c r="J46" s="68" t="s">
        <v>757</v>
      </c>
      <c r="K46" s="68" t="s">
        <v>756</v>
      </c>
      <c r="L46" s="68" t="s">
        <v>76</v>
      </c>
      <c r="M46" s="68">
        <v>2021</v>
      </c>
      <c r="N46" s="68">
        <v>0</v>
      </c>
      <c r="O46" s="68">
        <v>273.69</v>
      </c>
      <c r="P46" s="68">
        <v>57.3134316606277</v>
      </c>
    </row>
    <row r="47" spans="1:16" ht="11.25" customHeight="1" x14ac:dyDescent="0.25">
      <c r="A47" s="68">
        <v>46</v>
      </c>
      <c r="B47" s="68" t="s">
        <v>617</v>
      </c>
      <c r="C47" s="68" t="s">
        <v>46</v>
      </c>
      <c r="D47" s="68" t="s">
        <v>23</v>
      </c>
      <c r="E47" s="68" t="s">
        <v>47</v>
      </c>
      <c r="F47" s="68" t="s">
        <v>48</v>
      </c>
      <c r="G47" s="68" t="s">
        <v>25</v>
      </c>
      <c r="H47" s="68" t="s">
        <v>25</v>
      </c>
      <c r="I47" s="68" t="s">
        <v>25</v>
      </c>
      <c r="J47" s="68" t="s">
        <v>757</v>
      </c>
      <c r="K47" s="68" t="s">
        <v>756</v>
      </c>
      <c r="L47" s="68" t="s">
        <v>76</v>
      </c>
      <c r="M47" s="68">
        <v>2021</v>
      </c>
      <c r="N47" s="68">
        <v>0</v>
      </c>
      <c r="O47" s="68">
        <v>150.53</v>
      </c>
      <c r="P47" s="68">
        <v>31.522387413345299</v>
      </c>
    </row>
    <row r="48" spans="1:16" ht="11.25" customHeight="1" x14ac:dyDescent="0.25">
      <c r="A48" s="68">
        <v>47</v>
      </c>
      <c r="B48" s="68" t="s">
        <v>617</v>
      </c>
      <c r="C48" s="68" t="s">
        <v>46</v>
      </c>
      <c r="D48" s="68" t="s">
        <v>23</v>
      </c>
      <c r="E48" s="68" t="s">
        <v>47</v>
      </c>
      <c r="F48" s="68" t="s">
        <v>49</v>
      </c>
      <c r="G48" s="68" t="s">
        <v>25</v>
      </c>
      <c r="H48" s="68" t="s">
        <v>25</v>
      </c>
      <c r="I48" s="68" t="s">
        <v>25</v>
      </c>
      <c r="J48" s="68" t="s">
        <v>757</v>
      </c>
      <c r="K48" s="68" t="s">
        <v>756</v>
      </c>
      <c r="L48" s="68" t="s">
        <v>76</v>
      </c>
      <c r="M48" s="68">
        <v>2021</v>
      </c>
      <c r="N48" s="68">
        <v>0</v>
      </c>
      <c r="O48" s="68">
        <v>164.22</v>
      </c>
      <c r="P48" s="68">
        <v>34.3880589963766</v>
      </c>
    </row>
    <row r="49" spans="1:16" ht="11.25" customHeight="1" x14ac:dyDescent="0.25">
      <c r="A49" s="68">
        <v>48</v>
      </c>
      <c r="B49" s="68" t="s">
        <v>645</v>
      </c>
      <c r="C49" s="68" t="s">
        <v>33</v>
      </c>
      <c r="D49" s="68" t="s">
        <v>75</v>
      </c>
      <c r="E49" s="68" t="s">
        <v>25</v>
      </c>
      <c r="F49" s="68" t="s">
        <v>25</v>
      </c>
      <c r="G49" s="68" t="s">
        <v>25</v>
      </c>
      <c r="H49" s="68" t="s">
        <v>25</v>
      </c>
      <c r="I49" s="68" t="s">
        <v>35</v>
      </c>
      <c r="J49" s="68" t="s">
        <v>757</v>
      </c>
      <c r="K49" s="68" t="s">
        <v>756</v>
      </c>
      <c r="L49" s="68" t="s">
        <v>76</v>
      </c>
      <c r="M49" s="68">
        <v>2021</v>
      </c>
      <c r="N49" s="68">
        <v>0</v>
      </c>
      <c r="O49" s="68">
        <v>263.29000000000002</v>
      </c>
      <c r="P49" s="68"/>
    </row>
    <row r="50" spans="1:16" ht="11.25" customHeight="1" x14ac:dyDescent="0.25">
      <c r="A50" s="68">
        <v>49</v>
      </c>
      <c r="B50" s="68" t="s">
        <v>645</v>
      </c>
      <c r="C50" s="68" t="s">
        <v>33</v>
      </c>
      <c r="D50" s="68" t="s">
        <v>75</v>
      </c>
      <c r="E50" s="68" t="s">
        <v>25</v>
      </c>
      <c r="F50" s="68" t="s">
        <v>25</v>
      </c>
      <c r="G50" s="68" t="s">
        <v>25</v>
      </c>
      <c r="H50" s="68" t="s">
        <v>25</v>
      </c>
      <c r="I50" s="68" t="s">
        <v>36</v>
      </c>
      <c r="J50" s="68" t="s">
        <v>757</v>
      </c>
      <c r="K50" s="68" t="s">
        <v>756</v>
      </c>
      <c r="L50" s="68" t="s">
        <v>76</v>
      </c>
      <c r="M50" s="68">
        <v>2021</v>
      </c>
      <c r="N50" s="68">
        <v>0</v>
      </c>
      <c r="O50" s="68">
        <v>263.29000000000002</v>
      </c>
      <c r="P50" s="68"/>
    </row>
    <row r="51" spans="1:16" ht="11.25" customHeight="1" x14ac:dyDescent="0.25">
      <c r="A51" s="68">
        <v>50</v>
      </c>
      <c r="B51" s="68" t="s">
        <v>645</v>
      </c>
      <c r="C51" s="68" t="s">
        <v>22</v>
      </c>
      <c r="D51" s="68" t="s">
        <v>75</v>
      </c>
      <c r="E51" s="68" t="s">
        <v>24</v>
      </c>
      <c r="F51" s="68" t="s">
        <v>24</v>
      </c>
      <c r="G51" s="68" t="s">
        <v>25</v>
      </c>
      <c r="H51" s="68" t="s">
        <v>25</v>
      </c>
      <c r="I51" s="68" t="s">
        <v>35</v>
      </c>
      <c r="J51" s="68" t="s">
        <v>757</v>
      </c>
      <c r="K51" s="68" t="s">
        <v>756</v>
      </c>
      <c r="L51" s="68" t="s">
        <v>76</v>
      </c>
      <c r="M51" s="68">
        <v>2021</v>
      </c>
      <c r="N51" s="68">
        <v>0</v>
      </c>
      <c r="O51" s="68">
        <v>263.29000000000002</v>
      </c>
      <c r="P51" s="68"/>
    </row>
    <row r="52" spans="1:16" ht="11.25" customHeight="1" x14ac:dyDescent="0.25">
      <c r="A52" s="68">
        <v>51</v>
      </c>
      <c r="B52" s="68" t="s">
        <v>645</v>
      </c>
      <c r="C52" s="68" t="s">
        <v>22</v>
      </c>
      <c r="D52" s="68" t="s">
        <v>75</v>
      </c>
      <c r="E52" s="68" t="s">
        <v>24</v>
      </c>
      <c r="F52" s="68" t="s">
        <v>24</v>
      </c>
      <c r="G52" s="68" t="s">
        <v>25</v>
      </c>
      <c r="H52" s="68" t="s">
        <v>25</v>
      </c>
      <c r="I52" s="68" t="s">
        <v>38</v>
      </c>
      <c r="J52" s="68" t="s">
        <v>757</v>
      </c>
      <c r="K52" s="68" t="s">
        <v>756</v>
      </c>
      <c r="L52" s="68" t="s">
        <v>76</v>
      </c>
      <c r="M52" s="68">
        <v>2021</v>
      </c>
      <c r="N52" s="68">
        <v>0</v>
      </c>
      <c r="O52" s="68">
        <v>263.29000000000002</v>
      </c>
      <c r="P52" s="68"/>
    </row>
    <row r="53" spans="1:16" ht="11.25" customHeight="1" x14ac:dyDescent="0.25">
      <c r="A53" s="68">
        <v>52</v>
      </c>
      <c r="B53" s="68" t="s">
        <v>645</v>
      </c>
      <c r="C53" s="68" t="s">
        <v>22</v>
      </c>
      <c r="D53" s="68" t="s">
        <v>75</v>
      </c>
      <c r="E53" s="68" t="s">
        <v>24</v>
      </c>
      <c r="F53" s="68" t="s">
        <v>24</v>
      </c>
      <c r="G53" s="68" t="s">
        <v>25</v>
      </c>
      <c r="H53" s="68" t="s">
        <v>25</v>
      </c>
      <c r="I53" s="68" t="s">
        <v>36</v>
      </c>
      <c r="J53" s="68" t="s">
        <v>757</v>
      </c>
      <c r="K53" s="68" t="s">
        <v>756</v>
      </c>
      <c r="L53" s="68" t="s">
        <v>76</v>
      </c>
      <c r="M53" s="68">
        <v>2021</v>
      </c>
      <c r="N53" s="68">
        <v>0</v>
      </c>
      <c r="O53" s="68">
        <v>263.29000000000002</v>
      </c>
      <c r="P53" s="68"/>
    </row>
    <row r="54" spans="1:16" ht="11.25" customHeight="1" x14ac:dyDescent="0.25">
      <c r="A54" s="68">
        <v>53</v>
      </c>
      <c r="B54" s="68" t="s">
        <v>645</v>
      </c>
      <c r="C54" s="68" t="s">
        <v>22</v>
      </c>
      <c r="D54" s="68" t="s">
        <v>89</v>
      </c>
      <c r="E54" s="68" t="s">
        <v>24</v>
      </c>
      <c r="F54" s="68" t="s">
        <v>24</v>
      </c>
      <c r="G54" s="68" t="s">
        <v>25</v>
      </c>
      <c r="H54" s="68" t="s">
        <v>25</v>
      </c>
      <c r="I54" s="68" t="s">
        <v>25</v>
      </c>
      <c r="J54" s="68" t="s">
        <v>757</v>
      </c>
      <c r="K54" s="68" t="s">
        <v>756</v>
      </c>
      <c r="L54" s="68" t="s">
        <v>76</v>
      </c>
      <c r="M54" s="68">
        <v>2021</v>
      </c>
      <c r="N54" s="68">
        <v>0</v>
      </c>
      <c r="O54" s="68">
        <v>263.29000000000002</v>
      </c>
      <c r="P54" s="68"/>
    </row>
    <row r="55" spans="1:16" ht="11.25" customHeight="1" x14ac:dyDescent="0.25">
      <c r="A55" s="68">
        <v>54</v>
      </c>
      <c r="B55" s="68" t="s">
        <v>645</v>
      </c>
      <c r="C55" s="68" t="s">
        <v>22</v>
      </c>
      <c r="D55" s="68" t="s">
        <v>89</v>
      </c>
      <c r="E55" s="68" t="s">
        <v>24</v>
      </c>
      <c r="F55" s="68" t="s">
        <v>29</v>
      </c>
      <c r="G55" s="68" t="s">
        <v>25</v>
      </c>
      <c r="H55" s="68" t="s">
        <v>25</v>
      </c>
      <c r="I55" s="68" t="s">
        <v>25</v>
      </c>
      <c r="J55" s="68" t="s">
        <v>757</v>
      </c>
      <c r="K55" s="68" t="s">
        <v>756</v>
      </c>
      <c r="L55" s="68" t="s">
        <v>76</v>
      </c>
      <c r="M55" s="68">
        <v>2021</v>
      </c>
      <c r="N55" s="68">
        <v>0</v>
      </c>
      <c r="O55" s="68">
        <v>92.15</v>
      </c>
      <c r="P55" s="68"/>
    </row>
    <row r="56" spans="1:16" ht="11.25" customHeight="1" x14ac:dyDescent="0.25">
      <c r="A56" s="68">
        <v>55</v>
      </c>
      <c r="B56" s="68" t="s">
        <v>645</v>
      </c>
      <c r="C56" s="68" t="s">
        <v>22</v>
      </c>
      <c r="D56" s="68" t="s">
        <v>89</v>
      </c>
      <c r="E56" s="68" t="s">
        <v>24</v>
      </c>
      <c r="F56" s="68" t="s">
        <v>30</v>
      </c>
      <c r="G56" s="68" t="s">
        <v>25</v>
      </c>
      <c r="H56" s="68" t="s">
        <v>25</v>
      </c>
      <c r="I56" s="68" t="s">
        <v>25</v>
      </c>
      <c r="J56" s="68" t="s">
        <v>757</v>
      </c>
      <c r="K56" s="68" t="s">
        <v>756</v>
      </c>
      <c r="L56" s="68" t="s">
        <v>76</v>
      </c>
      <c r="M56" s="68">
        <v>2021</v>
      </c>
      <c r="N56" s="68">
        <v>0</v>
      </c>
      <c r="O56" s="68">
        <v>157.97999999999999</v>
      </c>
      <c r="P56" s="68"/>
    </row>
    <row r="57" spans="1:16" ht="11.25" customHeight="1" x14ac:dyDescent="0.25">
      <c r="A57" s="68">
        <v>56</v>
      </c>
      <c r="B57" s="68" t="s">
        <v>645</v>
      </c>
      <c r="C57" s="68" t="s">
        <v>22</v>
      </c>
      <c r="D57" s="68" t="s">
        <v>89</v>
      </c>
      <c r="E57" s="68" t="s">
        <v>24</v>
      </c>
      <c r="F57" s="68" t="s">
        <v>31</v>
      </c>
      <c r="G57" s="68" t="s">
        <v>25</v>
      </c>
      <c r="H57" s="68" t="s">
        <v>25</v>
      </c>
      <c r="I57" s="68" t="s">
        <v>25</v>
      </c>
      <c r="J57" s="68" t="s">
        <v>757</v>
      </c>
      <c r="K57" s="68" t="s">
        <v>756</v>
      </c>
      <c r="L57" s="68" t="s">
        <v>76</v>
      </c>
      <c r="M57" s="68">
        <v>2021</v>
      </c>
      <c r="N57" s="68">
        <v>0</v>
      </c>
      <c r="O57" s="68">
        <v>236.96</v>
      </c>
      <c r="P57" s="68"/>
    </row>
    <row r="58" spans="1:16" ht="11.25" customHeight="1" x14ac:dyDescent="0.25">
      <c r="A58" s="68">
        <v>57</v>
      </c>
      <c r="B58" s="68" t="s">
        <v>645</v>
      </c>
      <c r="C58" s="68" t="s">
        <v>22</v>
      </c>
      <c r="D58" s="68" t="s">
        <v>89</v>
      </c>
      <c r="E58" s="68" t="s">
        <v>24</v>
      </c>
      <c r="F58" s="68" t="s">
        <v>32</v>
      </c>
      <c r="G58" s="68" t="s">
        <v>25</v>
      </c>
      <c r="H58" s="68" t="s">
        <v>25</v>
      </c>
      <c r="I58" s="68" t="s">
        <v>25</v>
      </c>
      <c r="J58" s="68" t="s">
        <v>757</v>
      </c>
      <c r="K58" s="68" t="s">
        <v>756</v>
      </c>
      <c r="L58" s="68" t="s">
        <v>76</v>
      </c>
      <c r="M58" s="68">
        <v>2021</v>
      </c>
      <c r="N58" s="68">
        <v>0</v>
      </c>
      <c r="O58" s="68">
        <v>263.29000000000002</v>
      </c>
      <c r="P58" s="68"/>
    </row>
    <row r="59" spans="1:16" ht="11.25" customHeight="1" x14ac:dyDescent="0.25">
      <c r="A59" s="68">
        <v>58</v>
      </c>
      <c r="B59" s="68" t="s">
        <v>645</v>
      </c>
      <c r="C59" s="68" t="s">
        <v>22</v>
      </c>
      <c r="D59" s="68" t="s">
        <v>90</v>
      </c>
      <c r="E59" s="68" t="s">
        <v>24</v>
      </c>
      <c r="F59" s="68" t="s">
        <v>24</v>
      </c>
      <c r="G59" s="68" t="s">
        <v>25</v>
      </c>
      <c r="H59" s="68" t="s">
        <v>25</v>
      </c>
      <c r="I59" s="68" t="s">
        <v>25</v>
      </c>
      <c r="J59" s="68" t="s">
        <v>757</v>
      </c>
      <c r="K59" s="68" t="s">
        <v>756</v>
      </c>
      <c r="L59" s="68" t="s">
        <v>76</v>
      </c>
      <c r="M59" s="68">
        <v>2021</v>
      </c>
      <c r="N59" s="68">
        <v>0</v>
      </c>
      <c r="O59" s="68">
        <v>263.29000000000002</v>
      </c>
      <c r="P59" s="68"/>
    </row>
    <row r="60" spans="1:16" ht="11.25" customHeight="1" x14ac:dyDescent="0.25">
      <c r="A60" s="68">
        <v>59</v>
      </c>
      <c r="B60" s="68" t="s">
        <v>645</v>
      </c>
      <c r="C60" s="68" t="s">
        <v>22</v>
      </c>
      <c r="D60" s="68" t="s">
        <v>90</v>
      </c>
      <c r="E60" s="68" t="s">
        <v>24</v>
      </c>
      <c r="F60" s="68" t="s">
        <v>29</v>
      </c>
      <c r="G60" s="68" t="s">
        <v>25</v>
      </c>
      <c r="H60" s="68" t="s">
        <v>25</v>
      </c>
      <c r="I60" s="68" t="s">
        <v>25</v>
      </c>
      <c r="J60" s="68" t="s">
        <v>757</v>
      </c>
      <c r="K60" s="68" t="s">
        <v>756</v>
      </c>
      <c r="L60" s="68" t="s">
        <v>76</v>
      </c>
      <c r="M60" s="68">
        <v>2021</v>
      </c>
      <c r="N60" s="68">
        <v>0</v>
      </c>
      <c r="O60" s="68">
        <v>92.15</v>
      </c>
      <c r="P60" s="68"/>
    </row>
    <row r="61" spans="1:16" ht="11.25" customHeight="1" x14ac:dyDescent="0.25">
      <c r="A61" s="68">
        <v>60</v>
      </c>
      <c r="B61" s="68" t="s">
        <v>645</v>
      </c>
      <c r="C61" s="68" t="s">
        <v>22</v>
      </c>
      <c r="D61" s="68" t="s">
        <v>90</v>
      </c>
      <c r="E61" s="68" t="s">
        <v>24</v>
      </c>
      <c r="F61" s="68" t="s">
        <v>30</v>
      </c>
      <c r="G61" s="68" t="s">
        <v>25</v>
      </c>
      <c r="H61" s="68" t="s">
        <v>25</v>
      </c>
      <c r="I61" s="68" t="s">
        <v>25</v>
      </c>
      <c r="J61" s="68" t="s">
        <v>757</v>
      </c>
      <c r="K61" s="68" t="s">
        <v>756</v>
      </c>
      <c r="L61" s="68" t="s">
        <v>76</v>
      </c>
      <c r="M61" s="68">
        <v>2021</v>
      </c>
      <c r="N61" s="68">
        <v>0</v>
      </c>
      <c r="O61" s="68">
        <v>157.97999999999999</v>
      </c>
      <c r="P61" s="68"/>
    </row>
    <row r="62" spans="1:16" ht="11.25" customHeight="1" x14ac:dyDescent="0.25">
      <c r="A62" s="68">
        <v>61</v>
      </c>
      <c r="B62" s="68" t="s">
        <v>645</v>
      </c>
      <c r="C62" s="68" t="s">
        <v>22</v>
      </c>
      <c r="D62" s="68" t="s">
        <v>90</v>
      </c>
      <c r="E62" s="68" t="s">
        <v>24</v>
      </c>
      <c r="F62" s="68" t="s">
        <v>31</v>
      </c>
      <c r="G62" s="68" t="s">
        <v>25</v>
      </c>
      <c r="H62" s="68" t="s">
        <v>25</v>
      </c>
      <c r="I62" s="68" t="s">
        <v>25</v>
      </c>
      <c r="J62" s="68" t="s">
        <v>757</v>
      </c>
      <c r="K62" s="68" t="s">
        <v>756</v>
      </c>
      <c r="L62" s="68" t="s">
        <v>76</v>
      </c>
      <c r="M62" s="68">
        <v>2021</v>
      </c>
      <c r="N62" s="68">
        <v>0</v>
      </c>
      <c r="O62" s="68">
        <v>236.96</v>
      </c>
      <c r="P62" s="68"/>
    </row>
    <row r="63" spans="1:16" ht="11.25" customHeight="1" x14ac:dyDescent="0.25">
      <c r="A63" s="68">
        <v>62</v>
      </c>
      <c r="B63" s="68" t="s">
        <v>645</v>
      </c>
      <c r="C63" s="68" t="s">
        <v>22</v>
      </c>
      <c r="D63" s="68" t="s">
        <v>90</v>
      </c>
      <c r="E63" s="68" t="s">
        <v>24</v>
      </c>
      <c r="F63" s="68" t="s">
        <v>32</v>
      </c>
      <c r="G63" s="68" t="s">
        <v>25</v>
      </c>
      <c r="H63" s="68" t="s">
        <v>25</v>
      </c>
      <c r="I63" s="68" t="s">
        <v>25</v>
      </c>
      <c r="J63" s="68" t="s">
        <v>757</v>
      </c>
      <c r="K63" s="68" t="s">
        <v>756</v>
      </c>
      <c r="L63" s="68" t="s">
        <v>76</v>
      </c>
      <c r="M63" s="68">
        <v>2021</v>
      </c>
      <c r="N63" s="68">
        <v>0</v>
      </c>
      <c r="O63" s="68">
        <v>263.29000000000002</v>
      </c>
      <c r="P63" s="68"/>
    </row>
    <row r="64" spans="1:16" ht="11.25" customHeight="1" x14ac:dyDescent="0.25">
      <c r="A64" s="68">
        <v>63</v>
      </c>
      <c r="B64" s="68" t="s">
        <v>645</v>
      </c>
      <c r="C64" s="68" t="s">
        <v>43</v>
      </c>
      <c r="D64" s="68" t="s">
        <v>75</v>
      </c>
      <c r="E64" s="68" t="s">
        <v>44</v>
      </c>
      <c r="F64" s="68" t="s">
        <v>25</v>
      </c>
      <c r="G64" s="68" t="s">
        <v>25</v>
      </c>
      <c r="H64" s="68" t="s">
        <v>25</v>
      </c>
      <c r="I64" s="68" t="s">
        <v>35</v>
      </c>
      <c r="J64" s="68" t="s">
        <v>757</v>
      </c>
      <c r="K64" s="68" t="s">
        <v>756</v>
      </c>
      <c r="L64" s="68" t="s">
        <v>76</v>
      </c>
      <c r="M64" s="68">
        <v>2021</v>
      </c>
      <c r="N64" s="68">
        <v>0</v>
      </c>
      <c r="O64" s="68">
        <v>231.7</v>
      </c>
      <c r="P64" s="68"/>
    </row>
    <row r="65" spans="1:16" ht="11.25" customHeight="1" x14ac:dyDescent="0.25">
      <c r="A65" s="68">
        <v>64</v>
      </c>
      <c r="B65" s="68" t="s">
        <v>645</v>
      </c>
      <c r="C65" s="68" t="s">
        <v>43</v>
      </c>
      <c r="D65" s="68" t="s">
        <v>75</v>
      </c>
      <c r="E65" s="68" t="s">
        <v>44</v>
      </c>
      <c r="F65" s="68" t="s">
        <v>25</v>
      </c>
      <c r="G65" s="68" t="s">
        <v>25</v>
      </c>
      <c r="H65" s="68" t="s">
        <v>25</v>
      </c>
      <c r="I65" s="68" t="s">
        <v>38</v>
      </c>
      <c r="J65" s="68" t="s">
        <v>757</v>
      </c>
      <c r="K65" s="68" t="s">
        <v>756</v>
      </c>
      <c r="L65" s="68" t="s">
        <v>76</v>
      </c>
      <c r="M65" s="68">
        <v>2021</v>
      </c>
      <c r="N65" s="68">
        <v>0</v>
      </c>
      <c r="O65" s="68">
        <v>231.7</v>
      </c>
      <c r="P65" s="68"/>
    </row>
    <row r="66" spans="1:16" ht="11.25" customHeight="1" x14ac:dyDescent="0.25">
      <c r="A66" s="68">
        <v>65</v>
      </c>
      <c r="B66" s="68" t="s">
        <v>645</v>
      </c>
      <c r="C66" s="68" t="s">
        <v>43</v>
      </c>
      <c r="D66" s="68" t="s">
        <v>75</v>
      </c>
      <c r="E66" s="68" t="s">
        <v>44</v>
      </c>
      <c r="F66" s="68" t="s">
        <v>25</v>
      </c>
      <c r="G66" s="68" t="s">
        <v>25</v>
      </c>
      <c r="H66" s="68" t="s">
        <v>25</v>
      </c>
      <c r="I66" s="68" t="s">
        <v>36</v>
      </c>
      <c r="J66" s="68" t="s">
        <v>757</v>
      </c>
      <c r="K66" s="68" t="s">
        <v>756</v>
      </c>
      <c r="L66" s="68" t="s">
        <v>76</v>
      </c>
      <c r="M66" s="68">
        <v>2021</v>
      </c>
      <c r="N66" s="68">
        <v>0</v>
      </c>
      <c r="O66" s="68">
        <v>231.7</v>
      </c>
      <c r="P66" s="68"/>
    </row>
    <row r="67" spans="1:16" ht="11.25" customHeight="1" x14ac:dyDescent="0.25">
      <c r="A67" s="68">
        <v>66</v>
      </c>
      <c r="B67" s="68" t="s">
        <v>645</v>
      </c>
      <c r="C67" s="68" t="s">
        <v>43</v>
      </c>
      <c r="D67" s="68" t="s">
        <v>89</v>
      </c>
      <c r="E67" s="68" t="s">
        <v>44</v>
      </c>
      <c r="F67" s="68" t="s">
        <v>25</v>
      </c>
      <c r="G67" s="68" t="s">
        <v>25</v>
      </c>
      <c r="H67" s="68" t="s">
        <v>25</v>
      </c>
      <c r="I67" s="68" t="s">
        <v>25</v>
      </c>
      <c r="J67" s="68" t="s">
        <v>757</v>
      </c>
      <c r="K67" s="68" t="s">
        <v>756</v>
      </c>
      <c r="L67" s="68" t="s">
        <v>76</v>
      </c>
      <c r="M67" s="68">
        <v>2021</v>
      </c>
      <c r="N67" s="68">
        <v>0</v>
      </c>
      <c r="O67" s="68">
        <v>231.7</v>
      </c>
      <c r="P67" s="68"/>
    </row>
    <row r="68" spans="1:16" ht="11.25" customHeight="1" x14ac:dyDescent="0.25">
      <c r="A68" s="68">
        <v>67</v>
      </c>
      <c r="B68" s="68" t="s">
        <v>645</v>
      </c>
      <c r="C68" s="68" t="s">
        <v>43</v>
      </c>
      <c r="D68" s="68" t="s">
        <v>75</v>
      </c>
      <c r="E68" s="68" t="s">
        <v>44</v>
      </c>
      <c r="F68" s="68" t="s">
        <v>92</v>
      </c>
      <c r="G68" s="68" t="s">
        <v>25</v>
      </c>
      <c r="H68" s="68" t="s">
        <v>25</v>
      </c>
      <c r="I68" s="68" t="s">
        <v>35</v>
      </c>
      <c r="J68" s="68" t="s">
        <v>757</v>
      </c>
      <c r="K68" s="68" t="s">
        <v>756</v>
      </c>
      <c r="L68" s="68" t="s">
        <v>76</v>
      </c>
      <c r="M68" s="68">
        <v>2021</v>
      </c>
      <c r="N68" s="68">
        <v>0</v>
      </c>
      <c r="O68" s="68">
        <v>231.7</v>
      </c>
      <c r="P68" s="68"/>
    </row>
    <row r="69" spans="1:16" ht="11.25" customHeight="1" x14ac:dyDescent="0.25">
      <c r="A69" s="68">
        <v>68</v>
      </c>
      <c r="B69" s="68" t="s">
        <v>645</v>
      </c>
      <c r="C69" s="68" t="s">
        <v>43</v>
      </c>
      <c r="D69" s="68" t="s">
        <v>75</v>
      </c>
      <c r="E69" s="68" t="s">
        <v>44</v>
      </c>
      <c r="F69" s="68" t="s">
        <v>92</v>
      </c>
      <c r="G69" s="68" t="s">
        <v>25</v>
      </c>
      <c r="H69" s="68" t="s">
        <v>25</v>
      </c>
      <c r="I69" s="68" t="s">
        <v>38</v>
      </c>
      <c r="J69" s="68" t="s">
        <v>757</v>
      </c>
      <c r="K69" s="68" t="s">
        <v>756</v>
      </c>
      <c r="L69" s="68" t="s">
        <v>76</v>
      </c>
      <c r="M69" s="68">
        <v>2021</v>
      </c>
      <c r="N69" s="68">
        <v>0</v>
      </c>
      <c r="O69" s="68">
        <v>231.7</v>
      </c>
      <c r="P69" s="68"/>
    </row>
    <row r="70" spans="1:16" ht="11.25" customHeight="1" x14ac:dyDescent="0.25">
      <c r="A70" s="68">
        <v>69</v>
      </c>
      <c r="B70" s="68" t="s">
        <v>645</v>
      </c>
      <c r="C70" s="68" t="s">
        <v>43</v>
      </c>
      <c r="D70" s="68" t="s">
        <v>75</v>
      </c>
      <c r="E70" s="68" t="s">
        <v>44</v>
      </c>
      <c r="F70" s="68" t="s">
        <v>92</v>
      </c>
      <c r="G70" s="68" t="s">
        <v>25</v>
      </c>
      <c r="H70" s="68" t="s">
        <v>25</v>
      </c>
      <c r="I70" s="68" t="s">
        <v>36</v>
      </c>
      <c r="J70" s="68" t="s">
        <v>757</v>
      </c>
      <c r="K70" s="68" t="s">
        <v>756</v>
      </c>
      <c r="L70" s="68" t="s">
        <v>76</v>
      </c>
      <c r="M70" s="68">
        <v>2021</v>
      </c>
      <c r="N70" s="68">
        <v>0</v>
      </c>
      <c r="O70" s="68">
        <v>231.7</v>
      </c>
      <c r="P70" s="68"/>
    </row>
    <row r="71" spans="1:16" ht="11.25" customHeight="1" x14ac:dyDescent="0.25">
      <c r="A71" s="68">
        <v>70</v>
      </c>
      <c r="B71" s="68" t="s">
        <v>645</v>
      </c>
      <c r="C71" s="68" t="s">
        <v>43</v>
      </c>
      <c r="D71" s="68" t="s">
        <v>89</v>
      </c>
      <c r="E71" s="68" t="s">
        <v>44</v>
      </c>
      <c r="F71" s="68" t="s">
        <v>92</v>
      </c>
      <c r="G71" s="68" t="s">
        <v>25</v>
      </c>
      <c r="H71" s="68" t="s">
        <v>25</v>
      </c>
      <c r="I71" s="68" t="s">
        <v>25</v>
      </c>
      <c r="J71" s="68" t="s">
        <v>757</v>
      </c>
      <c r="K71" s="68" t="s">
        <v>756</v>
      </c>
      <c r="L71" s="68" t="s">
        <v>76</v>
      </c>
      <c r="M71" s="68">
        <v>2021</v>
      </c>
      <c r="N71" s="68">
        <v>0</v>
      </c>
      <c r="O71" s="68">
        <v>231.7</v>
      </c>
      <c r="P71" s="68"/>
    </row>
    <row r="72" spans="1:16" ht="11.25" customHeight="1" x14ac:dyDescent="0.25">
      <c r="A72" s="68">
        <v>71</v>
      </c>
      <c r="B72" s="68" t="s">
        <v>645</v>
      </c>
      <c r="C72" s="68" t="s">
        <v>43</v>
      </c>
      <c r="D72" s="68" t="s">
        <v>75</v>
      </c>
      <c r="E72" s="68" t="s">
        <v>44</v>
      </c>
      <c r="F72" s="68" t="s">
        <v>93</v>
      </c>
      <c r="G72" s="68" t="s">
        <v>25</v>
      </c>
      <c r="H72" s="68" t="s">
        <v>25</v>
      </c>
      <c r="I72" s="68" t="s">
        <v>35</v>
      </c>
      <c r="J72" s="68" t="s">
        <v>757</v>
      </c>
      <c r="K72" s="68" t="s">
        <v>756</v>
      </c>
      <c r="L72" s="68" t="s">
        <v>76</v>
      </c>
      <c r="M72" s="68">
        <v>2021</v>
      </c>
      <c r="N72" s="68">
        <v>0</v>
      </c>
      <c r="O72" s="68">
        <v>221.17</v>
      </c>
      <c r="P72" s="68"/>
    </row>
    <row r="73" spans="1:16" ht="11.25" customHeight="1" x14ac:dyDescent="0.25">
      <c r="A73" s="68">
        <v>72</v>
      </c>
      <c r="B73" s="68" t="s">
        <v>645</v>
      </c>
      <c r="C73" s="68" t="s">
        <v>43</v>
      </c>
      <c r="D73" s="68" t="s">
        <v>75</v>
      </c>
      <c r="E73" s="68" t="s">
        <v>44</v>
      </c>
      <c r="F73" s="68" t="s">
        <v>93</v>
      </c>
      <c r="G73" s="68" t="s">
        <v>25</v>
      </c>
      <c r="H73" s="68" t="s">
        <v>25</v>
      </c>
      <c r="I73" s="68" t="s">
        <v>38</v>
      </c>
      <c r="J73" s="68" t="s">
        <v>757</v>
      </c>
      <c r="K73" s="68" t="s">
        <v>756</v>
      </c>
      <c r="L73" s="68" t="s">
        <v>76</v>
      </c>
      <c r="M73" s="68">
        <v>2021</v>
      </c>
      <c r="N73" s="68">
        <v>0</v>
      </c>
      <c r="O73" s="68">
        <v>221.17</v>
      </c>
      <c r="P73" s="68"/>
    </row>
    <row r="74" spans="1:16" ht="11.25" customHeight="1" x14ac:dyDescent="0.25">
      <c r="A74" s="68">
        <v>73</v>
      </c>
      <c r="B74" s="68" t="s">
        <v>645</v>
      </c>
      <c r="C74" s="68" t="s">
        <v>43</v>
      </c>
      <c r="D74" s="68" t="s">
        <v>75</v>
      </c>
      <c r="E74" s="68" t="s">
        <v>44</v>
      </c>
      <c r="F74" s="68" t="s">
        <v>93</v>
      </c>
      <c r="G74" s="68" t="s">
        <v>25</v>
      </c>
      <c r="H74" s="68" t="s">
        <v>25</v>
      </c>
      <c r="I74" s="68" t="s">
        <v>36</v>
      </c>
      <c r="J74" s="68" t="s">
        <v>757</v>
      </c>
      <c r="K74" s="68" t="s">
        <v>756</v>
      </c>
      <c r="L74" s="68" t="s">
        <v>76</v>
      </c>
      <c r="M74" s="68">
        <v>2021</v>
      </c>
      <c r="N74" s="68">
        <v>0</v>
      </c>
      <c r="O74" s="68">
        <v>221.17</v>
      </c>
      <c r="P74" s="68"/>
    </row>
    <row r="75" spans="1:16" ht="11.25" customHeight="1" x14ac:dyDescent="0.25">
      <c r="A75" s="68">
        <v>74</v>
      </c>
      <c r="B75" s="68" t="s">
        <v>645</v>
      </c>
      <c r="C75" s="68" t="s">
        <v>43</v>
      </c>
      <c r="D75" s="68" t="s">
        <v>89</v>
      </c>
      <c r="E75" s="68" t="s">
        <v>44</v>
      </c>
      <c r="F75" s="68" t="s">
        <v>93</v>
      </c>
      <c r="G75" s="68" t="s">
        <v>25</v>
      </c>
      <c r="H75" s="68" t="s">
        <v>25</v>
      </c>
      <c r="I75" s="68" t="s">
        <v>25</v>
      </c>
      <c r="J75" s="68" t="s">
        <v>757</v>
      </c>
      <c r="K75" s="68" t="s">
        <v>756</v>
      </c>
      <c r="L75" s="68" t="s">
        <v>76</v>
      </c>
      <c r="M75" s="68">
        <v>2021</v>
      </c>
      <c r="N75" s="68">
        <v>0</v>
      </c>
      <c r="O75" s="68">
        <v>221.17</v>
      </c>
      <c r="P75" s="68"/>
    </row>
    <row r="76" spans="1:16" ht="11.25" customHeight="1" x14ac:dyDescent="0.25">
      <c r="A76" s="68">
        <v>75</v>
      </c>
      <c r="B76" s="68" t="s">
        <v>645</v>
      </c>
      <c r="C76" s="68" t="s">
        <v>43</v>
      </c>
      <c r="D76" s="68" t="s">
        <v>90</v>
      </c>
      <c r="E76" s="68" t="s">
        <v>44</v>
      </c>
      <c r="F76" s="68" t="s">
        <v>25</v>
      </c>
      <c r="G76" s="68" t="s">
        <v>25</v>
      </c>
      <c r="H76" s="68" t="s">
        <v>25</v>
      </c>
      <c r="I76" s="68" t="s">
        <v>25</v>
      </c>
      <c r="J76" s="68" t="s">
        <v>757</v>
      </c>
      <c r="K76" s="68" t="s">
        <v>756</v>
      </c>
      <c r="L76" s="68" t="s">
        <v>76</v>
      </c>
      <c r="M76" s="68">
        <v>2021</v>
      </c>
      <c r="N76" s="68">
        <v>0</v>
      </c>
      <c r="O76" s="68">
        <v>231.7</v>
      </c>
      <c r="P76" s="68"/>
    </row>
    <row r="77" spans="1:16" ht="11.25" customHeight="1" x14ac:dyDescent="0.25">
      <c r="A77" s="68">
        <v>76</v>
      </c>
      <c r="B77" s="68" t="s">
        <v>645</v>
      </c>
      <c r="C77" s="68" t="s">
        <v>43</v>
      </c>
      <c r="D77" s="68" t="s">
        <v>90</v>
      </c>
      <c r="E77" s="68" t="s">
        <v>44</v>
      </c>
      <c r="F77" s="68" t="s">
        <v>92</v>
      </c>
      <c r="G77" s="68" t="s">
        <v>25</v>
      </c>
      <c r="H77" s="68" t="s">
        <v>25</v>
      </c>
      <c r="I77" s="68" t="s">
        <v>25</v>
      </c>
      <c r="J77" s="68" t="s">
        <v>757</v>
      </c>
      <c r="K77" s="68" t="s">
        <v>756</v>
      </c>
      <c r="L77" s="68" t="s">
        <v>76</v>
      </c>
      <c r="M77" s="68">
        <v>2021</v>
      </c>
      <c r="N77" s="68">
        <v>0</v>
      </c>
      <c r="O77" s="68">
        <v>231.7</v>
      </c>
      <c r="P77" s="68"/>
    </row>
    <row r="78" spans="1:16" ht="11.25" customHeight="1" x14ac:dyDescent="0.25">
      <c r="A78" s="68">
        <v>77</v>
      </c>
      <c r="B78" s="68" t="s">
        <v>645</v>
      </c>
      <c r="C78" s="68" t="s">
        <v>43</v>
      </c>
      <c r="D78" s="68" t="s">
        <v>90</v>
      </c>
      <c r="E78" s="68" t="s">
        <v>44</v>
      </c>
      <c r="F78" s="68" t="s">
        <v>93</v>
      </c>
      <c r="G78" s="68" t="s">
        <v>25</v>
      </c>
      <c r="H78" s="68" t="s">
        <v>25</v>
      </c>
      <c r="I78" s="68" t="s">
        <v>25</v>
      </c>
      <c r="J78" s="68" t="s">
        <v>757</v>
      </c>
      <c r="K78" s="68" t="s">
        <v>756</v>
      </c>
      <c r="L78" s="68" t="s">
        <v>76</v>
      </c>
      <c r="M78" s="68">
        <v>2021</v>
      </c>
      <c r="N78" s="68">
        <v>0</v>
      </c>
      <c r="O78" s="68">
        <v>221.17</v>
      </c>
      <c r="P78" s="68"/>
    </row>
    <row r="79" spans="1:16" ht="11.25" customHeight="1" x14ac:dyDescent="0.25">
      <c r="A79" s="68">
        <v>78</v>
      </c>
      <c r="B79" s="68" t="s">
        <v>645</v>
      </c>
      <c r="C79" s="68" t="s">
        <v>39</v>
      </c>
      <c r="D79" s="68" t="s">
        <v>75</v>
      </c>
      <c r="E79" s="68" t="s">
        <v>25</v>
      </c>
      <c r="F79" s="68" t="s">
        <v>25</v>
      </c>
      <c r="G79" s="68" t="s">
        <v>25</v>
      </c>
      <c r="H79" s="68" t="s">
        <v>25</v>
      </c>
      <c r="I79" s="68" t="s">
        <v>35</v>
      </c>
      <c r="J79" s="68" t="s">
        <v>757</v>
      </c>
      <c r="K79" s="68" t="s">
        <v>756</v>
      </c>
      <c r="L79" s="68" t="s">
        <v>76</v>
      </c>
      <c r="M79" s="68">
        <v>2021</v>
      </c>
      <c r="N79" s="68">
        <v>0</v>
      </c>
      <c r="O79" s="68">
        <v>263.29000000000002</v>
      </c>
      <c r="P79" s="68"/>
    </row>
    <row r="80" spans="1:16" ht="11.25" customHeight="1" x14ac:dyDescent="0.25">
      <c r="A80" s="68">
        <v>79</v>
      </c>
      <c r="B80" s="68" t="s">
        <v>645</v>
      </c>
      <c r="C80" s="68" t="s">
        <v>39</v>
      </c>
      <c r="D80" s="68" t="s">
        <v>75</v>
      </c>
      <c r="E80" s="68" t="s">
        <v>25</v>
      </c>
      <c r="F80" s="68" t="s">
        <v>25</v>
      </c>
      <c r="G80" s="68" t="s">
        <v>25</v>
      </c>
      <c r="H80" s="68" t="s">
        <v>25</v>
      </c>
      <c r="I80" s="68" t="s">
        <v>38</v>
      </c>
      <c r="J80" s="68" t="s">
        <v>757</v>
      </c>
      <c r="K80" s="68" t="s">
        <v>756</v>
      </c>
      <c r="L80" s="68" t="s">
        <v>76</v>
      </c>
      <c r="M80" s="68">
        <v>2021</v>
      </c>
      <c r="N80" s="68">
        <v>0</v>
      </c>
      <c r="O80" s="68">
        <v>263.29000000000002</v>
      </c>
      <c r="P80" s="68"/>
    </row>
    <row r="81" spans="1:16" ht="11.25" customHeight="1" x14ac:dyDescent="0.25">
      <c r="A81" s="68">
        <v>80</v>
      </c>
      <c r="B81" s="68" t="s">
        <v>645</v>
      </c>
      <c r="C81" s="68" t="s">
        <v>39</v>
      </c>
      <c r="D81" s="68" t="s">
        <v>75</v>
      </c>
      <c r="E81" s="68" t="s">
        <v>25</v>
      </c>
      <c r="F81" s="68" t="s">
        <v>25</v>
      </c>
      <c r="G81" s="68" t="s">
        <v>25</v>
      </c>
      <c r="H81" s="68" t="s">
        <v>25</v>
      </c>
      <c r="I81" s="68" t="s">
        <v>36</v>
      </c>
      <c r="J81" s="68" t="s">
        <v>757</v>
      </c>
      <c r="K81" s="68" t="s">
        <v>756</v>
      </c>
      <c r="L81" s="68" t="s">
        <v>76</v>
      </c>
      <c r="M81" s="68">
        <v>2021</v>
      </c>
      <c r="N81" s="68">
        <v>0</v>
      </c>
      <c r="O81" s="68">
        <v>263.29000000000002</v>
      </c>
      <c r="P81" s="68"/>
    </row>
    <row r="82" spans="1:16" ht="11.25" customHeight="1" x14ac:dyDescent="0.25">
      <c r="A82" s="68">
        <v>81</v>
      </c>
      <c r="B82" s="68" t="s">
        <v>645</v>
      </c>
      <c r="C82" s="68" t="s">
        <v>39</v>
      </c>
      <c r="D82" s="68" t="s">
        <v>89</v>
      </c>
      <c r="E82" s="68" t="s">
        <v>25</v>
      </c>
      <c r="F82" s="68" t="s">
        <v>25</v>
      </c>
      <c r="G82" s="68" t="s">
        <v>25</v>
      </c>
      <c r="H82" s="68" t="s">
        <v>25</v>
      </c>
      <c r="I82" s="68" t="s">
        <v>25</v>
      </c>
      <c r="J82" s="68" t="s">
        <v>757</v>
      </c>
      <c r="K82" s="68" t="s">
        <v>756</v>
      </c>
      <c r="L82" s="68" t="s">
        <v>76</v>
      </c>
      <c r="M82" s="68">
        <v>2021</v>
      </c>
      <c r="N82" s="68">
        <v>0</v>
      </c>
      <c r="O82" s="68">
        <v>263.29000000000002</v>
      </c>
      <c r="P82" s="68"/>
    </row>
    <row r="83" spans="1:16" ht="11.25" customHeight="1" x14ac:dyDescent="0.25">
      <c r="A83" s="68">
        <v>82</v>
      </c>
      <c r="B83" s="68" t="s">
        <v>645</v>
      </c>
      <c r="C83" s="68" t="s">
        <v>39</v>
      </c>
      <c r="D83" s="68" t="s">
        <v>90</v>
      </c>
      <c r="E83" s="68" t="s">
        <v>25</v>
      </c>
      <c r="F83" s="68" t="s">
        <v>25</v>
      </c>
      <c r="G83" s="68" t="s">
        <v>25</v>
      </c>
      <c r="H83" s="68" t="s">
        <v>25</v>
      </c>
      <c r="I83" s="68" t="s">
        <v>25</v>
      </c>
      <c r="J83" s="68" t="s">
        <v>757</v>
      </c>
      <c r="K83" s="68" t="s">
        <v>756</v>
      </c>
      <c r="L83" s="68" t="s">
        <v>76</v>
      </c>
      <c r="M83" s="68">
        <v>2021</v>
      </c>
      <c r="N83" s="68">
        <v>0</v>
      </c>
      <c r="O83" s="68">
        <v>263.29000000000002</v>
      </c>
      <c r="P83" s="68"/>
    </row>
    <row r="84" spans="1:16" ht="11.25" customHeight="1" x14ac:dyDescent="0.25">
      <c r="A84" s="68">
        <v>83</v>
      </c>
      <c r="B84" s="68" t="s">
        <v>645</v>
      </c>
      <c r="C84" s="68" t="s">
        <v>46</v>
      </c>
      <c r="D84" s="68" t="s">
        <v>89</v>
      </c>
      <c r="E84" s="68" t="s">
        <v>47</v>
      </c>
      <c r="F84" s="68" t="s">
        <v>48</v>
      </c>
      <c r="G84" s="68" t="s">
        <v>25</v>
      </c>
      <c r="H84" s="68" t="s">
        <v>25</v>
      </c>
      <c r="I84" s="68" t="s">
        <v>25</v>
      </c>
      <c r="J84" s="68" t="s">
        <v>757</v>
      </c>
      <c r="K84" s="68" t="s">
        <v>756</v>
      </c>
      <c r="L84" s="68" t="s">
        <v>76</v>
      </c>
      <c r="M84" s="68">
        <v>2021</v>
      </c>
      <c r="N84" s="68">
        <v>0</v>
      </c>
      <c r="O84" s="68">
        <v>144.81</v>
      </c>
      <c r="P84" s="68"/>
    </row>
    <row r="85" spans="1:16" ht="11.25" customHeight="1" x14ac:dyDescent="0.25">
      <c r="A85" s="68">
        <v>84</v>
      </c>
      <c r="B85" s="68" t="s">
        <v>645</v>
      </c>
      <c r="C85" s="68" t="s">
        <v>46</v>
      </c>
      <c r="D85" s="68" t="s">
        <v>89</v>
      </c>
      <c r="E85" s="68" t="s">
        <v>47</v>
      </c>
      <c r="F85" s="68" t="s">
        <v>49</v>
      </c>
      <c r="G85" s="68" t="s">
        <v>25</v>
      </c>
      <c r="H85" s="68" t="s">
        <v>25</v>
      </c>
      <c r="I85" s="68" t="s">
        <v>25</v>
      </c>
      <c r="J85" s="68" t="s">
        <v>757</v>
      </c>
      <c r="K85" s="68" t="s">
        <v>756</v>
      </c>
      <c r="L85" s="68" t="s">
        <v>76</v>
      </c>
      <c r="M85" s="68">
        <v>2021</v>
      </c>
      <c r="N85" s="68">
        <v>0</v>
      </c>
      <c r="O85" s="68">
        <v>157.97999999999999</v>
      </c>
      <c r="P85" s="68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A75AF-9D85-4531-9B39-12FD79286DD5}">
  <dimension ref="A1:AD49"/>
  <sheetViews>
    <sheetView showGridLines="0" workbookViewId="0">
      <selection sqref="A1:W4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66</v>
      </c>
      <c r="B1" s="10" t="s">
        <v>67</v>
      </c>
      <c r="C1" s="10" t="s">
        <v>68</v>
      </c>
      <c r="D1" s="10" t="s">
        <v>69</v>
      </c>
      <c r="E1" s="10" t="s">
        <v>70</v>
      </c>
      <c r="F1" s="10" t="s">
        <v>71</v>
      </c>
      <c r="G1" s="10" t="s">
        <v>72</v>
      </c>
      <c r="H1" s="10" t="s">
        <v>73</v>
      </c>
      <c r="I1" s="11">
        <v>44317</v>
      </c>
      <c r="J1" s="11">
        <v>44348</v>
      </c>
      <c r="K1" s="11">
        <v>44378</v>
      </c>
      <c r="L1" s="11">
        <v>44409</v>
      </c>
      <c r="M1" s="11">
        <v>44440</v>
      </c>
      <c r="N1" s="11">
        <v>44470</v>
      </c>
      <c r="O1" s="11">
        <v>44501</v>
      </c>
      <c r="P1" s="11">
        <v>44531</v>
      </c>
      <c r="Q1" s="11">
        <v>44562</v>
      </c>
      <c r="R1" s="11">
        <v>44593</v>
      </c>
      <c r="S1" s="11">
        <v>44621</v>
      </c>
      <c r="T1" s="11">
        <v>44652</v>
      </c>
      <c r="U1" s="10" t="s">
        <v>74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16" t="s">
        <v>33</v>
      </c>
      <c r="B2" s="116" t="s">
        <v>41</v>
      </c>
      <c r="C2" s="116" t="s">
        <v>25</v>
      </c>
      <c r="D2" s="116" t="s">
        <v>25</v>
      </c>
      <c r="E2" s="116" t="s">
        <v>25</v>
      </c>
      <c r="F2" s="116" t="s">
        <v>25</v>
      </c>
      <c r="G2" s="12" t="s">
        <v>80</v>
      </c>
      <c r="H2" s="12" t="s">
        <v>79</v>
      </c>
      <c r="I2" s="12">
        <f>SUMIF(Mercado_Receita!$S$2:$S$754,"44317A4AzulNão se aplicaNão se aplicaNão se aplicaNão se aplicaPonta",Mercado_Receita!$J$2:$J$754)+SUMIF(Mercado_Receita!$S$2:$S$754,"44317A4AzulNão se aplicaNão se aplicaAPENão se aplicaPonta",Mercado_Receita!$J$2:$J$754)</f>
        <v>338</v>
      </c>
      <c r="J2" s="12">
        <f>SUMIF(Mercado_Receita!$S$2:$S$754,"44348A4AzulNão se aplicaNão se aplicaNão se aplicaNão se aplicaPonta",Mercado_Receita!$J$2:$J$754)+SUMIF(Mercado_Receita!$S$2:$S$754,"44348A4AzulNão se aplicaNão se aplicaAPENão se aplicaPonta",Mercado_Receita!$J$2:$J$754)</f>
        <v>338</v>
      </c>
      <c r="K2" s="12">
        <f>SUMIF(Mercado_Receita!$S$2:$S$754,"44378A4AzulNão se aplicaNão se aplicaNão se aplicaNão se aplicaPonta",Mercado_Receita!$J$2:$J$754)+SUMIF(Mercado_Receita!$S$2:$S$754,"44378A4AzulNão se aplicaNão se aplicaAPENão se aplicaPonta",Mercado_Receita!$J$2:$J$754)</f>
        <v>338</v>
      </c>
      <c r="L2" s="12">
        <f>SUMIF(Mercado_Receita!$S$2:$S$754,"44409A4AzulNão se aplicaNão se aplicaNão se aplicaNão se aplicaPonta",Mercado_Receita!$J$2:$J$754)+SUMIF(Mercado_Receita!$S$2:$S$754,"44409A4AzulNão se aplicaNão se aplicaAPENão se aplicaPonta",Mercado_Receita!$J$2:$J$754)</f>
        <v>125</v>
      </c>
      <c r="M2" s="12">
        <f>SUMIF(Mercado_Receita!$S$2:$S$754,"44440A4AzulNão se aplicaNão se aplicaNão se aplicaNão se aplicaPonta",Mercado_Receita!$J$2:$J$754)+SUMIF(Mercado_Receita!$S$2:$S$754,"44440A4AzulNão se aplicaNão se aplicaAPENão se aplicaPonta",Mercado_Receita!$J$2:$J$754)</f>
        <v>133</v>
      </c>
      <c r="N2" s="12">
        <f>SUMIF(Mercado_Receita!$S$2:$S$754,"44470A4AzulNão se aplicaNão se aplicaNão se aplicaNão se aplicaPonta",Mercado_Receita!$J$2:$J$754)+SUMIF(Mercado_Receita!$S$2:$S$754,"44470A4AzulNão se aplicaNão se aplicaAPENão se aplicaPonta",Mercado_Receita!$J$2:$J$754)</f>
        <v>125</v>
      </c>
      <c r="O2" s="12">
        <f>SUMIF(Mercado_Receita!$S$2:$S$754,"44501A4AzulNão se aplicaNão se aplicaNão se aplicaNão se aplicaPonta",Mercado_Receita!$J$2:$J$754)+SUMIF(Mercado_Receita!$S$2:$S$754,"44501A4AzulNão se aplicaNão se aplicaAPENão se aplicaPonta",Mercado_Receita!$J$2:$J$754)</f>
        <v>125</v>
      </c>
      <c r="P2" s="12">
        <f>SUMIF(Mercado_Receita!$S$2:$S$754,"44531A4AzulNão se aplicaNão se aplicaNão se aplicaNão se aplicaPonta",Mercado_Receita!$J$2:$J$754)+SUMIF(Mercado_Receita!$S$2:$S$754,"44531A4AzulNão se aplicaNão se aplicaAPENão se aplicaPonta",Mercado_Receita!$J$2:$J$754)</f>
        <v>125</v>
      </c>
      <c r="Q2" s="12">
        <f>SUMIF(Mercado_Receita!$S$2:$S$754,"44562A4AzulNão se aplicaNão se aplicaNão se aplicaNão se aplicaPonta",Mercado_Receita!$J$2:$J$754)+SUMIF(Mercado_Receita!$S$2:$S$754,"44562A4AzulNão se aplicaNão se aplicaAPENão se aplicaPonta",Mercado_Receita!$J$2:$J$754)</f>
        <v>125</v>
      </c>
      <c r="R2" s="12">
        <f>SUMIF(Mercado_Receita!$S$2:$S$754,"44593A4AzulNão se aplicaNão se aplicaNão se aplicaNão se aplicaPonta",Mercado_Receita!$J$2:$J$754)+SUMIF(Mercado_Receita!$S$2:$S$754,"44593A4AzulNão se aplicaNão se aplicaAPENão se aplicaPonta",Mercado_Receita!$J$2:$J$754)</f>
        <v>125</v>
      </c>
      <c r="S2" s="12">
        <f>SUMIF(Mercado_Receita!$S$2:$S$754,"44621A4AzulNão se aplicaNão se aplicaNão se aplicaNão se aplicaPonta",Mercado_Receita!$J$2:$J$754)+SUMIF(Mercado_Receita!$S$2:$S$754,"44621A4AzulNão se aplicaNão se aplicaAPENão se aplicaPonta",Mercado_Receita!$J$2:$J$754)</f>
        <v>125</v>
      </c>
      <c r="T2" s="12">
        <f>SUMIF(Mercado_Receita!$S$2:$S$754,"44652A4AzulNão se aplicaNão se aplicaNão se aplicaNão se aplicaPonta",Mercado_Receita!$J$2:$J$754)+SUMIF(Mercado_Receita!$S$2:$S$754,"44652A4AzulNão se aplicaNão se aplicaAPENão se aplicaPonta",Mercado_Receita!$J$2:$J$754)</f>
        <v>125</v>
      </c>
      <c r="U2" s="12">
        <f t="shared" ref="U2:U48" si="0">SUM(I2:T2)</f>
        <v>2147</v>
      </c>
      <c r="V2" s="12"/>
      <c r="W2" s="12"/>
    </row>
    <row r="3" spans="1:30" ht="11.25" customHeight="1" x14ac:dyDescent="0.25">
      <c r="A3" s="117"/>
      <c r="B3" s="117"/>
      <c r="C3" s="117"/>
      <c r="D3" s="117"/>
      <c r="E3" s="117"/>
      <c r="F3" s="117"/>
      <c r="G3" s="12" t="s">
        <v>81</v>
      </c>
      <c r="H3" s="12" t="s">
        <v>79</v>
      </c>
      <c r="I3" s="12">
        <f>SUMIF(Mercado_Receita!$S$2:$S$754,"44317A4AzulNão se aplicaNão se aplicaNão se aplicaNão se aplicaFora ponta",Mercado_Receita!$J$2:$J$754)+SUMIF(Mercado_Receita!$S$2:$S$754,"44317A4AzulNão se aplicaNão se aplicaAPENão se aplicaFora ponta",Mercado_Receita!$J$2:$J$754)</f>
        <v>364</v>
      </c>
      <c r="J3" s="12">
        <f>SUMIF(Mercado_Receita!$S$2:$S$754,"44348A4AzulNão se aplicaNão se aplicaNão se aplicaNão se aplicaFora ponta",Mercado_Receita!$J$2:$J$754)+SUMIF(Mercado_Receita!$S$2:$S$754,"44348A4AzulNão se aplicaNão se aplicaAPENão se aplicaFora ponta",Mercado_Receita!$J$2:$J$754)</f>
        <v>363</v>
      </c>
      <c r="K3" s="12">
        <f>SUMIF(Mercado_Receita!$S$2:$S$754,"44378A4AzulNão se aplicaNão se aplicaNão se aplicaNão se aplicaFora ponta",Mercado_Receita!$J$2:$J$754)+SUMIF(Mercado_Receita!$S$2:$S$754,"44378A4AzulNão se aplicaNão se aplicaAPENão se aplicaFora ponta",Mercado_Receita!$J$2:$J$754)</f>
        <v>363</v>
      </c>
      <c r="L3" s="12">
        <f>SUMIF(Mercado_Receita!$S$2:$S$754,"44409A4AzulNão se aplicaNão se aplicaNão se aplicaNão se aplicaFora ponta",Mercado_Receita!$J$2:$J$754)+SUMIF(Mercado_Receita!$S$2:$S$754,"44409A4AzulNão se aplicaNão se aplicaAPENão se aplicaFora ponta",Mercado_Receita!$J$2:$J$754)</f>
        <v>150</v>
      </c>
      <c r="M3" s="12">
        <f>SUMIF(Mercado_Receita!$S$2:$S$754,"44440A4AzulNão se aplicaNão se aplicaNão se aplicaNão se aplicaFora ponta",Mercado_Receita!$J$2:$J$754)+SUMIF(Mercado_Receita!$S$2:$S$754,"44440A4AzulNão se aplicaNão se aplicaAPENão se aplicaFora ponta",Mercado_Receita!$J$2:$J$754)</f>
        <v>155</v>
      </c>
      <c r="N3" s="12">
        <f>SUMIF(Mercado_Receita!$S$2:$S$754,"44470A4AzulNão se aplicaNão se aplicaNão se aplicaNão se aplicaFora ponta",Mercado_Receita!$J$2:$J$754)+SUMIF(Mercado_Receita!$S$2:$S$754,"44470A4AzulNão se aplicaNão se aplicaAPENão se aplicaFora ponta",Mercado_Receita!$J$2:$J$754)</f>
        <v>152</v>
      </c>
      <c r="O3" s="12">
        <f>SUMIF(Mercado_Receita!$S$2:$S$754,"44501A4AzulNão se aplicaNão se aplicaNão se aplicaNão se aplicaFora ponta",Mercado_Receita!$J$2:$J$754)+SUMIF(Mercado_Receita!$S$2:$S$754,"44501A4AzulNão se aplicaNão se aplicaAPENão se aplicaFora ponta",Mercado_Receita!$J$2:$J$754)</f>
        <v>172</v>
      </c>
      <c r="P3" s="12">
        <f>SUMIF(Mercado_Receita!$S$2:$S$754,"44531A4AzulNão se aplicaNão se aplicaNão se aplicaNão se aplicaFora ponta",Mercado_Receita!$J$2:$J$754)+SUMIF(Mercado_Receita!$S$2:$S$754,"44531A4AzulNão se aplicaNão se aplicaAPENão se aplicaFora ponta",Mercado_Receita!$J$2:$J$754)</f>
        <v>183</v>
      </c>
      <c r="Q3" s="12">
        <f>SUMIF(Mercado_Receita!$S$2:$S$754,"44562A4AzulNão se aplicaNão se aplicaNão se aplicaNão se aplicaFora ponta",Mercado_Receita!$J$2:$J$754)+SUMIF(Mercado_Receita!$S$2:$S$754,"44562A4AzulNão se aplicaNão se aplicaAPENão se aplicaFora ponta",Mercado_Receita!$J$2:$J$754)</f>
        <v>179</v>
      </c>
      <c r="R3" s="12">
        <f>SUMIF(Mercado_Receita!$S$2:$S$754,"44593A4AzulNão se aplicaNão se aplicaNão se aplicaNão se aplicaFora ponta",Mercado_Receita!$J$2:$J$754)+SUMIF(Mercado_Receita!$S$2:$S$754,"44593A4AzulNão se aplicaNão se aplicaAPENão se aplicaFora ponta",Mercado_Receita!$J$2:$J$754)</f>
        <v>190</v>
      </c>
      <c r="S3" s="12">
        <f>SUMIF(Mercado_Receita!$S$2:$S$754,"44621A4AzulNão se aplicaNão se aplicaNão se aplicaNão se aplicaFora ponta",Mercado_Receita!$J$2:$J$754)+SUMIF(Mercado_Receita!$S$2:$S$754,"44621A4AzulNão se aplicaNão se aplicaAPENão se aplicaFora ponta",Mercado_Receita!$J$2:$J$754)</f>
        <v>203</v>
      </c>
      <c r="T3" s="12">
        <f>SUMIF(Mercado_Receita!$S$2:$S$754,"44652A4AzulNão se aplicaNão se aplicaNão se aplicaNão se aplicaFora ponta",Mercado_Receita!$J$2:$J$754)+SUMIF(Mercado_Receita!$S$2:$S$754,"44652A4AzulNão se aplicaNão se aplicaAPENão se aplicaFora ponta",Mercado_Receita!$J$2:$J$754)</f>
        <v>194</v>
      </c>
      <c r="U3" s="12">
        <f t="shared" si="0"/>
        <v>2668</v>
      </c>
      <c r="V3" s="12"/>
      <c r="W3" s="12"/>
    </row>
    <row r="4" spans="1:30" ht="11.25" customHeight="1" x14ac:dyDescent="0.25">
      <c r="A4" s="117"/>
      <c r="B4" s="117"/>
      <c r="C4" s="117"/>
      <c r="D4" s="117"/>
      <c r="E4" s="117"/>
      <c r="F4" s="117"/>
      <c r="G4" s="12" t="s">
        <v>82</v>
      </c>
      <c r="H4" s="12" t="s">
        <v>76</v>
      </c>
      <c r="I4" s="12">
        <f>SUMIF(Mercado_Receita!$S$2:$S$754,"44317A4AzulNão se aplicaNão se aplicaNão se aplicaNão se aplicaPonta",Mercado_Receita!$L$2:$L$754)+SUMIF(Mercado_Receita!$S$2:$S$754,"44317A4AzulNão se aplicaNão se aplicaNão se aplicaNão se aplicaFora ponta",Mercado_Receita!$L$2:$L$754)+SUMIF(Mercado_Receita!$S$2:$S$754,"44317A4AzulNão se aplicaNão se aplicaNão se aplicaNão se aplicaIntermediário",Mercado_Receita!$L$2:$L$754)+SUMIF(Mercado_Receita!$S$2:$S$754,"44317A4AzulNão se aplicaNão se aplicaNão se aplicaNão se aplicaNão se aplica",Mercado_Receita!$L$2:$L$754)</f>
        <v>69.853999999999999</v>
      </c>
      <c r="J4" s="12">
        <f>SUMIF(Mercado_Receita!$S$2:$S$754,"44348A4AzulNão se aplicaNão se aplicaNão se aplicaNão se aplicaPonta",Mercado_Receita!$L$2:$L$754)+SUMIF(Mercado_Receita!$S$2:$S$754,"44348A4AzulNão se aplicaNão se aplicaNão se aplicaNão se aplicaFora ponta",Mercado_Receita!$L$2:$L$754)+SUMIF(Mercado_Receita!$S$2:$S$754,"44348A4AzulNão se aplicaNão se aplicaNão se aplicaNão se aplicaIntermediário",Mercado_Receita!$L$2:$L$754)+SUMIF(Mercado_Receita!$S$2:$S$754,"44348A4AzulNão se aplicaNão se aplicaNão se aplicaNão se aplicaNão se aplica",Mercado_Receita!$L$2:$L$754)</f>
        <v>54.887</v>
      </c>
      <c r="K4" s="12">
        <f>SUMIF(Mercado_Receita!$S$2:$S$754,"44378A4AzulNão se aplicaNão se aplicaNão se aplicaNão se aplicaPonta",Mercado_Receita!$L$2:$L$754)+SUMIF(Mercado_Receita!$S$2:$S$754,"44378A4AzulNão se aplicaNão se aplicaNão se aplicaNão se aplicaFora ponta",Mercado_Receita!$L$2:$L$754)+SUMIF(Mercado_Receita!$S$2:$S$754,"44378A4AzulNão se aplicaNão se aplicaNão se aplicaNão se aplicaIntermediário",Mercado_Receita!$L$2:$L$754)+SUMIF(Mercado_Receita!$S$2:$S$754,"44378A4AzulNão se aplicaNão se aplicaNão se aplicaNão se aplicaNão se aplica",Mercado_Receita!$L$2:$L$754)</f>
        <v>62.096000000000004</v>
      </c>
      <c r="L4" s="12">
        <f>SUMIF(Mercado_Receita!$S$2:$S$754,"44409A4AzulNão se aplicaNão se aplicaNão se aplicaNão se aplicaPonta",Mercado_Receita!$L$2:$L$754)+SUMIF(Mercado_Receita!$S$2:$S$754,"44409A4AzulNão se aplicaNão se aplicaNão se aplicaNão se aplicaFora ponta",Mercado_Receita!$L$2:$L$754)+SUMIF(Mercado_Receita!$S$2:$S$754,"44409A4AzulNão se aplicaNão se aplicaNão se aplicaNão se aplicaIntermediário",Mercado_Receita!$L$2:$L$754)+SUMIF(Mercado_Receita!$S$2:$S$754,"44409A4AzulNão se aplicaNão se aplicaNão se aplicaNão se aplicaNão se aplica",Mercado_Receita!$L$2:$L$754)</f>
        <v>49.608000000000004</v>
      </c>
      <c r="M4" s="12">
        <f>SUMIF(Mercado_Receita!$S$2:$S$754,"44440A4AzulNão se aplicaNão se aplicaNão se aplicaNão se aplicaPonta",Mercado_Receita!$L$2:$L$754)+SUMIF(Mercado_Receita!$S$2:$S$754,"44440A4AzulNão se aplicaNão se aplicaNão se aplicaNão se aplicaFora ponta",Mercado_Receita!$L$2:$L$754)+SUMIF(Mercado_Receita!$S$2:$S$754,"44440A4AzulNão se aplicaNão se aplicaNão se aplicaNão se aplicaIntermediário",Mercado_Receita!$L$2:$L$754)+SUMIF(Mercado_Receita!$S$2:$S$754,"44440A4AzulNão se aplicaNão se aplicaNão se aplicaNão se aplicaNão se aplica",Mercado_Receita!$L$2:$L$754)</f>
        <v>59.713000000000001</v>
      </c>
      <c r="N4" s="12">
        <f>SUMIF(Mercado_Receita!$S$2:$S$754,"44470A4AzulNão se aplicaNão se aplicaNão se aplicaNão se aplicaPonta",Mercado_Receita!$L$2:$L$754)+SUMIF(Mercado_Receita!$S$2:$S$754,"44470A4AzulNão se aplicaNão se aplicaNão se aplicaNão se aplicaFora ponta",Mercado_Receita!$L$2:$L$754)+SUMIF(Mercado_Receita!$S$2:$S$754,"44470A4AzulNão se aplicaNão se aplicaNão se aplicaNão se aplicaIntermediário",Mercado_Receita!$L$2:$L$754)+SUMIF(Mercado_Receita!$S$2:$S$754,"44470A4AzulNão se aplicaNão se aplicaNão se aplicaNão se aplicaNão se aplica",Mercado_Receita!$L$2:$L$754)</f>
        <v>54.169000000000004</v>
      </c>
      <c r="O4" s="12">
        <f>SUMIF(Mercado_Receita!$S$2:$S$754,"44501A4AzulNão se aplicaNão se aplicaNão se aplicaNão se aplicaPonta",Mercado_Receita!$L$2:$L$754)+SUMIF(Mercado_Receita!$S$2:$S$754,"44501A4AzulNão se aplicaNão se aplicaNão se aplicaNão se aplicaFora ponta",Mercado_Receita!$L$2:$L$754)+SUMIF(Mercado_Receita!$S$2:$S$754,"44501A4AzulNão se aplicaNão se aplicaNão se aplicaNão se aplicaIntermediário",Mercado_Receita!$L$2:$L$754)+SUMIF(Mercado_Receita!$S$2:$S$754,"44501A4AzulNão se aplicaNão se aplicaNão se aplicaNão se aplicaNão se aplica",Mercado_Receita!$L$2:$L$754)</f>
        <v>40.533000000000001</v>
      </c>
      <c r="P4" s="12">
        <f>SUMIF(Mercado_Receita!$S$2:$S$754,"44531A4AzulNão se aplicaNão se aplicaNão se aplicaNão se aplicaPonta",Mercado_Receita!$L$2:$L$754)+SUMIF(Mercado_Receita!$S$2:$S$754,"44531A4AzulNão se aplicaNão se aplicaNão se aplicaNão se aplicaFora ponta",Mercado_Receita!$L$2:$L$754)+SUMIF(Mercado_Receita!$S$2:$S$754,"44531A4AzulNão se aplicaNão se aplicaNão se aplicaNão se aplicaIntermediário",Mercado_Receita!$L$2:$L$754)+SUMIF(Mercado_Receita!$S$2:$S$754,"44531A4AzulNão se aplicaNão se aplicaNão se aplicaNão se aplicaNão se aplica",Mercado_Receita!$L$2:$L$754)</f>
        <v>53.907000000000004</v>
      </c>
      <c r="Q4" s="12">
        <f>SUMIF(Mercado_Receita!$S$2:$S$754,"44562A4AzulNão se aplicaNão se aplicaNão se aplicaNão se aplicaPonta",Mercado_Receita!$L$2:$L$754)+SUMIF(Mercado_Receita!$S$2:$S$754,"44562A4AzulNão se aplicaNão se aplicaNão se aplicaNão se aplicaFora ponta",Mercado_Receita!$L$2:$L$754)+SUMIF(Mercado_Receita!$S$2:$S$754,"44562A4AzulNão se aplicaNão se aplicaNão se aplicaNão se aplicaIntermediário",Mercado_Receita!$L$2:$L$754)+SUMIF(Mercado_Receita!$S$2:$S$754,"44562A4AzulNão se aplicaNão se aplicaNão se aplicaNão se aplicaNão se aplica",Mercado_Receita!$L$2:$L$754)</f>
        <v>55.620000000000005</v>
      </c>
      <c r="R4" s="12">
        <f>SUMIF(Mercado_Receita!$S$2:$S$754,"44593A4AzulNão se aplicaNão se aplicaNão se aplicaNão se aplicaPonta",Mercado_Receita!$L$2:$L$754)+SUMIF(Mercado_Receita!$S$2:$S$754,"44593A4AzulNão se aplicaNão se aplicaNão se aplicaNão se aplicaFora ponta",Mercado_Receita!$L$2:$L$754)+SUMIF(Mercado_Receita!$S$2:$S$754,"44593A4AzulNão se aplicaNão se aplicaNão se aplicaNão se aplicaIntermediário",Mercado_Receita!$L$2:$L$754)+SUMIF(Mercado_Receita!$S$2:$S$754,"44593A4AzulNão se aplicaNão se aplicaNão se aplicaNão se aplicaNão se aplica",Mercado_Receita!$L$2:$L$754)</f>
        <v>51.289000000000001</v>
      </c>
      <c r="S4" s="12">
        <f>SUMIF(Mercado_Receita!$S$2:$S$754,"44621A4AzulNão se aplicaNão se aplicaNão se aplicaNão se aplicaPonta",Mercado_Receita!$L$2:$L$754)+SUMIF(Mercado_Receita!$S$2:$S$754,"44621A4AzulNão se aplicaNão se aplicaNão se aplicaNão se aplicaFora ponta",Mercado_Receita!$L$2:$L$754)+SUMIF(Mercado_Receita!$S$2:$S$754,"44621A4AzulNão se aplicaNão se aplicaNão se aplicaNão se aplicaIntermediário",Mercado_Receita!$L$2:$L$754)+SUMIF(Mercado_Receita!$S$2:$S$754,"44621A4AzulNão se aplicaNão se aplicaNão se aplicaNão se aplicaNão se aplica",Mercado_Receita!$L$2:$L$754)</f>
        <v>62.764000000000003</v>
      </c>
      <c r="T4" s="12">
        <f>SUMIF(Mercado_Receita!$S$2:$S$754,"44652A4AzulNão se aplicaNão se aplicaNão se aplicaNão se aplicaPonta",Mercado_Receita!$L$2:$L$754)+SUMIF(Mercado_Receita!$S$2:$S$754,"44652A4AzulNão se aplicaNão se aplicaNão se aplicaNão se aplicaFora ponta",Mercado_Receita!$L$2:$L$754)+SUMIF(Mercado_Receita!$S$2:$S$754,"44652A4AzulNão se aplicaNão se aplicaNão se aplicaNão se aplicaIntermediário",Mercado_Receita!$L$2:$L$754)+SUMIF(Mercado_Receita!$S$2:$S$754,"44652A4AzulNão se aplicaNão se aplicaNão se aplicaNão se aplicaNão se aplica",Mercado_Receita!$L$2:$L$754)</f>
        <v>55.195</v>
      </c>
      <c r="U4" s="12">
        <f t="shared" si="0"/>
        <v>669.6350000000001</v>
      </c>
      <c r="V4" s="12"/>
      <c r="W4" s="12"/>
    </row>
    <row r="5" spans="1:30" ht="11.25" customHeight="1" x14ac:dyDescent="0.25">
      <c r="A5" s="117"/>
      <c r="B5" s="117"/>
      <c r="C5" s="117"/>
      <c r="D5" s="117"/>
      <c r="E5" s="13" t="s">
        <v>83</v>
      </c>
      <c r="F5" s="13" t="s">
        <v>25</v>
      </c>
      <c r="G5" s="12" t="s">
        <v>82</v>
      </c>
      <c r="H5" s="12" t="s">
        <v>76</v>
      </c>
      <c r="I5" s="12">
        <f>SUMIF(Mercado_Receita!$S$2:$S$754,"44317A4AzulNão se aplicaNão se aplicaAPENão se aplicaPonta",Mercado_Receita!$L$2:$L$754)+SUMIF(Mercado_Receita!$S$2:$S$754,"44317A4AzulNão se aplicaNão se aplicaAPENão se aplicaFora ponta",Mercado_Receita!$L$2:$L$754)+SUMIF(Mercado_Receita!$S$2:$S$754,"44317A4AzulNão se aplicaNão se aplicaAPENão se aplicaIntermediário",Mercado_Receita!$L$2:$L$754)+SUMIF(Mercado_Receita!$S$2:$S$754,"44317A4AzulNão se aplicaNão se aplicaAPENão se aplicaNão se aplica",Mercado_Receita!$L$2:$L$754)</f>
        <v>0</v>
      </c>
      <c r="J5" s="12">
        <f>SUMIF(Mercado_Receita!$S$2:$S$754,"44348A4AzulNão se aplicaNão se aplicaAPENão se aplicaPonta",Mercado_Receita!$L$2:$L$754)+SUMIF(Mercado_Receita!$S$2:$S$754,"44348A4AzulNão se aplicaNão se aplicaAPENão se aplicaFora ponta",Mercado_Receita!$L$2:$L$754)+SUMIF(Mercado_Receita!$S$2:$S$754,"44348A4AzulNão se aplicaNão se aplicaAPENão se aplicaIntermediário",Mercado_Receita!$L$2:$L$754)+SUMIF(Mercado_Receita!$S$2:$S$754,"44348A4AzulNão se aplicaNão se aplicaAPENão se aplicaNão se aplica",Mercado_Receita!$L$2:$L$754)</f>
        <v>0</v>
      </c>
      <c r="K5" s="12">
        <f>SUMIF(Mercado_Receita!$S$2:$S$754,"44378A4AzulNão se aplicaNão se aplicaAPENão se aplicaPonta",Mercado_Receita!$L$2:$L$754)+SUMIF(Mercado_Receita!$S$2:$S$754,"44378A4AzulNão se aplicaNão se aplicaAPENão se aplicaFora ponta",Mercado_Receita!$L$2:$L$754)+SUMIF(Mercado_Receita!$S$2:$S$754,"44378A4AzulNão se aplicaNão se aplicaAPENão se aplicaIntermediário",Mercado_Receita!$L$2:$L$754)+SUMIF(Mercado_Receita!$S$2:$S$754,"44378A4AzulNão se aplicaNão se aplicaAPENão se aplicaNão se aplica",Mercado_Receita!$L$2:$L$754)</f>
        <v>0</v>
      </c>
      <c r="L5" s="12">
        <f>SUMIF(Mercado_Receita!$S$2:$S$754,"44409A4AzulNão se aplicaNão se aplicaAPENão se aplicaPonta",Mercado_Receita!$L$2:$L$754)+SUMIF(Mercado_Receita!$S$2:$S$754,"44409A4AzulNão se aplicaNão se aplicaAPENão se aplicaFora ponta",Mercado_Receita!$L$2:$L$754)+SUMIF(Mercado_Receita!$S$2:$S$754,"44409A4AzulNão se aplicaNão se aplicaAPENão se aplicaIntermediário",Mercado_Receita!$L$2:$L$754)+SUMIF(Mercado_Receita!$S$2:$S$754,"44409A4AzulNão se aplicaNão se aplicaAPENão se aplicaNão se aplica",Mercado_Receita!$L$2:$L$754)</f>
        <v>0</v>
      </c>
      <c r="M5" s="12">
        <f>SUMIF(Mercado_Receita!$S$2:$S$754,"44440A4AzulNão se aplicaNão se aplicaAPENão se aplicaPonta",Mercado_Receita!$L$2:$L$754)+SUMIF(Mercado_Receita!$S$2:$S$754,"44440A4AzulNão se aplicaNão se aplicaAPENão se aplicaFora ponta",Mercado_Receita!$L$2:$L$754)+SUMIF(Mercado_Receita!$S$2:$S$754,"44440A4AzulNão se aplicaNão se aplicaAPENão se aplicaIntermediário",Mercado_Receita!$L$2:$L$754)+SUMIF(Mercado_Receita!$S$2:$S$754,"44440A4AzulNão se aplicaNão se aplicaAPENão se aplicaNão se aplica",Mercado_Receita!$L$2:$L$754)</f>
        <v>0</v>
      </c>
      <c r="N5" s="12">
        <f>SUMIF(Mercado_Receita!$S$2:$S$754,"44470A4AzulNão se aplicaNão se aplicaAPENão se aplicaPonta",Mercado_Receita!$L$2:$L$754)+SUMIF(Mercado_Receita!$S$2:$S$754,"44470A4AzulNão se aplicaNão se aplicaAPENão se aplicaFora ponta",Mercado_Receita!$L$2:$L$754)+SUMIF(Mercado_Receita!$S$2:$S$754,"44470A4AzulNão se aplicaNão se aplicaAPENão se aplicaIntermediário",Mercado_Receita!$L$2:$L$754)+SUMIF(Mercado_Receita!$S$2:$S$754,"44470A4AzulNão se aplicaNão se aplicaAPENão se aplicaNão se aplica",Mercado_Receita!$L$2:$L$754)</f>
        <v>0</v>
      </c>
      <c r="O5" s="12">
        <f>SUMIF(Mercado_Receita!$S$2:$S$754,"44501A4AzulNão se aplicaNão se aplicaAPENão se aplicaPonta",Mercado_Receita!$L$2:$L$754)+SUMIF(Mercado_Receita!$S$2:$S$754,"44501A4AzulNão se aplicaNão se aplicaAPENão se aplicaFora ponta",Mercado_Receita!$L$2:$L$754)+SUMIF(Mercado_Receita!$S$2:$S$754,"44501A4AzulNão se aplicaNão se aplicaAPENão se aplicaIntermediário",Mercado_Receita!$L$2:$L$754)+SUMIF(Mercado_Receita!$S$2:$S$754,"44501A4AzulNão se aplicaNão se aplicaAPENão se aplicaNão se aplica",Mercado_Receita!$L$2:$L$754)</f>
        <v>0</v>
      </c>
      <c r="P5" s="12">
        <f>SUMIF(Mercado_Receita!$S$2:$S$754,"44531A4AzulNão se aplicaNão se aplicaAPENão se aplicaPonta",Mercado_Receita!$L$2:$L$754)+SUMIF(Mercado_Receita!$S$2:$S$754,"44531A4AzulNão se aplicaNão se aplicaAPENão se aplicaFora ponta",Mercado_Receita!$L$2:$L$754)+SUMIF(Mercado_Receita!$S$2:$S$754,"44531A4AzulNão se aplicaNão se aplicaAPENão se aplicaIntermediário",Mercado_Receita!$L$2:$L$754)+SUMIF(Mercado_Receita!$S$2:$S$754,"44531A4AzulNão se aplicaNão se aplicaAPENão se aplicaNão se aplica",Mercado_Receita!$L$2:$L$754)</f>
        <v>0</v>
      </c>
      <c r="Q5" s="12">
        <f>SUMIF(Mercado_Receita!$S$2:$S$754,"44562A4AzulNão se aplicaNão se aplicaAPENão se aplicaPonta",Mercado_Receita!$L$2:$L$754)+SUMIF(Mercado_Receita!$S$2:$S$754,"44562A4AzulNão se aplicaNão se aplicaAPENão se aplicaFora ponta",Mercado_Receita!$L$2:$L$754)+SUMIF(Mercado_Receita!$S$2:$S$754,"44562A4AzulNão se aplicaNão se aplicaAPENão se aplicaIntermediário",Mercado_Receita!$L$2:$L$754)+SUMIF(Mercado_Receita!$S$2:$S$754,"44562A4AzulNão se aplicaNão se aplicaAPENão se aplicaNão se aplica",Mercado_Receita!$L$2:$L$754)</f>
        <v>0</v>
      </c>
      <c r="R5" s="12">
        <f>SUMIF(Mercado_Receita!$S$2:$S$754,"44593A4AzulNão se aplicaNão se aplicaAPENão se aplicaPonta",Mercado_Receita!$L$2:$L$754)+SUMIF(Mercado_Receita!$S$2:$S$754,"44593A4AzulNão se aplicaNão se aplicaAPENão se aplicaFora ponta",Mercado_Receita!$L$2:$L$754)+SUMIF(Mercado_Receita!$S$2:$S$754,"44593A4AzulNão se aplicaNão se aplicaAPENão se aplicaIntermediário",Mercado_Receita!$L$2:$L$754)+SUMIF(Mercado_Receita!$S$2:$S$754,"44593A4AzulNão se aplicaNão se aplicaAPENão se aplicaNão se aplica",Mercado_Receita!$L$2:$L$754)</f>
        <v>0</v>
      </c>
      <c r="S5" s="12">
        <f>SUMIF(Mercado_Receita!$S$2:$S$754,"44621A4AzulNão se aplicaNão se aplicaAPENão se aplicaPonta",Mercado_Receita!$L$2:$L$754)+SUMIF(Mercado_Receita!$S$2:$S$754,"44621A4AzulNão se aplicaNão se aplicaAPENão se aplicaFora ponta",Mercado_Receita!$L$2:$L$754)+SUMIF(Mercado_Receita!$S$2:$S$754,"44621A4AzulNão se aplicaNão se aplicaAPENão se aplicaIntermediário",Mercado_Receita!$L$2:$L$754)+SUMIF(Mercado_Receita!$S$2:$S$754,"44621A4AzulNão se aplicaNão se aplicaAPENão se aplicaNão se aplica",Mercado_Receita!$L$2:$L$754)</f>
        <v>0</v>
      </c>
      <c r="T5" s="12">
        <f>SUMIF(Mercado_Receita!$S$2:$S$754,"44652A4AzulNão se aplicaNão se aplicaAPENão se aplicaPonta",Mercado_Receita!$L$2:$L$754)+SUMIF(Mercado_Receita!$S$2:$S$754,"44652A4AzulNão se aplicaNão se aplicaAPENão se aplicaFora ponta",Mercado_Receita!$L$2:$L$754)+SUMIF(Mercado_Receita!$S$2:$S$754,"44652A4AzulNão se aplicaNão se aplicaAPENão se aplicaIntermediário",Mercado_Receita!$L$2:$L$754)+SUMIF(Mercado_Receita!$S$2:$S$754,"44652A4AzulNão se aplicaNão se aplicaAPENão se aplicaNão se aplica",Mercado_Receita!$L$2:$L$754)</f>
        <v>0</v>
      </c>
      <c r="U5" s="12">
        <f t="shared" si="0"/>
        <v>0</v>
      </c>
      <c r="V5" s="12"/>
      <c r="W5" s="12"/>
    </row>
    <row r="6" spans="1:30" ht="11.25" customHeight="1" x14ac:dyDescent="0.25">
      <c r="A6" s="117"/>
      <c r="B6" s="13" t="s">
        <v>84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9</v>
      </c>
      <c r="H6" s="12" t="s">
        <v>79</v>
      </c>
      <c r="I6" s="12">
        <f>SUMIF(Mercado_Receita!$S$2:$S$754,"44317A4GeraçãoNão se aplicaNão se aplicaNão se aplicaNão se aplicaNão se aplica",Mercado_Receita!$J$2:$J$754)+SUMIF(Mercado_Receita!$S$2:$S$754,"44317A4GeraçãoNão se aplicaNão se aplicaAPENão se aplicaNão se aplica",Mercado_Receita!$J$2:$J$754)</f>
        <v>0</v>
      </c>
      <c r="J6" s="12">
        <f>SUMIF(Mercado_Receita!$S$2:$S$754,"44348A4GeraçãoNão se aplicaNão se aplicaNão se aplicaNão se aplicaNão se aplica",Mercado_Receita!$J$2:$J$754)+SUMIF(Mercado_Receita!$S$2:$S$754,"44348A4GeraçãoNão se aplicaNão se aplicaAPENão se aplicaNão se aplica",Mercado_Receita!$J$2:$J$754)</f>
        <v>0</v>
      </c>
      <c r="K6" s="12">
        <f>SUMIF(Mercado_Receita!$S$2:$S$754,"44378A4GeraçãoNão se aplicaNão se aplicaNão se aplicaNão se aplicaNão se aplica",Mercado_Receita!$J$2:$J$754)+SUMIF(Mercado_Receita!$S$2:$S$754,"44378A4GeraçãoNão se aplicaNão se aplicaAPENão se aplicaNão se aplica",Mercado_Receita!$J$2:$J$754)</f>
        <v>0</v>
      </c>
      <c r="L6" s="12">
        <f>SUMIF(Mercado_Receita!$S$2:$S$754,"44409A4GeraçãoNão se aplicaNão se aplicaNão se aplicaNão se aplicaNão se aplica",Mercado_Receita!$J$2:$J$754)+SUMIF(Mercado_Receita!$S$2:$S$754,"44409A4GeraçãoNão se aplicaNão se aplicaAPENão se aplicaNão se aplica",Mercado_Receita!$J$2:$J$754)</f>
        <v>0</v>
      </c>
      <c r="M6" s="12">
        <f>SUMIF(Mercado_Receita!$S$2:$S$754,"44440A4GeraçãoNão se aplicaNão se aplicaNão se aplicaNão se aplicaNão se aplica",Mercado_Receita!$J$2:$J$754)+SUMIF(Mercado_Receita!$S$2:$S$754,"44440A4GeraçãoNão se aplicaNão se aplicaAPENão se aplicaNão se aplica",Mercado_Receita!$J$2:$J$754)</f>
        <v>0</v>
      </c>
      <c r="N6" s="12">
        <f>SUMIF(Mercado_Receita!$S$2:$S$754,"44470A4GeraçãoNão se aplicaNão se aplicaNão se aplicaNão se aplicaNão se aplica",Mercado_Receita!$J$2:$J$754)+SUMIF(Mercado_Receita!$S$2:$S$754,"44470A4GeraçãoNão se aplicaNão se aplicaAPENão se aplicaNão se aplica",Mercado_Receita!$J$2:$J$754)</f>
        <v>0</v>
      </c>
      <c r="O6" s="12">
        <f>SUMIF(Mercado_Receita!$S$2:$S$754,"44501A4GeraçãoNão se aplicaNão se aplicaNão se aplicaNão se aplicaNão se aplica",Mercado_Receita!$J$2:$J$754)+SUMIF(Mercado_Receita!$S$2:$S$754,"44501A4GeraçãoNão se aplicaNão se aplicaAPENão se aplicaNão se aplica",Mercado_Receita!$J$2:$J$754)</f>
        <v>0</v>
      </c>
      <c r="P6" s="12">
        <f>SUMIF(Mercado_Receita!$S$2:$S$754,"44531A4GeraçãoNão se aplicaNão se aplicaNão se aplicaNão se aplicaNão se aplica",Mercado_Receita!$J$2:$J$754)+SUMIF(Mercado_Receita!$S$2:$S$754,"44531A4GeraçãoNão se aplicaNão se aplicaAPENão se aplicaNão se aplica",Mercado_Receita!$J$2:$J$754)</f>
        <v>0</v>
      </c>
      <c r="Q6" s="12">
        <f>SUMIF(Mercado_Receita!$S$2:$S$754,"44562A4GeraçãoNão se aplicaNão se aplicaNão se aplicaNão se aplicaNão se aplica",Mercado_Receita!$J$2:$J$754)+SUMIF(Mercado_Receita!$S$2:$S$754,"44562A4GeraçãoNão se aplicaNão se aplicaAPENão se aplicaNão se aplica",Mercado_Receita!$J$2:$J$754)</f>
        <v>0</v>
      </c>
      <c r="R6" s="12">
        <f>SUMIF(Mercado_Receita!$S$2:$S$754,"44593A4GeraçãoNão se aplicaNão se aplicaNão se aplicaNão se aplicaNão se aplica",Mercado_Receita!$J$2:$J$754)+SUMIF(Mercado_Receita!$S$2:$S$754,"44593A4GeraçãoNão se aplicaNão se aplicaAPENão se aplicaNão se aplica",Mercado_Receita!$J$2:$J$754)</f>
        <v>0</v>
      </c>
      <c r="S6" s="12">
        <f>SUMIF(Mercado_Receita!$S$2:$S$754,"44621A4GeraçãoNão se aplicaNão se aplicaNão se aplicaNão se aplicaNão se aplica",Mercado_Receita!$J$2:$J$754)+SUMIF(Mercado_Receita!$S$2:$S$754,"44621A4GeraçãoNão se aplicaNão se aplicaAPENão se aplicaNão se aplica",Mercado_Receita!$J$2:$J$754)</f>
        <v>0</v>
      </c>
      <c r="T6" s="12">
        <f>SUMIF(Mercado_Receita!$S$2:$S$754,"44652A4GeraçãoNão se aplicaNão se aplicaNão se aplicaNão se aplicaNão se aplica",Mercado_Receita!$J$2:$J$754)+SUMIF(Mercado_Receita!$S$2:$S$754,"44652A4GeraçãoNão se aplicaNão se aplicaAPENão se aplicaNão se aplica",Mercado_Receita!$J$2:$J$754)</f>
        <v>0</v>
      </c>
      <c r="U6" s="12">
        <f t="shared" si="0"/>
        <v>0</v>
      </c>
      <c r="V6" s="12"/>
      <c r="W6" s="12"/>
    </row>
    <row r="7" spans="1:30" ht="11.25" customHeight="1" x14ac:dyDescent="0.25">
      <c r="A7" s="117"/>
      <c r="B7" s="116" t="s">
        <v>34</v>
      </c>
      <c r="C7" s="116" t="s">
        <v>25</v>
      </c>
      <c r="D7" s="116" t="s">
        <v>25</v>
      </c>
      <c r="E7" s="116" t="s">
        <v>25</v>
      </c>
      <c r="F7" s="116" t="s">
        <v>25</v>
      </c>
      <c r="G7" s="12" t="s">
        <v>9</v>
      </c>
      <c r="H7" s="12" t="s">
        <v>79</v>
      </c>
      <c r="I7" s="12">
        <f>SUMIF(Mercado_Receita!$S$2:$S$754,"44317A4VerdeNão se aplicaNão se aplicaNão se aplicaNão se aplicaNão se aplica",Mercado_Receita!$J$2:$J$754)+SUMIF(Mercado_Receita!$S$2:$S$754,"44317A4VerdeNão se aplicaNão se aplicaAPENão se aplicaNão se aplica",Mercado_Receita!$J$2:$J$754)</f>
        <v>24937</v>
      </c>
      <c r="J7" s="12">
        <f>SUMIF(Mercado_Receita!$S$2:$S$754,"44348A4VerdeNão se aplicaNão se aplicaNão se aplicaNão se aplicaNão se aplica",Mercado_Receita!$J$2:$J$754)+SUMIF(Mercado_Receita!$S$2:$S$754,"44348A4VerdeNão se aplicaNão se aplicaAPENão se aplicaNão se aplica",Mercado_Receita!$J$2:$J$754)</f>
        <v>24284</v>
      </c>
      <c r="K7" s="12">
        <f>SUMIF(Mercado_Receita!$S$2:$S$754,"44378A4VerdeNão se aplicaNão se aplicaNão se aplicaNão se aplicaNão se aplica",Mercado_Receita!$J$2:$J$754)+SUMIF(Mercado_Receita!$S$2:$S$754,"44378A4VerdeNão se aplicaNão se aplicaAPENão se aplicaNão se aplica",Mercado_Receita!$J$2:$J$754)</f>
        <v>23850</v>
      </c>
      <c r="L7" s="12">
        <f>SUMIF(Mercado_Receita!$S$2:$S$754,"44409A4VerdeNão se aplicaNão se aplicaNão se aplicaNão se aplicaNão se aplica",Mercado_Receita!$J$2:$J$754)+SUMIF(Mercado_Receita!$S$2:$S$754,"44409A4VerdeNão se aplicaNão se aplicaAPENão se aplicaNão se aplica",Mercado_Receita!$J$2:$J$754)</f>
        <v>25087</v>
      </c>
      <c r="M7" s="12">
        <f>SUMIF(Mercado_Receita!$S$2:$S$754,"44440A4VerdeNão se aplicaNão se aplicaNão se aplicaNão se aplicaNão se aplica",Mercado_Receita!$J$2:$J$754)+SUMIF(Mercado_Receita!$S$2:$S$754,"44440A4VerdeNão se aplicaNão se aplicaAPENão se aplicaNão se aplica",Mercado_Receita!$J$2:$J$754)</f>
        <v>27875</v>
      </c>
      <c r="N7" s="12">
        <f>SUMIF(Mercado_Receita!$S$2:$S$754,"44470A4VerdeNão se aplicaNão se aplicaNão se aplicaNão se aplicaNão se aplica",Mercado_Receita!$J$2:$J$754)+SUMIF(Mercado_Receita!$S$2:$S$754,"44470A4VerdeNão se aplicaNão se aplicaAPENão se aplicaNão se aplica",Mercado_Receita!$J$2:$J$754)</f>
        <v>27632</v>
      </c>
      <c r="O7" s="12">
        <f>SUMIF(Mercado_Receita!$S$2:$S$754,"44501A4VerdeNão se aplicaNão se aplicaNão se aplicaNão se aplicaNão se aplica",Mercado_Receita!$J$2:$J$754)+SUMIF(Mercado_Receita!$S$2:$S$754,"44501A4VerdeNão se aplicaNão se aplicaAPENão se aplicaNão se aplica",Mercado_Receita!$J$2:$J$754)</f>
        <v>27075</v>
      </c>
      <c r="P7" s="12">
        <f>SUMIF(Mercado_Receita!$S$2:$S$754,"44531A4VerdeNão se aplicaNão se aplicaNão se aplicaNão se aplicaNão se aplica",Mercado_Receita!$J$2:$J$754)+SUMIF(Mercado_Receita!$S$2:$S$754,"44531A4VerdeNão se aplicaNão se aplicaAPENão se aplicaNão se aplica",Mercado_Receita!$J$2:$J$754)</f>
        <v>28198</v>
      </c>
      <c r="Q7" s="12">
        <f>SUMIF(Mercado_Receita!$S$2:$S$754,"44562A4VerdeNão se aplicaNão se aplicaNão se aplicaNão se aplicaNão se aplica",Mercado_Receita!$J$2:$J$754)+SUMIF(Mercado_Receita!$S$2:$S$754,"44562A4VerdeNão se aplicaNão se aplicaAPENão se aplicaNão se aplica",Mercado_Receita!$J$2:$J$754)</f>
        <v>28054</v>
      </c>
      <c r="R7" s="12">
        <f>SUMIF(Mercado_Receita!$S$2:$S$754,"44593A4VerdeNão se aplicaNão se aplicaNão se aplicaNão se aplicaNão se aplica",Mercado_Receita!$J$2:$J$754)+SUMIF(Mercado_Receita!$S$2:$S$754,"44593A4VerdeNão se aplicaNão se aplicaAPENão se aplicaNão se aplica",Mercado_Receita!$J$2:$J$754)</f>
        <v>27055</v>
      </c>
      <c r="S7" s="12">
        <f>SUMIF(Mercado_Receita!$S$2:$S$754,"44621A4VerdeNão se aplicaNão se aplicaNão se aplicaNão se aplicaNão se aplica",Mercado_Receita!$J$2:$J$754)+SUMIF(Mercado_Receita!$S$2:$S$754,"44621A4VerdeNão se aplicaNão se aplicaAPENão se aplicaNão se aplica",Mercado_Receita!$J$2:$J$754)</f>
        <v>28051</v>
      </c>
      <c r="T7" s="12">
        <f>SUMIF(Mercado_Receita!$S$2:$S$754,"44652A4VerdeNão se aplicaNão se aplicaNão se aplicaNão se aplicaNão se aplica",Mercado_Receita!$J$2:$J$754)+SUMIF(Mercado_Receita!$S$2:$S$754,"44652A4VerdeNão se aplicaNão se aplicaAPENão se aplicaNão se aplica",Mercado_Receita!$J$2:$J$754)</f>
        <v>26019</v>
      </c>
      <c r="U7" s="12">
        <f t="shared" si="0"/>
        <v>318117</v>
      </c>
      <c r="V7" s="12"/>
      <c r="W7" s="12"/>
    </row>
    <row r="8" spans="1:30" ht="11.25" customHeight="1" x14ac:dyDescent="0.25">
      <c r="A8" s="117"/>
      <c r="B8" s="117"/>
      <c r="C8" s="117"/>
      <c r="D8" s="117"/>
      <c r="E8" s="117"/>
      <c r="F8" s="117"/>
      <c r="G8" s="12" t="s">
        <v>77</v>
      </c>
      <c r="H8" s="12" t="s">
        <v>76</v>
      </c>
      <c r="I8" s="12">
        <f>SUMIF(Mercado_Receita!$S$2:$S$754,"44317A4VerdeNão se aplicaNão se aplicaNão se aplicaNão se aplicaPonta",Mercado_Receita!$L$2:$L$754)</f>
        <v>395.97100000000006</v>
      </c>
      <c r="J8" s="12">
        <f>SUMIF(Mercado_Receita!$S$2:$S$754,"44348A4VerdeNão se aplicaNão se aplicaNão se aplicaNão se aplicaPonta",Mercado_Receita!$L$2:$L$754)</f>
        <v>369.54500000000002</v>
      </c>
      <c r="K8" s="12">
        <f>SUMIF(Mercado_Receita!$S$2:$S$754,"44378A4VerdeNão se aplicaNão se aplicaNão se aplicaNão se aplicaPonta",Mercado_Receita!$L$2:$L$754)</f>
        <v>405.72899999999998</v>
      </c>
      <c r="L8" s="12">
        <f>SUMIF(Mercado_Receita!$S$2:$S$754,"44409A4VerdeNão se aplicaNão se aplicaNão se aplicaNão se aplicaPonta",Mercado_Receita!$L$2:$L$754)</f>
        <v>422.52100000000002</v>
      </c>
      <c r="M8" s="12">
        <f>SUMIF(Mercado_Receita!$S$2:$S$754,"44440A4VerdeNão se aplicaNão se aplicaNão se aplicaNão se aplicaPonta",Mercado_Receita!$L$2:$L$754)</f>
        <v>429.20200000000006</v>
      </c>
      <c r="N8" s="12">
        <f>SUMIF(Mercado_Receita!$S$2:$S$754,"44470A4VerdeNão se aplicaNão se aplicaNão se aplicaNão se aplicaPonta",Mercado_Receita!$L$2:$L$754)</f>
        <v>412.42999999999995</v>
      </c>
      <c r="O8" s="12">
        <f>SUMIF(Mercado_Receita!$S$2:$S$754,"44501A4VerdeNão se aplicaNão se aplicaNão se aplicaNão se aplicaPonta",Mercado_Receita!$L$2:$L$754)</f>
        <v>427.10200000000003</v>
      </c>
      <c r="P8" s="12">
        <f>SUMIF(Mercado_Receita!$S$2:$S$754,"44531A4VerdeNão se aplicaNão se aplicaNão se aplicaNão se aplicaPonta",Mercado_Receita!$L$2:$L$754)</f>
        <v>445.94100000000009</v>
      </c>
      <c r="Q8" s="12">
        <f>SUMIF(Mercado_Receita!$S$2:$S$754,"44562A4VerdeNão se aplicaNão se aplicaNão se aplicaNão se aplicaPonta",Mercado_Receita!$L$2:$L$754)</f>
        <v>453.33199999999994</v>
      </c>
      <c r="R8" s="12">
        <f>SUMIF(Mercado_Receita!$S$2:$S$754,"44593A4VerdeNão se aplicaNão se aplicaNão se aplicaNão se aplicaPonta",Mercado_Receita!$L$2:$L$754)</f>
        <v>435.98399999999998</v>
      </c>
      <c r="S8" s="12">
        <f>SUMIF(Mercado_Receita!$S$2:$S$754,"44621A4VerdeNão se aplicaNão se aplicaNão se aplicaNão se aplicaPonta",Mercado_Receita!$L$2:$L$754)</f>
        <v>500.904</v>
      </c>
      <c r="T8" s="12">
        <f>SUMIF(Mercado_Receita!$S$2:$S$754,"44652A4VerdeNão se aplicaNão se aplicaNão se aplicaNão se aplicaPonta",Mercado_Receita!$L$2:$L$754)</f>
        <v>418.20799999999991</v>
      </c>
      <c r="U8" s="12">
        <f t="shared" si="0"/>
        <v>5116.8689999999997</v>
      </c>
      <c r="V8" s="12"/>
      <c r="W8" s="12"/>
    </row>
    <row r="9" spans="1:30" ht="11.25" customHeight="1" x14ac:dyDescent="0.25">
      <c r="A9" s="117"/>
      <c r="B9" s="117"/>
      <c r="C9" s="117"/>
      <c r="D9" s="117"/>
      <c r="E9" s="117"/>
      <c r="F9" s="117"/>
      <c r="G9" s="12" t="s">
        <v>78</v>
      </c>
      <c r="H9" s="12" t="s">
        <v>76</v>
      </c>
      <c r="I9" s="12">
        <f>SUMIF(Mercado_Receita!$S$2:$S$754,"44317A4VerdeNão se aplicaNão se aplicaNão se aplicaNão se aplicaFora ponta",Mercado_Receita!$L$2:$L$754)</f>
        <v>6090.1660000000002</v>
      </c>
      <c r="J9" s="12">
        <f>SUMIF(Mercado_Receita!$S$2:$S$754,"44348A4VerdeNão se aplicaNão se aplicaNão se aplicaNão se aplicaFora ponta",Mercado_Receita!$L$2:$L$754)</f>
        <v>5884.4150000000018</v>
      </c>
      <c r="K9" s="12">
        <f>SUMIF(Mercado_Receita!$S$2:$S$754,"44378A4VerdeNão se aplicaNão se aplicaNão se aplicaNão se aplicaFora ponta",Mercado_Receita!$L$2:$L$754)</f>
        <v>6093.6510000000007</v>
      </c>
      <c r="L9" s="12">
        <f>SUMIF(Mercado_Receita!$S$2:$S$754,"44409A4VerdeNão se aplicaNão se aplicaNão se aplicaNão se aplicaFora ponta",Mercado_Receita!$L$2:$L$754)</f>
        <v>6360.7820000000002</v>
      </c>
      <c r="M9" s="12">
        <f>SUMIF(Mercado_Receita!$S$2:$S$754,"44440A4VerdeNão se aplicaNão se aplicaNão se aplicaNão se aplicaFora ponta",Mercado_Receita!$L$2:$L$754)</f>
        <v>6751.4310000000005</v>
      </c>
      <c r="N9" s="12">
        <f>SUMIF(Mercado_Receita!$S$2:$S$754,"44470A4VerdeNão se aplicaNão se aplicaNão se aplicaNão se aplicaFora ponta",Mercado_Receita!$L$2:$L$754)</f>
        <v>6801.7779999999984</v>
      </c>
      <c r="O9" s="12">
        <f>SUMIF(Mercado_Receita!$S$2:$S$754,"44501A4VerdeNão se aplicaNão se aplicaNão se aplicaNão se aplicaFora ponta",Mercado_Receita!$L$2:$L$754)</f>
        <v>6875.2340000000022</v>
      </c>
      <c r="P9" s="12">
        <f>SUMIF(Mercado_Receita!$S$2:$S$754,"44531A4VerdeNão se aplicaNão se aplicaNão se aplicaNão se aplicaFora ponta",Mercado_Receita!$L$2:$L$754)</f>
        <v>6892.1660000000002</v>
      </c>
      <c r="Q9" s="12">
        <f>SUMIF(Mercado_Receita!$S$2:$S$754,"44562A4VerdeNão se aplicaNão se aplicaNão se aplicaNão se aplicaFora ponta",Mercado_Receita!$L$2:$L$754)</f>
        <v>7078.3600000000006</v>
      </c>
      <c r="R9" s="12">
        <f>SUMIF(Mercado_Receita!$S$2:$S$754,"44593A4VerdeNão se aplicaNão se aplicaNão se aplicaNão se aplicaFora ponta",Mercado_Receita!$L$2:$L$754)</f>
        <v>6590.8989999999985</v>
      </c>
      <c r="S9" s="12">
        <f>SUMIF(Mercado_Receita!$S$2:$S$754,"44621A4VerdeNão se aplicaNão se aplicaNão se aplicaNão se aplicaFora ponta",Mercado_Receita!$L$2:$L$754)</f>
        <v>7817.7000000000025</v>
      </c>
      <c r="T9" s="12">
        <f>SUMIF(Mercado_Receita!$S$2:$S$754,"44652A4VerdeNão se aplicaNão se aplicaNão se aplicaNão se aplicaFora ponta",Mercado_Receita!$L$2:$L$754)</f>
        <v>6964.4719999999998</v>
      </c>
      <c r="U9" s="12">
        <f t="shared" si="0"/>
        <v>80201.053999999989</v>
      </c>
      <c r="V9" s="12"/>
      <c r="W9" s="12"/>
    </row>
    <row r="10" spans="1:30" ht="11.25" customHeight="1" x14ac:dyDescent="0.25">
      <c r="A10" s="117"/>
      <c r="B10" s="117"/>
      <c r="C10" s="117"/>
      <c r="D10" s="117"/>
      <c r="E10" s="116" t="s">
        <v>83</v>
      </c>
      <c r="F10" s="116" t="s">
        <v>25</v>
      </c>
      <c r="G10" s="12" t="s">
        <v>77</v>
      </c>
      <c r="H10" s="12" t="s">
        <v>76</v>
      </c>
      <c r="I10" s="12">
        <f>SUMIF(Mercado_Receita!$S$2:$S$754,"44317A4VerdeNão se aplicaNão se aplicaAPENão se aplicaPonta",Mercado_Receita!$L$2:$L$754)</f>
        <v>0</v>
      </c>
      <c r="J10" s="12">
        <f>SUMIF(Mercado_Receita!$S$2:$S$754,"44348A4VerdeNão se aplicaNão se aplicaAPENão se aplicaPonta",Mercado_Receita!$L$2:$L$754)</f>
        <v>0</v>
      </c>
      <c r="K10" s="12">
        <f>SUMIF(Mercado_Receita!$S$2:$S$754,"44378A4VerdeNão se aplicaNão se aplicaAPENão se aplicaPonta",Mercado_Receita!$L$2:$L$754)</f>
        <v>0</v>
      </c>
      <c r="L10" s="12">
        <f>SUMIF(Mercado_Receita!$S$2:$S$754,"44409A4VerdeNão se aplicaNão se aplicaAPENão se aplicaPonta",Mercado_Receita!$L$2:$L$754)</f>
        <v>0</v>
      </c>
      <c r="M10" s="12">
        <f>SUMIF(Mercado_Receita!$S$2:$S$754,"44440A4VerdeNão se aplicaNão se aplicaAPENão se aplicaPonta",Mercado_Receita!$L$2:$L$754)</f>
        <v>0</v>
      </c>
      <c r="N10" s="12">
        <f>SUMIF(Mercado_Receita!$S$2:$S$754,"44470A4VerdeNão se aplicaNão se aplicaAPENão se aplicaPonta",Mercado_Receita!$L$2:$L$754)</f>
        <v>0</v>
      </c>
      <c r="O10" s="12">
        <f>SUMIF(Mercado_Receita!$S$2:$S$754,"44501A4VerdeNão se aplicaNão se aplicaAPENão se aplicaPonta",Mercado_Receita!$L$2:$L$754)</f>
        <v>0</v>
      </c>
      <c r="P10" s="12">
        <f>SUMIF(Mercado_Receita!$S$2:$S$754,"44531A4VerdeNão se aplicaNão se aplicaAPENão se aplicaPonta",Mercado_Receita!$L$2:$L$754)</f>
        <v>0</v>
      </c>
      <c r="Q10" s="12">
        <f>SUMIF(Mercado_Receita!$S$2:$S$754,"44562A4VerdeNão se aplicaNão se aplicaAPENão se aplicaPonta",Mercado_Receita!$L$2:$L$754)</f>
        <v>0</v>
      </c>
      <c r="R10" s="12">
        <f>SUMIF(Mercado_Receita!$S$2:$S$754,"44593A4VerdeNão se aplicaNão se aplicaAPENão se aplicaPonta",Mercado_Receita!$L$2:$L$754)</f>
        <v>0</v>
      </c>
      <c r="S10" s="12">
        <f>SUMIF(Mercado_Receita!$S$2:$S$754,"44621A4VerdeNão se aplicaNão se aplicaAPENão se aplicaPonta",Mercado_Receita!$L$2:$L$754)</f>
        <v>0</v>
      </c>
      <c r="T10" s="12">
        <f>SUMIF(Mercado_Receita!$S$2:$S$754,"44652A4VerdeNão se aplicaNão se aplicaAPENão se aplicaPonta",Mercado_Receita!$L$2:$L$754)</f>
        <v>0</v>
      </c>
      <c r="U10" s="12">
        <f t="shared" si="0"/>
        <v>0</v>
      </c>
      <c r="V10" s="12"/>
      <c r="W10" s="12"/>
    </row>
    <row r="11" spans="1:30" ht="11.25" customHeight="1" x14ac:dyDescent="0.25">
      <c r="A11" s="117"/>
      <c r="B11" s="117"/>
      <c r="C11" s="117"/>
      <c r="D11" s="117"/>
      <c r="E11" s="117"/>
      <c r="F11" s="117"/>
      <c r="G11" s="12" t="s">
        <v>78</v>
      </c>
      <c r="H11" s="12" t="s">
        <v>76</v>
      </c>
      <c r="I11" s="12">
        <f>SUMIF(Mercado_Receita!$S$2:$S$754,"44317A4VerdeNão se aplicaNão se aplicaAPENão se aplicaFora ponta",Mercado_Receita!$L$2:$L$754)</f>
        <v>0</v>
      </c>
      <c r="J11" s="12">
        <f>SUMIF(Mercado_Receita!$S$2:$S$754,"44348A4VerdeNão se aplicaNão se aplicaAPENão se aplicaFora ponta",Mercado_Receita!$L$2:$L$754)</f>
        <v>0</v>
      </c>
      <c r="K11" s="12">
        <f>SUMIF(Mercado_Receita!$S$2:$S$754,"44378A4VerdeNão se aplicaNão se aplicaAPENão se aplicaFora ponta",Mercado_Receita!$L$2:$L$754)</f>
        <v>0</v>
      </c>
      <c r="L11" s="12">
        <f>SUMIF(Mercado_Receita!$S$2:$S$754,"44409A4VerdeNão se aplicaNão se aplicaAPENão se aplicaFora ponta",Mercado_Receita!$L$2:$L$754)</f>
        <v>0</v>
      </c>
      <c r="M11" s="12">
        <f>SUMIF(Mercado_Receita!$S$2:$S$754,"44440A4VerdeNão se aplicaNão se aplicaAPENão se aplicaFora ponta",Mercado_Receita!$L$2:$L$754)</f>
        <v>0</v>
      </c>
      <c r="N11" s="12">
        <f>SUMIF(Mercado_Receita!$S$2:$S$754,"44470A4VerdeNão se aplicaNão se aplicaAPENão se aplicaFora ponta",Mercado_Receita!$L$2:$L$754)</f>
        <v>0</v>
      </c>
      <c r="O11" s="12">
        <f>SUMIF(Mercado_Receita!$S$2:$S$754,"44501A4VerdeNão se aplicaNão se aplicaAPENão se aplicaFora ponta",Mercado_Receita!$L$2:$L$754)</f>
        <v>0</v>
      </c>
      <c r="P11" s="12">
        <f>SUMIF(Mercado_Receita!$S$2:$S$754,"44531A4VerdeNão se aplicaNão se aplicaAPENão se aplicaFora ponta",Mercado_Receita!$L$2:$L$754)</f>
        <v>0</v>
      </c>
      <c r="Q11" s="12">
        <f>SUMIF(Mercado_Receita!$S$2:$S$754,"44562A4VerdeNão se aplicaNão se aplicaAPENão se aplicaFora ponta",Mercado_Receita!$L$2:$L$754)</f>
        <v>0</v>
      </c>
      <c r="R11" s="12">
        <f>SUMIF(Mercado_Receita!$S$2:$S$754,"44593A4VerdeNão se aplicaNão se aplicaAPENão se aplicaFora ponta",Mercado_Receita!$L$2:$L$754)</f>
        <v>0</v>
      </c>
      <c r="S11" s="12">
        <f>SUMIF(Mercado_Receita!$S$2:$S$754,"44621A4VerdeNão se aplicaNão se aplicaAPENão se aplicaFora ponta",Mercado_Receita!$L$2:$L$754)</f>
        <v>0</v>
      </c>
      <c r="T11" s="12">
        <f>SUMIF(Mercado_Receita!$S$2:$S$754,"44652A4VerdeNão se aplicaNão se aplicaAPENão se aplicaFora ponta",Mercado_Receita!$L$2:$L$754)</f>
        <v>0</v>
      </c>
      <c r="U11" s="12">
        <f t="shared" si="0"/>
        <v>0</v>
      </c>
      <c r="V11" s="12"/>
      <c r="W11" s="12"/>
    </row>
    <row r="12" spans="1:30" ht="11.25" customHeight="1" x14ac:dyDescent="0.25">
      <c r="A12" s="116" t="s">
        <v>85</v>
      </c>
      <c r="B12" s="116" t="s">
        <v>84</v>
      </c>
      <c r="C12" s="116" t="s">
        <v>25</v>
      </c>
      <c r="D12" s="116" t="s">
        <v>25</v>
      </c>
      <c r="E12" s="13" t="s">
        <v>86</v>
      </c>
      <c r="F12" s="13" t="s">
        <v>25</v>
      </c>
      <c r="G12" s="12" t="s">
        <v>9</v>
      </c>
      <c r="H12" s="12" t="s">
        <v>79</v>
      </c>
      <c r="I12" s="12">
        <f>SUMIF(Mercado_Receita!$S$2:$S$754,"44317BGeraçãoNão se aplicaNão se aplicaTIPO 01Não se aplicaNão se aplica",Mercado_Receita!$J$2:$J$754)+SUMIF(Mercado_Receita!$S$2:$S$754,"44317BGeraçãoNão se aplicaNão se aplicaAPENão se aplicaNão se aplica",Mercado_Receita!$J$2:$J$754)</f>
        <v>0</v>
      </c>
      <c r="J12" s="12">
        <f>SUMIF(Mercado_Receita!$S$2:$S$754,"44348BGeraçãoNão se aplicaNão se aplicaTIPO 01Não se aplicaNão se aplica",Mercado_Receita!$J$2:$J$754)+SUMIF(Mercado_Receita!$S$2:$S$754,"44348BGeraçãoNão se aplicaNão se aplicaAPENão se aplicaNão se aplica",Mercado_Receita!$J$2:$J$754)</f>
        <v>0</v>
      </c>
      <c r="K12" s="12">
        <f>SUMIF(Mercado_Receita!$S$2:$S$754,"44378BGeraçãoNão se aplicaNão se aplicaTIPO 01Não se aplicaNão se aplica",Mercado_Receita!$J$2:$J$754)+SUMIF(Mercado_Receita!$S$2:$S$754,"44378BGeraçãoNão se aplicaNão se aplicaAPENão se aplicaNão se aplica",Mercado_Receita!$J$2:$J$754)</f>
        <v>0</v>
      </c>
      <c r="L12" s="12">
        <f>SUMIF(Mercado_Receita!$S$2:$S$754,"44409BGeraçãoNão se aplicaNão se aplicaTIPO 01Não se aplicaNão se aplica",Mercado_Receita!$J$2:$J$754)+SUMIF(Mercado_Receita!$S$2:$S$754,"44409BGeraçãoNão se aplicaNão se aplicaAPENão se aplicaNão se aplica",Mercado_Receita!$J$2:$J$754)</f>
        <v>0</v>
      </c>
      <c r="M12" s="12">
        <f>SUMIF(Mercado_Receita!$S$2:$S$754,"44440BGeraçãoNão se aplicaNão se aplicaTIPO 01Não se aplicaNão se aplica",Mercado_Receita!$J$2:$J$754)+SUMIF(Mercado_Receita!$S$2:$S$754,"44440BGeraçãoNão se aplicaNão se aplicaAPENão se aplicaNão se aplica",Mercado_Receita!$J$2:$J$754)</f>
        <v>0</v>
      </c>
      <c r="N12" s="12">
        <f>SUMIF(Mercado_Receita!$S$2:$S$754,"44470BGeraçãoNão se aplicaNão se aplicaTIPO 01Não se aplicaNão se aplica",Mercado_Receita!$J$2:$J$754)+SUMIF(Mercado_Receita!$S$2:$S$754,"44470BGeraçãoNão se aplicaNão se aplicaAPENão se aplicaNão se aplica",Mercado_Receita!$J$2:$J$754)</f>
        <v>0</v>
      </c>
      <c r="O12" s="12">
        <f>SUMIF(Mercado_Receita!$S$2:$S$754,"44501BGeraçãoNão se aplicaNão se aplicaTIPO 01Não se aplicaNão se aplica",Mercado_Receita!$J$2:$J$754)+SUMIF(Mercado_Receita!$S$2:$S$754,"44501BGeraçãoNão se aplicaNão se aplicaAPENão se aplicaNão se aplica",Mercado_Receita!$J$2:$J$754)</f>
        <v>0</v>
      </c>
      <c r="P12" s="12">
        <f>SUMIF(Mercado_Receita!$S$2:$S$754,"44531BGeraçãoNão se aplicaNão se aplicaTIPO 01Não se aplicaNão se aplica",Mercado_Receita!$J$2:$J$754)+SUMIF(Mercado_Receita!$S$2:$S$754,"44531BGeraçãoNão se aplicaNão se aplicaAPENão se aplicaNão se aplica",Mercado_Receita!$J$2:$J$754)</f>
        <v>0</v>
      </c>
      <c r="Q12" s="12">
        <f>SUMIF(Mercado_Receita!$S$2:$S$754,"44562BGeraçãoNão se aplicaNão se aplicaTIPO 01Não se aplicaNão se aplica",Mercado_Receita!$J$2:$J$754)+SUMIF(Mercado_Receita!$S$2:$S$754,"44562BGeraçãoNão se aplicaNão se aplicaAPENão se aplicaNão se aplica",Mercado_Receita!$J$2:$J$754)</f>
        <v>0</v>
      </c>
      <c r="R12" s="12">
        <f>SUMIF(Mercado_Receita!$S$2:$S$754,"44593BGeraçãoNão se aplicaNão se aplicaTIPO 01Não se aplicaNão se aplica",Mercado_Receita!$J$2:$J$754)+SUMIF(Mercado_Receita!$S$2:$S$754,"44593BGeraçãoNão se aplicaNão se aplicaAPENão se aplicaNão se aplica",Mercado_Receita!$J$2:$J$754)</f>
        <v>0</v>
      </c>
      <c r="S12" s="12">
        <f>SUMIF(Mercado_Receita!$S$2:$S$754,"44621BGeraçãoNão se aplicaNão se aplicaTIPO 01Não se aplicaNão se aplica",Mercado_Receita!$J$2:$J$754)+SUMIF(Mercado_Receita!$S$2:$S$754,"44621BGeraçãoNão se aplicaNão se aplicaAPENão se aplicaNão se aplica",Mercado_Receita!$J$2:$J$754)</f>
        <v>0</v>
      </c>
      <c r="T12" s="12">
        <f>SUMIF(Mercado_Receita!$S$2:$S$754,"44652BGeraçãoNão se aplicaNão se aplicaTIPO 01Não se aplicaNão se aplica",Mercado_Receita!$J$2:$J$754)+SUMIF(Mercado_Receita!$S$2:$S$754,"44652BGeraçãoNão se aplicaNão se aplicaAPENão se aplicaNão se aplica",Mercado_Receita!$J$2:$J$754)</f>
        <v>0</v>
      </c>
      <c r="U12" s="12">
        <f t="shared" si="0"/>
        <v>0</v>
      </c>
      <c r="V12" s="12"/>
      <c r="W12" s="12"/>
    </row>
    <row r="13" spans="1:30" ht="11.25" customHeight="1" x14ac:dyDescent="0.25">
      <c r="A13" s="117"/>
      <c r="B13" s="117"/>
      <c r="C13" s="117"/>
      <c r="D13" s="117"/>
      <c r="E13" s="13" t="s">
        <v>87</v>
      </c>
      <c r="F13" s="13" t="s">
        <v>25</v>
      </c>
      <c r="G13" s="12" t="s">
        <v>9</v>
      </c>
      <c r="H13" s="12" t="s">
        <v>79</v>
      </c>
      <c r="I13" s="12">
        <f>SUMIF(Mercado_Receita!$S$2:$S$754,"44317BGeraçãoNão se aplicaNão se aplicaTIPO 02Não se aplicaNão se aplica",Mercado_Receita!$J$2:$J$754)+SUMIF(Mercado_Receita!$S$2:$S$754,"44317BGeraçãoNão se aplicaNão se aplicaAPENão se aplicaNão se aplica",Mercado_Receita!$J$2:$J$754)</f>
        <v>0</v>
      </c>
      <c r="J13" s="12">
        <f>SUMIF(Mercado_Receita!$S$2:$S$754,"44348BGeraçãoNão se aplicaNão se aplicaTIPO 02Não se aplicaNão se aplica",Mercado_Receita!$J$2:$J$754)+SUMIF(Mercado_Receita!$S$2:$S$754,"44348BGeraçãoNão se aplicaNão se aplicaAPENão se aplicaNão se aplica",Mercado_Receita!$J$2:$J$754)</f>
        <v>0</v>
      </c>
      <c r="K13" s="12">
        <f>SUMIF(Mercado_Receita!$S$2:$S$754,"44378BGeraçãoNão se aplicaNão se aplicaTIPO 02Não se aplicaNão se aplica",Mercado_Receita!$J$2:$J$754)+SUMIF(Mercado_Receita!$S$2:$S$754,"44378BGeraçãoNão se aplicaNão se aplicaAPENão se aplicaNão se aplica",Mercado_Receita!$J$2:$J$754)</f>
        <v>0</v>
      </c>
      <c r="L13" s="12">
        <f>SUMIF(Mercado_Receita!$S$2:$S$754,"44409BGeraçãoNão se aplicaNão se aplicaTIPO 02Não se aplicaNão se aplica",Mercado_Receita!$J$2:$J$754)+SUMIF(Mercado_Receita!$S$2:$S$754,"44409BGeraçãoNão se aplicaNão se aplicaAPENão se aplicaNão se aplica",Mercado_Receita!$J$2:$J$754)</f>
        <v>0</v>
      </c>
      <c r="M13" s="12">
        <f>SUMIF(Mercado_Receita!$S$2:$S$754,"44440BGeraçãoNão se aplicaNão se aplicaTIPO 02Não se aplicaNão se aplica",Mercado_Receita!$J$2:$J$754)+SUMIF(Mercado_Receita!$S$2:$S$754,"44440BGeraçãoNão se aplicaNão se aplicaAPENão se aplicaNão se aplica",Mercado_Receita!$J$2:$J$754)</f>
        <v>0</v>
      </c>
      <c r="N13" s="12">
        <f>SUMIF(Mercado_Receita!$S$2:$S$754,"44470BGeraçãoNão se aplicaNão se aplicaTIPO 02Não se aplicaNão se aplica",Mercado_Receita!$J$2:$J$754)+SUMIF(Mercado_Receita!$S$2:$S$754,"44470BGeraçãoNão se aplicaNão se aplicaAPENão se aplicaNão se aplica",Mercado_Receita!$J$2:$J$754)</f>
        <v>0</v>
      </c>
      <c r="O13" s="12">
        <f>SUMIF(Mercado_Receita!$S$2:$S$754,"44501BGeraçãoNão se aplicaNão se aplicaTIPO 02Não se aplicaNão se aplica",Mercado_Receita!$J$2:$J$754)+SUMIF(Mercado_Receita!$S$2:$S$754,"44501BGeraçãoNão se aplicaNão se aplicaAPENão se aplicaNão se aplica",Mercado_Receita!$J$2:$J$754)</f>
        <v>0</v>
      </c>
      <c r="P13" s="12">
        <f>SUMIF(Mercado_Receita!$S$2:$S$754,"44531BGeraçãoNão se aplicaNão se aplicaTIPO 02Não se aplicaNão se aplica",Mercado_Receita!$J$2:$J$754)+SUMIF(Mercado_Receita!$S$2:$S$754,"44531BGeraçãoNão se aplicaNão se aplicaAPENão se aplicaNão se aplica",Mercado_Receita!$J$2:$J$754)</f>
        <v>0</v>
      </c>
      <c r="Q13" s="12">
        <f>SUMIF(Mercado_Receita!$S$2:$S$754,"44562BGeraçãoNão se aplicaNão se aplicaTIPO 02Não se aplicaNão se aplica",Mercado_Receita!$J$2:$J$754)+SUMIF(Mercado_Receita!$S$2:$S$754,"44562BGeraçãoNão se aplicaNão se aplicaAPENão se aplicaNão se aplica",Mercado_Receita!$J$2:$J$754)</f>
        <v>0</v>
      </c>
      <c r="R13" s="12">
        <f>SUMIF(Mercado_Receita!$S$2:$S$754,"44593BGeraçãoNão se aplicaNão se aplicaTIPO 02Não se aplicaNão se aplica",Mercado_Receita!$J$2:$J$754)+SUMIF(Mercado_Receita!$S$2:$S$754,"44593BGeraçãoNão se aplicaNão se aplicaAPENão se aplicaNão se aplica",Mercado_Receita!$J$2:$J$754)</f>
        <v>0</v>
      </c>
      <c r="S13" s="12">
        <f>SUMIF(Mercado_Receita!$S$2:$S$754,"44621BGeraçãoNão se aplicaNão se aplicaTIPO 02Não se aplicaNão se aplica",Mercado_Receita!$J$2:$J$754)+SUMIF(Mercado_Receita!$S$2:$S$754,"44621BGeraçãoNão se aplicaNão se aplicaAPENão se aplicaNão se aplica",Mercado_Receita!$J$2:$J$754)</f>
        <v>0</v>
      </c>
      <c r="T13" s="12">
        <f>SUMIF(Mercado_Receita!$S$2:$S$754,"44652BGeraçãoNão se aplicaNão se aplicaTIPO 02Não se aplicaNão se aplica",Mercado_Receita!$J$2:$J$754)+SUMIF(Mercado_Receita!$S$2:$S$754,"44652BGeraçãoNão se aplicaNão se aplicaAPENão se aplicaNão se aplica",Mercado_Receita!$J$2:$J$754)</f>
        <v>0</v>
      </c>
      <c r="U13" s="12">
        <f t="shared" si="0"/>
        <v>0</v>
      </c>
      <c r="V13" s="12"/>
      <c r="W13" s="12"/>
    </row>
    <row r="14" spans="1:30" ht="11.25" customHeight="1" x14ac:dyDescent="0.25">
      <c r="A14" s="116" t="s">
        <v>22</v>
      </c>
      <c r="B14" s="116" t="s">
        <v>37</v>
      </c>
      <c r="C14" s="116" t="s">
        <v>24</v>
      </c>
      <c r="D14" s="116" t="s">
        <v>24</v>
      </c>
      <c r="E14" s="116" t="s">
        <v>25</v>
      </c>
      <c r="F14" s="116" t="s">
        <v>25</v>
      </c>
      <c r="G14" s="12" t="s">
        <v>77</v>
      </c>
      <c r="H14" s="12" t="s">
        <v>76</v>
      </c>
      <c r="I14" s="12">
        <f>SUMIF(Mercado_Receita!$S$2:$S$754,"44317B1BrancaResidencialResidencialNão se aplicaNão se aplicaPonta",Mercado_Receita!$L$2:$L$754)</f>
        <v>0.28999999999999998</v>
      </c>
      <c r="J14" s="12">
        <f>SUMIF(Mercado_Receita!$S$2:$S$754,"44348B1BrancaResidencialResidencialNão se aplicaNão se aplicaPonta",Mercado_Receita!$L$2:$L$754)</f>
        <v>0.33700000000000002</v>
      </c>
      <c r="K14" s="12">
        <f>SUMIF(Mercado_Receita!$S$2:$S$754,"44378B1BrancaResidencialResidencialNão se aplicaNão se aplicaPonta",Mercado_Receita!$L$2:$L$754)</f>
        <v>0.36299999999999999</v>
      </c>
      <c r="L14" s="12">
        <f>SUMIF(Mercado_Receita!$S$2:$S$754,"44409B1BrancaResidencialResidencialNão se aplicaNão se aplicaPonta",Mercado_Receita!$L$2:$L$754)</f>
        <v>0.42799999999999999</v>
      </c>
      <c r="M14" s="12">
        <f>SUMIF(Mercado_Receita!$S$2:$S$754,"44440B1BrancaResidencialResidencialNão se aplicaNão se aplicaPonta",Mercado_Receita!$L$2:$L$754)</f>
        <v>0.36099999999999999</v>
      </c>
      <c r="N14" s="12">
        <f>SUMIF(Mercado_Receita!$S$2:$S$754,"44470B1BrancaResidencialResidencialNão se aplicaNão se aplicaPonta",Mercado_Receita!$L$2:$L$754)</f>
        <v>0.36499999999999999</v>
      </c>
      <c r="O14" s="12">
        <f>SUMIF(Mercado_Receita!$S$2:$S$754,"44501B1BrancaResidencialResidencialNão se aplicaNão se aplicaPonta",Mercado_Receita!$L$2:$L$754)</f>
        <v>0.36299999999999999</v>
      </c>
      <c r="P14" s="12">
        <f>SUMIF(Mercado_Receita!$S$2:$S$754,"44531B1BrancaResidencialResidencialNão se aplicaNão se aplicaPonta",Mercado_Receita!$L$2:$L$754)</f>
        <v>0.36199999999999999</v>
      </c>
      <c r="Q14" s="12">
        <f>SUMIF(Mercado_Receita!$S$2:$S$754,"44562B1BrancaResidencialResidencialNão se aplicaNão se aplicaPonta",Mercado_Receita!$L$2:$L$754)</f>
        <v>0.40300000000000002</v>
      </c>
      <c r="R14" s="12">
        <f>SUMIF(Mercado_Receita!$S$2:$S$754,"44593B1BrancaResidencialResidencialNão se aplicaNão se aplicaPonta",Mercado_Receita!$L$2:$L$754)</f>
        <v>0.41199999999999998</v>
      </c>
      <c r="S14" s="12">
        <f>SUMIF(Mercado_Receita!$S$2:$S$754,"44621B1BrancaResidencialResidencialNão se aplicaNão se aplicaPonta",Mercado_Receita!$L$2:$L$754)</f>
        <v>0.503</v>
      </c>
      <c r="T14" s="12">
        <f>SUMIF(Mercado_Receita!$S$2:$S$754,"44652B1BrancaResidencialResidencialNão se aplicaNão se aplicaPonta",Mercado_Receita!$L$2:$L$754)</f>
        <v>0.42699999999999999</v>
      </c>
      <c r="U14" s="12">
        <f t="shared" si="0"/>
        <v>4.6139999999999999</v>
      </c>
      <c r="V14" s="12"/>
      <c r="W14" s="12"/>
    </row>
    <row r="15" spans="1:30" ht="11.25" customHeight="1" x14ac:dyDescent="0.25">
      <c r="A15" s="117"/>
      <c r="B15" s="117"/>
      <c r="C15" s="117"/>
      <c r="D15" s="117"/>
      <c r="E15" s="117"/>
      <c r="F15" s="117"/>
      <c r="G15" s="12" t="s">
        <v>88</v>
      </c>
      <c r="H15" s="12" t="s">
        <v>76</v>
      </c>
      <c r="I15" s="12">
        <f>SUMIF(Mercado_Receita!$S$2:$S$754,"44317B1BrancaResidencialResidencialNão se aplicaNão se aplicaIntermediário",Mercado_Receita!$L$2:$L$754)</f>
        <v>0.18</v>
      </c>
      <c r="J15" s="12">
        <f>SUMIF(Mercado_Receita!$S$2:$S$754,"44348B1BrancaResidencialResidencialNão se aplicaNão se aplicaIntermediário",Mercado_Receita!$L$2:$L$754)</f>
        <v>0.21</v>
      </c>
      <c r="K15" s="12">
        <f>SUMIF(Mercado_Receita!$S$2:$S$754,"44378B1BrancaResidencialResidencialNão se aplicaNão se aplicaIntermediário",Mercado_Receita!$L$2:$L$754)</f>
        <v>0.20200000000000001</v>
      </c>
      <c r="L15" s="12">
        <f>SUMIF(Mercado_Receita!$S$2:$S$754,"44409B1BrancaResidencialResidencialNão se aplicaNão se aplicaIntermediário",Mercado_Receita!$L$2:$L$754)</f>
        <v>0.63500000000000001</v>
      </c>
      <c r="M15" s="12">
        <f>SUMIF(Mercado_Receita!$S$2:$S$754,"44440B1BrancaResidencialResidencialNão se aplicaNão se aplicaIntermediário",Mercado_Receita!$L$2:$L$754)</f>
        <v>0.60299999999999998</v>
      </c>
      <c r="N15" s="12">
        <f>SUMIF(Mercado_Receita!$S$2:$S$754,"44470B1BrancaResidencialResidencialNão se aplicaNão se aplicaIntermediário",Mercado_Receita!$L$2:$L$754)</f>
        <v>0.56299999999999994</v>
      </c>
      <c r="O15" s="12">
        <f>SUMIF(Mercado_Receita!$S$2:$S$754,"44501B1BrancaResidencialResidencialNão se aplicaNão se aplicaIntermediário",Mercado_Receita!$L$2:$L$754)</f>
        <v>0.48599999999999999</v>
      </c>
      <c r="P15" s="12">
        <f>SUMIF(Mercado_Receita!$S$2:$S$754,"44531B1BrancaResidencialResidencialNão se aplicaNão se aplicaIntermediário",Mercado_Receita!$L$2:$L$754)</f>
        <v>0.69</v>
      </c>
      <c r="Q15" s="12">
        <f>SUMIF(Mercado_Receita!$S$2:$S$754,"44562B1BrancaResidencialResidencialNão se aplicaNão se aplicaIntermediário",Mercado_Receita!$L$2:$L$754)</f>
        <v>0.81699999999999995</v>
      </c>
      <c r="R15" s="12">
        <f>SUMIF(Mercado_Receita!$S$2:$S$754,"44593B1BrancaResidencialResidencialNão se aplicaNão se aplicaIntermediário",Mercado_Receita!$L$2:$L$754)</f>
        <v>0.78</v>
      </c>
      <c r="S15" s="12">
        <f>SUMIF(Mercado_Receita!$S$2:$S$754,"44621B1BrancaResidencialResidencialNão se aplicaNão se aplicaIntermediário",Mercado_Receita!$L$2:$L$754)</f>
        <v>1.012</v>
      </c>
      <c r="T15" s="12">
        <f>SUMIF(Mercado_Receita!$S$2:$S$754,"44652B1BrancaResidencialResidencialNão se aplicaNão se aplicaIntermediário",Mercado_Receita!$L$2:$L$754)</f>
        <v>0.84099999999999997</v>
      </c>
      <c r="U15" s="12">
        <f t="shared" si="0"/>
        <v>7.0189999999999992</v>
      </c>
      <c r="V15" s="12"/>
      <c r="W15" s="12"/>
    </row>
    <row r="16" spans="1:30" ht="11.25" customHeight="1" x14ac:dyDescent="0.25">
      <c r="A16" s="117"/>
      <c r="B16" s="117"/>
      <c r="C16" s="117"/>
      <c r="D16" s="117"/>
      <c r="E16" s="117"/>
      <c r="F16" s="117"/>
      <c r="G16" s="12" t="s">
        <v>78</v>
      </c>
      <c r="H16" s="12" t="s">
        <v>76</v>
      </c>
      <c r="I16" s="12">
        <f>SUMIF(Mercado_Receita!$S$2:$S$754,"44317B1BrancaResidencialResidencialNão se aplicaNão se aplicaFora ponta",Mercado_Receita!$L$2:$L$754)</f>
        <v>1.794</v>
      </c>
      <c r="J16" s="12">
        <f>SUMIF(Mercado_Receita!$S$2:$S$754,"44348B1BrancaResidencialResidencialNão se aplicaNão se aplicaFora ponta",Mercado_Receita!$L$2:$L$754)</f>
        <v>1.857</v>
      </c>
      <c r="K16" s="12">
        <f>SUMIF(Mercado_Receita!$S$2:$S$754,"44378B1BrancaResidencialResidencialNão se aplicaNão se aplicaFora ponta",Mercado_Receita!$L$2:$L$754)</f>
        <v>1.9950000000000001</v>
      </c>
      <c r="L16" s="12">
        <f>SUMIF(Mercado_Receita!$S$2:$S$754,"44409B1BrancaResidencialResidencialNão se aplicaNão se aplicaFora ponta",Mercado_Receita!$L$2:$L$754)</f>
        <v>2.456</v>
      </c>
      <c r="M16" s="12">
        <f>SUMIF(Mercado_Receita!$S$2:$S$754,"44440B1BrancaResidencialResidencialNão se aplicaNão se aplicaFora ponta",Mercado_Receita!$L$2:$L$754)</f>
        <v>2.7250000000000001</v>
      </c>
      <c r="N16" s="12">
        <f>SUMIF(Mercado_Receita!$S$2:$S$754,"44470B1BrancaResidencialResidencialNão se aplicaNão se aplicaFora ponta",Mercado_Receita!$L$2:$L$754)</f>
        <v>2.3330000000000002</v>
      </c>
      <c r="O16" s="12">
        <f>SUMIF(Mercado_Receita!$S$2:$S$754,"44501B1BrancaResidencialResidencialNão se aplicaNão se aplicaFora ponta",Mercado_Receita!$L$2:$L$754)</f>
        <v>2.3420000000000001</v>
      </c>
      <c r="P16" s="12">
        <f>SUMIF(Mercado_Receita!$S$2:$S$754,"44531B1BrancaResidencialResidencialNão se aplicaNão se aplicaFora ponta",Mercado_Receita!$L$2:$L$754)</f>
        <v>2.4870000000000001</v>
      </c>
      <c r="Q16" s="12">
        <f>SUMIF(Mercado_Receita!$S$2:$S$754,"44562B1BrancaResidencialResidencialNão se aplicaNão se aplicaFora ponta",Mercado_Receita!$L$2:$L$754)</f>
        <v>2.78</v>
      </c>
      <c r="R16" s="12">
        <f>SUMIF(Mercado_Receita!$S$2:$S$754,"44593B1BrancaResidencialResidencialNão se aplicaNão se aplicaFora ponta",Mercado_Receita!$L$2:$L$754)</f>
        <v>2.7229999999999999</v>
      </c>
      <c r="S16" s="12">
        <f>SUMIF(Mercado_Receita!$S$2:$S$754,"44621B1BrancaResidencialResidencialNão se aplicaNão se aplicaFora ponta",Mercado_Receita!$L$2:$L$754)</f>
        <v>3.5790000000000002</v>
      </c>
      <c r="T16" s="12">
        <f>SUMIF(Mercado_Receita!$S$2:$S$754,"44652B1BrancaResidencialResidencialNão se aplicaNão se aplicaFora ponta",Mercado_Receita!$L$2:$L$754)</f>
        <v>2.8010000000000002</v>
      </c>
      <c r="U16" s="12">
        <f t="shared" si="0"/>
        <v>29.872</v>
      </c>
      <c r="V16" s="12"/>
      <c r="W16" s="12"/>
    </row>
    <row r="17" spans="1:23" ht="11.25" customHeight="1" x14ac:dyDescent="0.25">
      <c r="A17" s="117"/>
      <c r="B17" s="116" t="s">
        <v>23</v>
      </c>
      <c r="C17" s="116" t="s">
        <v>24</v>
      </c>
      <c r="D17" s="13" t="s">
        <v>24</v>
      </c>
      <c r="E17" s="13" t="s">
        <v>25</v>
      </c>
      <c r="F17" s="13" t="s">
        <v>25</v>
      </c>
      <c r="G17" s="12" t="s">
        <v>82</v>
      </c>
      <c r="H17" s="12" t="s">
        <v>76</v>
      </c>
      <c r="I17" s="12">
        <f>SUMIF(Mercado_Receita!$S$2:$S$754,"44317B1ConvencionalResidencialResidencialNão se aplicaNão se aplicaPonta",Mercado_Receita!$L$2:$L$754)+SUMIF(Mercado_Receita!$S$2:$S$754,"44317B1ConvencionalResidencialResidencialNão se aplicaNão se aplicaFora ponta",Mercado_Receita!$L$2:$L$754)+SUMIF(Mercado_Receita!$S$2:$S$754,"44317B1ConvencionalResidencialResidencialNão se aplicaNão se aplicaIntermediário",Mercado_Receita!$L$2:$L$754)+SUMIF(Mercado_Receita!$S$2:$S$754,"44317B1ConvencionalResidencialResidencialNão se aplicaNão se aplicaNão se aplica",Mercado_Receita!$L$2:$L$754)</f>
        <v>1873.4050000000002</v>
      </c>
      <c r="J17" s="12">
        <f>SUMIF(Mercado_Receita!$S$2:$S$754,"44348B1ConvencionalResidencialResidencialNão se aplicaNão se aplicaPonta",Mercado_Receita!$L$2:$L$754)+SUMIF(Mercado_Receita!$S$2:$S$754,"44348B1ConvencionalResidencialResidencialNão se aplicaNão se aplicaFora ponta",Mercado_Receita!$L$2:$L$754)+SUMIF(Mercado_Receita!$S$2:$S$754,"44348B1ConvencionalResidencialResidencialNão se aplicaNão se aplicaIntermediário",Mercado_Receita!$L$2:$L$754)+SUMIF(Mercado_Receita!$S$2:$S$754,"44348B1ConvencionalResidencialResidencialNão se aplicaNão se aplicaNão se aplica",Mercado_Receita!$L$2:$L$754)</f>
        <v>1977.857</v>
      </c>
      <c r="K17" s="12">
        <f>SUMIF(Mercado_Receita!$S$2:$S$754,"44378B1ConvencionalResidencialResidencialNão se aplicaNão se aplicaPonta",Mercado_Receita!$L$2:$L$754)+SUMIF(Mercado_Receita!$S$2:$S$754,"44378B1ConvencionalResidencialResidencialNão se aplicaNão se aplicaFora ponta",Mercado_Receita!$L$2:$L$754)+SUMIF(Mercado_Receita!$S$2:$S$754,"44378B1ConvencionalResidencialResidencialNão se aplicaNão se aplicaIntermediário",Mercado_Receita!$L$2:$L$754)+SUMIF(Mercado_Receita!$S$2:$S$754,"44378B1ConvencionalResidencialResidencialNão se aplicaNão se aplicaNão se aplica",Mercado_Receita!$L$2:$L$754)</f>
        <v>1930.3869999999999</v>
      </c>
      <c r="L17" s="12">
        <f>SUMIF(Mercado_Receita!$S$2:$S$754,"44409B1ConvencionalResidencialResidencialNão se aplicaNão se aplicaPonta",Mercado_Receita!$L$2:$L$754)+SUMIF(Mercado_Receita!$S$2:$S$754,"44409B1ConvencionalResidencialResidencialNão se aplicaNão se aplicaFora ponta",Mercado_Receita!$L$2:$L$754)+SUMIF(Mercado_Receita!$S$2:$S$754,"44409B1ConvencionalResidencialResidencialNão se aplicaNão se aplicaIntermediário",Mercado_Receita!$L$2:$L$754)+SUMIF(Mercado_Receita!$S$2:$S$754,"44409B1ConvencionalResidencialResidencialNão se aplicaNão se aplicaNão se aplica",Mercado_Receita!$L$2:$L$754)</f>
        <v>2004.5319999999999</v>
      </c>
      <c r="M17" s="12">
        <f>SUMIF(Mercado_Receita!$S$2:$S$754,"44440B1ConvencionalResidencialResidencialNão se aplicaNão se aplicaPonta",Mercado_Receita!$L$2:$L$754)+SUMIF(Mercado_Receita!$S$2:$S$754,"44440B1ConvencionalResidencialResidencialNão se aplicaNão se aplicaFora ponta",Mercado_Receita!$L$2:$L$754)+SUMIF(Mercado_Receita!$S$2:$S$754,"44440B1ConvencionalResidencialResidencialNão se aplicaNão se aplicaIntermediário",Mercado_Receita!$L$2:$L$754)+SUMIF(Mercado_Receita!$S$2:$S$754,"44440B1ConvencionalResidencialResidencialNão se aplicaNão se aplicaNão se aplica",Mercado_Receita!$L$2:$L$754)</f>
        <v>2171.2580000000003</v>
      </c>
      <c r="N17" s="12">
        <f>SUMIF(Mercado_Receita!$S$2:$S$754,"44470B1ConvencionalResidencialResidencialNão se aplicaNão se aplicaPonta",Mercado_Receita!$L$2:$L$754)+SUMIF(Mercado_Receita!$S$2:$S$754,"44470B1ConvencionalResidencialResidencialNão se aplicaNão se aplicaFora ponta",Mercado_Receita!$L$2:$L$754)+SUMIF(Mercado_Receita!$S$2:$S$754,"44470B1ConvencionalResidencialResidencialNão se aplicaNão se aplicaIntermediário",Mercado_Receita!$L$2:$L$754)+SUMIF(Mercado_Receita!$S$2:$S$754,"44470B1ConvencionalResidencialResidencialNão se aplicaNão se aplicaNão se aplica",Mercado_Receita!$L$2:$L$754)</f>
        <v>2237.9480000000003</v>
      </c>
      <c r="O17" s="12">
        <f>SUMIF(Mercado_Receita!$S$2:$S$754,"44501B1ConvencionalResidencialResidencialNão se aplicaNão se aplicaPonta",Mercado_Receita!$L$2:$L$754)+SUMIF(Mercado_Receita!$S$2:$S$754,"44501B1ConvencionalResidencialResidencialNão se aplicaNão se aplicaFora ponta",Mercado_Receita!$L$2:$L$754)+SUMIF(Mercado_Receita!$S$2:$S$754,"44501B1ConvencionalResidencialResidencialNão se aplicaNão se aplicaIntermediário",Mercado_Receita!$L$2:$L$754)+SUMIF(Mercado_Receita!$S$2:$S$754,"44501B1ConvencionalResidencialResidencialNão se aplicaNão se aplicaNão se aplica",Mercado_Receita!$L$2:$L$754)</f>
        <v>2191.1039999999998</v>
      </c>
      <c r="P17" s="12">
        <f>SUMIF(Mercado_Receita!$S$2:$S$754,"44531B1ConvencionalResidencialResidencialNão se aplicaNão se aplicaPonta",Mercado_Receita!$L$2:$L$754)+SUMIF(Mercado_Receita!$S$2:$S$754,"44531B1ConvencionalResidencialResidencialNão se aplicaNão se aplicaFora ponta",Mercado_Receita!$L$2:$L$754)+SUMIF(Mercado_Receita!$S$2:$S$754,"44531B1ConvencionalResidencialResidencialNão se aplicaNão se aplicaIntermediário",Mercado_Receita!$L$2:$L$754)+SUMIF(Mercado_Receita!$S$2:$S$754,"44531B1ConvencionalResidencialResidencialNão se aplicaNão se aplicaNão se aplica",Mercado_Receita!$L$2:$L$754)</f>
        <v>2136.0950000000003</v>
      </c>
      <c r="Q17" s="12">
        <f>SUMIF(Mercado_Receita!$S$2:$S$754,"44562B1ConvencionalResidencialResidencialNão se aplicaNão se aplicaPonta",Mercado_Receita!$L$2:$L$754)+SUMIF(Mercado_Receita!$S$2:$S$754,"44562B1ConvencionalResidencialResidencialNão se aplicaNão se aplicaFora ponta",Mercado_Receita!$L$2:$L$754)+SUMIF(Mercado_Receita!$S$2:$S$754,"44562B1ConvencionalResidencialResidencialNão se aplicaNão se aplicaIntermediário",Mercado_Receita!$L$2:$L$754)+SUMIF(Mercado_Receita!$S$2:$S$754,"44562B1ConvencionalResidencialResidencialNão se aplicaNão se aplicaNão se aplica",Mercado_Receita!$L$2:$L$754)</f>
        <v>2293.2690000000002</v>
      </c>
      <c r="R17" s="12">
        <f>SUMIF(Mercado_Receita!$S$2:$S$754,"44593B1ConvencionalResidencialResidencialNão se aplicaNão se aplicaPonta",Mercado_Receita!$L$2:$L$754)+SUMIF(Mercado_Receita!$S$2:$S$754,"44593B1ConvencionalResidencialResidencialNão se aplicaNão se aplicaFora ponta",Mercado_Receita!$L$2:$L$754)+SUMIF(Mercado_Receita!$S$2:$S$754,"44593B1ConvencionalResidencialResidencialNão se aplicaNão se aplicaIntermediário",Mercado_Receita!$L$2:$L$754)+SUMIF(Mercado_Receita!$S$2:$S$754,"44593B1ConvencionalResidencialResidencialNão se aplicaNão se aplicaNão se aplica",Mercado_Receita!$L$2:$L$754)</f>
        <v>2178.5369999999998</v>
      </c>
      <c r="S17" s="12">
        <f>SUMIF(Mercado_Receita!$S$2:$S$754,"44621B1ConvencionalResidencialResidencialNão se aplicaNão se aplicaPonta",Mercado_Receita!$L$2:$L$754)+SUMIF(Mercado_Receita!$S$2:$S$754,"44621B1ConvencionalResidencialResidencialNão se aplicaNão se aplicaFora ponta",Mercado_Receita!$L$2:$L$754)+SUMIF(Mercado_Receita!$S$2:$S$754,"44621B1ConvencionalResidencialResidencialNão se aplicaNão se aplicaIntermediário",Mercado_Receita!$L$2:$L$754)+SUMIF(Mercado_Receita!$S$2:$S$754,"44621B1ConvencionalResidencialResidencialNão se aplicaNão se aplicaNão se aplica",Mercado_Receita!$L$2:$L$754)</f>
        <v>2419.1800000000003</v>
      </c>
      <c r="T17" s="12">
        <f>SUMIF(Mercado_Receita!$S$2:$S$754,"44652B1ConvencionalResidencialResidencialNão se aplicaNão se aplicaPonta",Mercado_Receita!$L$2:$L$754)+SUMIF(Mercado_Receita!$S$2:$S$754,"44652B1ConvencionalResidencialResidencialNão se aplicaNão se aplicaFora ponta",Mercado_Receita!$L$2:$L$754)+SUMIF(Mercado_Receita!$S$2:$S$754,"44652B1ConvencionalResidencialResidencialNão se aplicaNão se aplicaIntermediário",Mercado_Receita!$L$2:$L$754)+SUMIF(Mercado_Receita!$S$2:$S$754,"44652B1ConvencionalResidencialResidencialNão se aplicaNão se aplicaNão se aplica",Mercado_Receita!$L$2:$L$754)</f>
        <v>2235.0160000000001</v>
      </c>
      <c r="U17" s="12">
        <f t="shared" si="0"/>
        <v>25648.588</v>
      </c>
      <c r="V17" s="12"/>
      <c r="W17" s="12"/>
    </row>
    <row r="18" spans="1:23" ht="11.25" customHeight="1" x14ac:dyDescent="0.25">
      <c r="A18" s="117"/>
      <c r="B18" s="117"/>
      <c r="C18" s="117"/>
      <c r="D18" s="13" t="s">
        <v>29</v>
      </c>
      <c r="E18" s="13" t="s">
        <v>25</v>
      </c>
      <c r="F18" s="13" t="s">
        <v>25</v>
      </c>
      <c r="G18" s="12" t="s">
        <v>82</v>
      </c>
      <c r="H18" s="12" t="s">
        <v>76</v>
      </c>
      <c r="I18" s="12">
        <f>SUMIF(Mercado_Receita!$S$2:$S$754,"44317B1ConvencionalResidencialResidencial baixa renda – faixa 01Não se aplicaNão se aplicaPonta",Mercado_Receita!$L$2:$L$754)+SUMIF(Mercado_Receita!$S$2:$S$754,"44317B1ConvencionalResidencialResidencial baixa renda – faixa 01Não se aplicaNão se aplicaFora ponta",Mercado_Receita!$L$2:$L$754)+SUMIF(Mercado_Receita!$S$2:$S$754,"44317B1ConvencionalResidencialResidencial baixa renda – faixa 01Não se aplicaNão se aplicaIntermediário",Mercado_Receita!$L$2:$L$754)+SUMIF(Mercado_Receita!$S$2:$S$754,"44317B1ConvencionalResidencialResidencial baixa renda – faixa 01Não se aplicaNão se aplicaNão se aplica",Mercado_Receita!$L$2:$L$754)</f>
        <v>14.34</v>
      </c>
      <c r="J18" s="12">
        <f>SUMIF(Mercado_Receita!$S$2:$S$754,"44348B1ConvencionalResidencialResidencial baixa renda – faixa 01Não se aplicaNão se aplicaPonta",Mercado_Receita!$L$2:$L$754)+SUMIF(Mercado_Receita!$S$2:$S$754,"44348B1ConvencionalResidencialResidencial baixa renda – faixa 01Não se aplicaNão se aplicaFora ponta",Mercado_Receita!$L$2:$L$754)+SUMIF(Mercado_Receita!$S$2:$S$754,"44348B1ConvencionalResidencialResidencial baixa renda – faixa 01Não se aplicaNão se aplicaIntermediário",Mercado_Receita!$L$2:$L$754)+SUMIF(Mercado_Receita!$S$2:$S$754,"44348B1ConvencionalResidencialResidencial baixa renda – faixa 01Não se aplicaNão se aplicaNão se aplica",Mercado_Receita!$L$2:$L$754)</f>
        <v>14.58</v>
      </c>
      <c r="K18" s="12">
        <f>SUMIF(Mercado_Receita!$S$2:$S$754,"44378B1ConvencionalResidencialResidencial baixa renda – faixa 01Não se aplicaNão se aplicaPonta",Mercado_Receita!$L$2:$L$754)+SUMIF(Mercado_Receita!$S$2:$S$754,"44378B1ConvencionalResidencialResidencial baixa renda – faixa 01Não se aplicaNão se aplicaFora ponta",Mercado_Receita!$L$2:$L$754)+SUMIF(Mercado_Receita!$S$2:$S$754,"44378B1ConvencionalResidencialResidencial baixa renda – faixa 01Não se aplicaNão se aplicaIntermediário",Mercado_Receita!$L$2:$L$754)+SUMIF(Mercado_Receita!$S$2:$S$754,"44378B1ConvencionalResidencialResidencial baixa renda – faixa 01Não se aplicaNão se aplicaNão se aplica",Mercado_Receita!$L$2:$L$754)</f>
        <v>14.73</v>
      </c>
      <c r="L18" s="12">
        <f>SUMIF(Mercado_Receita!$S$2:$S$754,"44409B1ConvencionalResidencialResidencial baixa renda – faixa 01Não se aplicaNão se aplicaPonta",Mercado_Receita!$L$2:$L$754)+SUMIF(Mercado_Receita!$S$2:$S$754,"44409B1ConvencionalResidencialResidencial baixa renda – faixa 01Não se aplicaNão se aplicaFora ponta",Mercado_Receita!$L$2:$L$754)+SUMIF(Mercado_Receita!$S$2:$S$754,"44409B1ConvencionalResidencialResidencial baixa renda – faixa 01Não se aplicaNão se aplicaIntermediário",Mercado_Receita!$L$2:$L$754)+SUMIF(Mercado_Receita!$S$2:$S$754,"44409B1ConvencionalResidencialResidencial baixa renda – faixa 01Não se aplicaNão se aplicaNão se aplica",Mercado_Receita!$L$2:$L$754)</f>
        <v>14.85</v>
      </c>
      <c r="M18" s="12">
        <f>SUMIF(Mercado_Receita!$S$2:$S$754,"44440B1ConvencionalResidencialResidencial baixa renda – faixa 01Não se aplicaNão se aplicaPonta",Mercado_Receita!$L$2:$L$754)+SUMIF(Mercado_Receita!$S$2:$S$754,"44440B1ConvencionalResidencialResidencial baixa renda – faixa 01Não se aplicaNão se aplicaFora ponta",Mercado_Receita!$L$2:$L$754)+SUMIF(Mercado_Receita!$S$2:$S$754,"44440B1ConvencionalResidencialResidencial baixa renda – faixa 01Não se aplicaNão se aplicaIntermediário",Mercado_Receita!$L$2:$L$754)+SUMIF(Mercado_Receita!$S$2:$S$754,"44440B1ConvencionalResidencialResidencial baixa renda – faixa 01Não se aplicaNão se aplicaNão se aplica",Mercado_Receita!$L$2:$L$754)</f>
        <v>14.85</v>
      </c>
      <c r="N18" s="12">
        <f>SUMIF(Mercado_Receita!$S$2:$S$754,"44470B1ConvencionalResidencialResidencial baixa renda – faixa 01Não se aplicaNão se aplicaPonta",Mercado_Receita!$L$2:$L$754)+SUMIF(Mercado_Receita!$S$2:$S$754,"44470B1ConvencionalResidencialResidencial baixa renda – faixa 01Não se aplicaNão se aplicaFora ponta",Mercado_Receita!$L$2:$L$754)+SUMIF(Mercado_Receita!$S$2:$S$754,"44470B1ConvencionalResidencialResidencial baixa renda – faixa 01Não se aplicaNão se aplicaIntermediário",Mercado_Receita!$L$2:$L$754)+SUMIF(Mercado_Receita!$S$2:$S$754,"44470B1ConvencionalResidencialResidencial baixa renda – faixa 01Não se aplicaNão se aplicaNão se aplica",Mercado_Receita!$L$2:$L$754)</f>
        <v>14.94</v>
      </c>
      <c r="O18" s="12">
        <f>SUMIF(Mercado_Receita!$S$2:$S$754,"44501B1ConvencionalResidencialResidencial baixa renda – faixa 01Não se aplicaNão se aplicaPonta",Mercado_Receita!$L$2:$L$754)+SUMIF(Mercado_Receita!$S$2:$S$754,"44501B1ConvencionalResidencialResidencial baixa renda – faixa 01Não se aplicaNão se aplicaFora ponta",Mercado_Receita!$L$2:$L$754)+SUMIF(Mercado_Receita!$S$2:$S$754,"44501B1ConvencionalResidencialResidencial baixa renda – faixa 01Não se aplicaNão se aplicaIntermediário",Mercado_Receita!$L$2:$L$754)+SUMIF(Mercado_Receita!$S$2:$S$754,"44501B1ConvencionalResidencialResidencial baixa renda – faixa 01Não se aplicaNão se aplicaNão se aplica",Mercado_Receita!$L$2:$L$754)</f>
        <v>15.06</v>
      </c>
      <c r="P18" s="12">
        <f>SUMIF(Mercado_Receita!$S$2:$S$754,"44531B1ConvencionalResidencialResidencial baixa renda – faixa 01Não se aplicaNão se aplicaPonta",Mercado_Receita!$L$2:$L$754)+SUMIF(Mercado_Receita!$S$2:$S$754,"44531B1ConvencionalResidencialResidencial baixa renda – faixa 01Não se aplicaNão se aplicaFora ponta",Mercado_Receita!$L$2:$L$754)+SUMIF(Mercado_Receita!$S$2:$S$754,"44531B1ConvencionalResidencialResidencial baixa renda – faixa 01Não se aplicaNão se aplicaIntermediário",Mercado_Receita!$L$2:$L$754)+SUMIF(Mercado_Receita!$S$2:$S$754,"44531B1ConvencionalResidencialResidencial baixa renda – faixa 01Não se aplicaNão se aplicaNão se aplica",Mercado_Receita!$L$2:$L$754)</f>
        <v>15.42</v>
      </c>
      <c r="Q18" s="12">
        <f>SUMIF(Mercado_Receita!$S$2:$S$754,"44562B1ConvencionalResidencialResidencial baixa renda – faixa 01Não se aplicaNão se aplicaPonta",Mercado_Receita!$L$2:$L$754)+SUMIF(Mercado_Receita!$S$2:$S$754,"44562B1ConvencionalResidencialResidencial baixa renda – faixa 01Não se aplicaNão se aplicaFora ponta",Mercado_Receita!$L$2:$L$754)+SUMIF(Mercado_Receita!$S$2:$S$754,"44562B1ConvencionalResidencialResidencial baixa renda – faixa 01Não se aplicaNão se aplicaIntermediário",Mercado_Receita!$L$2:$L$754)+SUMIF(Mercado_Receita!$S$2:$S$754,"44562B1ConvencionalResidencialResidencial baixa renda – faixa 01Não se aplicaNão se aplicaNão se aplica",Mercado_Receita!$L$2:$L$754)</f>
        <v>15.72</v>
      </c>
      <c r="R18" s="12">
        <f>SUMIF(Mercado_Receita!$S$2:$S$754,"44593B1ConvencionalResidencialResidencial baixa renda – faixa 01Não se aplicaNão se aplicaPonta",Mercado_Receita!$L$2:$L$754)+SUMIF(Mercado_Receita!$S$2:$S$754,"44593B1ConvencionalResidencialResidencial baixa renda – faixa 01Não se aplicaNão se aplicaFora ponta",Mercado_Receita!$L$2:$L$754)+SUMIF(Mercado_Receita!$S$2:$S$754,"44593B1ConvencionalResidencialResidencial baixa renda – faixa 01Não se aplicaNão se aplicaIntermediário",Mercado_Receita!$L$2:$L$754)+SUMIF(Mercado_Receita!$S$2:$S$754,"44593B1ConvencionalResidencialResidencial baixa renda – faixa 01Não se aplicaNão se aplicaNão se aplica",Mercado_Receita!$L$2:$L$754)</f>
        <v>17.100000000000001</v>
      </c>
      <c r="S18" s="12">
        <f>SUMIF(Mercado_Receita!$S$2:$S$754,"44621B1ConvencionalResidencialResidencial baixa renda – faixa 01Não se aplicaNão se aplicaPonta",Mercado_Receita!$L$2:$L$754)+SUMIF(Mercado_Receita!$S$2:$S$754,"44621B1ConvencionalResidencialResidencial baixa renda – faixa 01Não se aplicaNão se aplicaFora ponta",Mercado_Receita!$L$2:$L$754)+SUMIF(Mercado_Receita!$S$2:$S$754,"44621B1ConvencionalResidencialResidencial baixa renda – faixa 01Não se aplicaNão se aplicaIntermediário",Mercado_Receita!$L$2:$L$754)+SUMIF(Mercado_Receita!$S$2:$S$754,"44621B1ConvencionalResidencialResidencial baixa renda – faixa 01Não se aplicaNão se aplicaNão se aplica",Mercado_Receita!$L$2:$L$754)</f>
        <v>25.65</v>
      </c>
      <c r="T18" s="12">
        <f>SUMIF(Mercado_Receita!$S$2:$S$754,"44652B1ConvencionalResidencialResidencial baixa renda – faixa 01Não se aplicaNão se aplicaPonta",Mercado_Receita!$L$2:$L$754)+SUMIF(Mercado_Receita!$S$2:$S$754,"44652B1ConvencionalResidencialResidencial baixa renda – faixa 01Não se aplicaNão se aplicaFora ponta",Mercado_Receita!$L$2:$L$754)+SUMIF(Mercado_Receita!$S$2:$S$754,"44652B1ConvencionalResidencialResidencial baixa renda – faixa 01Não se aplicaNão se aplicaIntermediário",Mercado_Receita!$L$2:$L$754)+SUMIF(Mercado_Receita!$S$2:$S$754,"44652B1ConvencionalResidencialResidencial baixa renda – faixa 01Não se aplicaNão se aplicaNão se aplica",Mercado_Receita!$L$2:$L$754)</f>
        <v>26.34</v>
      </c>
      <c r="U18" s="12">
        <f t="shared" si="0"/>
        <v>203.58</v>
      </c>
      <c r="V18" s="12"/>
      <c r="W18" s="12"/>
    </row>
    <row r="19" spans="1:23" ht="11.25" customHeight="1" x14ac:dyDescent="0.25">
      <c r="A19" s="117"/>
      <c r="B19" s="117"/>
      <c r="C19" s="117"/>
      <c r="D19" s="13" t="s">
        <v>30</v>
      </c>
      <c r="E19" s="13" t="s">
        <v>25</v>
      </c>
      <c r="F19" s="13" t="s">
        <v>25</v>
      </c>
      <c r="G19" s="12" t="s">
        <v>82</v>
      </c>
      <c r="H19" s="12" t="s">
        <v>76</v>
      </c>
      <c r="I19" s="12">
        <f>SUMIF(Mercado_Receita!$S$2:$S$754,"44317B1ConvencionalResidencialResidencial baixa renda – faixa 02Não se aplicaNão se aplicaPonta",Mercado_Receita!$L$2:$L$754)+SUMIF(Mercado_Receita!$S$2:$S$754,"44317B1ConvencionalResidencialResidencial baixa renda – faixa 02Não se aplicaNão se aplicaFora ponta",Mercado_Receita!$L$2:$L$754)+SUMIF(Mercado_Receita!$S$2:$S$754,"44317B1ConvencionalResidencialResidencial baixa renda – faixa 02Não se aplicaNão se aplicaIntermediário",Mercado_Receita!$L$2:$L$754)+SUMIF(Mercado_Receita!$S$2:$S$754,"44317B1ConvencionalResidencialResidencial baixa renda – faixa 02Não se aplicaNão se aplicaNão se aplica",Mercado_Receita!$L$2:$L$754)</f>
        <v>30.431999999999999</v>
      </c>
      <c r="J19" s="12">
        <f>SUMIF(Mercado_Receita!$S$2:$S$754,"44348B1ConvencionalResidencialResidencial baixa renda – faixa 02Não se aplicaNão se aplicaPonta",Mercado_Receita!$L$2:$L$754)+SUMIF(Mercado_Receita!$S$2:$S$754,"44348B1ConvencionalResidencialResidencial baixa renda – faixa 02Não se aplicaNão se aplicaFora ponta",Mercado_Receita!$L$2:$L$754)+SUMIF(Mercado_Receita!$S$2:$S$754,"44348B1ConvencionalResidencialResidencial baixa renda – faixa 02Não se aplicaNão se aplicaIntermediário",Mercado_Receita!$L$2:$L$754)+SUMIF(Mercado_Receita!$S$2:$S$754,"44348B1ConvencionalResidencialResidencial baixa renda – faixa 02Não se aplicaNão se aplicaNão se aplica",Mercado_Receita!$L$2:$L$754)</f>
        <v>31.23</v>
      </c>
      <c r="K19" s="12">
        <f>SUMIF(Mercado_Receita!$S$2:$S$754,"44378B1ConvencionalResidencialResidencial baixa renda – faixa 02Não se aplicaNão se aplicaPonta",Mercado_Receita!$L$2:$L$754)+SUMIF(Mercado_Receita!$S$2:$S$754,"44378B1ConvencionalResidencialResidencial baixa renda – faixa 02Não se aplicaNão se aplicaFora ponta",Mercado_Receita!$L$2:$L$754)+SUMIF(Mercado_Receita!$S$2:$S$754,"44378B1ConvencionalResidencialResidencial baixa renda – faixa 02Não se aplicaNão se aplicaIntermediário",Mercado_Receita!$L$2:$L$754)+SUMIF(Mercado_Receita!$S$2:$S$754,"44378B1ConvencionalResidencialResidencial baixa renda – faixa 02Não se aplicaNão se aplicaNão se aplica",Mercado_Receita!$L$2:$L$754)</f>
        <v>31.652000000000001</v>
      </c>
      <c r="L19" s="12">
        <f>SUMIF(Mercado_Receita!$S$2:$S$754,"44409B1ConvencionalResidencialResidencial baixa renda – faixa 02Não se aplicaNão se aplicaPonta",Mercado_Receita!$L$2:$L$754)+SUMIF(Mercado_Receita!$S$2:$S$754,"44409B1ConvencionalResidencialResidencial baixa renda – faixa 02Não se aplicaNão se aplicaFora ponta",Mercado_Receita!$L$2:$L$754)+SUMIF(Mercado_Receita!$S$2:$S$754,"44409B1ConvencionalResidencialResidencial baixa renda – faixa 02Não se aplicaNão se aplicaIntermediário",Mercado_Receita!$L$2:$L$754)+SUMIF(Mercado_Receita!$S$2:$S$754,"44409B1ConvencionalResidencialResidencial baixa renda – faixa 02Não se aplicaNão se aplicaNão se aplica",Mercado_Receita!$L$2:$L$754)</f>
        <v>31.445</v>
      </c>
      <c r="M19" s="12">
        <f>SUMIF(Mercado_Receita!$S$2:$S$754,"44440B1ConvencionalResidencialResidencial baixa renda – faixa 02Não se aplicaNão se aplicaPonta",Mercado_Receita!$L$2:$L$754)+SUMIF(Mercado_Receita!$S$2:$S$754,"44440B1ConvencionalResidencialResidencial baixa renda – faixa 02Não se aplicaNão se aplicaFora ponta",Mercado_Receita!$L$2:$L$754)+SUMIF(Mercado_Receita!$S$2:$S$754,"44440B1ConvencionalResidencialResidencial baixa renda – faixa 02Não se aplicaNão se aplicaIntermediário",Mercado_Receita!$L$2:$L$754)+SUMIF(Mercado_Receita!$S$2:$S$754,"44440B1ConvencionalResidencialResidencial baixa renda – faixa 02Não se aplicaNão se aplicaNão se aplica",Mercado_Receita!$L$2:$L$754)</f>
        <v>32.24</v>
      </c>
      <c r="N19" s="12">
        <f>SUMIF(Mercado_Receita!$S$2:$S$754,"44470B1ConvencionalResidencialResidencial baixa renda – faixa 02Não se aplicaNão se aplicaPonta",Mercado_Receita!$L$2:$L$754)+SUMIF(Mercado_Receita!$S$2:$S$754,"44470B1ConvencionalResidencialResidencial baixa renda – faixa 02Não se aplicaNão se aplicaFora ponta",Mercado_Receita!$L$2:$L$754)+SUMIF(Mercado_Receita!$S$2:$S$754,"44470B1ConvencionalResidencialResidencial baixa renda – faixa 02Não se aplicaNão se aplicaIntermediário",Mercado_Receita!$L$2:$L$754)+SUMIF(Mercado_Receita!$S$2:$S$754,"44470B1ConvencionalResidencialResidencial baixa renda – faixa 02Não se aplicaNão se aplicaNão se aplica",Mercado_Receita!$L$2:$L$754)</f>
        <v>33.164000000000001</v>
      </c>
      <c r="O19" s="12">
        <f>SUMIF(Mercado_Receita!$S$2:$S$754,"44501B1ConvencionalResidencialResidencial baixa renda – faixa 02Não se aplicaNão se aplicaPonta",Mercado_Receita!$L$2:$L$754)+SUMIF(Mercado_Receita!$S$2:$S$754,"44501B1ConvencionalResidencialResidencial baixa renda – faixa 02Não se aplicaNão se aplicaFora ponta",Mercado_Receita!$L$2:$L$754)+SUMIF(Mercado_Receita!$S$2:$S$754,"44501B1ConvencionalResidencialResidencial baixa renda – faixa 02Não se aplicaNão se aplicaIntermediário",Mercado_Receita!$L$2:$L$754)+SUMIF(Mercado_Receita!$S$2:$S$754,"44501B1ConvencionalResidencialResidencial baixa renda – faixa 02Não se aplicaNão se aplicaNão se aplica",Mercado_Receita!$L$2:$L$754)</f>
        <v>32.828000000000003</v>
      </c>
      <c r="P19" s="12">
        <f>SUMIF(Mercado_Receita!$S$2:$S$754,"44531B1ConvencionalResidencialResidencial baixa renda – faixa 02Não se aplicaNão se aplicaPonta",Mercado_Receita!$L$2:$L$754)+SUMIF(Mercado_Receita!$S$2:$S$754,"44531B1ConvencionalResidencialResidencial baixa renda – faixa 02Não se aplicaNão se aplicaFora ponta",Mercado_Receita!$L$2:$L$754)+SUMIF(Mercado_Receita!$S$2:$S$754,"44531B1ConvencionalResidencialResidencial baixa renda – faixa 02Não se aplicaNão se aplicaIntermediário",Mercado_Receita!$L$2:$L$754)+SUMIF(Mercado_Receita!$S$2:$S$754,"44531B1ConvencionalResidencialResidencial baixa renda – faixa 02Não se aplicaNão se aplicaNão se aplica",Mercado_Receita!$L$2:$L$754)</f>
        <v>33.479999999999997</v>
      </c>
      <c r="Q19" s="12">
        <f>SUMIF(Mercado_Receita!$S$2:$S$754,"44562B1ConvencionalResidencialResidencial baixa renda – faixa 02Não se aplicaNão se aplicaPonta",Mercado_Receita!$L$2:$L$754)+SUMIF(Mercado_Receita!$S$2:$S$754,"44562B1ConvencionalResidencialResidencial baixa renda – faixa 02Não se aplicaNão se aplicaFora ponta",Mercado_Receita!$L$2:$L$754)+SUMIF(Mercado_Receita!$S$2:$S$754,"44562B1ConvencionalResidencialResidencial baixa renda – faixa 02Não se aplicaNão se aplicaIntermediário",Mercado_Receita!$L$2:$L$754)+SUMIF(Mercado_Receita!$S$2:$S$754,"44562B1ConvencionalResidencialResidencial baixa renda – faixa 02Não se aplicaNão se aplicaNão se aplica",Mercado_Receita!$L$2:$L$754)</f>
        <v>34.700000000000003</v>
      </c>
      <c r="R19" s="12">
        <f>SUMIF(Mercado_Receita!$S$2:$S$754,"44593B1ConvencionalResidencialResidencial baixa renda – faixa 02Não se aplicaNão se aplicaPonta",Mercado_Receita!$L$2:$L$754)+SUMIF(Mercado_Receita!$S$2:$S$754,"44593B1ConvencionalResidencialResidencial baixa renda – faixa 02Não se aplicaNão se aplicaFora ponta",Mercado_Receita!$L$2:$L$754)+SUMIF(Mercado_Receita!$S$2:$S$754,"44593B1ConvencionalResidencialResidencial baixa renda – faixa 02Não se aplicaNão se aplicaIntermediário",Mercado_Receita!$L$2:$L$754)+SUMIF(Mercado_Receita!$S$2:$S$754,"44593B1ConvencionalResidencialResidencial baixa renda – faixa 02Não se aplicaNão se aplicaNão se aplica",Mercado_Receita!$L$2:$L$754)</f>
        <v>37.752000000000002</v>
      </c>
      <c r="S19" s="12">
        <f>SUMIF(Mercado_Receita!$S$2:$S$754,"44621B1ConvencionalResidencialResidencial baixa renda – faixa 02Não se aplicaNão se aplicaPonta",Mercado_Receita!$L$2:$L$754)+SUMIF(Mercado_Receita!$S$2:$S$754,"44621B1ConvencionalResidencialResidencial baixa renda – faixa 02Não se aplicaNão se aplicaFora ponta",Mercado_Receita!$L$2:$L$754)+SUMIF(Mercado_Receita!$S$2:$S$754,"44621B1ConvencionalResidencialResidencial baixa renda – faixa 02Não se aplicaNão se aplicaIntermediário",Mercado_Receita!$L$2:$L$754)+SUMIF(Mercado_Receita!$S$2:$S$754,"44621B1ConvencionalResidencialResidencial baixa renda – faixa 02Não se aplicaNão se aplicaNão se aplica",Mercado_Receita!$L$2:$L$754)</f>
        <v>55.347000000000001</v>
      </c>
      <c r="T19" s="12">
        <f>SUMIF(Mercado_Receita!$S$2:$S$754,"44652B1ConvencionalResidencialResidencial baixa renda – faixa 02Não se aplicaNão se aplicaPonta",Mercado_Receita!$L$2:$L$754)+SUMIF(Mercado_Receita!$S$2:$S$754,"44652B1ConvencionalResidencialResidencial baixa renda – faixa 02Não se aplicaNão se aplicaFora ponta",Mercado_Receita!$L$2:$L$754)+SUMIF(Mercado_Receita!$S$2:$S$754,"44652B1ConvencionalResidencialResidencial baixa renda – faixa 02Não se aplicaNão se aplicaIntermediário",Mercado_Receita!$L$2:$L$754)+SUMIF(Mercado_Receita!$S$2:$S$754,"44652B1ConvencionalResidencialResidencial baixa renda – faixa 02Não se aplicaNão se aplicaNão se aplica",Mercado_Receita!$L$2:$L$754)</f>
        <v>57.487000000000002</v>
      </c>
      <c r="U19" s="12">
        <f t="shared" si="0"/>
        <v>441.75700000000001</v>
      </c>
      <c r="V19" s="12"/>
      <c r="W19" s="12"/>
    </row>
    <row r="20" spans="1:23" ht="11.25" customHeight="1" x14ac:dyDescent="0.25">
      <c r="A20" s="117"/>
      <c r="B20" s="117"/>
      <c r="C20" s="117"/>
      <c r="D20" s="13" t="s">
        <v>31</v>
      </c>
      <c r="E20" s="13" t="s">
        <v>25</v>
      </c>
      <c r="F20" s="13" t="s">
        <v>25</v>
      </c>
      <c r="G20" s="12" t="s">
        <v>82</v>
      </c>
      <c r="H20" s="12" t="s">
        <v>76</v>
      </c>
      <c r="I20" s="12">
        <f>SUMIF(Mercado_Receita!$S$2:$S$754,"44317B1ConvencionalResidencialResidencial baixa renda – faixa 03Não se aplicaNão se aplicaPonta",Mercado_Receita!$L$2:$L$754)+SUMIF(Mercado_Receita!$S$2:$S$754,"44317B1ConvencionalResidencialResidencial baixa renda – faixa 03Não se aplicaNão se aplicaFora ponta",Mercado_Receita!$L$2:$L$754)+SUMIF(Mercado_Receita!$S$2:$S$754,"44317B1ConvencionalResidencialResidencial baixa renda – faixa 03Não se aplicaNão se aplicaIntermediário",Mercado_Receita!$L$2:$L$754)+SUMIF(Mercado_Receita!$S$2:$S$754,"44317B1ConvencionalResidencialResidencial baixa renda – faixa 03Não se aplicaNão se aplicaNão se aplica",Mercado_Receita!$L$2:$L$754)</f>
        <v>20.859000000000002</v>
      </c>
      <c r="J20" s="12">
        <f>SUMIF(Mercado_Receita!$S$2:$S$754,"44348B1ConvencionalResidencialResidencial baixa renda – faixa 03Não se aplicaNão se aplicaPonta",Mercado_Receita!$L$2:$L$754)+SUMIF(Mercado_Receita!$S$2:$S$754,"44348B1ConvencionalResidencialResidencial baixa renda – faixa 03Não se aplicaNão se aplicaFora ponta",Mercado_Receita!$L$2:$L$754)+SUMIF(Mercado_Receita!$S$2:$S$754,"44348B1ConvencionalResidencialResidencial baixa renda – faixa 03Não se aplicaNão se aplicaIntermediário",Mercado_Receita!$L$2:$L$754)+SUMIF(Mercado_Receita!$S$2:$S$754,"44348B1ConvencionalResidencialResidencial baixa renda – faixa 03Não se aplicaNão se aplicaNão se aplica",Mercado_Receita!$L$2:$L$754)</f>
        <v>24.350999999999999</v>
      </c>
      <c r="K20" s="12">
        <f>SUMIF(Mercado_Receita!$S$2:$S$754,"44378B1ConvencionalResidencialResidencial baixa renda – faixa 03Não se aplicaNão se aplicaPonta",Mercado_Receita!$L$2:$L$754)+SUMIF(Mercado_Receita!$S$2:$S$754,"44378B1ConvencionalResidencialResidencial baixa renda – faixa 03Não se aplicaNão se aplicaFora ponta",Mercado_Receita!$L$2:$L$754)+SUMIF(Mercado_Receita!$S$2:$S$754,"44378B1ConvencionalResidencialResidencial baixa renda – faixa 03Não se aplicaNão se aplicaIntermediário",Mercado_Receita!$L$2:$L$754)+SUMIF(Mercado_Receita!$S$2:$S$754,"44378B1ConvencionalResidencialResidencial baixa renda – faixa 03Não se aplicaNão se aplicaNão se aplica",Mercado_Receita!$L$2:$L$754)</f>
        <v>26.067</v>
      </c>
      <c r="L20" s="12">
        <f>SUMIF(Mercado_Receita!$S$2:$S$754,"44409B1ConvencionalResidencialResidencial baixa renda – faixa 03Não se aplicaNão se aplicaPonta",Mercado_Receita!$L$2:$L$754)+SUMIF(Mercado_Receita!$S$2:$S$754,"44409B1ConvencionalResidencialResidencial baixa renda – faixa 03Não se aplicaNão se aplicaFora ponta",Mercado_Receita!$L$2:$L$754)+SUMIF(Mercado_Receita!$S$2:$S$754,"44409B1ConvencionalResidencialResidencial baixa renda – faixa 03Não se aplicaNão se aplicaIntermediário",Mercado_Receita!$L$2:$L$754)+SUMIF(Mercado_Receita!$S$2:$S$754,"44409B1ConvencionalResidencialResidencial baixa renda – faixa 03Não se aplicaNão se aplicaNão se aplica",Mercado_Receita!$L$2:$L$754)</f>
        <v>23.449000000000002</v>
      </c>
      <c r="M20" s="12">
        <f>SUMIF(Mercado_Receita!$S$2:$S$754,"44440B1ConvencionalResidencialResidencial baixa renda – faixa 03Não se aplicaNão se aplicaPonta",Mercado_Receita!$L$2:$L$754)+SUMIF(Mercado_Receita!$S$2:$S$754,"44440B1ConvencionalResidencialResidencial baixa renda – faixa 03Não se aplicaNão se aplicaFora ponta",Mercado_Receita!$L$2:$L$754)+SUMIF(Mercado_Receita!$S$2:$S$754,"44440B1ConvencionalResidencialResidencial baixa renda – faixa 03Não se aplicaNão se aplicaIntermediário",Mercado_Receita!$L$2:$L$754)+SUMIF(Mercado_Receita!$S$2:$S$754,"44440B1ConvencionalResidencialResidencial baixa renda – faixa 03Não se aplicaNão se aplicaNão se aplica",Mercado_Receita!$L$2:$L$754)</f>
        <v>27.283000000000001</v>
      </c>
      <c r="N20" s="12">
        <f>SUMIF(Mercado_Receita!$S$2:$S$754,"44470B1ConvencionalResidencialResidencial baixa renda – faixa 03Não se aplicaNão se aplicaPonta",Mercado_Receita!$L$2:$L$754)+SUMIF(Mercado_Receita!$S$2:$S$754,"44470B1ConvencionalResidencialResidencial baixa renda – faixa 03Não se aplicaNão se aplicaFora ponta",Mercado_Receita!$L$2:$L$754)+SUMIF(Mercado_Receita!$S$2:$S$754,"44470B1ConvencionalResidencialResidencial baixa renda – faixa 03Não se aplicaNão se aplicaIntermediário",Mercado_Receita!$L$2:$L$754)+SUMIF(Mercado_Receita!$S$2:$S$754,"44470B1ConvencionalResidencialResidencial baixa renda – faixa 03Não se aplicaNão se aplicaNão se aplica",Mercado_Receita!$L$2:$L$754)</f>
        <v>32.040999999999997</v>
      </c>
      <c r="O20" s="12">
        <f>SUMIF(Mercado_Receita!$S$2:$S$754,"44501B1ConvencionalResidencialResidencial baixa renda – faixa 03Não se aplicaNão se aplicaPonta",Mercado_Receita!$L$2:$L$754)+SUMIF(Mercado_Receita!$S$2:$S$754,"44501B1ConvencionalResidencialResidencial baixa renda – faixa 03Não se aplicaNão se aplicaFora ponta",Mercado_Receita!$L$2:$L$754)+SUMIF(Mercado_Receita!$S$2:$S$754,"44501B1ConvencionalResidencialResidencial baixa renda – faixa 03Não se aplicaNão se aplicaIntermediário",Mercado_Receita!$L$2:$L$754)+SUMIF(Mercado_Receita!$S$2:$S$754,"44501B1ConvencionalResidencialResidencial baixa renda – faixa 03Não se aplicaNão se aplicaNão se aplica",Mercado_Receita!$L$2:$L$754)</f>
        <v>29.46</v>
      </c>
      <c r="P20" s="12">
        <f>SUMIF(Mercado_Receita!$S$2:$S$754,"44531B1ConvencionalResidencialResidencial baixa renda – faixa 03Não se aplicaNão se aplicaPonta",Mercado_Receita!$L$2:$L$754)+SUMIF(Mercado_Receita!$S$2:$S$754,"44531B1ConvencionalResidencialResidencial baixa renda – faixa 03Não se aplicaNão se aplicaFora ponta",Mercado_Receita!$L$2:$L$754)+SUMIF(Mercado_Receita!$S$2:$S$754,"44531B1ConvencionalResidencialResidencial baixa renda – faixa 03Não se aplicaNão se aplicaIntermediário",Mercado_Receita!$L$2:$L$754)+SUMIF(Mercado_Receita!$S$2:$S$754,"44531B1ConvencionalResidencialResidencial baixa renda – faixa 03Não se aplicaNão se aplicaNão se aplica",Mercado_Receita!$L$2:$L$754)</f>
        <v>27.106999999999999</v>
      </c>
      <c r="Q20" s="12">
        <f>SUMIF(Mercado_Receita!$S$2:$S$754,"44562B1ConvencionalResidencialResidencial baixa renda – faixa 03Não se aplicaNão se aplicaPonta",Mercado_Receita!$L$2:$L$754)+SUMIF(Mercado_Receita!$S$2:$S$754,"44562B1ConvencionalResidencialResidencial baixa renda – faixa 03Não se aplicaNão se aplicaFora ponta",Mercado_Receita!$L$2:$L$754)+SUMIF(Mercado_Receita!$S$2:$S$754,"44562B1ConvencionalResidencialResidencial baixa renda – faixa 03Não se aplicaNão se aplicaIntermediário",Mercado_Receita!$L$2:$L$754)+SUMIF(Mercado_Receita!$S$2:$S$754,"44562B1ConvencionalResidencialResidencial baixa renda – faixa 03Não se aplicaNão se aplicaNão se aplica",Mercado_Receita!$L$2:$L$754)</f>
        <v>30.98</v>
      </c>
      <c r="R20" s="12">
        <f>SUMIF(Mercado_Receita!$S$2:$S$754,"44593B1ConvencionalResidencialResidencial baixa renda – faixa 03Não se aplicaNão se aplicaPonta",Mercado_Receita!$L$2:$L$754)+SUMIF(Mercado_Receita!$S$2:$S$754,"44593B1ConvencionalResidencialResidencial baixa renda – faixa 03Não se aplicaNão se aplicaFora ponta",Mercado_Receita!$L$2:$L$754)+SUMIF(Mercado_Receita!$S$2:$S$754,"44593B1ConvencionalResidencialResidencial baixa renda – faixa 03Não se aplicaNão se aplicaIntermediário",Mercado_Receita!$L$2:$L$754)+SUMIF(Mercado_Receita!$S$2:$S$754,"44593B1ConvencionalResidencialResidencial baixa renda – faixa 03Não se aplicaNão se aplicaNão se aplica",Mercado_Receita!$L$2:$L$754)</f>
        <v>33.667999999999999</v>
      </c>
      <c r="S20" s="12">
        <f>SUMIF(Mercado_Receita!$S$2:$S$754,"44621B1ConvencionalResidencialResidencial baixa renda – faixa 03Não se aplicaNão se aplicaPonta",Mercado_Receita!$L$2:$L$754)+SUMIF(Mercado_Receita!$S$2:$S$754,"44621B1ConvencionalResidencialResidencial baixa renda – faixa 03Não se aplicaNão se aplicaFora ponta",Mercado_Receita!$L$2:$L$754)+SUMIF(Mercado_Receita!$S$2:$S$754,"44621B1ConvencionalResidencialResidencial baixa renda – faixa 03Não se aplicaNão se aplicaIntermediário",Mercado_Receita!$L$2:$L$754)+SUMIF(Mercado_Receita!$S$2:$S$754,"44621B1ConvencionalResidencialResidencial baixa renda – faixa 03Não se aplicaNão se aplicaNão se aplica",Mercado_Receita!$L$2:$L$754)</f>
        <v>50.784999999999997</v>
      </c>
      <c r="T20" s="12">
        <f>SUMIF(Mercado_Receita!$S$2:$S$754,"44652B1ConvencionalResidencialResidencial baixa renda – faixa 03Não se aplicaNão se aplicaPonta",Mercado_Receita!$L$2:$L$754)+SUMIF(Mercado_Receita!$S$2:$S$754,"44652B1ConvencionalResidencialResidencial baixa renda – faixa 03Não se aplicaNão se aplicaFora ponta",Mercado_Receita!$L$2:$L$754)+SUMIF(Mercado_Receita!$S$2:$S$754,"44652B1ConvencionalResidencialResidencial baixa renda – faixa 03Não se aplicaNão se aplicaIntermediário",Mercado_Receita!$L$2:$L$754)+SUMIF(Mercado_Receita!$S$2:$S$754,"44652B1ConvencionalResidencialResidencial baixa renda – faixa 03Não se aplicaNão se aplicaNão se aplica",Mercado_Receita!$L$2:$L$754)</f>
        <v>54.502000000000002</v>
      </c>
      <c r="U20" s="12">
        <f t="shared" si="0"/>
        <v>380.55199999999996</v>
      </c>
      <c r="V20" s="12"/>
      <c r="W20" s="12"/>
    </row>
    <row r="21" spans="1:23" ht="11.25" customHeight="1" x14ac:dyDescent="0.25">
      <c r="A21" s="117"/>
      <c r="B21" s="117"/>
      <c r="C21" s="117"/>
      <c r="D21" s="13" t="s">
        <v>32</v>
      </c>
      <c r="E21" s="13" t="s">
        <v>25</v>
      </c>
      <c r="F21" s="13" t="s">
        <v>25</v>
      </c>
      <c r="G21" s="12" t="s">
        <v>82</v>
      </c>
      <c r="H21" s="12" t="s">
        <v>76</v>
      </c>
      <c r="I21" s="12">
        <f>SUMIF(Mercado_Receita!$S$2:$S$754,"44317B1ConvencionalResidencialResidencial baixa renda – faixa 04Não se aplicaNão se aplicaPonta",Mercado_Receita!$L$2:$L$754)+SUMIF(Mercado_Receita!$S$2:$S$754,"44317B1ConvencionalResidencialResidencial baixa renda – faixa 04Não se aplicaNão se aplicaFora ponta",Mercado_Receita!$L$2:$L$754)+SUMIF(Mercado_Receita!$S$2:$S$754,"44317B1ConvencionalResidencialResidencial baixa renda – faixa 04Não se aplicaNão se aplicaIntermediário",Mercado_Receita!$L$2:$L$754)+SUMIF(Mercado_Receita!$S$2:$S$754,"44317B1ConvencionalResidencialResidencial baixa renda – faixa 04Não se aplicaNão se aplicaNão se aplica",Mercado_Receita!$L$2:$L$754)</f>
        <v>2.774</v>
      </c>
      <c r="J21" s="12">
        <f>SUMIF(Mercado_Receita!$S$2:$S$754,"44348B1ConvencionalResidencialResidencial baixa renda – faixa 04Não se aplicaNão se aplicaPonta",Mercado_Receita!$L$2:$L$754)+SUMIF(Mercado_Receita!$S$2:$S$754,"44348B1ConvencionalResidencialResidencial baixa renda – faixa 04Não se aplicaNão se aplicaFora ponta",Mercado_Receita!$L$2:$L$754)+SUMIF(Mercado_Receita!$S$2:$S$754,"44348B1ConvencionalResidencialResidencial baixa renda – faixa 04Não se aplicaNão se aplicaIntermediário",Mercado_Receita!$L$2:$L$754)+SUMIF(Mercado_Receita!$S$2:$S$754,"44348B1ConvencionalResidencialResidencial baixa renda – faixa 04Não se aplicaNão se aplicaNão se aplica",Mercado_Receita!$L$2:$L$754)</f>
        <v>3.8330000000000002</v>
      </c>
      <c r="K21" s="12">
        <f>SUMIF(Mercado_Receita!$S$2:$S$754,"44378B1ConvencionalResidencialResidencial baixa renda – faixa 04Não se aplicaNão se aplicaPonta",Mercado_Receita!$L$2:$L$754)+SUMIF(Mercado_Receita!$S$2:$S$754,"44378B1ConvencionalResidencialResidencial baixa renda – faixa 04Não se aplicaNão se aplicaFora ponta",Mercado_Receita!$L$2:$L$754)+SUMIF(Mercado_Receita!$S$2:$S$754,"44378B1ConvencionalResidencialResidencial baixa renda – faixa 04Não se aplicaNão se aplicaIntermediário",Mercado_Receita!$L$2:$L$754)+SUMIF(Mercado_Receita!$S$2:$S$754,"44378B1ConvencionalResidencialResidencial baixa renda – faixa 04Não se aplicaNão se aplicaNão se aplica",Mercado_Receita!$L$2:$L$754)</f>
        <v>4.3360000000000003</v>
      </c>
      <c r="L21" s="12">
        <f>SUMIF(Mercado_Receita!$S$2:$S$754,"44409B1ConvencionalResidencialResidencial baixa renda – faixa 04Não se aplicaNão se aplicaPonta",Mercado_Receita!$L$2:$L$754)+SUMIF(Mercado_Receita!$S$2:$S$754,"44409B1ConvencionalResidencialResidencial baixa renda – faixa 04Não se aplicaNão se aplicaFora ponta",Mercado_Receita!$L$2:$L$754)+SUMIF(Mercado_Receita!$S$2:$S$754,"44409B1ConvencionalResidencialResidencial baixa renda – faixa 04Não se aplicaNão se aplicaIntermediário",Mercado_Receita!$L$2:$L$754)+SUMIF(Mercado_Receita!$S$2:$S$754,"44409B1ConvencionalResidencialResidencial baixa renda – faixa 04Não se aplicaNão se aplicaNão se aplica",Mercado_Receita!$L$2:$L$754)</f>
        <v>4.085</v>
      </c>
      <c r="M21" s="12">
        <f>SUMIF(Mercado_Receita!$S$2:$S$754,"44440B1ConvencionalResidencialResidencial baixa renda – faixa 04Não se aplicaNão se aplicaPonta",Mercado_Receita!$L$2:$L$754)+SUMIF(Mercado_Receita!$S$2:$S$754,"44440B1ConvencionalResidencialResidencial baixa renda – faixa 04Não se aplicaNão se aplicaFora ponta",Mercado_Receita!$L$2:$L$754)+SUMIF(Mercado_Receita!$S$2:$S$754,"44440B1ConvencionalResidencialResidencial baixa renda – faixa 04Não se aplicaNão se aplicaIntermediário",Mercado_Receita!$L$2:$L$754)+SUMIF(Mercado_Receita!$S$2:$S$754,"44440B1ConvencionalResidencialResidencial baixa renda – faixa 04Não se aplicaNão se aplicaNão se aplica",Mercado_Receita!$L$2:$L$754)</f>
        <v>5.5570000000000004</v>
      </c>
      <c r="N21" s="12">
        <f>SUMIF(Mercado_Receita!$S$2:$S$754,"44470B1ConvencionalResidencialResidencial baixa renda – faixa 04Não se aplicaNão se aplicaPonta",Mercado_Receita!$L$2:$L$754)+SUMIF(Mercado_Receita!$S$2:$S$754,"44470B1ConvencionalResidencialResidencial baixa renda – faixa 04Não se aplicaNão se aplicaFora ponta",Mercado_Receita!$L$2:$L$754)+SUMIF(Mercado_Receita!$S$2:$S$754,"44470B1ConvencionalResidencialResidencial baixa renda – faixa 04Não se aplicaNão se aplicaIntermediário",Mercado_Receita!$L$2:$L$754)+SUMIF(Mercado_Receita!$S$2:$S$754,"44470B1ConvencionalResidencialResidencial baixa renda – faixa 04Não se aplicaNão se aplicaNão se aplica",Mercado_Receita!$L$2:$L$754)</f>
        <v>7.4669999999999996</v>
      </c>
      <c r="O21" s="12">
        <f>SUMIF(Mercado_Receita!$S$2:$S$754,"44501B1ConvencionalResidencialResidencial baixa renda – faixa 04Não se aplicaNão se aplicaPonta",Mercado_Receita!$L$2:$L$754)+SUMIF(Mercado_Receita!$S$2:$S$754,"44501B1ConvencionalResidencialResidencial baixa renda – faixa 04Não se aplicaNão se aplicaFora ponta",Mercado_Receita!$L$2:$L$754)+SUMIF(Mercado_Receita!$S$2:$S$754,"44501B1ConvencionalResidencialResidencial baixa renda – faixa 04Não se aplicaNão se aplicaIntermediário",Mercado_Receita!$L$2:$L$754)+SUMIF(Mercado_Receita!$S$2:$S$754,"44501B1ConvencionalResidencialResidencial baixa renda – faixa 04Não se aplicaNão se aplicaNão se aplica",Mercado_Receita!$L$2:$L$754)</f>
        <v>6.1790000000000003</v>
      </c>
      <c r="P21" s="12">
        <f>SUMIF(Mercado_Receita!$S$2:$S$754,"44531B1ConvencionalResidencialResidencial baixa renda – faixa 04Não se aplicaNão se aplicaPonta",Mercado_Receita!$L$2:$L$754)+SUMIF(Mercado_Receita!$S$2:$S$754,"44531B1ConvencionalResidencialResidencial baixa renda – faixa 04Não se aplicaNão se aplicaFora ponta",Mercado_Receita!$L$2:$L$754)+SUMIF(Mercado_Receita!$S$2:$S$754,"44531B1ConvencionalResidencialResidencial baixa renda – faixa 04Não se aplicaNão se aplicaIntermediário",Mercado_Receita!$L$2:$L$754)+SUMIF(Mercado_Receita!$S$2:$S$754,"44531B1ConvencionalResidencialResidencial baixa renda – faixa 04Não se aplicaNão se aplicaNão se aplica",Mercado_Receita!$L$2:$L$754)</f>
        <v>5.0010000000000003</v>
      </c>
      <c r="Q21" s="12">
        <f>SUMIF(Mercado_Receita!$S$2:$S$754,"44562B1ConvencionalResidencialResidencial baixa renda – faixa 04Não se aplicaNão se aplicaPonta",Mercado_Receita!$L$2:$L$754)+SUMIF(Mercado_Receita!$S$2:$S$754,"44562B1ConvencionalResidencialResidencial baixa renda – faixa 04Não se aplicaNão se aplicaFora ponta",Mercado_Receita!$L$2:$L$754)+SUMIF(Mercado_Receita!$S$2:$S$754,"44562B1ConvencionalResidencialResidencial baixa renda – faixa 04Não se aplicaNão se aplicaIntermediário",Mercado_Receita!$L$2:$L$754)+SUMIF(Mercado_Receita!$S$2:$S$754,"44562B1ConvencionalResidencialResidencial baixa renda – faixa 04Não se aplicaNão se aplicaNão se aplica",Mercado_Receita!$L$2:$L$754)</f>
        <v>8.1170000000000009</v>
      </c>
      <c r="R21" s="12">
        <f>SUMIF(Mercado_Receita!$S$2:$S$754,"44593B1ConvencionalResidencialResidencial baixa renda – faixa 04Não se aplicaNão se aplicaPonta",Mercado_Receita!$L$2:$L$754)+SUMIF(Mercado_Receita!$S$2:$S$754,"44593B1ConvencionalResidencialResidencial baixa renda – faixa 04Não se aplicaNão se aplicaFora ponta",Mercado_Receita!$L$2:$L$754)+SUMIF(Mercado_Receita!$S$2:$S$754,"44593B1ConvencionalResidencialResidencial baixa renda – faixa 04Não se aplicaNão se aplicaIntermediário",Mercado_Receita!$L$2:$L$754)+SUMIF(Mercado_Receita!$S$2:$S$754,"44593B1ConvencionalResidencialResidencial baixa renda – faixa 04Não se aplicaNão se aplicaNão se aplica",Mercado_Receita!$L$2:$L$754)</f>
        <v>8.1470000000000002</v>
      </c>
      <c r="S21" s="12">
        <f>SUMIF(Mercado_Receita!$S$2:$S$754,"44621B1ConvencionalResidencialResidencial baixa renda – faixa 04Não se aplicaNão se aplicaPonta",Mercado_Receita!$L$2:$L$754)+SUMIF(Mercado_Receita!$S$2:$S$754,"44621B1ConvencionalResidencialResidencial baixa renda – faixa 04Não se aplicaNão se aplicaFora ponta",Mercado_Receita!$L$2:$L$754)+SUMIF(Mercado_Receita!$S$2:$S$754,"44621B1ConvencionalResidencialResidencial baixa renda – faixa 04Não se aplicaNão se aplicaIntermediário",Mercado_Receita!$L$2:$L$754)+SUMIF(Mercado_Receita!$S$2:$S$754,"44621B1ConvencionalResidencialResidencial baixa renda – faixa 04Não se aplicaNão se aplicaNão se aplica",Mercado_Receita!$L$2:$L$754)</f>
        <v>14.984</v>
      </c>
      <c r="T21" s="12">
        <f>SUMIF(Mercado_Receita!$S$2:$S$754,"44652B1ConvencionalResidencialResidencial baixa renda – faixa 04Não se aplicaNão se aplicaPonta",Mercado_Receita!$L$2:$L$754)+SUMIF(Mercado_Receita!$S$2:$S$754,"44652B1ConvencionalResidencialResidencial baixa renda – faixa 04Não se aplicaNão se aplicaFora ponta",Mercado_Receita!$L$2:$L$754)+SUMIF(Mercado_Receita!$S$2:$S$754,"44652B1ConvencionalResidencialResidencial baixa renda – faixa 04Não se aplicaNão se aplicaIntermediário",Mercado_Receita!$L$2:$L$754)+SUMIF(Mercado_Receita!$S$2:$S$754,"44652B1ConvencionalResidencialResidencial baixa renda – faixa 04Não se aplicaNão se aplicaNão se aplica",Mercado_Receita!$L$2:$L$754)</f>
        <v>15.241</v>
      </c>
      <c r="U21" s="12">
        <f t="shared" si="0"/>
        <v>85.721000000000004</v>
      </c>
      <c r="V21" s="12"/>
      <c r="W21" s="12"/>
    </row>
    <row r="22" spans="1:23" ht="11.25" customHeight="1" x14ac:dyDescent="0.25">
      <c r="A22" s="117"/>
      <c r="B22" s="116" t="s">
        <v>91</v>
      </c>
      <c r="C22" s="116" t="s">
        <v>24</v>
      </c>
      <c r="D22" s="13" t="s">
        <v>24</v>
      </c>
      <c r="E22" s="13" t="s">
        <v>25</v>
      </c>
      <c r="F22" s="13" t="s">
        <v>25</v>
      </c>
      <c r="G22" s="12" t="s">
        <v>82</v>
      </c>
      <c r="H22" s="12" t="s">
        <v>76</v>
      </c>
      <c r="I22" s="12">
        <f>SUMIF(Mercado_Receita!$S$2:$S$754,"44317B1Convencional pré-pagamentoResidencialResidencialNão se aplicaNão se aplicaPonta",Mercado_Receita!$L$2:$L$754)+SUMIF(Mercado_Receita!$S$2:$S$754,"44317B1Convencional pré-pagamentoResidencialResidencialNão se aplicaNão se aplicaFora ponta",Mercado_Receita!$L$2:$L$754)+SUMIF(Mercado_Receita!$S$2:$S$754,"44317B1Convencional pré-pagamentoResidencialResidencialNão se aplicaNão se aplicaIntermediário",Mercado_Receita!$L$2:$L$754)+SUMIF(Mercado_Receita!$S$2:$S$754,"44317B1Convencional pré-pagamentoResidencialResidencialNão se aplicaNão se aplicaNão se aplica",Mercado_Receita!$L$2:$L$754)</f>
        <v>0</v>
      </c>
      <c r="J22" s="12">
        <f>SUMIF(Mercado_Receita!$S$2:$S$754,"44348B1Convencional pré-pagamentoResidencialResidencialNão se aplicaNão se aplicaPonta",Mercado_Receita!$L$2:$L$754)+SUMIF(Mercado_Receita!$S$2:$S$754,"44348B1Convencional pré-pagamentoResidencialResidencialNão se aplicaNão se aplicaFora ponta",Mercado_Receita!$L$2:$L$754)+SUMIF(Mercado_Receita!$S$2:$S$754,"44348B1Convencional pré-pagamentoResidencialResidencialNão se aplicaNão se aplicaIntermediário",Mercado_Receita!$L$2:$L$754)+SUMIF(Mercado_Receita!$S$2:$S$754,"44348B1Convencional pré-pagamentoResidencialResidencialNão se aplicaNão se aplicaNão se aplica",Mercado_Receita!$L$2:$L$754)</f>
        <v>0</v>
      </c>
      <c r="K22" s="12">
        <f>SUMIF(Mercado_Receita!$S$2:$S$754,"44378B1Convencional pré-pagamentoResidencialResidencialNão se aplicaNão se aplicaPonta",Mercado_Receita!$L$2:$L$754)+SUMIF(Mercado_Receita!$S$2:$S$754,"44378B1Convencional pré-pagamentoResidencialResidencialNão se aplicaNão se aplicaFora ponta",Mercado_Receita!$L$2:$L$754)+SUMIF(Mercado_Receita!$S$2:$S$754,"44378B1Convencional pré-pagamentoResidencialResidencialNão se aplicaNão se aplicaIntermediário",Mercado_Receita!$L$2:$L$754)+SUMIF(Mercado_Receita!$S$2:$S$754,"44378B1Convencional pré-pagamentoResidencialResidencialNão se aplicaNão se aplicaNão se aplica",Mercado_Receita!$L$2:$L$754)</f>
        <v>0</v>
      </c>
      <c r="L22" s="12">
        <f>SUMIF(Mercado_Receita!$S$2:$S$754,"44409B1Convencional pré-pagamentoResidencialResidencialNão se aplicaNão se aplicaPonta",Mercado_Receita!$L$2:$L$754)+SUMIF(Mercado_Receita!$S$2:$S$754,"44409B1Convencional pré-pagamentoResidencialResidencialNão se aplicaNão se aplicaFora ponta",Mercado_Receita!$L$2:$L$754)+SUMIF(Mercado_Receita!$S$2:$S$754,"44409B1Convencional pré-pagamentoResidencialResidencialNão se aplicaNão se aplicaIntermediário",Mercado_Receita!$L$2:$L$754)+SUMIF(Mercado_Receita!$S$2:$S$754,"44409B1Convencional pré-pagamentoResidencialResidencialNão se aplicaNão se aplicaNão se aplica",Mercado_Receita!$L$2:$L$754)</f>
        <v>0</v>
      </c>
      <c r="M22" s="12">
        <f>SUMIF(Mercado_Receita!$S$2:$S$754,"44440B1Convencional pré-pagamentoResidencialResidencialNão se aplicaNão se aplicaPonta",Mercado_Receita!$L$2:$L$754)+SUMIF(Mercado_Receita!$S$2:$S$754,"44440B1Convencional pré-pagamentoResidencialResidencialNão se aplicaNão se aplicaFora ponta",Mercado_Receita!$L$2:$L$754)+SUMIF(Mercado_Receita!$S$2:$S$754,"44440B1Convencional pré-pagamentoResidencialResidencialNão se aplicaNão se aplicaIntermediário",Mercado_Receita!$L$2:$L$754)+SUMIF(Mercado_Receita!$S$2:$S$754,"44440B1Convencional pré-pagamentoResidencialResidencialNão se aplicaNão se aplicaNão se aplica",Mercado_Receita!$L$2:$L$754)</f>
        <v>0</v>
      </c>
      <c r="N22" s="12">
        <f>SUMIF(Mercado_Receita!$S$2:$S$754,"44470B1Convencional pré-pagamentoResidencialResidencialNão se aplicaNão se aplicaPonta",Mercado_Receita!$L$2:$L$754)+SUMIF(Mercado_Receita!$S$2:$S$754,"44470B1Convencional pré-pagamentoResidencialResidencialNão se aplicaNão se aplicaFora ponta",Mercado_Receita!$L$2:$L$754)+SUMIF(Mercado_Receita!$S$2:$S$754,"44470B1Convencional pré-pagamentoResidencialResidencialNão se aplicaNão se aplicaIntermediário",Mercado_Receita!$L$2:$L$754)+SUMIF(Mercado_Receita!$S$2:$S$754,"44470B1Convencional pré-pagamentoResidencialResidencialNão se aplicaNão se aplicaNão se aplica",Mercado_Receita!$L$2:$L$754)</f>
        <v>0</v>
      </c>
      <c r="O22" s="12">
        <f>SUMIF(Mercado_Receita!$S$2:$S$754,"44501B1Convencional pré-pagamentoResidencialResidencialNão se aplicaNão se aplicaPonta",Mercado_Receita!$L$2:$L$754)+SUMIF(Mercado_Receita!$S$2:$S$754,"44501B1Convencional pré-pagamentoResidencialResidencialNão se aplicaNão se aplicaFora ponta",Mercado_Receita!$L$2:$L$754)+SUMIF(Mercado_Receita!$S$2:$S$754,"44501B1Convencional pré-pagamentoResidencialResidencialNão se aplicaNão se aplicaIntermediário",Mercado_Receita!$L$2:$L$754)+SUMIF(Mercado_Receita!$S$2:$S$754,"44501B1Convencional pré-pagamentoResidencialResidencialNão se aplicaNão se aplicaNão se aplica",Mercado_Receita!$L$2:$L$754)</f>
        <v>0</v>
      </c>
      <c r="P22" s="12">
        <f>SUMIF(Mercado_Receita!$S$2:$S$754,"44531B1Convencional pré-pagamentoResidencialResidencialNão se aplicaNão se aplicaPonta",Mercado_Receita!$L$2:$L$754)+SUMIF(Mercado_Receita!$S$2:$S$754,"44531B1Convencional pré-pagamentoResidencialResidencialNão se aplicaNão se aplicaFora ponta",Mercado_Receita!$L$2:$L$754)+SUMIF(Mercado_Receita!$S$2:$S$754,"44531B1Convencional pré-pagamentoResidencialResidencialNão se aplicaNão se aplicaIntermediário",Mercado_Receita!$L$2:$L$754)+SUMIF(Mercado_Receita!$S$2:$S$754,"44531B1Convencional pré-pagamentoResidencialResidencialNão se aplicaNão se aplicaNão se aplica",Mercado_Receita!$L$2:$L$754)</f>
        <v>0</v>
      </c>
      <c r="Q22" s="12">
        <f>SUMIF(Mercado_Receita!$S$2:$S$754,"44562B1Convencional pré-pagamentoResidencialResidencialNão se aplicaNão se aplicaPonta",Mercado_Receita!$L$2:$L$754)+SUMIF(Mercado_Receita!$S$2:$S$754,"44562B1Convencional pré-pagamentoResidencialResidencialNão se aplicaNão se aplicaFora ponta",Mercado_Receita!$L$2:$L$754)+SUMIF(Mercado_Receita!$S$2:$S$754,"44562B1Convencional pré-pagamentoResidencialResidencialNão se aplicaNão se aplicaIntermediário",Mercado_Receita!$L$2:$L$754)+SUMIF(Mercado_Receita!$S$2:$S$754,"44562B1Convencional pré-pagamentoResidencialResidencialNão se aplicaNão se aplicaNão se aplica",Mercado_Receita!$L$2:$L$754)</f>
        <v>0</v>
      </c>
      <c r="R22" s="12">
        <f>SUMIF(Mercado_Receita!$S$2:$S$754,"44593B1Convencional pré-pagamentoResidencialResidencialNão se aplicaNão se aplicaPonta",Mercado_Receita!$L$2:$L$754)+SUMIF(Mercado_Receita!$S$2:$S$754,"44593B1Convencional pré-pagamentoResidencialResidencialNão se aplicaNão se aplicaFora ponta",Mercado_Receita!$L$2:$L$754)+SUMIF(Mercado_Receita!$S$2:$S$754,"44593B1Convencional pré-pagamentoResidencialResidencialNão se aplicaNão se aplicaIntermediário",Mercado_Receita!$L$2:$L$754)+SUMIF(Mercado_Receita!$S$2:$S$754,"44593B1Convencional pré-pagamentoResidencialResidencialNão se aplicaNão se aplicaNão se aplica",Mercado_Receita!$L$2:$L$754)</f>
        <v>0</v>
      </c>
      <c r="S22" s="12">
        <f>SUMIF(Mercado_Receita!$S$2:$S$754,"44621B1Convencional pré-pagamentoResidencialResidencialNão se aplicaNão se aplicaPonta",Mercado_Receita!$L$2:$L$754)+SUMIF(Mercado_Receita!$S$2:$S$754,"44621B1Convencional pré-pagamentoResidencialResidencialNão se aplicaNão se aplicaFora ponta",Mercado_Receita!$L$2:$L$754)+SUMIF(Mercado_Receita!$S$2:$S$754,"44621B1Convencional pré-pagamentoResidencialResidencialNão se aplicaNão se aplicaIntermediário",Mercado_Receita!$L$2:$L$754)+SUMIF(Mercado_Receita!$S$2:$S$754,"44621B1Convencional pré-pagamentoResidencialResidencialNão se aplicaNão se aplicaNão se aplica",Mercado_Receita!$L$2:$L$754)</f>
        <v>0</v>
      </c>
      <c r="T22" s="12">
        <f>SUMIF(Mercado_Receita!$S$2:$S$754,"44652B1Convencional pré-pagamentoResidencialResidencialNão se aplicaNão se aplicaPonta",Mercado_Receita!$L$2:$L$754)+SUMIF(Mercado_Receita!$S$2:$S$754,"44652B1Convencional pré-pagamentoResidencialResidencialNão se aplicaNão se aplicaFora ponta",Mercado_Receita!$L$2:$L$754)+SUMIF(Mercado_Receita!$S$2:$S$754,"44652B1Convencional pré-pagamentoResidencialResidencialNão se aplicaNão se aplicaIntermediário",Mercado_Receita!$L$2:$L$754)+SUMIF(Mercado_Receita!$S$2:$S$754,"44652B1Convencional pré-pagamentoResidencialResidencialNão se aplicaNão se aplicaNão se aplica",Mercado_Receita!$L$2:$L$754)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17"/>
      <c r="B23" s="117"/>
      <c r="C23" s="117"/>
      <c r="D23" s="13" t="s">
        <v>29</v>
      </c>
      <c r="E23" s="13" t="s">
        <v>25</v>
      </c>
      <c r="F23" s="13" t="s">
        <v>25</v>
      </c>
      <c r="G23" s="12" t="s">
        <v>82</v>
      </c>
      <c r="H23" s="12" t="s">
        <v>76</v>
      </c>
      <c r="I23" s="12">
        <f>SUMIF(Mercado_Receita!$S$2:$S$754,"44317B1Convencional pré-pagamentoResidencialResidencial baixa renda – faixa 01Não se aplicaNão se aplicaPonta",Mercado_Receita!$L$2:$L$754)+SUMIF(Mercado_Receita!$S$2:$S$754,"44317B1Convencional pré-pagamentoResidencialResidencial baixa renda – faixa 01Não se aplicaNão se aplicaFora ponta",Mercado_Receita!$L$2:$L$754)+SUMIF(Mercado_Receita!$S$2:$S$754,"44317B1Convencional pré-pagamentoResidencialResidencial baixa renda – faixa 01Não se aplicaNão se aplicaIntermediário",Mercado_Receita!$L$2:$L$754)+SUMIF(Mercado_Receita!$S$2:$S$754,"44317B1Convencional pré-pagamentoResidencialResidencial baixa renda – faixa 01Não se aplicaNão se aplicaNão se aplica",Mercado_Receita!$L$2:$L$754)</f>
        <v>0</v>
      </c>
      <c r="J23" s="12">
        <f>SUMIF(Mercado_Receita!$S$2:$S$754,"44348B1Convencional pré-pagamentoResidencialResidencial baixa renda – faixa 01Não se aplicaNão se aplicaPonta",Mercado_Receita!$L$2:$L$754)+SUMIF(Mercado_Receita!$S$2:$S$754,"44348B1Convencional pré-pagamentoResidencialResidencial baixa renda – faixa 01Não se aplicaNão se aplicaFora ponta",Mercado_Receita!$L$2:$L$754)+SUMIF(Mercado_Receita!$S$2:$S$754,"44348B1Convencional pré-pagamentoResidencialResidencial baixa renda – faixa 01Não se aplicaNão se aplicaIntermediário",Mercado_Receita!$L$2:$L$754)+SUMIF(Mercado_Receita!$S$2:$S$754,"44348B1Convencional pré-pagamentoResidencialResidencial baixa renda – faixa 01Não se aplicaNão se aplicaNão se aplica",Mercado_Receita!$L$2:$L$754)</f>
        <v>0</v>
      </c>
      <c r="K23" s="12">
        <f>SUMIF(Mercado_Receita!$S$2:$S$754,"44378B1Convencional pré-pagamentoResidencialResidencial baixa renda – faixa 01Não se aplicaNão se aplicaPonta",Mercado_Receita!$L$2:$L$754)+SUMIF(Mercado_Receita!$S$2:$S$754,"44378B1Convencional pré-pagamentoResidencialResidencial baixa renda – faixa 01Não se aplicaNão se aplicaFora ponta",Mercado_Receita!$L$2:$L$754)+SUMIF(Mercado_Receita!$S$2:$S$754,"44378B1Convencional pré-pagamentoResidencialResidencial baixa renda – faixa 01Não se aplicaNão se aplicaIntermediário",Mercado_Receita!$L$2:$L$754)+SUMIF(Mercado_Receita!$S$2:$S$754,"44378B1Convencional pré-pagamentoResidencialResidencial baixa renda – faixa 01Não se aplicaNão se aplicaNão se aplica",Mercado_Receita!$L$2:$L$754)</f>
        <v>0</v>
      </c>
      <c r="L23" s="12">
        <f>SUMIF(Mercado_Receita!$S$2:$S$754,"44409B1Convencional pré-pagamentoResidencialResidencial baixa renda – faixa 01Não se aplicaNão se aplicaPonta",Mercado_Receita!$L$2:$L$754)+SUMIF(Mercado_Receita!$S$2:$S$754,"44409B1Convencional pré-pagamentoResidencialResidencial baixa renda – faixa 01Não se aplicaNão se aplicaFora ponta",Mercado_Receita!$L$2:$L$754)+SUMIF(Mercado_Receita!$S$2:$S$754,"44409B1Convencional pré-pagamentoResidencialResidencial baixa renda – faixa 01Não se aplicaNão se aplicaIntermediário",Mercado_Receita!$L$2:$L$754)+SUMIF(Mercado_Receita!$S$2:$S$754,"44409B1Convencional pré-pagamentoResidencialResidencial baixa renda – faixa 01Não se aplicaNão se aplicaNão se aplica",Mercado_Receita!$L$2:$L$754)</f>
        <v>0</v>
      </c>
      <c r="M23" s="12">
        <f>SUMIF(Mercado_Receita!$S$2:$S$754,"44440B1Convencional pré-pagamentoResidencialResidencial baixa renda – faixa 01Não se aplicaNão se aplicaPonta",Mercado_Receita!$L$2:$L$754)+SUMIF(Mercado_Receita!$S$2:$S$754,"44440B1Convencional pré-pagamentoResidencialResidencial baixa renda – faixa 01Não se aplicaNão se aplicaFora ponta",Mercado_Receita!$L$2:$L$754)+SUMIF(Mercado_Receita!$S$2:$S$754,"44440B1Convencional pré-pagamentoResidencialResidencial baixa renda – faixa 01Não se aplicaNão se aplicaIntermediário",Mercado_Receita!$L$2:$L$754)+SUMIF(Mercado_Receita!$S$2:$S$754,"44440B1Convencional pré-pagamentoResidencialResidencial baixa renda – faixa 01Não se aplicaNão se aplicaNão se aplica",Mercado_Receita!$L$2:$L$754)</f>
        <v>0</v>
      </c>
      <c r="N23" s="12">
        <f>SUMIF(Mercado_Receita!$S$2:$S$754,"44470B1Convencional pré-pagamentoResidencialResidencial baixa renda – faixa 01Não se aplicaNão se aplicaPonta",Mercado_Receita!$L$2:$L$754)+SUMIF(Mercado_Receita!$S$2:$S$754,"44470B1Convencional pré-pagamentoResidencialResidencial baixa renda – faixa 01Não se aplicaNão se aplicaFora ponta",Mercado_Receita!$L$2:$L$754)+SUMIF(Mercado_Receita!$S$2:$S$754,"44470B1Convencional pré-pagamentoResidencialResidencial baixa renda – faixa 01Não se aplicaNão se aplicaIntermediário",Mercado_Receita!$L$2:$L$754)+SUMIF(Mercado_Receita!$S$2:$S$754,"44470B1Convencional pré-pagamentoResidencialResidencial baixa renda – faixa 01Não se aplicaNão se aplicaNão se aplica",Mercado_Receita!$L$2:$L$754)</f>
        <v>0</v>
      </c>
      <c r="O23" s="12">
        <f>SUMIF(Mercado_Receita!$S$2:$S$754,"44501B1Convencional pré-pagamentoResidencialResidencial baixa renda – faixa 01Não se aplicaNão se aplicaPonta",Mercado_Receita!$L$2:$L$754)+SUMIF(Mercado_Receita!$S$2:$S$754,"44501B1Convencional pré-pagamentoResidencialResidencial baixa renda – faixa 01Não se aplicaNão se aplicaFora ponta",Mercado_Receita!$L$2:$L$754)+SUMIF(Mercado_Receita!$S$2:$S$754,"44501B1Convencional pré-pagamentoResidencialResidencial baixa renda – faixa 01Não se aplicaNão se aplicaIntermediário",Mercado_Receita!$L$2:$L$754)+SUMIF(Mercado_Receita!$S$2:$S$754,"44501B1Convencional pré-pagamentoResidencialResidencial baixa renda – faixa 01Não se aplicaNão se aplicaNão se aplica",Mercado_Receita!$L$2:$L$754)</f>
        <v>0</v>
      </c>
      <c r="P23" s="12">
        <f>SUMIF(Mercado_Receita!$S$2:$S$754,"44531B1Convencional pré-pagamentoResidencialResidencial baixa renda – faixa 01Não se aplicaNão se aplicaPonta",Mercado_Receita!$L$2:$L$754)+SUMIF(Mercado_Receita!$S$2:$S$754,"44531B1Convencional pré-pagamentoResidencialResidencial baixa renda – faixa 01Não se aplicaNão se aplicaFora ponta",Mercado_Receita!$L$2:$L$754)+SUMIF(Mercado_Receita!$S$2:$S$754,"44531B1Convencional pré-pagamentoResidencialResidencial baixa renda – faixa 01Não se aplicaNão se aplicaIntermediário",Mercado_Receita!$L$2:$L$754)+SUMIF(Mercado_Receita!$S$2:$S$754,"44531B1Convencional pré-pagamentoResidencialResidencial baixa renda – faixa 01Não se aplicaNão se aplicaNão se aplica",Mercado_Receita!$L$2:$L$754)</f>
        <v>0</v>
      </c>
      <c r="Q23" s="12">
        <f>SUMIF(Mercado_Receita!$S$2:$S$754,"44562B1Convencional pré-pagamentoResidencialResidencial baixa renda – faixa 01Não se aplicaNão se aplicaPonta",Mercado_Receita!$L$2:$L$754)+SUMIF(Mercado_Receita!$S$2:$S$754,"44562B1Convencional pré-pagamentoResidencialResidencial baixa renda – faixa 01Não se aplicaNão se aplicaFora ponta",Mercado_Receita!$L$2:$L$754)+SUMIF(Mercado_Receita!$S$2:$S$754,"44562B1Convencional pré-pagamentoResidencialResidencial baixa renda – faixa 01Não se aplicaNão se aplicaIntermediário",Mercado_Receita!$L$2:$L$754)+SUMIF(Mercado_Receita!$S$2:$S$754,"44562B1Convencional pré-pagamentoResidencialResidencial baixa renda – faixa 01Não se aplicaNão se aplicaNão se aplica",Mercado_Receita!$L$2:$L$754)</f>
        <v>0</v>
      </c>
      <c r="R23" s="12">
        <f>SUMIF(Mercado_Receita!$S$2:$S$754,"44593B1Convencional pré-pagamentoResidencialResidencial baixa renda – faixa 01Não se aplicaNão se aplicaPonta",Mercado_Receita!$L$2:$L$754)+SUMIF(Mercado_Receita!$S$2:$S$754,"44593B1Convencional pré-pagamentoResidencialResidencial baixa renda – faixa 01Não se aplicaNão se aplicaFora ponta",Mercado_Receita!$L$2:$L$754)+SUMIF(Mercado_Receita!$S$2:$S$754,"44593B1Convencional pré-pagamentoResidencialResidencial baixa renda – faixa 01Não se aplicaNão se aplicaIntermediário",Mercado_Receita!$L$2:$L$754)+SUMIF(Mercado_Receita!$S$2:$S$754,"44593B1Convencional pré-pagamentoResidencialResidencial baixa renda – faixa 01Não se aplicaNão se aplicaNão se aplica",Mercado_Receita!$L$2:$L$754)</f>
        <v>0</v>
      </c>
      <c r="S23" s="12">
        <f>SUMIF(Mercado_Receita!$S$2:$S$754,"44621B1Convencional pré-pagamentoResidencialResidencial baixa renda – faixa 01Não se aplicaNão se aplicaPonta",Mercado_Receita!$L$2:$L$754)+SUMIF(Mercado_Receita!$S$2:$S$754,"44621B1Convencional pré-pagamentoResidencialResidencial baixa renda – faixa 01Não se aplicaNão se aplicaFora ponta",Mercado_Receita!$L$2:$L$754)+SUMIF(Mercado_Receita!$S$2:$S$754,"44621B1Convencional pré-pagamentoResidencialResidencial baixa renda – faixa 01Não se aplicaNão se aplicaIntermediário",Mercado_Receita!$L$2:$L$754)+SUMIF(Mercado_Receita!$S$2:$S$754,"44621B1Convencional pré-pagamentoResidencialResidencial baixa renda – faixa 01Não se aplicaNão se aplicaNão se aplica",Mercado_Receita!$L$2:$L$754)</f>
        <v>0</v>
      </c>
      <c r="T23" s="12">
        <f>SUMIF(Mercado_Receita!$S$2:$S$754,"44652B1Convencional pré-pagamentoResidencialResidencial baixa renda – faixa 01Não se aplicaNão se aplicaPonta",Mercado_Receita!$L$2:$L$754)+SUMIF(Mercado_Receita!$S$2:$S$754,"44652B1Convencional pré-pagamentoResidencialResidencial baixa renda – faixa 01Não se aplicaNão se aplicaFora ponta",Mercado_Receita!$L$2:$L$754)+SUMIF(Mercado_Receita!$S$2:$S$754,"44652B1Convencional pré-pagamentoResidencialResidencial baixa renda – faixa 01Não se aplicaNão se aplicaIntermediário",Mercado_Receita!$L$2:$L$754)+SUMIF(Mercado_Receita!$S$2:$S$754,"44652B1Convencional pré-pagamentoResidencialResidencial baixa renda – faixa 01Não se aplicaNão se aplicaNão se aplica",Mercado_Receita!$L$2:$L$754)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117"/>
      <c r="B24" s="117"/>
      <c r="C24" s="117"/>
      <c r="D24" s="13" t="s">
        <v>30</v>
      </c>
      <c r="E24" s="13" t="s">
        <v>25</v>
      </c>
      <c r="F24" s="13" t="s">
        <v>25</v>
      </c>
      <c r="G24" s="12" t="s">
        <v>82</v>
      </c>
      <c r="H24" s="12" t="s">
        <v>76</v>
      </c>
      <c r="I24" s="12">
        <f>SUMIF(Mercado_Receita!$S$2:$S$754,"44317B1Convencional pré-pagamentoResidencialResidencial baixa renda – faixa 02Não se aplicaNão se aplicaPonta",Mercado_Receita!$L$2:$L$754)+SUMIF(Mercado_Receita!$S$2:$S$754,"44317B1Convencional pré-pagamentoResidencialResidencial baixa renda – faixa 02Não se aplicaNão se aplicaFora ponta",Mercado_Receita!$L$2:$L$754)+SUMIF(Mercado_Receita!$S$2:$S$754,"44317B1Convencional pré-pagamentoResidencialResidencial baixa renda – faixa 02Não se aplicaNão se aplicaIntermediário",Mercado_Receita!$L$2:$L$754)+SUMIF(Mercado_Receita!$S$2:$S$754,"44317B1Convencional pré-pagamentoResidencialResidencial baixa renda – faixa 02Não se aplicaNão se aplicaNão se aplica",Mercado_Receita!$L$2:$L$754)</f>
        <v>0</v>
      </c>
      <c r="J24" s="12">
        <f>SUMIF(Mercado_Receita!$S$2:$S$754,"44348B1Convencional pré-pagamentoResidencialResidencial baixa renda – faixa 02Não se aplicaNão se aplicaPonta",Mercado_Receita!$L$2:$L$754)+SUMIF(Mercado_Receita!$S$2:$S$754,"44348B1Convencional pré-pagamentoResidencialResidencial baixa renda – faixa 02Não se aplicaNão se aplicaFora ponta",Mercado_Receita!$L$2:$L$754)+SUMIF(Mercado_Receita!$S$2:$S$754,"44348B1Convencional pré-pagamentoResidencialResidencial baixa renda – faixa 02Não se aplicaNão se aplicaIntermediário",Mercado_Receita!$L$2:$L$754)+SUMIF(Mercado_Receita!$S$2:$S$754,"44348B1Convencional pré-pagamentoResidencialResidencial baixa renda – faixa 02Não se aplicaNão se aplicaNão se aplica",Mercado_Receita!$L$2:$L$754)</f>
        <v>0</v>
      </c>
      <c r="K24" s="12">
        <f>SUMIF(Mercado_Receita!$S$2:$S$754,"44378B1Convencional pré-pagamentoResidencialResidencial baixa renda – faixa 02Não se aplicaNão se aplicaPonta",Mercado_Receita!$L$2:$L$754)+SUMIF(Mercado_Receita!$S$2:$S$754,"44378B1Convencional pré-pagamentoResidencialResidencial baixa renda – faixa 02Não se aplicaNão se aplicaFora ponta",Mercado_Receita!$L$2:$L$754)+SUMIF(Mercado_Receita!$S$2:$S$754,"44378B1Convencional pré-pagamentoResidencialResidencial baixa renda – faixa 02Não se aplicaNão se aplicaIntermediário",Mercado_Receita!$L$2:$L$754)+SUMIF(Mercado_Receita!$S$2:$S$754,"44378B1Convencional pré-pagamentoResidencialResidencial baixa renda – faixa 02Não se aplicaNão se aplicaNão se aplica",Mercado_Receita!$L$2:$L$754)</f>
        <v>0</v>
      </c>
      <c r="L24" s="12">
        <f>SUMIF(Mercado_Receita!$S$2:$S$754,"44409B1Convencional pré-pagamentoResidencialResidencial baixa renda – faixa 02Não se aplicaNão se aplicaPonta",Mercado_Receita!$L$2:$L$754)+SUMIF(Mercado_Receita!$S$2:$S$754,"44409B1Convencional pré-pagamentoResidencialResidencial baixa renda – faixa 02Não se aplicaNão se aplicaFora ponta",Mercado_Receita!$L$2:$L$754)+SUMIF(Mercado_Receita!$S$2:$S$754,"44409B1Convencional pré-pagamentoResidencialResidencial baixa renda – faixa 02Não se aplicaNão se aplicaIntermediário",Mercado_Receita!$L$2:$L$754)+SUMIF(Mercado_Receita!$S$2:$S$754,"44409B1Convencional pré-pagamentoResidencialResidencial baixa renda – faixa 02Não se aplicaNão se aplicaNão se aplica",Mercado_Receita!$L$2:$L$754)</f>
        <v>0</v>
      </c>
      <c r="M24" s="12">
        <f>SUMIF(Mercado_Receita!$S$2:$S$754,"44440B1Convencional pré-pagamentoResidencialResidencial baixa renda – faixa 02Não se aplicaNão se aplicaPonta",Mercado_Receita!$L$2:$L$754)+SUMIF(Mercado_Receita!$S$2:$S$754,"44440B1Convencional pré-pagamentoResidencialResidencial baixa renda – faixa 02Não se aplicaNão se aplicaFora ponta",Mercado_Receita!$L$2:$L$754)+SUMIF(Mercado_Receita!$S$2:$S$754,"44440B1Convencional pré-pagamentoResidencialResidencial baixa renda – faixa 02Não se aplicaNão se aplicaIntermediário",Mercado_Receita!$L$2:$L$754)+SUMIF(Mercado_Receita!$S$2:$S$754,"44440B1Convencional pré-pagamentoResidencialResidencial baixa renda – faixa 02Não se aplicaNão se aplicaNão se aplica",Mercado_Receita!$L$2:$L$754)</f>
        <v>0</v>
      </c>
      <c r="N24" s="12">
        <f>SUMIF(Mercado_Receita!$S$2:$S$754,"44470B1Convencional pré-pagamentoResidencialResidencial baixa renda – faixa 02Não se aplicaNão se aplicaPonta",Mercado_Receita!$L$2:$L$754)+SUMIF(Mercado_Receita!$S$2:$S$754,"44470B1Convencional pré-pagamentoResidencialResidencial baixa renda – faixa 02Não se aplicaNão se aplicaFora ponta",Mercado_Receita!$L$2:$L$754)+SUMIF(Mercado_Receita!$S$2:$S$754,"44470B1Convencional pré-pagamentoResidencialResidencial baixa renda – faixa 02Não se aplicaNão se aplicaIntermediário",Mercado_Receita!$L$2:$L$754)+SUMIF(Mercado_Receita!$S$2:$S$754,"44470B1Convencional pré-pagamentoResidencialResidencial baixa renda – faixa 02Não se aplicaNão se aplicaNão se aplica",Mercado_Receita!$L$2:$L$754)</f>
        <v>0</v>
      </c>
      <c r="O24" s="12">
        <f>SUMIF(Mercado_Receita!$S$2:$S$754,"44501B1Convencional pré-pagamentoResidencialResidencial baixa renda – faixa 02Não se aplicaNão se aplicaPonta",Mercado_Receita!$L$2:$L$754)+SUMIF(Mercado_Receita!$S$2:$S$754,"44501B1Convencional pré-pagamentoResidencialResidencial baixa renda – faixa 02Não se aplicaNão se aplicaFora ponta",Mercado_Receita!$L$2:$L$754)+SUMIF(Mercado_Receita!$S$2:$S$754,"44501B1Convencional pré-pagamentoResidencialResidencial baixa renda – faixa 02Não se aplicaNão se aplicaIntermediário",Mercado_Receita!$L$2:$L$754)+SUMIF(Mercado_Receita!$S$2:$S$754,"44501B1Convencional pré-pagamentoResidencialResidencial baixa renda – faixa 02Não se aplicaNão se aplicaNão se aplica",Mercado_Receita!$L$2:$L$754)</f>
        <v>0</v>
      </c>
      <c r="P24" s="12">
        <f>SUMIF(Mercado_Receita!$S$2:$S$754,"44531B1Convencional pré-pagamentoResidencialResidencial baixa renda – faixa 02Não se aplicaNão se aplicaPonta",Mercado_Receita!$L$2:$L$754)+SUMIF(Mercado_Receita!$S$2:$S$754,"44531B1Convencional pré-pagamentoResidencialResidencial baixa renda – faixa 02Não se aplicaNão se aplicaFora ponta",Mercado_Receita!$L$2:$L$754)+SUMIF(Mercado_Receita!$S$2:$S$754,"44531B1Convencional pré-pagamentoResidencialResidencial baixa renda – faixa 02Não se aplicaNão se aplicaIntermediário",Mercado_Receita!$L$2:$L$754)+SUMIF(Mercado_Receita!$S$2:$S$754,"44531B1Convencional pré-pagamentoResidencialResidencial baixa renda – faixa 02Não se aplicaNão se aplicaNão se aplica",Mercado_Receita!$L$2:$L$754)</f>
        <v>0</v>
      </c>
      <c r="Q24" s="12">
        <f>SUMIF(Mercado_Receita!$S$2:$S$754,"44562B1Convencional pré-pagamentoResidencialResidencial baixa renda – faixa 02Não se aplicaNão se aplicaPonta",Mercado_Receita!$L$2:$L$754)+SUMIF(Mercado_Receita!$S$2:$S$754,"44562B1Convencional pré-pagamentoResidencialResidencial baixa renda – faixa 02Não se aplicaNão se aplicaFora ponta",Mercado_Receita!$L$2:$L$754)+SUMIF(Mercado_Receita!$S$2:$S$754,"44562B1Convencional pré-pagamentoResidencialResidencial baixa renda – faixa 02Não se aplicaNão se aplicaIntermediário",Mercado_Receita!$L$2:$L$754)+SUMIF(Mercado_Receita!$S$2:$S$754,"44562B1Convencional pré-pagamentoResidencialResidencial baixa renda – faixa 02Não se aplicaNão se aplicaNão se aplica",Mercado_Receita!$L$2:$L$754)</f>
        <v>0</v>
      </c>
      <c r="R24" s="12">
        <f>SUMIF(Mercado_Receita!$S$2:$S$754,"44593B1Convencional pré-pagamentoResidencialResidencial baixa renda – faixa 02Não se aplicaNão se aplicaPonta",Mercado_Receita!$L$2:$L$754)+SUMIF(Mercado_Receita!$S$2:$S$754,"44593B1Convencional pré-pagamentoResidencialResidencial baixa renda – faixa 02Não se aplicaNão se aplicaFora ponta",Mercado_Receita!$L$2:$L$754)+SUMIF(Mercado_Receita!$S$2:$S$754,"44593B1Convencional pré-pagamentoResidencialResidencial baixa renda – faixa 02Não se aplicaNão se aplicaIntermediário",Mercado_Receita!$L$2:$L$754)+SUMIF(Mercado_Receita!$S$2:$S$754,"44593B1Convencional pré-pagamentoResidencialResidencial baixa renda – faixa 02Não se aplicaNão se aplicaNão se aplica",Mercado_Receita!$L$2:$L$754)</f>
        <v>0</v>
      </c>
      <c r="S24" s="12">
        <f>SUMIF(Mercado_Receita!$S$2:$S$754,"44621B1Convencional pré-pagamentoResidencialResidencial baixa renda – faixa 02Não se aplicaNão se aplicaPonta",Mercado_Receita!$L$2:$L$754)+SUMIF(Mercado_Receita!$S$2:$S$754,"44621B1Convencional pré-pagamentoResidencialResidencial baixa renda – faixa 02Não se aplicaNão se aplicaFora ponta",Mercado_Receita!$L$2:$L$754)+SUMIF(Mercado_Receita!$S$2:$S$754,"44621B1Convencional pré-pagamentoResidencialResidencial baixa renda – faixa 02Não se aplicaNão se aplicaIntermediário",Mercado_Receita!$L$2:$L$754)+SUMIF(Mercado_Receita!$S$2:$S$754,"44621B1Convencional pré-pagamentoResidencialResidencial baixa renda – faixa 02Não se aplicaNão se aplicaNão se aplica",Mercado_Receita!$L$2:$L$754)</f>
        <v>0</v>
      </c>
      <c r="T24" s="12">
        <f>SUMIF(Mercado_Receita!$S$2:$S$754,"44652B1Convencional pré-pagamentoResidencialResidencial baixa renda – faixa 02Não se aplicaNão se aplicaPonta",Mercado_Receita!$L$2:$L$754)+SUMIF(Mercado_Receita!$S$2:$S$754,"44652B1Convencional pré-pagamentoResidencialResidencial baixa renda – faixa 02Não se aplicaNão se aplicaFora ponta",Mercado_Receita!$L$2:$L$754)+SUMIF(Mercado_Receita!$S$2:$S$754,"44652B1Convencional pré-pagamentoResidencialResidencial baixa renda – faixa 02Não se aplicaNão se aplicaIntermediário",Mercado_Receita!$L$2:$L$754)+SUMIF(Mercado_Receita!$S$2:$S$754,"44652B1Convencional pré-pagamentoResidencialResidencial baixa renda – faixa 02Não se aplicaNão se aplicaNão se aplica",Mercado_Receita!$L$2:$L$754)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117"/>
      <c r="B25" s="117"/>
      <c r="C25" s="117"/>
      <c r="D25" s="13" t="s">
        <v>31</v>
      </c>
      <c r="E25" s="13" t="s">
        <v>25</v>
      </c>
      <c r="F25" s="13" t="s">
        <v>25</v>
      </c>
      <c r="G25" s="12" t="s">
        <v>82</v>
      </c>
      <c r="H25" s="12" t="s">
        <v>76</v>
      </c>
      <c r="I25" s="12">
        <f>SUMIF(Mercado_Receita!$S$2:$S$754,"44317B1Convencional pré-pagamentoResidencialResidencial baixa renda – faixa 03Não se aplicaNão se aplicaPonta",Mercado_Receita!$L$2:$L$754)+SUMIF(Mercado_Receita!$S$2:$S$754,"44317B1Convencional pré-pagamentoResidencialResidencial baixa renda – faixa 03Não se aplicaNão se aplicaFora ponta",Mercado_Receita!$L$2:$L$754)+SUMIF(Mercado_Receita!$S$2:$S$754,"44317B1Convencional pré-pagamentoResidencialResidencial baixa renda – faixa 03Não se aplicaNão se aplicaIntermediário",Mercado_Receita!$L$2:$L$754)+SUMIF(Mercado_Receita!$S$2:$S$754,"44317B1Convencional pré-pagamentoResidencialResidencial baixa renda – faixa 03Não se aplicaNão se aplicaNão se aplica",Mercado_Receita!$L$2:$L$754)</f>
        <v>0</v>
      </c>
      <c r="J25" s="12">
        <f>SUMIF(Mercado_Receita!$S$2:$S$754,"44348B1Convencional pré-pagamentoResidencialResidencial baixa renda – faixa 03Não se aplicaNão se aplicaPonta",Mercado_Receita!$L$2:$L$754)+SUMIF(Mercado_Receita!$S$2:$S$754,"44348B1Convencional pré-pagamentoResidencialResidencial baixa renda – faixa 03Não se aplicaNão se aplicaFora ponta",Mercado_Receita!$L$2:$L$754)+SUMIF(Mercado_Receita!$S$2:$S$754,"44348B1Convencional pré-pagamentoResidencialResidencial baixa renda – faixa 03Não se aplicaNão se aplicaIntermediário",Mercado_Receita!$L$2:$L$754)+SUMIF(Mercado_Receita!$S$2:$S$754,"44348B1Convencional pré-pagamentoResidencialResidencial baixa renda – faixa 03Não se aplicaNão se aplicaNão se aplica",Mercado_Receita!$L$2:$L$754)</f>
        <v>0</v>
      </c>
      <c r="K25" s="12">
        <f>SUMIF(Mercado_Receita!$S$2:$S$754,"44378B1Convencional pré-pagamentoResidencialResidencial baixa renda – faixa 03Não se aplicaNão se aplicaPonta",Mercado_Receita!$L$2:$L$754)+SUMIF(Mercado_Receita!$S$2:$S$754,"44378B1Convencional pré-pagamentoResidencialResidencial baixa renda – faixa 03Não se aplicaNão se aplicaFora ponta",Mercado_Receita!$L$2:$L$754)+SUMIF(Mercado_Receita!$S$2:$S$754,"44378B1Convencional pré-pagamentoResidencialResidencial baixa renda – faixa 03Não se aplicaNão se aplicaIntermediário",Mercado_Receita!$L$2:$L$754)+SUMIF(Mercado_Receita!$S$2:$S$754,"44378B1Convencional pré-pagamentoResidencialResidencial baixa renda – faixa 03Não se aplicaNão se aplicaNão se aplica",Mercado_Receita!$L$2:$L$754)</f>
        <v>0</v>
      </c>
      <c r="L25" s="12">
        <f>SUMIF(Mercado_Receita!$S$2:$S$754,"44409B1Convencional pré-pagamentoResidencialResidencial baixa renda – faixa 03Não se aplicaNão se aplicaPonta",Mercado_Receita!$L$2:$L$754)+SUMIF(Mercado_Receita!$S$2:$S$754,"44409B1Convencional pré-pagamentoResidencialResidencial baixa renda – faixa 03Não se aplicaNão se aplicaFora ponta",Mercado_Receita!$L$2:$L$754)+SUMIF(Mercado_Receita!$S$2:$S$754,"44409B1Convencional pré-pagamentoResidencialResidencial baixa renda – faixa 03Não se aplicaNão se aplicaIntermediário",Mercado_Receita!$L$2:$L$754)+SUMIF(Mercado_Receita!$S$2:$S$754,"44409B1Convencional pré-pagamentoResidencialResidencial baixa renda – faixa 03Não se aplicaNão se aplicaNão se aplica",Mercado_Receita!$L$2:$L$754)</f>
        <v>0</v>
      </c>
      <c r="M25" s="12">
        <f>SUMIF(Mercado_Receita!$S$2:$S$754,"44440B1Convencional pré-pagamentoResidencialResidencial baixa renda – faixa 03Não se aplicaNão se aplicaPonta",Mercado_Receita!$L$2:$L$754)+SUMIF(Mercado_Receita!$S$2:$S$754,"44440B1Convencional pré-pagamentoResidencialResidencial baixa renda – faixa 03Não se aplicaNão se aplicaFora ponta",Mercado_Receita!$L$2:$L$754)+SUMIF(Mercado_Receita!$S$2:$S$754,"44440B1Convencional pré-pagamentoResidencialResidencial baixa renda – faixa 03Não se aplicaNão se aplicaIntermediário",Mercado_Receita!$L$2:$L$754)+SUMIF(Mercado_Receita!$S$2:$S$754,"44440B1Convencional pré-pagamentoResidencialResidencial baixa renda – faixa 03Não se aplicaNão se aplicaNão se aplica",Mercado_Receita!$L$2:$L$754)</f>
        <v>0</v>
      </c>
      <c r="N25" s="12">
        <f>SUMIF(Mercado_Receita!$S$2:$S$754,"44470B1Convencional pré-pagamentoResidencialResidencial baixa renda – faixa 03Não se aplicaNão se aplicaPonta",Mercado_Receita!$L$2:$L$754)+SUMIF(Mercado_Receita!$S$2:$S$754,"44470B1Convencional pré-pagamentoResidencialResidencial baixa renda – faixa 03Não se aplicaNão se aplicaFora ponta",Mercado_Receita!$L$2:$L$754)+SUMIF(Mercado_Receita!$S$2:$S$754,"44470B1Convencional pré-pagamentoResidencialResidencial baixa renda – faixa 03Não se aplicaNão se aplicaIntermediário",Mercado_Receita!$L$2:$L$754)+SUMIF(Mercado_Receita!$S$2:$S$754,"44470B1Convencional pré-pagamentoResidencialResidencial baixa renda – faixa 03Não se aplicaNão se aplicaNão se aplica",Mercado_Receita!$L$2:$L$754)</f>
        <v>0</v>
      </c>
      <c r="O25" s="12">
        <f>SUMIF(Mercado_Receita!$S$2:$S$754,"44501B1Convencional pré-pagamentoResidencialResidencial baixa renda – faixa 03Não se aplicaNão se aplicaPonta",Mercado_Receita!$L$2:$L$754)+SUMIF(Mercado_Receita!$S$2:$S$754,"44501B1Convencional pré-pagamentoResidencialResidencial baixa renda – faixa 03Não se aplicaNão se aplicaFora ponta",Mercado_Receita!$L$2:$L$754)+SUMIF(Mercado_Receita!$S$2:$S$754,"44501B1Convencional pré-pagamentoResidencialResidencial baixa renda – faixa 03Não se aplicaNão se aplicaIntermediário",Mercado_Receita!$L$2:$L$754)+SUMIF(Mercado_Receita!$S$2:$S$754,"44501B1Convencional pré-pagamentoResidencialResidencial baixa renda – faixa 03Não se aplicaNão se aplicaNão se aplica",Mercado_Receita!$L$2:$L$754)</f>
        <v>0</v>
      </c>
      <c r="P25" s="12">
        <f>SUMIF(Mercado_Receita!$S$2:$S$754,"44531B1Convencional pré-pagamentoResidencialResidencial baixa renda – faixa 03Não se aplicaNão se aplicaPonta",Mercado_Receita!$L$2:$L$754)+SUMIF(Mercado_Receita!$S$2:$S$754,"44531B1Convencional pré-pagamentoResidencialResidencial baixa renda – faixa 03Não se aplicaNão se aplicaFora ponta",Mercado_Receita!$L$2:$L$754)+SUMIF(Mercado_Receita!$S$2:$S$754,"44531B1Convencional pré-pagamentoResidencialResidencial baixa renda – faixa 03Não se aplicaNão se aplicaIntermediário",Mercado_Receita!$L$2:$L$754)+SUMIF(Mercado_Receita!$S$2:$S$754,"44531B1Convencional pré-pagamentoResidencialResidencial baixa renda – faixa 03Não se aplicaNão se aplicaNão se aplica",Mercado_Receita!$L$2:$L$754)</f>
        <v>0</v>
      </c>
      <c r="Q25" s="12">
        <f>SUMIF(Mercado_Receita!$S$2:$S$754,"44562B1Convencional pré-pagamentoResidencialResidencial baixa renda – faixa 03Não se aplicaNão se aplicaPonta",Mercado_Receita!$L$2:$L$754)+SUMIF(Mercado_Receita!$S$2:$S$754,"44562B1Convencional pré-pagamentoResidencialResidencial baixa renda – faixa 03Não se aplicaNão se aplicaFora ponta",Mercado_Receita!$L$2:$L$754)+SUMIF(Mercado_Receita!$S$2:$S$754,"44562B1Convencional pré-pagamentoResidencialResidencial baixa renda – faixa 03Não se aplicaNão se aplicaIntermediário",Mercado_Receita!$L$2:$L$754)+SUMIF(Mercado_Receita!$S$2:$S$754,"44562B1Convencional pré-pagamentoResidencialResidencial baixa renda – faixa 03Não se aplicaNão se aplicaNão se aplica",Mercado_Receita!$L$2:$L$754)</f>
        <v>0</v>
      </c>
      <c r="R25" s="12">
        <f>SUMIF(Mercado_Receita!$S$2:$S$754,"44593B1Convencional pré-pagamentoResidencialResidencial baixa renda – faixa 03Não se aplicaNão se aplicaPonta",Mercado_Receita!$L$2:$L$754)+SUMIF(Mercado_Receita!$S$2:$S$754,"44593B1Convencional pré-pagamentoResidencialResidencial baixa renda – faixa 03Não se aplicaNão se aplicaFora ponta",Mercado_Receita!$L$2:$L$754)+SUMIF(Mercado_Receita!$S$2:$S$754,"44593B1Convencional pré-pagamentoResidencialResidencial baixa renda – faixa 03Não se aplicaNão se aplicaIntermediário",Mercado_Receita!$L$2:$L$754)+SUMIF(Mercado_Receita!$S$2:$S$754,"44593B1Convencional pré-pagamentoResidencialResidencial baixa renda – faixa 03Não se aplicaNão se aplicaNão se aplica",Mercado_Receita!$L$2:$L$754)</f>
        <v>0</v>
      </c>
      <c r="S25" s="12">
        <f>SUMIF(Mercado_Receita!$S$2:$S$754,"44621B1Convencional pré-pagamentoResidencialResidencial baixa renda – faixa 03Não se aplicaNão se aplicaPonta",Mercado_Receita!$L$2:$L$754)+SUMIF(Mercado_Receita!$S$2:$S$754,"44621B1Convencional pré-pagamentoResidencialResidencial baixa renda – faixa 03Não se aplicaNão se aplicaFora ponta",Mercado_Receita!$L$2:$L$754)+SUMIF(Mercado_Receita!$S$2:$S$754,"44621B1Convencional pré-pagamentoResidencialResidencial baixa renda – faixa 03Não se aplicaNão se aplicaIntermediário",Mercado_Receita!$L$2:$L$754)+SUMIF(Mercado_Receita!$S$2:$S$754,"44621B1Convencional pré-pagamentoResidencialResidencial baixa renda – faixa 03Não se aplicaNão se aplicaNão se aplica",Mercado_Receita!$L$2:$L$754)</f>
        <v>0</v>
      </c>
      <c r="T25" s="12">
        <f>SUMIF(Mercado_Receita!$S$2:$S$754,"44652B1Convencional pré-pagamentoResidencialResidencial baixa renda – faixa 03Não se aplicaNão se aplicaPonta",Mercado_Receita!$L$2:$L$754)+SUMIF(Mercado_Receita!$S$2:$S$754,"44652B1Convencional pré-pagamentoResidencialResidencial baixa renda – faixa 03Não se aplicaNão se aplicaFora ponta",Mercado_Receita!$L$2:$L$754)+SUMIF(Mercado_Receita!$S$2:$S$754,"44652B1Convencional pré-pagamentoResidencialResidencial baixa renda – faixa 03Não se aplicaNão se aplicaIntermediário",Mercado_Receita!$L$2:$L$754)+SUMIF(Mercado_Receita!$S$2:$S$754,"44652B1Convencional pré-pagamentoResidencialResidencial baixa renda – faixa 03Não se aplicaNão se aplicaNão se aplica",Mercado_Receita!$L$2:$L$754)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117"/>
      <c r="B26" s="117"/>
      <c r="C26" s="117"/>
      <c r="D26" s="13" t="s">
        <v>32</v>
      </c>
      <c r="E26" s="13" t="s">
        <v>25</v>
      </c>
      <c r="F26" s="13" t="s">
        <v>25</v>
      </c>
      <c r="G26" s="12" t="s">
        <v>82</v>
      </c>
      <c r="H26" s="12" t="s">
        <v>76</v>
      </c>
      <c r="I26" s="12">
        <f>SUMIF(Mercado_Receita!$S$2:$S$754,"44317B1Convencional pré-pagamentoResidencialResidencial baixa renda – faixa 04Não se aplicaNão se aplicaPonta",Mercado_Receita!$L$2:$L$754)+SUMIF(Mercado_Receita!$S$2:$S$754,"44317B1Convencional pré-pagamentoResidencialResidencial baixa renda – faixa 04Não se aplicaNão se aplicaFora ponta",Mercado_Receita!$L$2:$L$754)+SUMIF(Mercado_Receita!$S$2:$S$754,"44317B1Convencional pré-pagamentoResidencialResidencial baixa renda – faixa 04Não se aplicaNão se aplicaIntermediário",Mercado_Receita!$L$2:$L$754)+SUMIF(Mercado_Receita!$S$2:$S$754,"44317B1Convencional pré-pagamentoResidencialResidencial baixa renda – faixa 04Não se aplicaNão se aplicaNão se aplica",Mercado_Receita!$L$2:$L$754)</f>
        <v>0</v>
      </c>
      <c r="J26" s="12">
        <f>SUMIF(Mercado_Receita!$S$2:$S$754,"44348B1Convencional pré-pagamentoResidencialResidencial baixa renda – faixa 04Não se aplicaNão se aplicaPonta",Mercado_Receita!$L$2:$L$754)+SUMIF(Mercado_Receita!$S$2:$S$754,"44348B1Convencional pré-pagamentoResidencialResidencial baixa renda – faixa 04Não se aplicaNão se aplicaFora ponta",Mercado_Receita!$L$2:$L$754)+SUMIF(Mercado_Receita!$S$2:$S$754,"44348B1Convencional pré-pagamentoResidencialResidencial baixa renda – faixa 04Não se aplicaNão se aplicaIntermediário",Mercado_Receita!$L$2:$L$754)+SUMIF(Mercado_Receita!$S$2:$S$754,"44348B1Convencional pré-pagamentoResidencialResidencial baixa renda – faixa 04Não se aplicaNão se aplicaNão se aplica",Mercado_Receita!$L$2:$L$754)</f>
        <v>0</v>
      </c>
      <c r="K26" s="12">
        <f>SUMIF(Mercado_Receita!$S$2:$S$754,"44378B1Convencional pré-pagamentoResidencialResidencial baixa renda – faixa 04Não se aplicaNão se aplicaPonta",Mercado_Receita!$L$2:$L$754)+SUMIF(Mercado_Receita!$S$2:$S$754,"44378B1Convencional pré-pagamentoResidencialResidencial baixa renda – faixa 04Não se aplicaNão se aplicaFora ponta",Mercado_Receita!$L$2:$L$754)+SUMIF(Mercado_Receita!$S$2:$S$754,"44378B1Convencional pré-pagamentoResidencialResidencial baixa renda – faixa 04Não se aplicaNão se aplicaIntermediário",Mercado_Receita!$L$2:$L$754)+SUMIF(Mercado_Receita!$S$2:$S$754,"44378B1Convencional pré-pagamentoResidencialResidencial baixa renda – faixa 04Não se aplicaNão se aplicaNão se aplica",Mercado_Receita!$L$2:$L$754)</f>
        <v>0</v>
      </c>
      <c r="L26" s="12">
        <f>SUMIF(Mercado_Receita!$S$2:$S$754,"44409B1Convencional pré-pagamentoResidencialResidencial baixa renda – faixa 04Não se aplicaNão se aplicaPonta",Mercado_Receita!$L$2:$L$754)+SUMIF(Mercado_Receita!$S$2:$S$754,"44409B1Convencional pré-pagamentoResidencialResidencial baixa renda – faixa 04Não se aplicaNão se aplicaFora ponta",Mercado_Receita!$L$2:$L$754)+SUMIF(Mercado_Receita!$S$2:$S$754,"44409B1Convencional pré-pagamentoResidencialResidencial baixa renda – faixa 04Não se aplicaNão se aplicaIntermediário",Mercado_Receita!$L$2:$L$754)+SUMIF(Mercado_Receita!$S$2:$S$754,"44409B1Convencional pré-pagamentoResidencialResidencial baixa renda – faixa 04Não se aplicaNão se aplicaNão se aplica",Mercado_Receita!$L$2:$L$754)</f>
        <v>0</v>
      </c>
      <c r="M26" s="12">
        <f>SUMIF(Mercado_Receita!$S$2:$S$754,"44440B1Convencional pré-pagamentoResidencialResidencial baixa renda – faixa 04Não se aplicaNão se aplicaPonta",Mercado_Receita!$L$2:$L$754)+SUMIF(Mercado_Receita!$S$2:$S$754,"44440B1Convencional pré-pagamentoResidencialResidencial baixa renda – faixa 04Não se aplicaNão se aplicaFora ponta",Mercado_Receita!$L$2:$L$754)+SUMIF(Mercado_Receita!$S$2:$S$754,"44440B1Convencional pré-pagamentoResidencialResidencial baixa renda – faixa 04Não se aplicaNão se aplicaIntermediário",Mercado_Receita!$L$2:$L$754)+SUMIF(Mercado_Receita!$S$2:$S$754,"44440B1Convencional pré-pagamentoResidencialResidencial baixa renda – faixa 04Não se aplicaNão se aplicaNão se aplica",Mercado_Receita!$L$2:$L$754)</f>
        <v>0</v>
      </c>
      <c r="N26" s="12">
        <f>SUMIF(Mercado_Receita!$S$2:$S$754,"44470B1Convencional pré-pagamentoResidencialResidencial baixa renda – faixa 04Não se aplicaNão se aplicaPonta",Mercado_Receita!$L$2:$L$754)+SUMIF(Mercado_Receita!$S$2:$S$754,"44470B1Convencional pré-pagamentoResidencialResidencial baixa renda – faixa 04Não se aplicaNão se aplicaFora ponta",Mercado_Receita!$L$2:$L$754)+SUMIF(Mercado_Receita!$S$2:$S$754,"44470B1Convencional pré-pagamentoResidencialResidencial baixa renda – faixa 04Não se aplicaNão se aplicaIntermediário",Mercado_Receita!$L$2:$L$754)+SUMIF(Mercado_Receita!$S$2:$S$754,"44470B1Convencional pré-pagamentoResidencialResidencial baixa renda – faixa 04Não se aplicaNão se aplicaNão se aplica",Mercado_Receita!$L$2:$L$754)</f>
        <v>0</v>
      </c>
      <c r="O26" s="12">
        <f>SUMIF(Mercado_Receita!$S$2:$S$754,"44501B1Convencional pré-pagamentoResidencialResidencial baixa renda – faixa 04Não se aplicaNão se aplicaPonta",Mercado_Receita!$L$2:$L$754)+SUMIF(Mercado_Receita!$S$2:$S$754,"44501B1Convencional pré-pagamentoResidencialResidencial baixa renda – faixa 04Não se aplicaNão se aplicaFora ponta",Mercado_Receita!$L$2:$L$754)+SUMIF(Mercado_Receita!$S$2:$S$754,"44501B1Convencional pré-pagamentoResidencialResidencial baixa renda – faixa 04Não se aplicaNão se aplicaIntermediário",Mercado_Receita!$L$2:$L$754)+SUMIF(Mercado_Receita!$S$2:$S$754,"44501B1Convencional pré-pagamentoResidencialResidencial baixa renda – faixa 04Não se aplicaNão se aplicaNão se aplica",Mercado_Receita!$L$2:$L$754)</f>
        <v>0</v>
      </c>
      <c r="P26" s="12">
        <f>SUMIF(Mercado_Receita!$S$2:$S$754,"44531B1Convencional pré-pagamentoResidencialResidencial baixa renda – faixa 04Não se aplicaNão se aplicaPonta",Mercado_Receita!$L$2:$L$754)+SUMIF(Mercado_Receita!$S$2:$S$754,"44531B1Convencional pré-pagamentoResidencialResidencial baixa renda – faixa 04Não se aplicaNão se aplicaFora ponta",Mercado_Receita!$L$2:$L$754)+SUMIF(Mercado_Receita!$S$2:$S$754,"44531B1Convencional pré-pagamentoResidencialResidencial baixa renda – faixa 04Não se aplicaNão se aplicaIntermediário",Mercado_Receita!$L$2:$L$754)+SUMIF(Mercado_Receita!$S$2:$S$754,"44531B1Convencional pré-pagamentoResidencialResidencial baixa renda – faixa 04Não se aplicaNão se aplicaNão se aplica",Mercado_Receita!$L$2:$L$754)</f>
        <v>0</v>
      </c>
      <c r="Q26" s="12">
        <f>SUMIF(Mercado_Receita!$S$2:$S$754,"44562B1Convencional pré-pagamentoResidencialResidencial baixa renda – faixa 04Não se aplicaNão se aplicaPonta",Mercado_Receita!$L$2:$L$754)+SUMIF(Mercado_Receita!$S$2:$S$754,"44562B1Convencional pré-pagamentoResidencialResidencial baixa renda – faixa 04Não se aplicaNão se aplicaFora ponta",Mercado_Receita!$L$2:$L$754)+SUMIF(Mercado_Receita!$S$2:$S$754,"44562B1Convencional pré-pagamentoResidencialResidencial baixa renda – faixa 04Não se aplicaNão se aplicaIntermediário",Mercado_Receita!$L$2:$L$754)+SUMIF(Mercado_Receita!$S$2:$S$754,"44562B1Convencional pré-pagamentoResidencialResidencial baixa renda – faixa 04Não se aplicaNão se aplicaNão se aplica",Mercado_Receita!$L$2:$L$754)</f>
        <v>0</v>
      </c>
      <c r="R26" s="12">
        <f>SUMIF(Mercado_Receita!$S$2:$S$754,"44593B1Convencional pré-pagamentoResidencialResidencial baixa renda – faixa 04Não se aplicaNão se aplicaPonta",Mercado_Receita!$L$2:$L$754)+SUMIF(Mercado_Receita!$S$2:$S$754,"44593B1Convencional pré-pagamentoResidencialResidencial baixa renda – faixa 04Não se aplicaNão se aplicaFora ponta",Mercado_Receita!$L$2:$L$754)+SUMIF(Mercado_Receita!$S$2:$S$754,"44593B1Convencional pré-pagamentoResidencialResidencial baixa renda – faixa 04Não se aplicaNão se aplicaIntermediário",Mercado_Receita!$L$2:$L$754)+SUMIF(Mercado_Receita!$S$2:$S$754,"44593B1Convencional pré-pagamentoResidencialResidencial baixa renda – faixa 04Não se aplicaNão se aplicaNão se aplica",Mercado_Receita!$L$2:$L$754)</f>
        <v>0</v>
      </c>
      <c r="S26" s="12">
        <f>SUMIF(Mercado_Receita!$S$2:$S$754,"44621B1Convencional pré-pagamentoResidencialResidencial baixa renda – faixa 04Não se aplicaNão se aplicaPonta",Mercado_Receita!$L$2:$L$754)+SUMIF(Mercado_Receita!$S$2:$S$754,"44621B1Convencional pré-pagamentoResidencialResidencial baixa renda – faixa 04Não se aplicaNão se aplicaFora ponta",Mercado_Receita!$L$2:$L$754)+SUMIF(Mercado_Receita!$S$2:$S$754,"44621B1Convencional pré-pagamentoResidencialResidencial baixa renda – faixa 04Não se aplicaNão se aplicaIntermediário",Mercado_Receita!$L$2:$L$754)+SUMIF(Mercado_Receita!$S$2:$S$754,"44621B1Convencional pré-pagamentoResidencialResidencial baixa renda – faixa 04Não se aplicaNão se aplicaNão se aplica",Mercado_Receita!$L$2:$L$754)</f>
        <v>0</v>
      </c>
      <c r="T26" s="12">
        <f>SUMIF(Mercado_Receita!$S$2:$S$754,"44652B1Convencional pré-pagamentoResidencialResidencial baixa renda – faixa 04Não se aplicaNão se aplicaPonta",Mercado_Receita!$L$2:$L$754)+SUMIF(Mercado_Receita!$S$2:$S$754,"44652B1Convencional pré-pagamentoResidencialResidencial baixa renda – faixa 04Não se aplicaNão se aplicaFora ponta",Mercado_Receita!$L$2:$L$754)+SUMIF(Mercado_Receita!$S$2:$S$754,"44652B1Convencional pré-pagamentoResidencialResidencial baixa renda – faixa 04Não se aplicaNão se aplicaIntermediário",Mercado_Receita!$L$2:$L$754)+SUMIF(Mercado_Receita!$S$2:$S$754,"44652B1Convencional pré-pagamentoResidencialResidencial baixa renda – faixa 04Não se aplicaNão se aplicaNão se aplica",Mercado_Receita!$L$2:$L$754)</f>
        <v>0</v>
      </c>
      <c r="U26" s="12">
        <f t="shared" si="0"/>
        <v>0</v>
      </c>
      <c r="V26" s="12"/>
      <c r="W26" s="12"/>
    </row>
    <row r="27" spans="1:23" ht="11.25" customHeight="1" x14ac:dyDescent="0.25">
      <c r="A27" s="116" t="s">
        <v>43</v>
      </c>
      <c r="B27" s="116" t="s">
        <v>37</v>
      </c>
      <c r="C27" s="116" t="s">
        <v>44</v>
      </c>
      <c r="D27" s="116" t="s">
        <v>25</v>
      </c>
      <c r="E27" s="116" t="s">
        <v>25</v>
      </c>
      <c r="F27" s="116" t="s">
        <v>25</v>
      </c>
      <c r="G27" s="12" t="s">
        <v>77</v>
      </c>
      <c r="H27" s="12" t="s">
        <v>76</v>
      </c>
      <c r="I27" s="12">
        <f>SUMIF(Mercado_Receita!$S$2:$S$754,"44317B2BrancaRuralNão se aplicaNão se aplicaNão se aplicaPonta",Mercado_Receita!$L$2:$L$754)</f>
        <v>6.0999999999999999E-2</v>
      </c>
      <c r="J27" s="12">
        <f>SUMIF(Mercado_Receita!$S$2:$S$754,"44348B2BrancaRuralNão se aplicaNão se aplicaNão se aplicaPonta",Mercado_Receita!$L$2:$L$754)</f>
        <v>7.4999999999999997E-2</v>
      </c>
      <c r="K27" s="12">
        <f>SUMIF(Mercado_Receita!$S$2:$S$754,"44378B2BrancaRuralNão se aplicaNão se aplicaNão se aplicaPonta",Mercado_Receita!$L$2:$L$754)</f>
        <v>6.5000000000000002E-2</v>
      </c>
      <c r="L27" s="12">
        <f>SUMIF(Mercado_Receita!$S$2:$S$754,"44409B2BrancaRuralNão se aplicaNão se aplicaNão se aplicaPonta",Mercado_Receita!$L$2:$L$754)</f>
        <v>7.9000000000000001E-2</v>
      </c>
      <c r="M27" s="12">
        <f>SUMIF(Mercado_Receita!$S$2:$S$754,"44440B2BrancaRuralNão se aplicaNão se aplicaNão se aplicaPonta",Mercado_Receita!$L$2:$L$754)</f>
        <v>7.0999999999999994E-2</v>
      </c>
      <c r="N27" s="12">
        <f>SUMIF(Mercado_Receita!$S$2:$S$754,"44470B2BrancaRuralNão se aplicaNão se aplicaNão se aplicaPonta",Mercado_Receita!$L$2:$L$754)</f>
        <v>6.2E-2</v>
      </c>
      <c r="O27" s="12">
        <f>SUMIF(Mercado_Receita!$S$2:$S$754,"44501B2BrancaRuralNão se aplicaNão se aplicaNão se aplicaPonta",Mercado_Receita!$L$2:$L$754)</f>
        <v>4.9000000000000002E-2</v>
      </c>
      <c r="P27" s="12">
        <f>SUMIF(Mercado_Receita!$S$2:$S$754,"44531B2BrancaRuralNão se aplicaNão se aplicaNão se aplicaPonta",Mercado_Receita!$L$2:$L$754)</f>
        <v>4.9000000000000002E-2</v>
      </c>
      <c r="Q27" s="12">
        <f>SUMIF(Mercado_Receita!$S$2:$S$754,"44562B2BrancaRuralNão se aplicaNão se aplicaNão se aplicaPonta",Mercado_Receita!$L$2:$L$754)</f>
        <v>5.5E-2</v>
      </c>
      <c r="R27" s="12">
        <f>SUMIF(Mercado_Receita!$S$2:$S$754,"44593B2BrancaRuralNão se aplicaNão se aplicaNão se aplicaPonta",Mercado_Receita!$L$2:$L$754)</f>
        <v>6.6000000000000003E-2</v>
      </c>
      <c r="S27" s="12">
        <f>SUMIF(Mercado_Receita!$S$2:$S$754,"44621B2BrancaRuralNão se aplicaNão se aplicaNão se aplicaPonta",Mercado_Receita!$L$2:$L$754)</f>
        <v>0.08</v>
      </c>
      <c r="T27" s="12">
        <f>SUMIF(Mercado_Receita!$S$2:$S$754,"44652B2BrancaRuralNão se aplicaNão se aplicaNão se aplicaPonta",Mercado_Receita!$L$2:$L$754)</f>
        <v>7.6999999999999999E-2</v>
      </c>
      <c r="U27" s="12">
        <f t="shared" si="0"/>
        <v>0.78900000000000003</v>
      </c>
      <c r="V27" s="12"/>
      <c r="W27" s="12"/>
    </row>
    <row r="28" spans="1:23" ht="11.25" customHeight="1" x14ac:dyDescent="0.25">
      <c r="A28" s="117"/>
      <c r="B28" s="117"/>
      <c r="C28" s="117"/>
      <c r="D28" s="117"/>
      <c r="E28" s="117"/>
      <c r="F28" s="117"/>
      <c r="G28" s="12" t="s">
        <v>88</v>
      </c>
      <c r="H28" s="12" t="s">
        <v>76</v>
      </c>
      <c r="I28" s="12">
        <f>SUMIF(Mercado_Receita!$S$2:$S$754,"44317B2BrancaRuralNão se aplicaNão se aplicaNão se aplicaIntermediário",Mercado_Receita!$L$2:$L$754)</f>
        <v>3.5000000000000003E-2</v>
      </c>
      <c r="J28" s="12">
        <f>SUMIF(Mercado_Receita!$S$2:$S$754,"44348B2BrancaRuralNão se aplicaNão se aplicaNão se aplicaIntermediário",Mercado_Receita!$L$2:$L$754)</f>
        <v>3.5999999999999997E-2</v>
      </c>
      <c r="K28" s="12">
        <f>SUMIF(Mercado_Receita!$S$2:$S$754,"44378B2BrancaRuralNão se aplicaNão se aplicaNão se aplicaIntermediário",Mercado_Receita!$L$2:$L$754)</f>
        <v>3.4000000000000002E-2</v>
      </c>
      <c r="L28" s="12">
        <f>SUMIF(Mercado_Receita!$S$2:$S$754,"44409B2BrancaRuralNão se aplicaNão se aplicaNão se aplicaIntermediário",Mercado_Receita!$L$2:$L$754)</f>
        <v>3.9E-2</v>
      </c>
      <c r="M28" s="12">
        <f>SUMIF(Mercado_Receita!$S$2:$S$754,"44440B2BrancaRuralNão se aplicaNão se aplicaNão se aplicaIntermediário",Mercado_Receita!$L$2:$L$754)</f>
        <v>0.16400000000000001</v>
      </c>
      <c r="N28" s="12">
        <f>SUMIF(Mercado_Receita!$S$2:$S$754,"44470B2BrancaRuralNão se aplicaNão se aplicaNão se aplicaIntermediário",Mercado_Receita!$L$2:$L$754)</f>
        <v>3.2000000000000001E-2</v>
      </c>
      <c r="O28" s="12">
        <f>SUMIF(Mercado_Receita!$S$2:$S$754,"44501B2BrancaRuralNão se aplicaNão se aplicaNão se aplicaIntermediário",Mercado_Receita!$L$2:$L$754)</f>
        <v>3.1E-2</v>
      </c>
      <c r="P28" s="12">
        <f>SUMIF(Mercado_Receita!$S$2:$S$754,"44531B2BrancaRuralNão se aplicaNão se aplicaNão se aplicaIntermediário",Mercado_Receita!$L$2:$L$754)</f>
        <v>3.4000000000000002E-2</v>
      </c>
      <c r="Q28" s="12">
        <f>SUMIF(Mercado_Receita!$S$2:$S$754,"44562B2BrancaRuralNão se aplicaNão se aplicaNão se aplicaIntermediário",Mercado_Receita!$L$2:$L$754)</f>
        <v>3.5000000000000003E-2</v>
      </c>
      <c r="R28" s="12">
        <f>SUMIF(Mercado_Receita!$S$2:$S$754,"44593B2BrancaRuralNão se aplicaNão se aplicaNão se aplicaIntermediário",Mercado_Receita!$L$2:$L$754)</f>
        <v>4.4999999999999998E-2</v>
      </c>
      <c r="S28" s="12">
        <f>SUMIF(Mercado_Receita!$S$2:$S$754,"44621B2BrancaRuralNão se aplicaNão se aplicaNão se aplicaIntermediário",Mercado_Receita!$L$2:$L$754)</f>
        <v>4.4999999999999998E-2</v>
      </c>
      <c r="T28" s="12">
        <f>SUMIF(Mercado_Receita!$S$2:$S$754,"44652B2BrancaRuralNão se aplicaNão se aplicaNão se aplicaIntermediário",Mercado_Receita!$L$2:$L$754)</f>
        <v>4.7E-2</v>
      </c>
      <c r="U28" s="12">
        <f t="shared" si="0"/>
        <v>0.57700000000000018</v>
      </c>
      <c r="V28" s="12"/>
      <c r="W28" s="12"/>
    </row>
    <row r="29" spans="1:23" ht="11.25" customHeight="1" x14ac:dyDescent="0.25">
      <c r="A29" s="117"/>
      <c r="B29" s="117"/>
      <c r="C29" s="117"/>
      <c r="D29" s="117"/>
      <c r="E29" s="117"/>
      <c r="F29" s="117"/>
      <c r="G29" s="12" t="s">
        <v>78</v>
      </c>
      <c r="H29" s="12" t="s">
        <v>76</v>
      </c>
      <c r="I29" s="12">
        <f>SUMIF(Mercado_Receita!$S$2:$S$754,"44317B2BrancaRuralNão se aplicaNão se aplicaNão se aplicaFora ponta",Mercado_Receita!$L$2:$L$754)</f>
        <v>0.33300000000000002</v>
      </c>
      <c r="J29" s="12">
        <f>SUMIF(Mercado_Receita!$S$2:$S$754,"44348B2BrancaRuralNão se aplicaNão se aplicaNão se aplicaFora ponta",Mercado_Receita!$L$2:$L$754)</f>
        <v>0.33400000000000002</v>
      </c>
      <c r="K29" s="12">
        <f>SUMIF(Mercado_Receita!$S$2:$S$754,"44378B2BrancaRuralNão se aplicaNão se aplicaNão se aplicaFora ponta",Mercado_Receita!$L$2:$L$754)</f>
        <v>0.32</v>
      </c>
      <c r="L29" s="12">
        <f>SUMIF(Mercado_Receita!$S$2:$S$754,"44409B2BrancaRuralNão se aplicaNão se aplicaNão se aplicaFora ponta",Mercado_Receita!$L$2:$L$754)</f>
        <v>0.38</v>
      </c>
      <c r="M29" s="12">
        <f>SUMIF(Mercado_Receita!$S$2:$S$754,"44440B2BrancaRuralNão se aplicaNão se aplicaNão se aplicaFora ponta",Mercado_Receita!$L$2:$L$754)</f>
        <v>0.45700000000000002</v>
      </c>
      <c r="N29" s="12">
        <f>SUMIF(Mercado_Receita!$S$2:$S$754,"44470B2BrancaRuralNão se aplicaNão se aplicaNão se aplicaFora ponta",Mercado_Receita!$L$2:$L$754)</f>
        <v>0.44800000000000001</v>
      </c>
      <c r="O29" s="12">
        <f>SUMIF(Mercado_Receita!$S$2:$S$754,"44501B2BrancaRuralNão se aplicaNão se aplicaNão se aplicaFora ponta",Mercado_Receita!$L$2:$L$754)</f>
        <v>0.47699999999999998</v>
      </c>
      <c r="P29" s="12">
        <f>SUMIF(Mercado_Receita!$S$2:$S$754,"44531B2BrancaRuralNão se aplicaNão se aplicaNão se aplicaFora ponta",Mercado_Receita!$L$2:$L$754)</f>
        <v>0.432</v>
      </c>
      <c r="Q29" s="12">
        <f>SUMIF(Mercado_Receita!$S$2:$S$754,"44562B2BrancaRuralNão se aplicaNão se aplicaNão se aplicaFora ponta",Mercado_Receita!$L$2:$L$754)</f>
        <v>0.42499999999999999</v>
      </c>
      <c r="R29" s="12">
        <f>SUMIF(Mercado_Receita!$S$2:$S$754,"44593B2BrancaRuralNão se aplicaNão se aplicaNão se aplicaFora ponta",Mercado_Receita!$L$2:$L$754)</f>
        <v>0.46800000000000003</v>
      </c>
      <c r="S29" s="12">
        <f>SUMIF(Mercado_Receita!$S$2:$S$754,"44621B2BrancaRuralNão se aplicaNão se aplicaNão se aplicaFora ponta",Mercado_Receita!$L$2:$L$754)</f>
        <v>0.56699999999999995</v>
      </c>
      <c r="T29" s="12">
        <f>SUMIF(Mercado_Receita!$S$2:$S$754,"44652B2BrancaRuralNão se aplicaNão se aplicaNão se aplicaFora ponta",Mercado_Receita!$L$2:$L$754)</f>
        <v>0.45500000000000002</v>
      </c>
      <c r="U29" s="12">
        <f t="shared" si="0"/>
        <v>5.0960000000000001</v>
      </c>
      <c r="V29" s="12"/>
      <c r="W29" s="12"/>
    </row>
    <row r="30" spans="1:23" ht="11.25" customHeight="1" x14ac:dyDescent="0.25">
      <c r="A30" s="117"/>
      <c r="B30" s="13" t="s">
        <v>23</v>
      </c>
      <c r="C30" s="13" t="s">
        <v>44</v>
      </c>
      <c r="D30" s="13" t="s">
        <v>25</v>
      </c>
      <c r="E30" s="13" t="s">
        <v>25</v>
      </c>
      <c r="F30" s="13" t="s">
        <v>25</v>
      </c>
      <c r="G30" s="12" t="s">
        <v>82</v>
      </c>
      <c r="H30" s="12" t="s">
        <v>76</v>
      </c>
      <c r="I30" s="12">
        <f>SUMIF(Mercado_Receita!$S$2:$S$754,"44317B2ConvencionalRuralNão se aplicaNão se aplicaNão se aplicaPonta",Mercado_Receita!$L$2:$L$754)+SUMIF(Mercado_Receita!$S$2:$S$754,"44317B2ConvencionalRuralNão se aplicaNão se aplicaNão se aplicaFora ponta",Mercado_Receita!$L$2:$L$754)+SUMIF(Mercado_Receita!$S$2:$S$754,"44317B2ConvencionalRuralNão se aplicaNão se aplicaNão se aplicaIntermediário",Mercado_Receita!$L$2:$L$754)+SUMIF(Mercado_Receita!$S$2:$S$754,"44317B2ConvencionalRuralNão se aplicaNão se aplicaNão se aplicaNão se aplica",Mercado_Receita!$L$2:$L$754)</f>
        <v>3242.1030000000001</v>
      </c>
      <c r="J30" s="12">
        <f>SUMIF(Mercado_Receita!$S$2:$S$754,"44348B2ConvencionalRuralNão se aplicaNão se aplicaNão se aplicaPonta",Mercado_Receita!$L$2:$L$754)+SUMIF(Mercado_Receita!$S$2:$S$754,"44348B2ConvencionalRuralNão se aplicaNão se aplicaNão se aplicaFora ponta",Mercado_Receita!$L$2:$L$754)+SUMIF(Mercado_Receita!$S$2:$S$754,"44348B2ConvencionalRuralNão se aplicaNão se aplicaNão se aplicaIntermediário",Mercado_Receita!$L$2:$L$754)+SUMIF(Mercado_Receita!$S$2:$S$754,"44348B2ConvencionalRuralNão se aplicaNão se aplicaNão se aplicaNão se aplica",Mercado_Receita!$L$2:$L$754)</f>
        <v>3001.7460000000001</v>
      </c>
      <c r="K30" s="12">
        <f>SUMIF(Mercado_Receita!$S$2:$S$754,"44378B2ConvencionalRuralNão se aplicaNão se aplicaNão se aplicaPonta",Mercado_Receita!$L$2:$L$754)+SUMIF(Mercado_Receita!$S$2:$S$754,"44378B2ConvencionalRuralNão se aplicaNão se aplicaNão se aplicaFora ponta",Mercado_Receita!$L$2:$L$754)+SUMIF(Mercado_Receita!$S$2:$S$754,"44378B2ConvencionalRuralNão se aplicaNão se aplicaNão se aplicaIntermediário",Mercado_Receita!$L$2:$L$754)+SUMIF(Mercado_Receita!$S$2:$S$754,"44378B2ConvencionalRuralNão se aplicaNão se aplicaNão se aplicaNão se aplica",Mercado_Receita!$L$2:$L$754)</f>
        <v>2819.5009999999997</v>
      </c>
      <c r="L30" s="12">
        <f>SUMIF(Mercado_Receita!$S$2:$S$754,"44409B2ConvencionalRuralNão se aplicaNão se aplicaNão se aplicaPonta",Mercado_Receita!$L$2:$L$754)+SUMIF(Mercado_Receita!$S$2:$S$754,"44409B2ConvencionalRuralNão se aplicaNão se aplicaNão se aplicaFora ponta",Mercado_Receita!$L$2:$L$754)+SUMIF(Mercado_Receita!$S$2:$S$754,"44409B2ConvencionalRuralNão se aplicaNão se aplicaNão se aplicaIntermediário",Mercado_Receita!$L$2:$L$754)+SUMIF(Mercado_Receita!$S$2:$S$754,"44409B2ConvencionalRuralNão se aplicaNão se aplicaNão se aplicaNão se aplica",Mercado_Receita!$L$2:$L$754)</f>
        <v>2966.3</v>
      </c>
      <c r="M30" s="12">
        <f>SUMIF(Mercado_Receita!$S$2:$S$754,"44440B2ConvencionalRuralNão se aplicaNão se aplicaNão se aplicaPonta",Mercado_Receita!$L$2:$L$754)+SUMIF(Mercado_Receita!$S$2:$S$754,"44440B2ConvencionalRuralNão se aplicaNão se aplicaNão se aplicaFora ponta",Mercado_Receita!$L$2:$L$754)+SUMIF(Mercado_Receita!$S$2:$S$754,"44440B2ConvencionalRuralNão se aplicaNão se aplicaNão se aplicaIntermediário",Mercado_Receita!$L$2:$L$754)+SUMIF(Mercado_Receita!$S$2:$S$754,"44440B2ConvencionalRuralNão se aplicaNão se aplicaNão se aplicaNão se aplica",Mercado_Receita!$L$2:$L$754)</f>
        <v>3479.7580000000003</v>
      </c>
      <c r="N30" s="12">
        <f>SUMIF(Mercado_Receita!$S$2:$S$754,"44470B2ConvencionalRuralNão se aplicaNão se aplicaNão se aplicaPonta",Mercado_Receita!$L$2:$L$754)+SUMIF(Mercado_Receita!$S$2:$S$754,"44470B2ConvencionalRuralNão se aplicaNão se aplicaNão se aplicaFora ponta",Mercado_Receita!$L$2:$L$754)+SUMIF(Mercado_Receita!$S$2:$S$754,"44470B2ConvencionalRuralNão se aplicaNão se aplicaNão se aplicaIntermediário",Mercado_Receita!$L$2:$L$754)+SUMIF(Mercado_Receita!$S$2:$S$754,"44470B2ConvencionalRuralNão se aplicaNão se aplicaNão se aplicaNão se aplica",Mercado_Receita!$L$2:$L$754)</f>
        <v>3379.0910000000003</v>
      </c>
      <c r="O30" s="12">
        <f>SUMIF(Mercado_Receita!$S$2:$S$754,"44501B2ConvencionalRuralNão se aplicaNão se aplicaNão se aplicaPonta",Mercado_Receita!$L$2:$L$754)+SUMIF(Mercado_Receita!$S$2:$S$754,"44501B2ConvencionalRuralNão se aplicaNão se aplicaNão se aplicaFora ponta",Mercado_Receita!$L$2:$L$754)+SUMIF(Mercado_Receita!$S$2:$S$754,"44501B2ConvencionalRuralNão se aplicaNão se aplicaNão se aplicaIntermediário",Mercado_Receita!$L$2:$L$754)+SUMIF(Mercado_Receita!$S$2:$S$754,"44501B2ConvencionalRuralNão se aplicaNão se aplicaNão se aplicaNão se aplica",Mercado_Receita!$L$2:$L$754)</f>
        <v>2857.0010000000002</v>
      </c>
      <c r="P30" s="12">
        <f>SUMIF(Mercado_Receita!$S$2:$S$754,"44531B2ConvencionalRuralNão se aplicaNão se aplicaNão se aplicaPonta",Mercado_Receita!$L$2:$L$754)+SUMIF(Mercado_Receita!$S$2:$S$754,"44531B2ConvencionalRuralNão se aplicaNão se aplicaNão se aplicaFora ponta",Mercado_Receita!$L$2:$L$754)+SUMIF(Mercado_Receita!$S$2:$S$754,"44531B2ConvencionalRuralNão se aplicaNão se aplicaNão se aplicaIntermediário",Mercado_Receita!$L$2:$L$754)+SUMIF(Mercado_Receita!$S$2:$S$754,"44531B2ConvencionalRuralNão se aplicaNão se aplicaNão se aplicaNão se aplica",Mercado_Receita!$L$2:$L$754)</f>
        <v>2847.16</v>
      </c>
      <c r="Q30" s="12">
        <f>SUMIF(Mercado_Receita!$S$2:$S$754,"44562B2ConvencionalRuralNão se aplicaNão se aplicaNão se aplicaPonta",Mercado_Receita!$L$2:$L$754)+SUMIF(Mercado_Receita!$S$2:$S$754,"44562B2ConvencionalRuralNão se aplicaNão se aplicaNão se aplicaFora ponta",Mercado_Receita!$L$2:$L$754)+SUMIF(Mercado_Receita!$S$2:$S$754,"44562B2ConvencionalRuralNão se aplicaNão se aplicaNão se aplicaIntermediário",Mercado_Receita!$L$2:$L$754)+SUMIF(Mercado_Receita!$S$2:$S$754,"44562B2ConvencionalRuralNão se aplicaNão se aplicaNão se aplicaNão se aplica",Mercado_Receita!$L$2:$L$754)</f>
        <v>2790.1420000000003</v>
      </c>
      <c r="R30" s="12">
        <f>SUMIF(Mercado_Receita!$S$2:$S$754,"44593B2ConvencionalRuralNão se aplicaNão se aplicaNão se aplicaPonta",Mercado_Receita!$L$2:$L$754)+SUMIF(Mercado_Receita!$S$2:$S$754,"44593B2ConvencionalRuralNão se aplicaNão se aplicaNão se aplicaFora ponta",Mercado_Receita!$L$2:$L$754)+SUMIF(Mercado_Receita!$S$2:$S$754,"44593B2ConvencionalRuralNão se aplicaNão se aplicaNão se aplicaIntermediário",Mercado_Receita!$L$2:$L$754)+SUMIF(Mercado_Receita!$S$2:$S$754,"44593B2ConvencionalRuralNão se aplicaNão se aplicaNão se aplicaNão se aplica",Mercado_Receita!$L$2:$L$754)</f>
        <v>2827.4919999999997</v>
      </c>
      <c r="S30" s="12">
        <f>SUMIF(Mercado_Receita!$S$2:$S$754,"44621B2ConvencionalRuralNão se aplicaNão se aplicaNão se aplicaPonta",Mercado_Receita!$L$2:$L$754)+SUMIF(Mercado_Receita!$S$2:$S$754,"44621B2ConvencionalRuralNão se aplicaNão se aplicaNão se aplicaFora ponta",Mercado_Receita!$L$2:$L$754)+SUMIF(Mercado_Receita!$S$2:$S$754,"44621B2ConvencionalRuralNão se aplicaNão se aplicaNão se aplicaIntermediário",Mercado_Receita!$L$2:$L$754)+SUMIF(Mercado_Receita!$S$2:$S$754,"44621B2ConvencionalRuralNão se aplicaNão se aplicaNão se aplicaNão se aplica",Mercado_Receita!$L$2:$L$754)</f>
        <v>3240.8139999999999</v>
      </c>
      <c r="T30" s="12">
        <f>SUMIF(Mercado_Receita!$S$2:$S$754,"44652B2ConvencionalRuralNão se aplicaNão se aplicaNão se aplicaPonta",Mercado_Receita!$L$2:$L$754)+SUMIF(Mercado_Receita!$S$2:$S$754,"44652B2ConvencionalRuralNão se aplicaNão se aplicaNão se aplicaFora ponta",Mercado_Receita!$L$2:$L$754)+SUMIF(Mercado_Receita!$S$2:$S$754,"44652B2ConvencionalRuralNão se aplicaNão se aplicaNão se aplicaIntermediário",Mercado_Receita!$L$2:$L$754)+SUMIF(Mercado_Receita!$S$2:$S$754,"44652B2ConvencionalRuralNão se aplicaNão se aplicaNão se aplicaNão se aplica",Mercado_Receita!$L$2:$L$754)</f>
        <v>2922.56</v>
      </c>
      <c r="U30" s="12">
        <f t="shared" si="0"/>
        <v>36373.667999999998</v>
      </c>
      <c r="V30" s="12"/>
      <c r="W30" s="12"/>
    </row>
    <row r="31" spans="1:23" ht="11.25" customHeight="1" x14ac:dyDescent="0.25">
      <c r="A31" s="117"/>
      <c r="B31" s="116" t="s">
        <v>37</v>
      </c>
      <c r="C31" s="116" t="s">
        <v>44</v>
      </c>
      <c r="D31" s="116" t="s">
        <v>92</v>
      </c>
      <c r="E31" s="116" t="s">
        <v>25</v>
      </c>
      <c r="F31" s="116" t="s">
        <v>25</v>
      </c>
      <c r="G31" s="12" t="s">
        <v>77</v>
      </c>
      <c r="H31" s="12" t="s">
        <v>76</v>
      </c>
      <c r="I31" s="12">
        <f>SUMIF(Mercado_Receita!$S$2:$S$754,"44317B2BrancaRuralCooperativa de eletrificação ruralNão se aplicaNão se aplicaPonta",Mercado_Receita!$L$2:$L$754)</f>
        <v>0</v>
      </c>
      <c r="J31" s="12">
        <f>SUMIF(Mercado_Receita!$S$2:$S$754,"44348B2BrancaRuralCooperativa de eletrificação ruralNão se aplicaNão se aplicaPonta",Mercado_Receita!$L$2:$L$754)</f>
        <v>0</v>
      </c>
      <c r="K31" s="12">
        <f>SUMIF(Mercado_Receita!$S$2:$S$754,"44378B2BrancaRuralCooperativa de eletrificação ruralNão se aplicaNão se aplicaPonta",Mercado_Receita!$L$2:$L$754)</f>
        <v>0</v>
      </c>
      <c r="L31" s="12">
        <f>SUMIF(Mercado_Receita!$S$2:$S$754,"44409B2BrancaRuralCooperativa de eletrificação ruralNão se aplicaNão se aplicaPonta",Mercado_Receita!$L$2:$L$754)</f>
        <v>0</v>
      </c>
      <c r="M31" s="12">
        <f>SUMIF(Mercado_Receita!$S$2:$S$754,"44440B2BrancaRuralCooperativa de eletrificação ruralNão se aplicaNão se aplicaPonta",Mercado_Receita!$L$2:$L$754)</f>
        <v>0</v>
      </c>
      <c r="N31" s="12">
        <f>SUMIF(Mercado_Receita!$S$2:$S$754,"44470B2BrancaRuralCooperativa de eletrificação ruralNão se aplicaNão se aplicaPonta",Mercado_Receita!$L$2:$L$754)</f>
        <v>0</v>
      </c>
      <c r="O31" s="12">
        <f>SUMIF(Mercado_Receita!$S$2:$S$754,"44501B2BrancaRuralCooperativa de eletrificação ruralNão se aplicaNão se aplicaPonta",Mercado_Receita!$L$2:$L$754)</f>
        <v>0</v>
      </c>
      <c r="P31" s="12">
        <f>SUMIF(Mercado_Receita!$S$2:$S$754,"44531B2BrancaRuralCooperativa de eletrificação ruralNão se aplicaNão se aplicaPonta",Mercado_Receita!$L$2:$L$754)</f>
        <v>0</v>
      </c>
      <c r="Q31" s="12">
        <f>SUMIF(Mercado_Receita!$S$2:$S$754,"44562B2BrancaRuralCooperativa de eletrificação ruralNão se aplicaNão se aplicaPonta",Mercado_Receita!$L$2:$L$754)</f>
        <v>0</v>
      </c>
      <c r="R31" s="12">
        <f>SUMIF(Mercado_Receita!$S$2:$S$754,"44593B2BrancaRuralCooperativa de eletrificação ruralNão se aplicaNão se aplicaPonta",Mercado_Receita!$L$2:$L$754)</f>
        <v>0</v>
      </c>
      <c r="S31" s="12">
        <f>SUMIF(Mercado_Receita!$S$2:$S$754,"44621B2BrancaRuralCooperativa de eletrificação ruralNão se aplicaNão se aplicaPonta",Mercado_Receita!$L$2:$L$754)</f>
        <v>0</v>
      </c>
      <c r="T31" s="12">
        <f>SUMIF(Mercado_Receita!$S$2:$S$754,"44652B2BrancaRuralCooperativa de eletrificação ruralNão se aplicaNão se aplicaPonta",Mercado_Receita!$L$2:$L$754)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117"/>
      <c r="B32" s="117"/>
      <c r="C32" s="117"/>
      <c r="D32" s="117"/>
      <c r="E32" s="117"/>
      <c r="F32" s="117"/>
      <c r="G32" s="12" t="s">
        <v>88</v>
      </c>
      <c r="H32" s="12" t="s">
        <v>76</v>
      </c>
      <c r="I32" s="12">
        <f>SUMIF(Mercado_Receita!$S$2:$S$754,"44317B2BrancaRuralCooperativa de eletrificação ruralNão se aplicaNão se aplicaIntermediário",Mercado_Receita!$L$2:$L$754)</f>
        <v>0</v>
      </c>
      <c r="J32" s="12">
        <f>SUMIF(Mercado_Receita!$S$2:$S$754,"44348B2BrancaRuralCooperativa de eletrificação ruralNão se aplicaNão se aplicaIntermediário",Mercado_Receita!$L$2:$L$754)</f>
        <v>0</v>
      </c>
      <c r="K32" s="12">
        <f>SUMIF(Mercado_Receita!$S$2:$S$754,"44378B2BrancaRuralCooperativa de eletrificação ruralNão se aplicaNão se aplicaIntermediário",Mercado_Receita!$L$2:$L$754)</f>
        <v>0</v>
      </c>
      <c r="L32" s="12">
        <f>SUMIF(Mercado_Receita!$S$2:$S$754,"44409B2BrancaRuralCooperativa de eletrificação ruralNão se aplicaNão se aplicaIntermediário",Mercado_Receita!$L$2:$L$754)</f>
        <v>0</v>
      </c>
      <c r="M32" s="12">
        <f>SUMIF(Mercado_Receita!$S$2:$S$754,"44440B2BrancaRuralCooperativa de eletrificação ruralNão se aplicaNão se aplicaIntermediário",Mercado_Receita!$L$2:$L$754)</f>
        <v>0</v>
      </c>
      <c r="N32" s="12">
        <f>SUMIF(Mercado_Receita!$S$2:$S$754,"44470B2BrancaRuralCooperativa de eletrificação ruralNão se aplicaNão se aplicaIntermediário",Mercado_Receita!$L$2:$L$754)</f>
        <v>0</v>
      </c>
      <c r="O32" s="12">
        <f>SUMIF(Mercado_Receita!$S$2:$S$754,"44501B2BrancaRuralCooperativa de eletrificação ruralNão se aplicaNão se aplicaIntermediário",Mercado_Receita!$L$2:$L$754)</f>
        <v>0</v>
      </c>
      <c r="P32" s="12">
        <f>SUMIF(Mercado_Receita!$S$2:$S$754,"44531B2BrancaRuralCooperativa de eletrificação ruralNão se aplicaNão se aplicaIntermediário",Mercado_Receita!$L$2:$L$754)</f>
        <v>0</v>
      </c>
      <c r="Q32" s="12">
        <f>SUMIF(Mercado_Receita!$S$2:$S$754,"44562B2BrancaRuralCooperativa de eletrificação ruralNão se aplicaNão se aplicaIntermediário",Mercado_Receita!$L$2:$L$754)</f>
        <v>0</v>
      </c>
      <c r="R32" s="12">
        <f>SUMIF(Mercado_Receita!$S$2:$S$754,"44593B2BrancaRuralCooperativa de eletrificação ruralNão se aplicaNão se aplicaIntermediário",Mercado_Receita!$L$2:$L$754)</f>
        <v>0</v>
      </c>
      <c r="S32" s="12">
        <f>SUMIF(Mercado_Receita!$S$2:$S$754,"44621B2BrancaRuralCooperativa de eletrificação ruralNão se aplicaNão se aplicaIntermediário",Mercado_Receita!$L$2:$L$754)</f>
        <v>0</v>
      </c>
      <c r="T32" s="12">
        <f>SUMIF(Mercado_Receita!$S$2:$S$754,"44652B2BrancaRuralCooperativa de eletrificação ruralNão se aplicaNão se aplicaIntermediário",Mercado_Receita!$L$2:$L$754)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17"/>
      <c r="B33" s="117"/>
      <c r="C33" s="117"/>
      <c r="D33" s="117"/>
      <c r="E33" s="117"/>
      <c r="F33" s="117"/>
      <c r="G33" s="12" t="s">
        <v>78</v>
      </c>
      <c r="H33" s="12" t="s">
        <v>76</v>
      </c>
      <c r="I33" s="12">
        <f>SUMIF(Mercado_Receita!$S$2:$S$754,"44317B2BrancaRuralCooperativa de eletrificação ruralNão se aplicaNão se aplicaFora ponta",Mercado_Receita!$L$2:$L$754)</f>
        <v>0</v>
      </c>
      <c r="J33" s="12">
        <f>SUMIF(Mercado_Receita!$S$2:$S$754,"44348B2BrancaRuralCooperativa de eletrificação ruralNão se aplicaNão se aplicaFora ponta",Mercado_Receita!$L$2:$L$754)</f>
        <v>0</v>
      </c>
      <c r="K33" s="12">
        <f>SUMIF(Mercado_Receita!$S$2:$S$754,"44378B2BrancaRuralCooperativa de eletrificação ruralNão se aplicaNão se aplicaFora ponta",Mercado_Receita!$L$2:$L$754)</f>
        <v>0</v>
      </c>
      <c r="L33" s="12">
        <f>SUMIF(Mercado_Receita!$S$2:$S$754,"44409B2BrancaRuralCooperativa de eletrificação ruralNão se aplicaNão se aplicaFora ponta",Mercado_Receita!$L$2:$L$754)</f>
        <v>0</v>
      </c>
      <c r="M33" s="12">
        <f>SUMIF(Mercado_Receita!$S$2:$S$754,"44440B2BrancaRuralCooperativa de eletrificação ruralNão se aplicaNão se aplicaFora ponta",Mercado_Receita!$L$2:$L$754)</f>
        <v>0</v>
      </c>
      <c r="N33" s="12">
        <f>SUMIF(Mercado_Receita!$S$2:$S$754,"44470B2BrancaRuralCooperativa de eletrificação ruralNão se aplicaNão se aplicaFora ponta",Mercado_Receita!$L$2:$L$754)</f>
        <v>0</v>
      </c>
      <c r="O33" s="12">
        <f>SUMIF(Mercado_Receita!$S$2:$S$754,"44501B2BrancaRuralCooperativa de eletrificação ruralNão se aplicaNão se aplicaFora ponta",Mercado_Receita!$L$2:$L$754)</f>
        <v>0</v>
      </c>
      <c r="P33" s="12">
        <f>SUMIF(Mercado_Receita!$S$2:$S$754,"44531B2BrancaRuralCooperativa de eletrificação ruralNão se aplicaNão se aplicaFora ponta",Mercado_Receita!$L$2:$L$754)</f>
        <v>0</v>
      </c>
      <c r="Q33" s="12">
        <f>SUMIF(Mercado_Receita!$S$2:$S$754,"44562B2BrancaRuralCooperativa de eletrificação ruralNão se aplicaNão se aplicaFora ponta",Mercado_Receita!$L$2:$L$754)</f>
        <v>0</v>
      </c>
      <c r="R33" s="12">
        <f>SUMIF(Mercado_Receita!$S$2:$S$754,"44593B2BrancaRuralCooperativa de eletrificação ruralNão se aplicaNão se aplicaFora ponta",Mercado_Receita!$L$2:$L$754)</f>
        <v>0</v>
      </c>
      <c r="S33" s="12">
        <f>SUMIF(Mercado_Receita!$S$2:$S$754,"44621B2BrancaRuralCooperativa de eletrificação ruralNão se aplicaNão se aplicaFora ponta",Mercado_Receita!$L$2:$L$754)</f>
        <v>0</v>
      </c>
      <c r="T33" s="12">
        <f>SUMIF(Mercado_Receita!$S$2:$S$754,"44652B2BrancaRuralCooperativa de eletrificação ruralNão se aplicaNão se aplicaFora ponta",Mercado_Receita!$L$2:$L$754)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17"/>
      <c r="B34" s="13" t="s">
        <v>23</v>
      </c>
      <c r="C34" s="13" t="s">
        <v>44</v>
      </c>
      <c r="D34" s="13" t="s">
        <v>92</v>
      </c>
      <c r="E34" s="13" t="s">
        <v>25</v>
      </c>
      <c r="F34" s="13" t="s">
        <v>25</v>
      </c>
      <c r="G34" s="12" t="s">
        <v>82</v>
      </c>
      <c r="H34" s="12" t="s">
        <v>76</v>
      </c>
      <c r="I34" s="12">
        <f>SUMIF(Mercado_Receita!$S$2:$S$754,"44317B2ConvencionalRuralCooperativa de eletrificação ruralNão se aplicaNão se aplicaPonta",Mercado_Receita!$L$2:$L$754)+SUMIF(Mercado_Receita!$S$2:$S$754,"44317B2ConvencionalRuralCooperativa de eletrificação ruralNão se aplicaNão se aplicaFora ponta",Mercado_Receita!$L$2:$L$754)+SUMIF(Mercado_Receita!$S$2:$S$754,"44317B2ConvencionalRuralCooperativa de eletrificação ruralNão se aplicaNão se aplicaIntermediário",Mercado_Receita!$L$2:$L$754)+SUMIF(Mercado_Receita!$S$2:$S$754,"44317B2ConvencionalRuralCooperativa de eletrificação ruralNão se aplicaNão se aplicaNão se aplica",Mercado_Receita!$L$2:$L$754)</f>
        <v>0</v>
      </c>
      <c r="J34" s="12">
        <f>SUMIF(Mercado_Receita!$S$2:$S$754,"44348B2ConvencionalRuralCooperativa de eletrificação ruralNão se aplicaNão se aplicaPonta",Mercado_Receita!$L$2:$L$754)+SUMIF(Mercado_Receita!$S$2:$S$754,"44348B2ConvencionalRuralCooperativa de eletrificação ruralNão se aplicaNão se aplicaFora ponta",Mercado_Receita!$L$2:$L$754)+SUMIF(Mercado_Receita!$S$2:$S$754,"44348B2ConvencionalRuralCooperativa de eletrificação ruralNão se aplicaNão se aplicaIntermediário",Mercado_Receita!$L$2:$L$754)+SUMIF(Mercado_Receita!$S$2:$S$754,"44348B2ConvencionalRuralCooperativa de eletrificação ruralNão se aplicaNão se aplicaNão se aplica",Mercado_Receita!$L$2:$L$754)</f>
        <v>0</v>
      </c>
      <c r="K34" s="12">
        <f>SUMIF(Mercado_Receita!$S$2:$S$754,"44378B2ConvencionalRuralCooperativa de eletrificação ruralNão se aplicaNão se aplicaPonta",Mercado_Receita!$L$2:$L$754)+SUMIF(Mercado_Receita!$S$2:$S$754,"44378B2ConvencionalRuralCooperativa de eletrificação ruralNão se aplicaNão se aplicaFora ponta",Mercado_Receita!$L$2:$L$754)+SUMIF(Mercado_Receita!$S$2:$S$754,"44378B2ConvencionalRuralCooperativa de eletrificação ruralNão se aplicaNão se aplicaIntermediário",Mercado_Receita!$L$2:$L$754)+SUMIF(Mercado_Receita!$S$2:$S$754,"44378B2ConvencionalRuralCooperativa de eletrificação ruralNão se aplicaNão se aplicaNão se aplica",Mercado_Receita!$L$2:$L$754)</f>
        <v>0</v>
      </c>
      <c r="L34" s="12">
        <f>SUMIF(Mercado_Receita!$S$2:$S$754,"44409B2ConvencionalRuralCooperativa de eletrificação ruralNão se aplicaNão se aplicaPonta",Mercado_Receita!$L$2:$L$754)+SUMIF(Mercado_Receita!$S$2:$S$754,"44409B2ConvencionalRuralCooperativa de eletrificação ruralNão se aplicaNão se aplicaFora ponta",Mercado_Receita!$L$2:$L$754)+SUMIF(Mercado_Receita!$S$2:$S$754,"44409B2ConvencionalRuralCooperativa de eletrificação ruralNão se aplicaNão se aplicaIntermediário",Mercado_Receita!$L$2:$L$754)+SUMIF(Mercado_Receita!$S$2:$S$754,"44409B2ConvencionalRuralCooperativa de eletrificação ruralNão se aplicaNão se aplicaNão se aplica",Mercado_Receita!$L$2:$L$754)</f>
        <v>0</v>
      </c>
      <c r="M34" s="12">
        <f>SUMIF(Mercado_Receita!$S$2:$S$754,"44440B2ConvencionalRuralCooperativa de eletrificação ruralNão se aplicaNão se aplicaPonta",Mercado_Receita!$L$2:$L$754)+SUMIF(Mercado_Receita!$S$2:$S$754,"44440B2ConvencionalRuralCooperativa de eletrificação ruralNão se aplicaNão se aplicaFora ponta",Mercado_Receita!$L$2:$L$754)+SUMIF(Mercado_Receita!$S$2:$S$754,"44440B2ConvencionalRuralCooperativa de eletrificação ruralNão se aplicaNão se aplicaIntermediário",Mercado_Receita!$L$2:$L$754)+SUMIF(Mercado_Receita!$S$2:$S$754,"44440B2ConvencionalRuralCooperativa de eletrificação ruralNão se aplicaNão se aplicaNão se aplica",Mercado_Receita!$L$2:$L$754)</f>
        <v>0</v>
      </c>
      <c r="N34" s="12">
        <f>SUMIF(Mercado_Receita!$S$2:$S$754,"44470B2ConvencionalRuralCooperativa de eletrificação ruralNão se aplicaNão se aplicaPonta",Mercado_Receita!$L$2:$L$754)+SUMIF(Mercado_Receita!$S$2:$S$754,"44470B2ConvencionalRuralCooperativa de eletrificação ruralNão se aplicaNão se aplicaFora ponta",Mercado_Receita!$L$2:$L$754)+SUMIF(Mercado_Receita!$S$2:$S$754,"44470B2ConvencionalRuralCooperativa de eletrificação ruralNão se aplicaNão se aplicaIntermediário",Mercado_Receita!$L$2:$L$754)+SUMIF(Mercado_Receita!$S$2:$S$754,"44470B2ConvencionalRuralCooperativa de eletrificação ruralNão se aplicaNão se aplicaNão se aplica",Mercado_Receita!$L$2:$L$754)</f>
        <v>0</v>
      </c>
      <c r="O34" s="12">
        <f>SUMIF(Mercado_Receita!$S$2:$S$754,"44501B2ConvencionalRuralCooperativa de eletrificação ruralNão se aplicaNão se aplicaPonta",Mercado_Receita!$L$2:$L$754)+SUMIF(Mercado_Receita!$S$2:$S$754,"44501B2ConvencionalRuralCooperativa de eletrificação ruralNão se aplicaNão se aplicaFora ponta",Mercado_Receita!$L$2:$L$754)+SUMIF(Mercado_Receita!$S$2:$S$754,"44501B2ConvencionalRuralCooperativa de eletrificação ruralNão se aplicaNão se aplicaIntermediário",Mercado_Receita!$L$2:$L$754)+SUMIF(Mercado_Receita!$S$2:$S$754,"44501B2ConvencionalRuralCooperativa de eletrificação ruralNão se aplicaNão se aplicaNão se aplica",Mercado_Receita!$L$2:$L$754)</f>
        <v>0</v>
      </c>
      <c r="P34" s="12">
        <f>SUMIF(Mercado_Receita!$S$2:$S$754,"44531B2ConvencionalRuralCooperativa de eletrificação ruralNão se aplicaNão se aplicaPonta",Mercado_Receita!$L$2:$L$754)+SUMIF(Mercado_Receita!$S$2:$S$754,"44531B2ConvencionalRuralCooperativa de eletrificação ruralNão se aplicaNão se aplicaFora ponta",Mercado_Receita!$L$2:$L$754)+SUMIF(Mercado_Receita!$S$2:$S$754,"44531B2ConvencionalRuralCooperativa de eletrificação ruralNão se aplicaNão se aplicaIntermediário",Mercado_Receita!$L$2:$L$754)+SUMIF(Mercado_Receita!$S$2:$S$754,"44531B2ConvencionalRuralCooperativa de eletrificação ruralNão se aplicaNão se aplicaNão se aplica",Mercado_Receita!$L$2:$L$754)</f>
        <v>0</v>
      </c>
      <c r="Q34" s="12">
        <f>SUMIF(Mercado_Receita!$S$2:$S$754,"44562B2ConvencionalRuralCooperativa de eletrificação ruralNão se aplicaNão se aplicaPonta",Mercado_Receita!$L$2:$L$754)+SUMIF(Mercado_Receita!$S$2:$S$754,"44562B2ConvencionalRuralCooperativa de eletrificação ruralNão se aplicaNão se aplicaFora ponta",Mercado_Receita!$L$2:$L$754)+SUMIF(Mercado_Receita!$S$2:$S$754,"44562B2ConvencionalRuralCooperativa de eletrificação ruralNão se aplicaNão se aplicaIntermediário",Mercado_Receita!$L$2:$L$754)+SUMIF(Mercado_Receita!$S$2:$S$754,"44562B2ConvencionalRuralCooperativa de eletrificação ruralNão se aplicaNão se aplicaNão se aplica",Mercado_Receita!$L$2:$L$754)</f>
        <v>0</v>
      </c>
      <c r="R34" s="12">
        <f>SUMIF(Mercado_Receita!$S$2:$S$754,"44593B2ConvencionalRuralCooperativa de eletrificação ruralNão se aplicaNão se aplicaPonta",Mercado_Receita!$L$2:$L$754)+SUMIF(Mercado_Receita!$S$2:$S$754,"44593B2ConvencionalRuralCooperativa de eletrificação ruralNão se aplicaNão se aplicaFora ponta",Mercado_Receita!$L$2:$L$754)+SUMIF(Mercado_Receita!$S$2:$S$754,"44593B2ConvencionalRuralCooperativa de eletrificação ruralNão se aplicaNão se aplicaIntermediário",Mercado_Receita!$L$2:$L$754)+SUMIF(Mercado_Receita!$S$2:$S$754,"44593B2ConvencionalRuralCooperativa de eletrificação ruralNão se aplicaNão se aplicaNão se aplica",Mercado_Receita!$L$2:$L$754)</f>
        <v>0</v>
      </c>
      <c r="S34" s="12">
        <f>SUMIF(Mercado_Receita!$S$2:$S$754,"44621B2ConvencionalRuralCooperativa de eletrificação ruralNão se aplicaNão se aplicaPonta",Mercado_Receita!$L$2:$L$754)+SUMIF(Mercado_Receita!$S$2:$S$754,"44621B2ConvencionalRuralCooperativa de eletrificação ruralNão se aplicaNão se aplicaFora ponta",Mercado_Receita!$L$2:$L$754)+SUMIF(Mercado_Receita!$S$2:$S$754,"44621B2ConvencionalRuralCooperativa de eletrificação ruralNão se aplicaNão se aplicaIntermediário",Mercado_Receita!$L$2:$L$754)+SUMIF(Mercado_Receita!$S$2:$S$754,"44621B2ConvencionalRuralCooperativa de eletrificação ruralNão se aplicaNão se aplicaNão se aplica",Mercado_Receita!$L$2:$L$754)</f>
        <v>0</v>
      </c>
      <c r="T34" s="12">
        <f>SUMIF(Mercado_Receita!$S$2:$S$754,"44652B2ConvencionalRuralCooperativa de eletrificação ruralNão se aplicaNão se aplicaPonta",Mercado_Receita!$L$2:$L$754)+SUMIF(Mercado_Receita!$S$2:$S$754,"44652B2ConvencionalRuralCooperativa de eletrificação ruralNão se aplicaNão se aplicaFora ponta",Mercado_Receita!$L$2:$L$754)+SUMIF(Mercado_Receita!$S$2:$S$754,"44652B2ConvencionalRuralCooperativa de eletrificação ruralNão se aplicaNão se aplicaIntermediário",Mercado_Receita!$L$2:$L$754)+SUMIF(Mercado_Receita!$S$2:$S$754,"44652B2ConvencionalRuralCooperativa de eletrificação ruralNão se aplicaNão se aplicaNão se aplica",Mercado_Receita!$L$2:$L$754)</f>
        <v>0</v>
      </c>
      <c r="U34" s="12">
        <f t="shared" si="0"/>
        <v>0</v>
      </c>
      <c r="V34" s="12"/>
      <c r="W34" s="12"/>
    </row>
    <row r="35" spans="1:23" ht="11.25" customHeight="1" x14ac:dyDescent="0.25">
      <c r="A35" s="117"/>
      <c r="B35" s="116" t="s">
        <v>37</v>
      </c>
      <c r="C35" s="116" t="s">
        <v>44</v>
      </c>
      <c r="D35" s="116" t="s">
        <v>93</v>
      </c>
      <c r="E35" s="116" t="s">
        <v>25</v>
      </c>
      <c r="F35" s="116" t="s">
        <v>25</v>
      </c>
      <c r="G35" s="12" t="s">
        <v>77</v>
      </c>
      <c r="H35" s="12" t="s">
        <v>76</v>
      </c>
      <c r="I35" s="12">
        <f>SUMIF(Mercado_Receita!$S$2:$S$754,"44317B2BrancaRuralServiço público de irrigação ruralNão se aplicaNão se aplicaPonta",Mercado_Receita!$L$2:$L$754)</f>
        <v>0</v>
      </c>
      <c r="J35" s="12">
        <f>SUMIF(Mercado_Receita!$S$2:$S$754,"44348B2BrancaRuralServiço público de irrigação ruralNão se aplicaNão se aplicaPonta",Mercado_Receita!$L$2:$L$754)</f>
        <v>0</v>
      </c>
      <c r="K35" s="12">
        <f>SUMIF(Mercado_Receita!$S$2:$S$754,"44378B2BrancaRuralServiço público de irrigação ruralNão se aplicaNão se aplicaPonta",Mercado_Receita!$L$2:$L$754)</f>
        <v>0</v>
      </c>
      <c r="L35" s="12">
        <f>SUMIF(Mercado_Receita!$S$2:$S$754,"44409B2BrancaRuralServiço público de irrigação ruralNão se aplicaNão se aplicaPonta",Mercado_Receita!$L$2:$L$754)</f>
        <v>0</v>
      </c>
      <c r="M35" s="12">
        <f>SUMIF(Mercado_Receita!$S$2:$S$754,"44440B2BrancaRuralServiço público de irrigação ruralNão se aplicaNão se aplicaPonta",Mercado_Receita!$L$2:$L$754)</f>
        <v>0</v>
      </c>
      <c r="N35" s="12">
        <f>SUMIF(Mercado_Receita!$S$2:$S$754,"44470B2BrancaRuralServiço público de irrigação ruralNão se aplicaNão se aplicaPonta",Mercado_Receita!$L$2:$L$754)</f>
        <v>0</v>
      </c>
      <c r="O35" s="12">
        <f>SUMIF(Mercado_Receita!$S$2:$S$754,"44501B2BrancaRuralServiço público de irrigação ruralNão se aplicaNão se aplicaPonta",Mercado_Receita!$L$2:$L$754)</f>
        <v>0</v>
      </c>
      <c r="P35" s="12">
        <f>SUMIF(Mercado_Receita!$S$2:$S$754,"44531B2BrancaRuralServiço público de irrigação ruralNão se aplicaNão se aplicaPonta",Mercado_Receita!$L$2:$L$754)</f>
        <v>0</v>
      </c>
      <c r="Q35" s="12">
        <f>SUMIF(Mercado_Receita!$S$2:$S$754,"44562B2BrancaRuralServiço público de irrigação ruralNão se aplicaNão se aplicaPonta",Mercado_Receita!$L$2:$L$754)</f>
        <v>0</v>
      </c>
      <c r="R35" s="12">
        <f>SUMIF(Mercado_Receita!$S$2:$S$754,"44593B2BrancaRuralServiço público de irrigação ruralNão se aplicaNão se aplicaPonta",Mercado_Receita!$L$2:$L$754)</f>
        <v>0</v>
      </c>
      <c r="S35" s="12">
        <f>SUMIF(Mercado_Receita!$S$2:$S$754,"44621B2BrancaRuralServiço público de irrigação ruralNão se aplicaNão se aplicaPonta",Mercado_Receita!$L$2:$L$754)</f>
        <v>0</v>
      </c>
      <c r="T35" s="12">
        <f>SUMIF(Mercado_Receita!$S$2:$S$754,"44652B2BrancaRuralServiço público de irrigação ruralNão se aplicaNão se aplicaPonta",Mercado_Receita!$L$2:$L$754)</f>
        <v>0</v>
      </c>
      <c r="U35" s="12">
        <f t="shared" si="0"/>
        <v>0</v>
      </c>
      <c r="V35" s="12"/>
      <c r="W35" s="12"/>
    </row>
    <row r="36" spans="1:23" ht="11.25" customHeight="1" x14ac:dyDescent="0.25">
      <c r="A36" s="117"/>
      <c r="B36" s="117"/>
      <c r="C36" s="117"/>
      <c r="D36" s="117"/>
      <c r="E36" s="117"/>
      <c r="F36" s="117"/>
      <c r="G36" s="12" t="s">
        <v>88</v>
      </c>
      <c r="H36" s="12" t="s">
        <v>76</v>
      </c>
      <c r="I36" s="12">
        <f>SUMIF(Mercado_Receita!$S$2:$S$754,"44317B2BrancaRuralServiço público de irrigação ruralNão se aplicaNão se aplicaIntermediário",Mercado_Receita!$L$2:$L$754)</f>
        <v>0</v>
      </c>
      <c r="J36" s="12">
        <f>SUMIF(Mercado_Receita!$S$2:$S$754,"44348B2BrancaRuralServiço público de irrigação ruralNão se aplicaNão se aplicaIntermediário",Mercado_Receita!$L$2:$L$754)</f>
        <v>0</v>
      </c>
      <c r="K36" s="12">
        <f>SUMIF(Mercado_Receita!$S$2:$S$754,"44378B2BrancaRuralServiço público de irrigação ruralNão se aplicaNão se aplicaIntermediário",Mercado_Receita!$L$2:$L$754)</f>
        <v>0</v>
      </c>
      <c r="L36" s="12">
        <f>SUMIF(Mercado_Receita!$S$2:$S$754,"44409B2BrancaRuralServiço público de irrigação ruralNão se aplicaNão se aplicaIntermediário",Mercado_Receita!$L$2:$L$754)</f>
        <v>0</v>
      </c>
      <c r="M36" s="12">
        <f>SUMIF(Mercado_Receita!$S$2:$S$754,"44440B2BrancaRuralServiço público de irrigação ruralNão se aplicaNão se aplicaIntermediário",Mercado_Receita!$L$2:$L$754)</f>
        <v>0</v>
      </c>
      <c r="N36" s="12">
        <f>SUMIF(Mercado_Receita!$S$2:$S$754,"44470B2BrancaRuralServiço público de irrigação ruralNão se aplicaNão se aplicaIntermediário",Mercado_Receita!$L$2:$L$754)</f>
        <v>0</v>
      </c>
      <c r="O36" s="12">
        <f>SUMIF(Mercado_Receita!$S$2:$S$754,"44501B2BrancaRuralServiço público de irrigação ruralNão se aplicaNão se aplicaIntermediário",Mercado_Receita!$L$2:$L$754)</f>
        <v>0</v>
      </c>
      <c r="P36" s="12">
        <f>SUMIF(Mercado_Receita!$S$2:$S$754,"44531B2BrancaRuralServiço público de irrigação ruralNão se aplicaNão se aplicaIntermediário",Mercado_Receita!$L$2:$L$754)</f>
        <v>0</v>
      </c>
      <c r="Q36" s="12">
        <f>SUMIF(Mercado_Receita!$S$2:$S$754,"44562B2BrancaRuralServiço público de irrigação ruralNão se aplicaNão se aplicaIntermediário",Mercado_Receita!$L$2:$L$754)</f>
        <v>0</v>
      </c>
      <c r="R36" s="12">
        <f>SUMIF(Mercado_Receita!$S$2:$S$754,"44593B2BrancaRuralServiço público de irrigação ruralNão se aplicaNão se aplicaIntermediário",Mercado_Receita!$L$2:$L$754)</f>
        <v>0</v>
      </c>
      <c r="S36" s="12">
        <f>SUMIF(Mercado_Receita!$S$2:$S$754,"44621B2BrancaRuralServiço público de irrigação ruralNão se aplicaNão se aplicaIntermediário",Mercado_Receita!$L$2:$L$754)</f>
        <v>0</v>
      </c>
      <c r="T36" s="12">
        <f>SUMIF(Mercado_Receita!$S$2:$S$754,"44652B2BrancaRuralServiço público de irrigação ruralNão se aplicaNão se aplicaIntermediário",Mercado_Receita!$L$2:$L$754)</f>
        <v>0</v>
      </c>
      <c r="U36" s="12">
        <f t="shared" si="0"/>
        <v>0</v>
      </c>
      <c r="V36" s="12"/>
      <c r="W36" s="12"/>
    </row>
    <row r="37" spans="1:23" ht="11.25" customHeight="1" x14ac:dyDescent="0.25">
      <c r="A37" s="117"/>
      <c r="B37" s="117"/>
      <c r="C37" s="117"/>
      <c r="D37" s="117"/>
      <c r="E37" s="117"/>
      <c r="F37" s="117"/>
      <c r="G37" s="12" t="s">
        <v>78</v>
      </c>
      <c r="H37" s="12" t="s">
        <v>76</v>
      </c>
      <c r="I37" s="12">
        <f>SUMIF(Mercado_Receita!$S$2:$S$754,"44317B2BrancaRuralServiço público de irrigação ruralNão se aplicaNão se aplicaFora ponta",Mercado_Receita!$L$2:$L$754)</f>
        <v>0</v>
      </c>
      <c r="J37" s="12">
        <f>SUMIF(Mercado_Receita!$S$2:$S$754,"44348B2BrancaRuralServiço público de irrigação ruralNão se aplicaNão se aplicaFora ponta",Mercado_Receita!$L$2:$L$754)</f>
        <v>0</v>
      </c>
      <c r="K37" s="12">
        <f>SUMIF(Mercado_Receita!$S$2:$S$754,"44378B2BrancaRuralServiço público de irrigação ruralNão se aplicaNão se aplicaFora ponta",Mercado_Receita!$L$2:$L$754)</f>
        <v>0</v>
      </c>
      <c r="L37" s="12">
        <f>SUMIF(Mercado_Receita!$S$2:$S$754,"44409B2BrancaRuralServiço público de irrigação ruralNão se aplicaNão se aplicaFora ponta",Mercado_Receita!$L$2:$L$754)</f>
        <v>0</v>
      </c>
      <c r="M37" s="12">
        <f>SUMIF(Mercado_Receita!$S$2:$S$754,"44440B2BrancaRuralServiço público de irrigação ruralNão se aplicaNão se aplicaFora ponta",Mercado_Receita!$L$2:$L$754)</f>
        <v>0</v>
      </c>
      <c r="N37" s="12">
        <f>SUMIF(Mercado_Receita!$S$2:$S$754,"44470B2BrancaRuralServiço público de irrigação ruralNão se aplicaNão se aplicaFora ponta",Mercado_Receita!$L$2:$L$754)</f>
        <v>0</v>
      </c>
      <c r="O37" s="12">
        <f>SUMIF(Mercado_Receita!$S$2:$S$754,"44501B2BrancaRuralServiço público de irrigação ruralNão se aplicaNão se aplicaFora ponta",Mercado_Receita!$L$2:$L$754)</f>
        <v>0</v>
      </c>
      <c r="P37" s="12">
        <f>SUMIF(Mercado_Receita!$S$2:$S$754,"44531B2BrancaRuralServiço público de irrigação ruralNão se aplicaNão se aplicaFora ponta",Mercado_Receita!$L$2:$L$754)</f>
        <v>0</v>
      </c>
      <c r="Q37" s="12">
        <f>SUMIF(Mercado_Receita!$S$2:$S$754,"44562B2BrancaRuralServiço público de irrigação ruralNão se aplicaNão se aplicaFora ponta",Mercado_Receita!$L$2:$L$754)</f>
        <v>0</v>
      </c>
      <c r="R37" s="12">
        <f>SUMIF(Mercado_Receita!$S$2:$S$754,"44593B2BrancaRuralServiço público de irrigação ruralNão se aplicaNão se aplicaFora ponta",Mercado_Receita!$L$2:$L$754)</f>
        <v>0</v>
      </c>
      <c r="S37" s="12">
        <f>SUMIF(Mercado_Receita!$S$2:$S$754,"44621B2BrancaRuralServiço público de irrigação ruralNão se aplicaNão se aplicaFora ponta",Mercado_Receita!$L$2:$L$754)</f>
        <v>0</v>
      </c>
      <c r="T37" s="12">
        <f>SUMIF(Mercado_Receita!$S$2:$S$754,"44652B2BrancaRuralServiço público de irrigação ruralNão se aplicaNão se aplicaFora ponta",Mercado_Receita!$L$2:$L$754)</f>
        <v>0</v>
      </c>
      <c r="U37" s="12">
        <f t="shared" si="0"/>
        <v>0</v>
      </c>
      <c r="V37" s="12"/>
      <c r="W37" s="12"/>
    </row>
    <row r="38" spans="1:23" ht="11.25" customHeight="1" x14ac:dyDescent="0.25">
      <c r="A38" s="117"/>
      <c r="B38" s="13" t="s">
        <v>23</v>
      </c>
      <c r="C38" s="13" t="s">
        <v>44</v>
      </c>
      <c r="D38" s="13" t="s">
        <v>93</v>
      </c>
      <c r="E38" s="13" t="s">
        <v>25</v>
      </c>
      <c r="F38" s="13" t="s">
        <v>25</v>
      </c>
      <c r="G38" s="12" t="s">
        <v>82</v>
      </c>
      <c r="H38" s="12" t="s">
        <v>76</v>
      </c>
      <c r="I38" s="12">
        <f>SUMIF(Mercado_Receita!$S$2:$S$754,"44317B2ConvencionalRuralServiço público de irrigação ruralNão se aplicaNão se aplicaPonta",Mercado_Receita!$L$2:$L$754)+SUMIF(Mercado_Receita!$S$2:$S$754,"44317B2ConvencionalRuralServiço público de irrigação ruralNão se aplicaNão se aplicaFora ponta",Mercado_Receita!$L$2:$L$754)+SUMIF(Mercado_Receita!$S$2:$S$754,"44317B2ConvencionalRuralServiço público de irrigação ruralNão se aplicaNão se aplicaIntermediário",Mercado_Receita!$L$2:$L$754)+SUMIF(Mercado_Receita!$S$2:$S$754,"44317B2ConvencionalRuralServiço público de irrigação ruralNão se aplicaNão se aplicaNão se aplica",Mercado_Receita!$L$2:$L$754)</f>
        <v>0</v>
      </c>
      <c r="J38" s="12">
        <f>SUMIF(Mercado_Receita!$S$2:$S$754,"44348B2ConvencionalRuralServiço público de irrigação ruralNão se aplicaNão se aplicaPonta",Mercado_Receita!$L$2:$L$754)+SUMIF(Mercado_Receita!$S$2:$S$754,"44348B2ConvencionalRuralServiço público de irrigação ruralNão se aplicaNão se aplicaFora ponta",Mercado_Receita!$L$2:$L$754)+SUMIF(Mercado_Receita!$S$2:$S$754,"44348B2ConvencionalRuralServiço público de irrigação ruralNão se aplicaNão se aplicaIntermediário",Mercado_Receita!$L$2:$L$754)+SUMIF(Mercado_Receita!$S$2:$S$754,"44348B2ConvencionalRuralServiço público de irrigação ruralNão se aplicaNão se aplicaNão se aplica",Mercado_Receita!$L$2:$L$754)</f>
        <v>0</v>
      </c>
      <c r="K38" s="12">
        <f>SUMIF(Mercado_Receita!$S$2:$S$754,"44378B2ConvencionalRuralServiço público de irrigação ruralNão se aplicaNão se aplicaPonta",Mercado_Receita!$L$2:$L$754)+SUMIF(Mercado_Receita!$S$2:$S$754,"44378B2ConvencionalRuralServiço público de irrigação ruralNão se aplicaNão se aplicaFora ponta",Mercado_Receita!$L$2:$L$754)+SUMIF(Mercado_Receita!$S$2:$S$754,"44378B2ConvencionalRuralServiço público de irrigação ruralNão se aplicaNão se aplicaIntermediário",Mercado_Receita!$L$2:$L$754)+SUMIF(Mercado_Receita!$S$2:$S$754,"44378B2ConvencionalRuralServiço público de irrigação ruralNão se aplicaNão se aplicaNão se aplica",Mercado_Receita!$L$2:$L$754)</f>
        <v>0</v>
      </c>
      <c r="L38" s="12">
        <f>SUMIF(Mercado_Receita!$S$2:$S$754,"44409B2ConvencionalRuralServiço público de irrigação ruralNão se aplicaNão se aplicaPonta",Mercado_Receita!$L$2:$L$754)+SUMIF(Mercado_Receita!$S$2:$S$754,"44409B2ConvencionalRuralServiço público de irrigação ruralNão se aplicaNão se aplicaFora ponta",Mercado_Receita!$L$2:$L$754)+SUMIF(Mercado_Receita!$S$2:$S$754,"44409B2ConvencionalRuralServiço público de irrigação ruralNão se aplicaNão se aplicaIntermediário",Mercado_Receita!$L$2:$L$754)+SUMIF(Mercado_Receita!$S$2:$S$754,"44409B2ConvencionalRuralServiço público de irrigação ruralNão se aplicaNão se aplicaNão se aplica",Mercado_Receita!$L$2:$L$754)</f>
        <v>0</v>
      </c>
      <c r="M38" s="12">
        <f>SUMIF(Mercado_Receita!$S$2:$S$754,"44440B2ConvencionalRuralServiço público de irrigação ruralNão se aplicaNão se aplicaPonta",Mercado_Receita!$L$2:$L$754)+SUMIF(Mercado_Receita!$S$2:$S$754,"44440B2ConvencionalRuralServiço público de irrigação ruralNão se aplicaNão se aplicaFora ponta",Mercado_Receita!$L$2:$L$754)+SUMIF(Mercado_Receita!$S$2:$S$754,"44440B2ConvencionalRuralServiço público de irrigação ruralNão se aplicaNão se aplicaIntermediário",Mercado_Receita!$L$2:$L$754)+SUMIF(Mercado_Receita!$S$2:$S$754,"44440B2ConvencionalRuralServiço público de irrigação ruralNão se aplicaNão se aplicaNão se aplica",Mercado_Receita!$L$2:$L$754)</f>
        <v>0</v>
      </c>
      <c r="N38" s="12">
        <f>SUMIF(Mercado_Receita!$S$2:$S$754,"44470B2ConvencionalRuralServiço público de irrigação ruralNão se aplicaNão se aplicaPonta",Mercado_Receita!$L$2:$L$754)+SUMIF(Mercado_Receita!$S$2:$S$754,"44470B2ConvencionalRuralServiço público de irrigação ruralNão se aplicaNão se aplicaFora ponta",Mercado_Receita!$L$2:$L$754)+SUMIF(Mercado_Receita!$S$2:$S$754,"44470B2ConvencionalRuralServiço público de irrigação ruralNão se aplicaNão se aplicaIntermediário",Mercado_Receita!$L$2:$L$754)+SUMIF(Mercado_Receita!$S$2:$S$754,"44470B2ConvencionalRuralServiço público de irrigação ruralNão se aplicaNão se aplicaNão se aplica",Mercado_Receita!$L$2:$L$754)</f>
        <v>0</v>
      </c>
      <c r="O38" s="12">
        <f>SUMIF(Mercado_Receita!$S$2:$S$754,"44501B2ConvencionalRuralServiço público de irrigação ruralNão se aplicaNão se aplicaPonta",Mercado_Receita!$L$2:$L$754)+SUMIF(Mercado_Receita!$S$2:$S$754,"44501B2ConvencionalRuralServiço público de irrigação ruralNão se aplicaNão se aplicaFora ponta",Mercado_Receita!$L$2:$L$754)+SUMIF(Mercado_Receita!$S$2:$S$754,"44501B2ConvencionalRuralServiço público de irrigação ruralNão se aplicaNão se aplicaIntermediário",Mercado_Receita!$L$2:$L$754)+SUMIF(Mercado_Receita!$S$2:$S$754,"44501B2ConvencionalRuralServiço público de irrigação ruralNão se aplicaNão se aplicaNão se aplica",Mercado_Receita!$L$2:$L$754)</f>
        <v>0</v>
      </c>
      <c r="P38" s="12">
        <f>SUMIF(Mercado_Receita!$S$2:$S$754,"44531B2ConvencionalRuralServiço público de irrigação ruralNão se aplicaNão se aplicaPonta",Mercado_Receita!$L$2:$L$754)+SUMIF(Mercado_Receita!$S$2:$S$754,"44531B2ConvencionalRuralServiço público de irrigação ruralNão se aplicaNão se aplicaFora ponta",Mercado_Receita!$L$2:$L$754)+SUMIF(Mercado_Receita!$S$2:$S$754,"44531B2ConvencionalRuralServiço público de irrigação ruralNão se aplicaNão se aplicaIntermediário",Mercado_Receita!$L$2:$L$754)+SUMIF(Mercado_Receita!$S$2:$S$754,"44531B2ConvencionalRuralServiço público de irrigação ruralNão se aplicaNão se aplicaNão se aplica",Mercado_Receita!$L$2:$L$754)</f>
        <v>0</v>
      </c>
      <c r="Q38" s="12">
        <f>SUMIF(Mercado_Receita!$S$2:$S$754,"44562B2ConvencionalRuralServiço público de irrigação ruralNão se aplicaNão se aplicaPonta",Mercado_Receita!$L$2:$L$754)+SUMIF(Mercado_Receita!$S$2:$S$754,"44562B2ConvencionalRuralServiço público de irrigação ruralNão se aplicaNão se aplicaFora ponta",Mercado_Receita!$L$2:$L$754)+SUMIF(Mercado_Receita!$S$2:$S$754,"44562B2ConvencionalRuralServiço público de irrigação ruralNão se aplicaNão se aplicaIntermediário",Mercado_Receita!$L$2:$L$754)+SUMIF(Mercado_Receita!$S$2:$S$754,"44562B2ConvencionalRuralServiço público de irrigação ruralNão se aplicaNão se aplicaNão se aplica",Mercado_Receita!$L$2:$L$754)</f>
        <v>0</v>
      </c>
      <c r="R38" s="12">
        <f>SUMIF(Mercado_Receita!$S$2:$S$754,"44593B2ConvencionalRuralServiço público de irrigação ruralNão se aplicaNão se aplicaPonta",Mercado_Receita!$L$2:$L$754)+SUMIF(Mercado_Receita!$S$2:$S$754,"44593B2ConvencionalRuralServiço público de irrigação ruralNão se aplicaNão se aplicaFora ponta",Mercado_Receita!$L$2:$L$754)+SUMIF(Mercado_Receita!$S$2:$S$754,"44593B2ConvencionalRuralServiço público de irrigação ruralNão se aplicaNão se aplicaIntermediário",Mercado_Receita!$L$2:$L$754)+SUMIF(Mercado_Receita!$S$2:$S$754,"44593B2ConvencionalRuralServiço público de irrigação ruralNão se aplicaNão se aplicaNão se aplica",Mercado_Receita!$L$2:$L$754)</f>
        <v>0</v>
      </c>
      <c r="S38" s="12">
        <f>SUMIF(Mercado_Receita!$S$2:$S$754,"44621B2ConvencionalRuralServiço público de irrigação ruralNão se aplicaNão se aplicaPonta",Mercado_Receita!$L$2:$L$754)+SUMIF(Mercado_Receita!$S$2:$S$754,"44621B2ConvencionalRuralServiço público de irrigação ruralNão se aplicaNão se aplicaFora ponta",Mercado_Receita!$L$2:$L$754)+SUMIF(Mercado_Receita!$S$2:$S$754,"44621B2ConvencionalRuralServiço público de irrigação ruralNão se aplicaNão se aplicaIntermediário",Mercado_Receita!$L$2:$L$754)+SUMIF(Mercado_Receita!$S$2:$S$754,"44621B2ConvencionalRuralServiço público de irrigação ruralNão se aplicaNão se aplicaNão se aplica",Mercado_Receita!$L$2:$L$754)</f>
        <v>0</v>
      </c>
      <c r="T38" s="12">
        <f>SUMIF(Mercado_Receita!$S$2:$S$754,"44652B2ConvencionalRuralServiço público de irrigação ruralNão se aplicaNão se aplicaPonta",Mercado_Receita!$L$2:$L$754)+SUMIF(Mercado_Receita!$S$2:$S$754,"44652B2ConvencionalRuralServiço público de irrigação ruralNão se aplicaNão se aplicaFora ponta",Mercado_Receita!$L$2:$L$754)+SUMIF(Mercado_Receita!$S$2:$S$754,"44652B2ConvencionalRuralServiço público de irrigação ruralNão se aplicaNão se aplicaIntermediário",Mercado_Receita!$L$2:$L$754)+SUMIF(Mercado_Receita!$S$2:$S$754,"44652B2ConvencionalRuralServiço público de irrigação ruralNão se aplicaNão se aplicaNão se aplica",Mercado_Receita!$L$2:$L$754)</f>
        <v>0</v>
      </c>
      <c r="U38" s="12">
        <f t="shared" si="0"/>
        <v>0</v>
      </c>
      <c r="V38" s="12"/>
      <c r="W38" s="12"/>
    </row>
    <row r="39" spans="1:23" ht="11.25" customHeight="1" x14ac:dyDescent="0.25">
      <c r="A39" s="117"/>
      <c r="B39" s="116" t="s">
        <v>91</v>
      </c>
      <c r="C39" s="116" t="s">
        <v>44</v>
      </c>
      <c r="D39" s="13" t="s">
        <v>25</v>
      </c>
      <c r="E39" s="13" t="s">
        <v>25</v>
      </c>
      <c r="F39" s="13" t="s">
        <v>25</v>
      </c>
      <c r="G39" s="12" t="s">
        <v>82</v>
      </c>
      <c r="H39" s="12" t="s">
        <v>76</v>
      </c>
      <c r="I39" s="12">
        <f>SUMIF(Mercado_Receita!$S$2:$S$754,"44317B2Convencional pré-pagamentoRuralNão se aplicaNão se aplicaNão se aplicaPonta",Mercado_Receita!$L$2:$L$754)+SUMIF(Mercado_Receita!$S$2:$S$754,"44317B2Convencional pré-pagamentoRuralNão se aplicaNão se aplicaNão se aplicaFora ponta",Mercado_Receita!$L$2:$L$754)+SUMIF(Mercado_Receita!$S$2:$S$754,"44317B2Convencional pré-pagamentoRuralNão se aplicaNão se aplicaNão se aplicaIntermediário",Mercado_Receita!$L$2:$L$754)+SUMIF(Mercado_Receita!$S$2:$S$754,"44317B2Convencional pré-pagamentoRuralNão se aplicaNão se aplicaNão se aplicaNão se aplica",Mercado_Receita!$L$2:$L$754)</f>
        <v>0</v>
      </c>
      <c r="J39" s="12">
        <f>SUMIF(Mercado_Receita!$S$2:$S$754,"44348B2Convencional pré-pagamentoRuralNão se aplicaNão se aplicaNão se aplicaPonta",Mercado_Receita!$L$2:$L$754)+SUMIF(Mercado_Receita!$S$2:$S$754,"44348B2Convencional pré-pagamentoRuralNão se aplicaNão se aplicaNão se aplicaFora ponta",Mercado_Receita!$L$2:$L$754)+SUMIF(Mercado_Receita!$S$2:$S$754,"44348B2Convencional pré-pagamentoRuralNão se aplicaNão se aplicaNão se aplicaIntermediário",Mercado_Receita!$L$2:$L$754)+SUMIF(Mercado_Receita!$S$2:$S$754,"44348B2Convencional pré-pagamentoRuralNão se aplicaNão se aplicaNão se aplicaNão se aplica",Mercado_Receita!$L$2:$L$754)</f>
        <v>0</v>
      </c>
      <c r="K39" s="12">
        <f>SUMIF(Mercado_Receita!$S$2:$S$754,"44378B2Convencional pré-pagamentoRuralNão se aplicaNão se aplicaNão se aplicaPonta",Mercado_Receita!$L$2:$L$754)+SUMIF(Mercado_Receita!$S$2:$S$754,"44378B2Convencional pré-pagamentoRuralNão se aplicaNão se aplicaNão se aplicaFora ponta",Mercado_Receita!$L$2:$L$754)+SUMIF(Mercado_Receita!$S$2:$S$754,"44378B2Convencional pré-pagamentoRuralNão se aplicaNão se aplicaNão se aplicaIntermediário",Mercado_Receita!$L$2:$L$754)+SUMIF(Mercado_Receita!$S$2:$S$754,"44378B2Convencional pré-pagamentoRuralNão se aplicaNão se aplicaNão se aplicaNão se aplica",Mercado_Receita!$L$2:$L$754)</f>
        <v>0</v>
      </c>
      <c r="L39" s="12">
        <f>SUMIF(Mercado_Receita!$S$2:$S$754,"44409B2Convencional pré-pagamentoRuralNão se aplicaNão se aplicaNão se aplicaPonta",Mercado_Receita!$L$2:$L$754)+SUMIF(Mercado_Receita!$S$2:$S$754,"44409B2Convencional pré-pagamentoRuralNão se aplicaNão se aplicaNão se aplicaFora ponta",Mercado_Receita!$L$2:$L$754)+SUMIF(Mercado_Receita!$S$2:$S$754,"44409B2Convencional pré-pagamentoRuralNão se aplicaNão se aplicaNão se aplicaIntermediário",Mercado_Receita!$L$2:$L$754)+SUMIF(Mercado_Receita!$S$2:$S$754,"44409B2Convencional pré-pagamentoRuralNão se aplicaNão se aplicaNão se aplicaNão se aplica",Mercado_Receita!$L$2:$L$754)</f>
        <v>0</v>
      </c>
      <c r="M39" s="12">
        <f>SUMIF(Mercado_Receita!$S$2:$S$754,"44440B2Convencional pré-pagamentoRuralNão se aplicaNão se aplicaNão se aplicaPonta",Mercado_Receita!$L$2:$L$754)+SUMIF(Mercado_Receita!$S$2:$S$754,"44440B2Convencional pré-pagamentoRuralNão se aplicaNão se aplicaNão se aplicaFora ponta",Mercado_Receita!$L$2:$L$754)+SUMIF(Mercado_Receita!$S$2:$S$754,"44440B2Convencional pré-pagamentoRuralNão se aplicaNão se aplicaNão se aplicaIntermediário",Mercado_Receita!$L$2:$L$754)+SUMIF(Mercado_Receita!$S$2:$S$754,"44440B2Convencional pré-pagamentoRuralNão se aplicaNão se aplicaNão se aplicaNão se aplica",Mercado_Receita!$L$2:$L$754)</f>
        <v>0</v>
      </c>
      <c r="N39" s="12">
        <f>SUMIF(Mercado_Receita!$S$2:$S$754,"44470B2Convencional pré-pagamentoRuralNão se aplicaNão se aplicaNão se aplicaPonta",Mercado_Receita!$L$2:$L$754)+SUMIF(Mercado_Receita!$S$2:$S$754,"44470B2Convencional pré-pagamentoRuralNão se aplicaNão se aplicaNão se aplicaFora ponta",Mercado_Receita!$L$2:$L$754)+SUMIF(Mercado_Receita!$S$2:$S$754,"44470B2Convencional pré-pagamentoRuralNão se aplicaNão se aplicaNão se aplicaIntermediário",Mercado_Receita!$L$2:$L$754)+SUMIF(Mercado_Receita!$S$2:$S$754,"44470B2Convencional pré-pagamentoRuralNão se aplicaNão se aplicaNão se aplicaNão se aplica",Mercado_Receita!$L$2:$L$754)</f>
        <v>0</v>
      </c>
      <c r="O39" s="12">
        <f>SUMIF(Mercado_Receita!$S$2:$S$754,"44501B2Convencional pré-pagamentoRuralNão se aplicaNão se aplicaNão se aplicaPonta",Mercado_Receita!$L$2:$L$754)+SUMIF(Mercado_Receita!$S$2:$S$754,"44501B2Convencional pré-pagamentoRuralNão se aplicaNão se aplicaNão se aplicaFora ponta",Mercado_Receita!$L$2:$L$754)+SUMIF(Mercado_Receita!$S$2:$S$754,"44501B2Convencional pré-pagamentoRuralNão se aplicaNão se aplicaNão se aplicaIntermediário",Mercado_Receita!$L$2:$L$754)+SUMIF(Mercado_Receita!$S$2:$S$754,"44501B2Convencional pré-pagamentoRuralNão se aplicaNão se aplicaNão se aplicaNão se aplica",Mercado_Receita!$L$2:$L$754)</f>
        <v>0</v>
      </c>
      <c r="P39" s="12">
        <f>SUMIF(Mercado_Receita!$S$2:$S$754,"44531B2Convencional pré-pagamentoRuralNão se aplicaNão se aplicaNão se aplicaPonta",Mercado_Receita!$L$2:$L$754)+SUMIF(Mercado_Receita!$S$2:$S$754,"44531B2Convencional pré-pagamentoRuralNão se aplicaNão se aplicaNão se aplicaFora ponta",Mercado_Receita!$L$2:$L$754)+SUMIF(Mercado_Receita!$S$2:$S$754,"44531B2Convencional pré-pagamentoRuralNão se aplicaNão se aplicaNão se aplicaIntermediário",Mercado_Receita!$L$2:$L$754)+SUMIF(Mercado_Receita!$S$2:$S$754,"44531B2Convencional pré-pagamentoRuralNão se aplicaNão se aplicaNão se aplicaNão se aplica",Mercado_Receita!$L$2:$L$754)</f>
        <v>0</v>
      </c>
      <c r="Q39" s="12">
        <f>SUMIF(Mercado_Receita!$S$2:$S$754,"44562B2Convencional pré-pagamentoRuralNão se aplicaNão se aplicaNão se aplicaPonta",Mercado_Receita!$L$2:$L$754)+SUMIF(Mercado_Receita!$S$2:$S$754,"44562B2Convencional pré-pagamentoRuralNão se aplicaNão se aplicaNão se aplicaFora ponta",Mercado_Receita!$L$2:$L$754)+SUMIF(Mercado_Receita!$S$2:$S$754,"44562B2Convencional pré-pagamentoRuralNão se aplicaNão se aplicaNão se aplicaIntermediário",Mercado_Receita!$L$2:$L$754)+SUMIF(Mercado_Receita!$S$2:$S$754,"44562B2Convencional pré-pagamentoRuralNão se aplicaNão se aplicaNão se aplicaNão se aplica",Mercado_Receita!$L$2:$L$754)</f>
        <v>0</v>
      </c>
      <c r="R39" s="12">
        <f>SUMIF(Mercado_Receita!$S$2:$S$754,"44593B2Convencional pré-pagamentoRuralNão se aplicaNão se aplicaNão se aplicaPonta",Mercado_Receita!$L$2:$L$754)+SUMIF(Mercado_Receita!$S$2:$S$754,"44593B2Convencional pré-pagamentoRuralNão se aplicaNão se aplicaNão se aplicaFora ponta",Mercado_Receita!$L$2:$L$754)+SUMIF(Mercado_Receita!$S$2:$S$754,"44593B2Convencional pré-pagamentoRuralNão se aplicaNão se aplicaNão se aplicaIntermediário",Mercado_Receita!$L$2:$L$754)+SUMIF(Mercado_Receita!$S$2:$S$754,"44593B2Convencional pré-pagamentoRuralNão se aplicaNão se aplicaNão se aplicaNão se aplica",Mercado_Receita!$L$2:$L$754)</f>
        <v>0</v>
      </c>
      <c r="S39" s="12">
        <f>SUMIF(Mercado_Receita!$S$2:$S$754,"44621B2Convencional pré-pagamentoRuralNão se aplicaNão se aplicaNão se aplicaPonta",Mercado_Receita!$L$2:$L$754)+SUMIF(Mercado_Receita!$S$2:$S$754,"44621B2Convencional pré-pagamentoRuralNão se aplicaNão se aplicaNão se aplicaFora ponta",Mercado_Receita!$L$2:$L$754)+SUMIF(Mercado_Receita!$S$2:$S$754,"44621B2Convencional pré-pagamentoRuralNão se aplicaNão se aplicaNão se aplicaIntermediário",Mercado_Receita!$L$2:$L$754)+SUMIF(Mercado_Receita!$S$2:$S$754,"44621B2Convencional pré-pagamentoRuralNão se aplicaNão se aplicaNão se aplicaNão se aplica",Mercado_Receita!$L$2:$L$754)</f>
        <v>0</v>
      </c>
      <c r="T39" s="12">
        <f>SUMIF(Mercado_Receita!$S$2:$S$754,"44652B2Convencional pré-pagamentoRuralNão se aplicaNão se aplicaNão se aplicaPonta",Mercado_Receita!$L$2:$L$754)+SUMIF(Mercado_Receita!$S$2:$S$754,"44652B2Convencional pré-pagamentoRuralNão se aplicaNão se aplicaNão se aplicaFora ponta",Mercado_Receita!$L$2:$L$754)+SUMIF(Mercado_Receita!$S$2:$S$754,"44652B2Convencional pré-pagamentoRuralNão se aplicaNão se aplicaNão se aplicaIntermediário",Mercado_Receita!$L$2:$L$754)+SUMIF(Mercado_Receita!$S$2:$S$754,"44652B2Convencional pré-pagamentoRuralNão se aplicaNão se aplicaNão se aplicaNão se aplica",Mercado_Receita!$L$2:$L$754)</f>
        <v>0</v>
      </c>
      <c r="U39" s="12">
        <f t="shared" si="0"/>
        <v>0</v>
      </c>
      <c r="V39" s="12"/>
      <c r="W39" s="12"/>
    </row>
    <row r="40" spans="1:23" ht="11.25" customHeight="1" x14ac:dyDescent="0.25">
      <c r="A40" s="117"/>
      <c r="B40" s="117"/>
      <c r="C40" s="117"/>
      <c r="D40" s="13" t="s">
        <v>92</v>
      </c>
      <c r="E40" s="13" t="s">
        <v>25</v>
      </c>
      <c r="F40" s="13" t="s">
        <v>25</v>
      </c>
      <c r="G40" s="12" t="s">
        <v>82</v>
      </c>
      <c r="H40" s="12" t="s">
        <v>76</v>
      </c>
      <c r="I40" s="12">
        <f>SUMIF(Mercado_Receita!$S$2:$S$754,"44317B2Convencional pré-pagamentoRuralCooperativa de eletrificação ruralNão se aplicaNão se aplicaPonta",Mercado_Receita!$L$2:$L$754)+SUMIF(Mercado_Receita!$S$2:$S$754,"44317B2Convencional pré-pagamentoRuralCooperativa de eletrificação ruralNão se aplicaNão se aplicaFora ponta",Mercado_Receita!$L$2:$L$754)+SUMIF(Mercado_Receita!$S$2:$S$754,"44317B2Convencional pré-pagamentoRuralCooperativa de eletrificação ruralNão se aplicaNão se aplicaIntermediário",Mercado_Receita!$L$2:$L$754)+SUMIF(Mercado_Receita!$S$2:$S$754,"44317B2Convencional pré-pagamentoRuralCooperativa de eletrificação ruralNão se aplicaNão se aplicaNão se aplica",Mercado_Receita!$L$2:$L$754)</f>
        <v>0</v>
      </c>
      <c r="J40" s="12">
        <f>SUMIF(Mercado_Receita!$S$2:$S$754,"44348B2Convencional pré-pagamentoRuralCooperativa de eletrificação ruralNão se aplicaNão se aplicaPonta",Mercado_Receita!$L$2:$L$754)+SUMIF(Mercado_Receita!$S$2:$S$754,"44348B2Convencional pré-pagamentoRuralCooperativa de eletrificação ruralNão se aplicaNão se aplicaFora ponta",Mercado_Receita!$L$2:$L$754)+SUMIF(Mercado_Receita!$S$2:$S$754,"44348B2Convencional pré-pagamentoRuralCooperativa de eletrificação ruralNão se aplicaNão se aplicaIntermediário",Mercado_Receita!$L$2:$L$754)+SUMIF(Mercado_Receita!$S$2:$S$754,"44348B2Convencional pré-pagamentoRuralCooperativa de eletrificação ruralNão se aplicaNão se aplicaNão se aplica",Mercado_Receita!$L$2:$L$754)</f>
        <v>0</v>
      </c>
      <c r="K40" s="12">
        <f>SUMIF(Mercado_Receita!$S$2:$S$754,"44378B2Convencional pré-pagamentoRuralCooperativa de eletrificação ruralNão se aplicaNão se aplicaPonta",Mercado_Receita!$L$2:$L$754)+SUMIF(Mercado_Receita!$S$2:$S$754,"44378B2Convencional pré-pagamentoRuralCooperativa de eletrificação ruralNão se aplicaNão se aplicaFora ponta",Mercado_Receita!$L$2:$L$754)+SUMIF(Mercado_Receita!$S$2:$S$754,"44378B2Convencional pré-pagamentoRuralCooperativa de eletrificação ruralNão se aplicaNão se aplicaIntermediário",Mercado_Receita!$L$2:$L$754)+SUMIF(Mercado_Receita!$S$2:$S$754,"44378B2Convencional pré-pagamentoRuralCooperativa de eletrificação ruralNão se aplicaNão se aplicaNão se aplica",Mercado_Receita!$L$2:$L$754)</f>
        <v>0</v>
      </c>
      <c r="L40" s="12">
        <f>SUMIF(Mercado_Receita!$S$2:$S$754,"44409B2Convencional pré-pagamentoRuralCooperativa de eletrificação ruralNão se aplicaNão se aplicaPonta",Mercado_Receita!$L$2:$L$754)+SUMIF(Mercado_Receita!$S$2:$S$754,"44409B2Convencional pré-pagamentoRuralCooperativa de eletrificação ruralNão se aplicaNão se aplicaFora ponta",Mercado_Receita!$L$2:$L$754)+SUMIF(Mercado_Receita!$S$2:$S$754,"44409B2Convencional pré-pagamentoRuralCooperativa de eletrificação ruralNão se aplicaNão se aplicaIntermediário",Mercado_Receita!$L$2:$L$754)+SUMIF(Mercado_Receita!$S$2:$S$754,"44409B2Convencional pré-pagamentoRuralCooperativa de eletrificação ruralNão se aplicaNão se aplicaNão se aplica",Mercado_Receita!$L$2:$L$754)</f>
        <v>0</v>
      </c>
      <c r="M40" s="12">
        <f>SUMIF(Mercado_Receita!$S$2:$S$754,"44440B2Convencional pré-pagamentoRuralCooperativa de eletrificação ruralNão se aplicaNão se aplicaPonta",Mercado_Receita!$L$2:$L$754)+SUMIF(Mercado_Receita!$S$2:$S$754,"44440B2Convencional pré-pagamentoRuralCooperativa de eletrificação ruralNão se aplicaNão se aplicaFora ponta",Mercado_Receita!$L$2:$L$754)+SUMIF(Mercado_Receita!$S$2:$S$754,"44440B2Convencional pré-pagamentoRuralCooperativa de eletrificação ruralNão se aplicaNão se aplicaIntermediário",Mercado_Receita!$L$2:$L$754)+SUMIF(Mercado_Receita!$S$2:$S$754,"44440B2Convencional pré-pagamentoRuralCooperativa de eletrificação ruralNão se aplicaNão se aplicaNão se aplica",Mercado_Receita!$L$2:$L$754)</f>
        <v>0</v>
      </c>
      <c r="N40" s="12">
        <f>SUMIF(Mercado_Receita!$S$2:$S$754,"44470B2Convencional pré-pagamentoRuralCooperativa de eletrificação ruralNão se aplicaNão se aplicaPonta",Mercado_Receita!$L$2:$L$754)+SUMIF(Mercado_Receita!$S$2:$S$754,"44470B2Convencional pré-pagamentoRuralCooperativa de eletrificação ruralNão se aplicaNão se aplicaFora ponta",Mercado_Receita!$L$2:$L$754)+SUMIF(Mercado_Receita!$S$2:$S$754,"44470B2Convencional pré-pagamentoRuralCooperativa de eletrificação ruralNão se aplicaNão se aplicaIntermediário",Mercado_Receita!$L$2:$L$754)+SUMIF(Mercado_Receita!$S$2:$S$754,"44470B2Convencional pré-pagamentoRuralCooperativa de eletrificação ruralNão se aplicaNão se aplicaNão se aplica",Mercado_Receita!$L$2:$L$754)</f>
        <v>0</v>
      </c>
      <c r="O40" s="12">
        <f>SUMIF(Mercado_Receita!$S$2:$S$754,"44501B2Convencional pré-pagamentoRuralCooperativa de eletrificação ruralNão se aplicaNão se aplicaPonta",Mercado_Receita!$L$2:$L$754)+SUMIF(Mercado_Receita!$S$2:$S$754,"44501B2Convencional pré-pagamentoRuralCooperativa de eletrificação ruralNão se aplicaNão se aplicaFora ponta",Mercado_Receita!$L$2:$L$754)+SUMIF(Mercado_Receita!$S$2:$S$754,"44501B2Convencional pré-pagamentoRuralCooperativa de eletrificação ruralNão se aplicaNão se aplicaIntermediário",Mercado_Receita!$L$2:$L$754)+SUMIF(Mercado_Receita!$S$2:$S$754,"44501B2Convencional pré-pagamentoRuralCooperativa de eletrificação ruralNão se aplicaNão se aplicaNão se aplica",Mercado_Receita!$L$2:$L$754)</f>
        <v>0</v>
      </c>
      <c r="P40" s="12">
        <f>SUMIF(Mercado_Receita!$S$2:$S$754,"44531B2Convencional pré-pagamentoRuralCooperativa de eletrificação ruralNão se aplicaNão se aplicaPonta",Mercado_Receita!$L$2:$L$754)+SUMIF(Mercado_Receita!$S$2:$S$754,"44531B2Convencional pré-pagamentoRuralCooperativa de eletrificação ruralNão se aplicaNão se aplicaFora ponta",Mercado_Receita!$L$2:$L$754)+SUMIF(Mercado_Receita!$S$2:$S$754,"44531B2Convencional pré-pagamentoRuralCooperativa de eletrificação ruralNão se aplicaNão se aplicaIntermediário",Mercado_Receita!$L$2:$L$754)+SUMIF(Mercado_Receita!$S$2:$S$754,"44531B2Convencional pré-pagamentoRuralCooperativa de eletrificação ruralNão se aplicaNão se aplicaNão se aplica",Mercado_Receita!$L$2:$L$754)</f>
        <v>0</v>
      </c>
      <c r="Q40" s="12">
        <f>SUMIF(Mercado_Receita!$S$2:$S$754,"44562B2Convencional pré-pagamentoRuralCooperativa de eletrificação ruralNão se aplicaNão se aplicaPonta",Mercado_Receita!$L$2:$L$754)+SUMIF(Mercado_Receita!$S$2:$S$754,"44562B2Convencional pré-pagamentoRuralCooperativa de eletrificação ruralNão se aplicaNão se aplicaFora ponta",Mercado_Receita!$L$2:$L$754)+SUMIF(Mercado_Receita!$S$2:$S$754,"44562B2Convencional pré-pagamentoRuralCooperativa de eletrificação ruralNão se aplicaNão se aplicaIntermediário",Mercado_Receita!$L$2:$L$754)+SUMIF(Mercado_Receita!$S$2:$S$754,"44562B2Convencional pré-pagamentoRuralCooperativa de eletrificação ruralNão se aplicaNão se aplicaNão se aplica",Mercado_Receita!$L$2:$L$754)</f>
        <v>0</v>
      </c>
      <c r="R40" s="12">
        <f>SUMIF(Mercado_Receita!$S$2:$S$754,"44593B2Convencional pré-pagamentoRuralCooperativa de eletrificação ruralNão se aplicaNão se aplicaPonta",Mercado_Receita!$L$2:$L$754)+SUMIF(Mercado_Receita!$S$2:$S$754,"44593B2Convencional pré-pagamentoRuralCooperativa de eletrificação ruralNão se aplicaNão se aplicaFora ponta",Mercado_Receita!$L$2:$L$754)+SUMIF(Mercado_Receita!$S$2:$S$754,"44593B2Convencional pré-pagamentoRuralCooperativa de eletrificação ruralNão se aplicaNão se aplicaIntermediário",Mercado_Receita!$L$2:$L$754)+SUMIF(Mercado_Receita!$S$2:$S$754,"44593B2Convencional pré-pagamentoRuralCooperativa de eletrificação ruralNão se aplicaNão se aplicaNão se aplica",Mercado_Receita!$L$2:$L$754)</f>
        <v>0</v>
      </c>
      <c r="S40" s="12">
        <f>SUMIF(Mercado_Receita!$S$2:$S$754,"44621B2Convencional pré-pagamentoRuralCooperativa de eletrificação ruralNão se aplicaNão se aplicaPonta",Mercado_Receita!$L$2:$L$754)+SUMIF(Mercado_Receita!$S$2:$S$754,"44621B2Convencional pré-pagamentoRuralCooperativa de eletrificação ruralNão se aplicaNão se aplicaFora ponta",Mercado_Receita!$L$2:$L$754)+SUMIF(Mercado_Receita!$S$2:$S$754,"44621B2Convencional pré-pagamentoRuralCooperativa de eletrificação ruralNão se aplicaNão se aplicaIntermediário",Mercado_Receita!$L$2:$L$754)+SUMIF(Mercado_Receita!$S$2:$S$754,"44621B2Convencional pré-pagamentoRuralCooperativa de eletrificação ruralNão se aplicaNão se aplicaNão se aplica",Mercado_Receita!$L$2:$L$754)</f>
        <v>0</v>
      </c>
      <c r="T40" s="12">
        <f>SUMIF(Mercado_Receita!$S$2:$S$754,"44652B2Convencional pré-pagamentoRuralCooperativa de eletrificação ruralNão se aplicaNão se aplicaPonta",Mercado_Receita!$L$2:$L$754)+SUMIF(Mercado_Receita!$S$2:$S$754,"44652B2Convencional pré-pagamentoRuralCooperativa de eletrificação ruralNão se aplicaNão se aplicaFora ponta",Mercado_Receita!$L$2:$L$754)+SUMIF(Mercado_Receita!$S$2:$S$754,"44652B2Convencional pré-pagamentoRuralCooperativa de eletrificação ruralNão se aplicaNão se aplicaIntermediário",Mercado_Receita!$L$2:$L$754)+SUMIF(Mercado_Receita!$S$2:$S$754,"44652B2Convencional pré-pagamentoRuralCooperativa de eletrificação ruralNão se aplicaNão se aplicaNão se aplica",Mercado_Receita!$L$2:$L$754)</f>
        <v>0</v>
      </c>
      <c r="U40" s="12">
        <f t="shared" si="0"/>
        <v>0</v>
      </c>
      <c r="V40" s="12"/>
      <c r="W40" s="12"/>
    </row>
    <row r="41" spans="1:23" ht="11.25" customHeight="1" x14ac:dyDescent="0.25">
      <c r="A41" s="117"/>
      <c r="B41" s="117"/>
      <c r="C41" s="117"/>
      <c r="D41" s="13" t="s">
        <v>93</v>
      </c>
      <c r="E41" s="13" t="s">
        <v>25</v>
      </c>
      <c r="F41" s="13" t="s">
        <v>25</v>
      </c>
      <c r="G41" s="12" t="s">
        <v>82</v>
      </c>
      <c r="H41" s="12" t="s">
        <v>76</v>
      </c>
      <c r="I41" s="12">
        <f>SUMIF(Mercado_Receita!$S$2:$S$754,"44317B2Convencional pré-pagamentoRuralServiço público de irrigação ruralNão se aplicaNão se aplicaPonta",Mercado_Receita!$L$2:$L$754)+SUMIF(Mercado_Receita!$S$2:$S$754,"44317B2Convencional pré-pagamentoRuralServiço público de irrigação ruralNão se aplicaNão se aplicaFora ponta",Mercado_Receita!$L$2:$L$754)+SUMIF(Mercado_Receita!$S$2:$S$754,"44317B2Convencional pré-pagamentoRuralServiço público de irrigação ruralNão se aplicaNão se aplicaIntermediário",Mercado_Receita!$L$2:$L$754)+SUMIF(Mercado_Receita!$S$2:$S$754,"44317B2Convencional pré-pagamentoRuralServiço público de irrigação ruralNão se aplicaNão se aplicaNão se aplica",Mercado_Receita!$L$2:$L$754)</f>
        <v>0</v>
      </c>
      <c r="J41" s="12">
        <f>SUMIF(Mercado_Receita!$S$2:$S$754,"44348B2Convencional pré-pagamentoRuralServiço público de irrigação ruralNão se aplicaNão se aplicaPonta",Mercado_Receita!$L$2:$L$754)+SUMIF(Mercado_Receita!$S$2:$S$754,"44348B2Convencional pré-pagamentoRuralServiço público de irrigação ruralNão se aplicaNão se aplicaFora ponta",Mercado_Receita!$L$2:$L$754)+SUMIF(Mercado_Receita!$S$2:$S$754,"44348B2Convencional pré-pagamentoRuralServiço público de irrigação ruralNão se aplicaNão se aplicaIntermediário",Mercado_Receita!$L$2:$L$754)+SUMIF(Mercado_Receita!$S$2:$S$754,"44348B2Convencional pré-pagamentoRuralServiço público de irrigação ruralNão se aplicaNão se aplicaNão se aplica",Mercado_Receita!$L$2:$L$754)</f>
        <v>0</v>
      </c>
      <c r="K41" s="12">
        <f>SUMIF(Mercado_Receita!$S$2:$S$754,"44378B2Convencional pré-pagamentoRuralServiço público de irrigação ruralNão se aplicaNão se aplicaPonta",Mercado_Receita!$L$2:$L$754)+SUMIF(Mercado_Receita!$S$2:$S$754,"44378B2Convencional pré-pagamentoRuralServiço público de irrigação ruralNão se aplicaNão se aplicaFora ponta",Mercado_Receita!$L$2:$L$754)+SUMIF(Mercado_Receita!$S$2:$S$754,"44378B2Convencional pré-pagamentoRuralServiço público de irrigação ruralNão se aplicaNão se aplicaIntermediário",Mercado_Receita!$L$2:$L$754)+SUMIF(Mercado_Receita!$S$2:$S$754,"44378B2Convencional pré-pagamentoRuralServiço público de irrigação ruralNão se aplicaNão se aplicaNão se aplica",Mercado_Receita!$L$2:$L$754)</f>
        <v>0</v>
      </c>
      <c r="L41" s="12">
        <f>SUMIF(Mercado_Receita!$S$2:$S$754,"44409B2Convencional pré-pagamentoRuralServiço público de irrigação ruralNão se aplicaNão se aplicaPonta",Mercado_Receita!$L$2:$L$754)+SUMIF(Mercado_Receita!$S$2:$S$754,"44409B2Convencional pré-pagamentoRuralServiço público de irrigação ruralNão se aplicaNão se aplicaFora ponta",Mercado_Receita!$L$2:$L$754)+SUMIF(Mercado_Receita!$S$2:$S$754,"44409B2Convencional pré-pagamentoRuralServiço público de irrigação ruralNão se aplicaNão se aplicaIntermediário",Mercado_Receita!$L$2:$L$754)+SUMIF(Mercado_Receita!$S$2:$S$754,"44409B2Convencional pré-pagamentoRuralServiço público de irrigação ruralNão se aplicaNão se aplicaNão se aplica",Mercado_Receita!$L$2:$L$754)</f>
        <v>0</v>
      </c>
      <c r="M41" s="12">
        <f>SUMIF(Mercado_Receita!$S$2:$S$754,"44440B2Convencional pré-pagamentoRuralServiço público de irrigação ruralNão se aplicaNão se aplicaPonta",Mercado_Receita!$L$2:$L$754)+SUMIF(Mercado_Receita!$S$2:$S$754,"44440B2Convencional pré-pagamentoRuralServiço público de irrigação ruralNão se aplicaNão se aplicaFora ponta",Mercado_Receita!$L$2:$L$754)+SUMIF(Mercado_Receita!$S$2:$S$754,"44440B2Convencional pré-pagamentoRuralServiço público de irrigação ruralNão se aplicaNão se aplicaIntermediário",Mercado_Receita!$L$2:$L$754)+SUMIF(Mercado_Receita!$S$2:$S$754,"44440B2Convencional pré-pagamentoRuralServiço público de irrigação ruralNão se aplicaNão se aplicaNão se aplica",Mercado_Receita!$L$2:$L$754)</f>
        <v>0</v>
      </c>
      <c r="N41" s="12">
        <f>SUMIF(Mercado_Receita!$S$2:$S$754,"44470B2Convencional pré-pagamentoRuralServiço público de irrigação ruralNão se aplicaNão se aplicaPonta",Mercado_Receita!$L$2:$L$754)+SUMIF(Mercado_Receita!$S$2:$S$754,"44470B2Convencional pré-pagamentoRuralServiço público de irrigação ruralNão se aplicaNão se aplicaFora ponta",Mercado_Receita!$L$2:$L$754)+SUMIF(Mercado_Receita!$S$2:$S$754,"44470B2Convencional pré-pagamentoRuralServiço público de irrigação ruralNão se aplicaNão se aplicaIntermediário",Mercado_Receita!$L$2:$L$754)+SUMIF(Mercado_Receita!$S$2:$S$754,"44470B2Convencional pré-pagamentoRuralServiço público de irrigação ruralNão se aplicaNão se aplicaNão se aplica",Mercado_Receita!$L$2:$L$754)</f>
        <v>0</v>
      </c>
      <c r="O41" s="12">
        <f>SUMIF(Mercado_Receita!$S$2:$S$754,"44501B2Convencional pré-pagamentoRuralServiço público de irrigação ruralNão se aplicaNão se aplicaPonta",Mercado_Receita!$L$2:$L$754)+SUMIF(Mercado_Receita!$S$2:$S$754,"44501B2Convencional pré-pagamentoRuralServiço público de irrigação ruralNão se aplicaNão se aplicaFora ponta",Mercado_Receita!$L$2:$L$754)+SUMIF(Mercado_Receita!$S$2:$S$754,"44501B2Convencional pré-pagamentoRuralServiço público de irrigação ruralNão se aplicaNão se aplicaIntermediário",Mercado_Receita!$L$2:$L$754)+SUMIF(Mercado_Receita!$S$2:$S$754,"44501B2Convencional pré-pagamentoRuralServiço público de irrigação ruralNão se aplicaNão se aplicaNão se aplica",Mercado_Receita!$L$2:$L$754)</f>
        <v>0</v>
      </c>
      <c r="P41" s="12">
        <f>SUMIF(Mercado_Receita!$S$2:$S$754,"44531B2Convencional pré-pagamentoRuralServiço público de irrigação ruralNão se aplicaNão se aplicaPonta",Mercado_Receita!$L$2:$L$754)+SUMIF(Mercado_Receita!$S$2:$S$754,"44531B2Convencional pré-pagamentoRuralServiço público de irrigação ruralNão se aplicaNão se aplicaFora ponta",Mercado_Receita!$L$2:$L$754)+SUMIF(Mercado_Receita!$S$2:$S$754,"44531B2Convencional pré-pagamentoRuralServiço público de irrigação ruralNão se aplicaNão se aplicaIntermediário",Mercado_Receita!$L$2:$L$754)+SUMIF(Mercado_Receita!$S$2:$S$754,"44531B2Convencional pré-pagamentoRuralServiço público de irrigação ruralNão se aplicaNão se aplicaNão se aplica",Mercado_Receita!$L$2:$L$754)</f>
        <v>0</v>
      </c>
      <c r="Q41" s="12">
        <f>SUMIF(Mercado_Receita!$S$2:$S$754,"44562B2Convencional pré-pagamentoRuralServiço público de irrigação ruralNão se aplicaNão se aplicaPonta",Mercado_Receita!$L$2:$L$754)+SUMIF(Mercado_Receita!$S$2:$S$754,"44562B2Convencional pré-pagamentoRuralServiço público de irrigação ruralNão se aplicaNão se aplicaFora ponta",Mercado_Receita!$L$2:$L$754)+SUMIF(Mercado_Receita!$S$2:$S$754,"44562B2Convencional pré-pagamentoRuralServiço público de irrigação ruralNão se aplicaNão se aplicaIntermediário",Mercado_Receita!$L$2:$L$754)+SUMIF(Mercado_Receita!$S$2:$S$754,"44562B2Convencional pré-pagamentoRuralServiço público de irrigação ruralNão se aplicaNão se aplicaNão se aplica",Mercado_Receita!$L$2:$L$754)</f>
        <v>0</v>
      </c>
      <c r="R41" s="12">
        <f>SUMIF(Mercado_Receita!$S$2:$S$754,"44593B2Convencional pré-pagamentoRuralServiço público de irrigação ruralNão se aplicaNão se aplicaPonta",Mercado_Receita!$L$2:$L$754)+SUMIF(Mercado_Receita!$S$2:$S$754,"44593B2Convencional pré-pagamentoRuralServiço público de irrigação ruralNão se aplicaNão se aplicaFora ponta",Mercado_Receita!$L$2:$L$754)+SUMIF(Mercado_Receita!$S$2:$S$754,"44593B2Convencional pré-pagamentoRuralServiço público de irrigação ruralNão se aplicaNão se aplicaIntermediário",Mercado_Receita!$L$2:$L$754)+SUMIF(Mercado_Receita!$S$2:$S$754,"44593B2Convencional pré-pagamentoRuralServiço público de irrigação ruralNão se aplicaNão se aplicaNão se aplica",Mercado_Receita!$L$2:$L$754)</f>
        <v>0</v>
      </c>
      <c r="S41" s="12">
        <f>SUMIF(Mercado_Receita!$S$2:$S$754,"44621B2Convencional pré-pagamentoRuralServiço público de irrigação ruralNão se aplicaNão se aplicaPonta",Mercado_Receita!$L$2:$L$754)+SUMIF(Mercado_Receita!$S$2:$S$754,"44621B2Convencional pré-pagamentoRuralServiço público de irrigação ruralNão se aplicaNão se aplicaFora ponta",Mercado_Receita!$L$2:$L$754)+SUMIF(Mercado_Receita!$S$2:$S$754,"44621B2Convencional pré-pagamentoRuralServiço público de irrigação ruralNão se aplicaNão se aplicaIntermediário",Mercado_Receita!$L$2:$L$754)+SUMIF(Mercado_Receita!$S$2:$S$754,"44621B2Convencional pré-pagamentoRuralServiço público de irrigação ruralNão se aplicaNão se aplicaNão se aplica",Mercado_Receita!$L$2:$L$754)</f>
        <v>0</v>
      </c>
      <c r="T41" s="12">
        <f>SUMIF(Mercado_Receita!$S$2:$S$754,"44652B2Convencional pré-pagamentoRuralServiço público de irrigação ruralNão se aplicaNão se aplicaPonta",Mercado_Receita!$L$2:$L$754)+SUMIF(Mercado_Receita!$S$2:$S$754,"44652B2Convencional pré-pagamentoRuralServiço público de irrigação ruralNão se aplicaNão se aplicaFora ponta",Mercado_Receita!$L$2:$L$754)+SUMIF(Mercado_Receita!$S$2:$S$754,"44652B2Convencional pré-pagamentoRuralServiço público de irrigação ruralNão se aplicaNão se aplicaIntermediário",Mercado_Receita!$L$2:$L$754)+SUMIF(Mercado_Receita!$S$2:$S$754,"44652B2Convencional pré-pagamentoRuralServiço público de irrigação ruralNão se aplicaNão se aplicaNão se aplica",Mercado_Receita!$L$2:$L$754)</f>
        <v>0</v>
      </c>
      <c r="U41" s="12">
        <f t="shared" si="0"/>
        <v>0</v>
      </c>
      <c r="V41" s="12"/>
      <c r="W41" s="12"/>
    </row>
    <row r="42" spans="1:23" ht="11.25" customHeight="1" x14ac:dyDescent="0.25">
      <c r="A42" s="116" t="s">
        <v>39</v>
      </c>
      <c r="B42" s="116" t="s">
        <v>37</v>
      </c>
      <c r="C42" s="116" t="s">
        <v>25</v>
      </c>
      <c r="D42" s="116" t="s">
        <v>25</v>
      </c>
      <c r="E42" s="116" t="s">
        <v>25</v>
      </c>
      <c r="F42" s="116" t="s">
        <v>25</v>
      </c>
      <c r="G42" s="12" t="s">
        <v>77</v>
      </c>
      <c r="H42" s="12" t="s">
        <v>76</v>
      </c>
      <c r="I42" s="12">
        <f>SUMIF(Mercado_Receita!$S$2:$S$754,"44317B3BrancaNão se aplicaNão se aplicaNão se aplicaNão se aplicaPonta",Mercado_Receita!$L$2:$L$754)</f>
        <v>0.06</v>
      </c>
      <c r="J42" s="12">
        <f>SUMIF(Mercado_Receita!$S$2:$S$754,"44348B3BrancaNão se aplicaNão se aplicaNão se aplicaNão se aplicaPonta",Mercado_Receita!$L$2:$L$754)</f>
        <v>0.14299999999999999</v>
      </c>
      <c r="K42" s="12">
        <f>SUMIF(Mercado_Receita!$S$2:$S$754,"44378B3BrancaNão se aplicaNão se aplicaNão se aplicaNão se aplicaPonta",Mercado_Receita!$L$2:$L$754)</f>
        <v>4.2000000000000003E-2</v>
      </c>
      <c r="L42" s="12">
        <f>SUMIF(Mercado_Receita!$S$2:$S$754,"44409B3BrancaNão se aplicaNão se aplicaNão se aplicaNão se aplicaPonta",Mercado_Receita!$L$2:$L$754)</f>
        <v>4.5999999999999999E-2</v>
      </c>
      <c r="M42" s="12">
        <f>SUMIF(Mercado_Receita!$S$2:$S$754,"44440B3BrancaNão se aplicaNão se aplicaNão se aplicaNão se aplicaPonta",Mercado_Receita!$L$2:$L$754)</f>
        <v>4.5000000000001705E-2</v>
      </c>
      <c r="N42" s="12">
        <f>SUMIF(Mercado_Receita!$S$2:$S$754,"44470B3BrancaNão se aplicaNão se aplicaNão se aplicaNão se aplicaPonta",Mercado_Receita!$L$2:$L$754)</f>
        <v>6.0999999999999999E-2</v>
      </c>
      <c r="O42" s="12">
        <f>SUMIF(Mercado_Receita!$S$2:$S$754,"44501B3BrancaNão se aplicaNão se aplicaNão se aplicaNão se aplicaPonta",Mercado_Receita!$L$2:$L$754)</f>
        <v>6.5000000000000002E-2</v>
      </c>
      <c r="P42" s="12">
        <f>SUMIF(Mercado_Receita!$S$2:$S$754,"44531B3BrancaNão se aplicaNão se aplicaNão se aplicaNão se aplicaPonta",Mercado_Receita!$L$2:$L$754)</f>
        <v>6.4000000000000001E-2</v>
      </c>
      <c r="Q42" s="12">
        <f>SUMIF(Mercado_Receita!$S$2:$S$754,"44562B3BrancaNão se aplicaNão se aplicaNão se aplicaNão se aplicaPonta",Mercado_Receita!$L$2:$L$754)</f>
        <v>5.8999999999999997E-2</v>
      </c>
      <c r="R42" s="12">
        <f>SUMIF(Mercado_Receita!$S$2:$S$754,"44593B3BrancaNão se aplicaNão se aplicaNão se aplicaNão se aplicaPonta",Mercado_Receita!$L$2:$L$754)</f>
        <v>7.1999999999999995E-2</v>
      </c>
      <c r="S42" s="12">
        <f>SUMIF(Mercado_Receita!$S$2:$S$754,"44621B3BrancaNão se aplicaNão se aplicaNão se aplicaNão se aplicaPonta",Mercado_Receita!$L$2:$L$754)</f>
        <v>9.5000000000000001E-2</v>
      </c>
      <c r="T42" s="12">
        <f>SUMIF(Mercado_Receita!$S$2:$S$754,"44652B3BrancaNão se aplicaNão se aplicaNão se aplicaNão se aplicaPonta",Mercado_Receita!$L$2:$L$754)</f>
        <v>5.2999999999999999E-2</v>
      </c>
      <c r="U42" s="12">
        <f t="shared" si="0"/>
        <v>0.80500000000000171</v>
      </c>
      <c r="V42" s="12"/>
      <c r="W42" s="12"/>
    </row>
    <row r="43" spans="1:23" ht="11.25" customHeight="1" x14ac:dyDescent="0.25">
      <c r="A43" s="117"/>
      <c r="B43" s="117"/>
      <c r="C43" s="117"/>
      <c r="D43" s="117"/>
      <c r="E43" s="117"/>
      <c r="F43" s="117"/>
      <c r="G43" s="12" t="s">
        <v>88</v>
      </c>
      <c r="H43" s="12" t="s">
        <v>76</v>
      </c>
      <c r="I43" s="12">
        <f>SUMIF(Mercado_Receita!$S$2:$S$754,"44317B3BrancaNão se aplicaNão se aplicaNão se aplicaNão se aplicaIntermediário",Mercado_Receita!$L$2:$L$754)</f>
        <v>0.10199999999999999</v>
      </c>
      <c r="J43" s="12">
        <f>SUMIF(Mercado_Receita!$S$2:$S$754,"44348B3BrancaNão se aplicaNão se aplicaNão se aplicaNão se aplicaIntermediário",Mercado_Receita!$L$2:$L$754)</f>
        <v>8.3000000000000004E-2</v>
      </c>
      <c r="K43" s="12">
        <f>SUMIF(Mercado_Receita!$S$2:$S$754,"44378B3BrancaNão se aplicaNão se aplicaNão se aplicaNão se aplicaIntermediário",Mercado_Receita!$L$2:$L$754)</f>
        <v>0.10100000000000001</v>
      </c>
      <c r="L43" s="12">
        <f>SUMIF(Mercado_Receita!$S$2:$S$754,"44409B3BrancaNão se aplicaNão se aplicaNão se aplicaNão se aplicaIntermediário",Mercado_Receita!$L$2:$L$754)</f>
        <v>7.0999999999999994E-2</v>
      </c>
      <c r="M43" s="12">
        <f>SUMIF(Mercado_Receita!$S$2:$S$754,"44440B3BrancaNão se aplicaNão se aplicaNão se aplicaNão se aplicaIntermediário",Mercado_Receita!$L$2:$L$754)</f>
        <v>0.108</v>
      </c>
      <c r="N43" s="12">
        <f>SUMIF(Mercado_Receita!$S$2:$S$754,"44470B3BrancaNão se aplicaNão se aplicaNão se aplicaNão se aplicaIntermediário",Mercado_Receita!$L$2:$L$754)</f>
        <v>9.6000000000000002E-2</v>
      </c>
      <c r="O43" s="12">
        <f>SUMIF(Mercado_Receita!$S$2:$S$754,"44501B3BrancaNão se aplicaNão se aplicaNão se aplicaNão se aplicaIntermediário",Mercado_Receita!$L$2:$L$754)</f>
        <v>0.114</v>
      </c>
      <c r="P43" s="12">
        <f>SUMIF(Mercado_Receita!$S$2:$S$754,"44531B3BrancaNão se aplicaNão se aplicaNão se aplicaNão se aplicaIntermediário",Mercado_Receita!$L$2:$L$754)</f>
        <v>9.2999999999999999E-2</v>
      </c>
      <c r="Q43" s="12">
        <f>SUMIF(Mercado_Receita!$S$2:$S$754,"44562B3BrancaNão se aplicaNão se aplicaNão se aplicaNão se aplicaIntermediário",Mercado_Receita!$L$2:$L$754)</f>
        <v>8.7999999999999995E-2</v>
      </c>
      <c r="R43" s="12">
        <f>SUMIF(Mercado_Receita!$S$2:$S$754,"44593B3BrancaNão se aplicaNão se aplicaNão se aplicaNão se aplicaIntermediário",Mercado_Receita!$L$2:$L$754)</f>
        <v>0.13200000000000001</v>
      </c>
      <c r="S43" s="12">
        <f>SUMIF(Mercado_Receita!$S$2:$S$754,"44621B3BrancaNão se aplicaNão se aplicaNão se aplicaNão se aplicaIntermediário",Mercado_Receita!$L$2:$L$754)</f>
        <v>0.15</v>
      </c>
      <c r="T43" s="12">
        <f>SUMIF(Mercado_Receita!$S$2:$S$754,"44652B3BrancaNão se aplicaNão se aplicaNão se aplicaNão se aplicaIntermediário",Mercado_Receita!$L$2:$L$754)</f>
        <v>9.1999999999999998E-2</v>
      </c>
      <c r="U43" s="12">
        <f t="shared" si="0"/>
        <v>1.23</v>
      </c>
      <c r="V43" s="12"/>
      <c r="W43" s="12"/>
    </row>
    <row r="44" spans="1:23" ht="11.25" customHeight="1" x14ac:dyDescent="0.25">
      <c r="A44" s="117"/>
      <c r="B44" s="117"/>
      <c r="C44" s="117"/>
      <c r="D44" s="117"/>
      <c r="E44" s="117"/>
      <c r="F44" s="117"/>
      <c r="G44" s="12" t="s">
        <v>78</v>
      </c>
      <c r="H44" s="12" t="s">
        <v>76</v>
      </c>
      <c r="I44" s="12">
        <f>SUMIF(Mercado_Receita!$S$2:$S$754,"44317B3BrancaNão se aplicaNão se aplicaNão se aplicaNão se aplicaFora ponta",Mercado_Receita!$L$2:$L$754)</f>
        <v>1.724</v>
      </c>
      <c r="J44" s="12">
        <f>SUMIF(Mercado_Receita!$S$2:$S$754,"44348B3BrancaNão se aplicaNão se aplicaNão se aplicaNão se aplicaFora ponta",Mercado_Receita!$L$2:$L$754)</f>
        <v>1.5469999999999999</v>
      </c>
      <c r="K44" s="12">
        <f>SUMIF(Mercado_Receita!$S$2:$S$754,"44378B3BrancaNão se aplicaNão se aplicaNão se aplicaNão se aplicaFora ponta",Mercado_Receita!$L$2:$L$754)</f>
        <v>1.603</v>
      </c>
      <c r="L44" s="12">
        <f>SUMIF(Mercado_Receita!$S$2:$S$754,"44409B3BrancaNão se aplicaNão se aplicaNão se aplicaNão se aplicaFora ponta",Mercado_Receita!$L$2:$L$754)</f>
        <v>1.3779999999999999</v>
      </c>
      <c r="M44" s="12">
        <f>SUMIF(Mercado_Receita!$S$2:$S$754,"44440B3BrancaNão se aplicaNão se aplicaNão se aplicaNão se aplicaFora ponta",Mercado_Receita!$L$2:$L$754)</f>
        <v>1.526</v>
      </c>
      <c r="N44" s="12">
        <f>SUMIF(Mercado_Receita!$S$2:$S$754,"44470B3BrancaNão se aplicaNão se aplicaNão se aplicaNão se aplicaFora ponta",Mercado_Receita!$L$2:$L$754)</f>
        <v>1.534</v>
      </c>
      <c r="O44" s="12">
        <f>SUMIF(Mercado_Receita!$S$2:$S$754,"44501B3BrancaNão se aplicaNão se aplicaNão se aplicaNão se aplicaFora ponta",Mercado_Receita!$L$2:$L$754)</f>
        <v>1.647</v>
      </c>
      <c r="P44" s="12">
        <f>SUMIF(Mercado_Receita!$S$2:$S$754,"44531B3BrancaNão se aplicaNão se aplicaNão se aplicaNão se aplicaFora ponta",Mercado_Receita!$L$2:$L$754)</f>
        <v>1.4419999999999999</v>
      </c>
      <c r="Q44" s="12">
        <f>SUMIF(Mercado_Receita!$S$2:$S$754,"44562B3BrancaNão se aplicaNão se aplicaNão se aplicaNão se aplicaFora ponta",Mercado_Receita!$L$2:$L$754)</f>
        <v>1.373</v>
      </c>
      <c r="R44" s="12">
        <f>SUMIF(Mercado_Receita!$S$2:$S$754,"44593B3BrancaNão se aplicaNão se aplicaNão se aplicaNão se aplicaFora ponta",Mercado_Receita!$L$2:$L$754)</f>
        <v>1.794</v>
      </c>
      <c r="S44" s="12">
        <f>SUMIF(Mercado_Receita!$S$2:$S$754,"44621B3BrancaNão se aplicaNão se aplicaNão se aplicaNão se aplicaFora ponta",Mercado_Receita!$L$2:$L$754)</f>
        <v>2.0720000000000001</v>
      </c>
      <c r="T44" s="12">
        <f>SUMIF(Mercado_Receita!$S$2:$S$754,"44652B3BrancaNão se aplicaNão se aplicaNão se aplicaNão se aplicaFora ponta",Mercado_Receita!$L$2:$L$754)</f>
        <v>1.32</v>
      </c>
      <c r="U44" s="12">
        <f t="shared" si="0"/>
        <v>18.96</v>
      </c>
      <c r="V44" s="12"/>
      <c r="W44" s="12"/>
    </row>
    <row r="45" spans="1:23" ht="11.25" customHeight="1" x14ac:dyDescent="0.25">
      <c r="A45" s="117"/>
      <c r="B45" s="13" t="s">
        <v>23</v>
      </c>
      <c r="C45" s="13" t="s">
        <v>25</v>
      </c>
      <c r="D45" s="13" t="s">
        <v>25</v>
      </c>
      <c r="E45" s="13" t="s">
        <v>25</v>
      </c>
      <c r="F45" s="13" t="s">
        <v>25</v>
      </c>
      <c r="G45" s="12" t="s">
        <v>82</v>
      </c>
      <c r="H45" s="12" t="s">
        <v>76</v>
      </c>
      <c r="I45" s="12">
        <f>SUMIF(Mercado_Receita!$S$2:$S$754,"44317B3ConvencionalNão se aplicaNão se aplicaNão se aplicaNão se aplicaPonta",Mercado_Receita!$L$2:$L$754)+SUMIF(Mercado_Receita!$S$2:$S$754,"44317B3ConvencionalNão se aplicaNão se aplicaNão se aplicaNão se aplicaFora ponta",Mercado_Receita!$L$2:$L$754)+SUMIF(Mercado_Receita!$S$2:$S$754,"44317B3ConvencionalNão se aplicaNão se aplicaNão se aplicaNão se aplicaIntermediário",Mercado_Receita!$L$2:$L$754)+SUMIF(Mercado_Receita!$S$2:$S$754,"44317B3ConvencionalNão se aplicaNão se aplicaNão se aplicaNão se aplicaNão se aplica",Mercado_Receita!$L$2:$L$754)</f>
        <v>1201.414</v>
      </c>
      <c r="J45" s="12">
        <f>SUMIF(Mercado_Receita!$S$2:$S$754,"44348B3ConvencionalNão se aplicaNão se aplicaNão se aplicaNão se aplicaPonta",Mercado_Receita!$L$2:$L$754)+SUMIF(Mercado_Receita!$S$2:$S$754,"44348B3ConvencionalNão se aplicaNão se aplicaNão se aplicaNão se aplicaFora ponta",Mercado_Receita!$L$2:$L$754)+SUMIF(Mercado_Receita!$S$2:$S$754,"44348B3ConvencionalNão se aplicaNão se aplicaNão se aplicaNão se aplicaIntermediário",Mercado_Receita!$L$2:$L$754)+SUMIF(Mercado_Receita!$S$2:$S$754,"44348B3ConvencionalNão se aplicaNão se aplicaNão se aplicaNão se aplicaNão se aplica",Mercado_Receita!$L$2:$L$754)</f>
        <v>1225.9449999999999</v>
      </c>
      <c r="K45" s="12">
        <f>SUMIF(Mercado_Receita!$S$2:$S$754,"44378B3ConvencionalNão se aplicaNão se aplicaNão se aplicaNão se aplicaPonta",Mercado_Receita!$L$2:$L$754)+SUMIF(Mercado_Receita!$S$2:$S$754,"44378B3ConvencionalNão se aplicaNão se aplicaNão se aplicaNão se aplicaFora ponta",Mercado_Receita!$L$2:$L$754)+SUMIF(Mercado_Receita!$S$2:$S$754,"44378B3ConvencionalNão se aplicaNão se aplicaNão se aplicaNão se aplicaIntermediário",Mercado_Receita!$L$2:$L$754)+SUMIF(Mercado_Receita!$S$2:$S$754,"44378B3ConvencionalNão se aplicaNão se aplicaNão se aplicaNão se aplicaNão se aplica",Mercado_Receita!$L$2:$L$754)</f>
        <v>1179.4080000000001</v>
      </c>
      <c r="L45" s="12">
        <f>SUMIF(Mercado_Receita!$S$2:$S$754,"44409B3ConvencionalNão se aplicaNão se aplicaNão se aplicaNão se aplicaPonta",Mercado_Receita!$L$2:$L$754)+SUMIF(Mercado_Receita!$S$2:$S$754,"44409B3ConvencionalNão se aplicaNão se aplicaNão se aplicaNão se aplicaFora ponta",Mercado_Receita!$L$2:$L$754)+SUMIF(Mercado_Receita!$S$2:$S$754,"44409B3ConvencionalNão se aplicaNão se aplicaNão se aplicaNão se aplicaIntermediário",Mercado_Receita!$L$2:$L$754)+SUMIF(Mercado_Receita!$S$2:$S$754,"44409B3ConvencionalNão se aplicaNão se aplicaNão se aplicaNão se aplicaNão se aplica",Mercado_Receita!$L$2:$L$754)</f>
        <v>1266.4019999999998</v>
      </c>
      <c r="M45" s="12">
        <f>SUMIF(Mercado_Receita!$S$2:$S$754,"44440B3ConvencionalNão se aplicaNão se aplicaNão se aplicaNão se aplicaPonta",Mercado_Receita!$L$2:$L$754)+SUMIF(Mercado_Receita!$S$2:$S$754,"44440B3ConvencionalNão se aplicaNão se aplicaNão se aplicaNão se aplicaFora ponta",Mercado_Receita!$L$2:$L$754)+SUMIF(Mercado_Receita!$S$2:$S$754,"44440B3ConvencionalNão se aplicaNão se aplicaNão se aplicaNão se aplicaIntermediário",Mercado_Receita!$L$2:$L$754)+SUMIF(Mercado_Receita!$S$2:$S$754,"44440B3ConvencionalNão se aplicaNão se aplicaNão se aplicaNão se aplicaNão se aplica",Mercado_Receita!$L$2:$L$754)</f>
        <v>1454.1569999999999</v>
      </c>
      <c r="N45" s="12">
        <f>SUMIF(Mercado_Receita!$S$2:$S$754,"44470B3ConvencionalNão se aplicaNão se aplicaNão se aplicaNão se aplicaPonta",Mercado_Receita!$L$2:$L$754)+SUMIF(Mercado_Receita!$S$2:$S$754,"44470B3ConvencionalNão se aplicaNão se aplicaNão se aplicaNão se aplicaFora ponta",Mercado_Receita!$L$2:$L$754)+SUMIF(Mercado_Receita!$S$2:$S$754,"44470B3ConvencionalNão se aplicaNão se aplicaNão se aplicaNão se aplicaIntermediário",Mercado_Receita!$L$2:$L$754)+SUMIF(Mercado_Receita!$S$2:$S$754,"44470B3ConvencionalNão se aplicaNão se aplicaNão se aplicaNão se aplicaNão se aplica",Mercado_Receita!$L$2:$L$754)</f>
        <v>1493.0730000000001</v>
      </c>
      <c r="O45" s="12">
        <f>SUMIF(Mercado_Receita!$S$2:$S$754,"44501B3ConvencionalNão se aplicaNão se aplicaNão se aplicaNão se aplicaPonta",Mercado_Receita!$L$2:$L$754)+SUMIF(Mercado_Receita!$S$2:$S$754,"44501B3ConvencionalNão se aplicaNão se aplicaNão se aplicaNão se aplicaFora ponta",Mercado_Receita!$L$2:$L$754)+SUMIF(Mercado_Receita!$S$2:$S$754,"44501B3ConvencionalNão se aplicaNão se aplicaNão se aplicaNão se aplicaIntermediário",Mercado_Receita!$L$2:$L$754)+SUMIF(Mercado_Receita!$S$2:$S$754,"44501B3ConvencionalNão se aplicaNão se aplicaNão se aplicaNão se aplicaNão se aplica",Mercado_Receita!$L$2:$L$754)</f>
        <v>1467.912</v>
      </c>
      <c r="P45" s="12">
        <f>SUMIF(Mercado_Receita!$S$2:$S$754,"44531B3ConvencionalNão se aplicaNão se aplicaNão se aplicaNão se aplicaPonta",Mercado_Receita!$L$2:$L$754)+SUMIF(Mercado_Receita!$S$2:$S$754,"44531B3ConvencionalNão se aplicaNão se aplicaNão se aplicaNão se aplicaFora ponta",Mercado_Receita!$L$2:$L$754)+SUMIF(Mercado_Receita!$S$2:$S$754,"44531B3ConvencionalNão se aplicaNão se aplicaNão se aplicaNão se aplicaIntermediário",Mercado_Receita!$L$2:$L$754)+SUMIF(Mercado_Receita!$S$2:$S$754,"44531B3ConvencionalNão se aplicaNão se aplicaNão se aplicaNão se aplicaNão se aplica",Mercado_Receita!$L$2:$L$754)</f>
        <v>1497.8520000000001</v>
      </c>
      <c r="Q45" s="12">
        <f>SUMIF(Mercado_Receita!$S$2:$S$754,"44562B3ConvencionalNão se aplicaNão se aplicaNão se aplicaNão se aplicaPonta",Mercado_Receita!$L$2:$L$754)+SUMIF(Mercado_Receita!$S$2:$S$754,"44562B3ConvencionalNão se aplicaNão se aplicaNão se aplicaNão se aplicaFora ponta",Mercado_Receita!$L$2:$L$754)+SUMIF(Mercado_Receita!$S$2:$S$754,"44562B3ConvencionalNão se aplicaNão se aplicaNão se aplicaNão se aplicaIntermediário",Mercado_Receita!$L$2:$L$754)+SUMIF(Mercado_Receita!$S$2:$S$754,"44562B3ConvencionalNão se aplicaNão se aplicaNão se aplicaNão se aplicaNão se aplica",Mercado_Receita!$L$2:$L$754)</f>
        <v>1426.1939999999997</v>
      </c>
      <c r="R45" s="12">
        <f>SUMIF(Mercado_Receita!$S$2:$S$754,"44593B3ConvencionalNão se aplicaNão se aplicaNão se aplicaNão se aplicaPonta",Mercado_Receita!$L$2:$L$754)+SUMIF(Mercado_Receita!$S$2:$S$754,"44593B3ConvencionalNão se aplicaNão se aplicaNão se aplicaNão se aplicaFora ponta",Mercado_Receita!$L$2:$L$754)+SUMIF(Mercado_Receita!$S$2:$S$754,"44593B3ConvencionalNão se aplicaNão se aplicaNão se aplicaNão se aplicaIntermediário",Mercado_Receita!$L$2:$L$754)+SUMIF(Mercado_Receita!$S$2:$S$754,"44593B3ConvencionalNão se aplicaNão se aplicaNão se aplicaNão se aplicaNão se aplica",Mercado_Receita!$L$2:$L$754)</f>
        <v>1503.4109999999998</v>
      </c>
      <c r="S45" s="12">
        <f>SUMIF(Mercado_Receita!$S$2:$S$754,"44621B3ConvencionalNão se aplicaNão se aplicaNão se aplicaNão se aplicaPonta",Mercado_Receita!$L$2:$L$754)+SUMIF(Mercado_Receita!$S$2:$S$754,"44621B3ConvencionalNão se aplicaNão se aplicaNão se aplicaNão se aplicaFora ponta",Mercado_Receita!$L$2:$L$754)+SUMIF(Mercado_Receita!$S$2:$S$754,"44621B3ConvencionalNão se aplicaNão se aplicaNão se aplicaNão se aplicaIntermediário",Mercado_Receita!$L$2:$L$754)+SUMIF(Mercado_Receita!$S$2:$S$754,"44621B3ConvencionalNão se aplicaNão se aplicaNão se aplicaNão se aplicaNão se aplica",Mercado_Receita!$L$2:$L$754)</f>
        <v>1675.884</v>
      </c>
      <c r="T45" s="12">
        <f>SUMIF(Mercado_Receita!$S$2:$S$754,"44652B3ConvencionalNão se aplicaNão se aplicaNão se aplicaNão se aplicaPonta",Mercado_Receita!$L$2:$L$754)+SUMIF(Mercado_Receita!$S$2:$S$754,"44652B3ConvencionalNão se aplicaNão se aplicaNão se aplicaNão se aplicaFora ponta",Mercado_Receita!$L$2:$L$754)+SUMIF(Mercado_Receita!$S$2:$S$754,"44652B3ConvencionalNão se aplicaNão se aplicaNão se aplicaNão se aplicaIntermediário",Mercado_Receita!$L$2:$L$754)+SUMIF(Mercado_Receita!$S$2:$S$754,"44652B3ConvencionalNão se aplicaNão se aplicaNão se aplicaNão se aplicaNão se aplica",Mercado_Receita!$L$2:$L$754)</f>
        <v>1618.8999999999999</v>
      </c>
      <c r="U45" s="12">
        <f t="shared" si="0"/>
        <v>17010.552</v>
      </c>
      <c r="V45" s="12"/>
      <c r="W45" s="12"/>
    </row>
    <row r="46" spans="1:23" ht="11.25" customHeight="1" x14ac:dyDescent="0.25">
      <c r="A46" s="117"/>
      <c r="B46" s="13" t="s">
        <v>91</v>
      </c>
      <c r="C46" s="13" t="s">
        <v>25</v>
      </c>
      <c r="D46" s="13" t="s">
        <v>25</v>
      </c>
      <c r="E46" s="13" t="s">
        <v>25</v>
      </c>
      <c r="F46" s="13" t="s">
        <v>25</v>
      </c>
      <c r="G46" s="12" t="s">
        <v>82</v>
      </c>
      <c r="H46" s="12" t="s">
        <v>76</v>
      </c>
      <c r="I46" s="12">
        <f>SUMIF(Mercado_Receita!$S$2:$S$754,"44317B3Convencional pré-pagamentoNão se aplicaNão se aplicaNão se aplicaNão se aplicaPonta",Mercado_Receita!$L$2:$L$754)+SUMIF(Mercado_Receita!$S$2:$S$754,"44317B3Convencional pré-pagamentoNão se aplicaNão se aplicaNão se aplicaNão se aplicaFora ponta",Mercado_Receita!$L$2:$L$754)+SUMIF(Mercado_Receita!$S$2:$S$754,"44317B3Convencional pré-pagamentoNão se aplicaNão se aplicaNão se aplicaNão se aplicaIntermediário",Mercado_Receita!$L$2:$L$754)+SUMIF(Mercado_Receita!$S$2:$S$754,"44317B3Convencional pré-pagamentoNão se aplicaNão se aplicaNão se aplicaNão se aplicaNão se aplica",Mercado_Receita!$L$2:$L$754)</f>
        <v>0</v>
      </c>
      <c r="J46" s="12">
        <f>SUMIF(Mercado_Receita!$S$2:$S$754,"44348B3Convencional pré-pagamentoNão se aplicaNão se aplicaNão se aplicaNão se aplicaPonta",Mercado_Receita!$L$2:$L$754)+SUMIF(Mercado_Receita!$S$2:$S$754,"44348B3Convencional pré-pagamentoNão se aplicaNão se aplicaNão se aplicaNão se aplicaFora ponta",Mercado_Receita!$L$2:$L$754)+SUMIF(Mercado_Receita!$S$2:$S$754,"44348B3Convencional pré-pagamentoNão se aplicaNão se aplicaNão se aplicaNão se aplicaIntermediário",Mercado_Receita!$L$2:$L$754)+SUMIF(Mercado_Receita!$S$2:$S$754,"44348B3Convencional pré-pagamentoNão se aplicaNão se aplicaNão se aplicaNão se aplicaNão se aplica",Mercado_Receita!$L$2:$L$754)</f>
        <v>0</v>
      </c>
      <c r="K46" s="12">
        <f>SUMIF(Mercado_Receita!$S$2:$S$754,"44378B3Convencional pré-pagamentoNão se aplicaNão se aplicaNão se aplicaNão se aplicaPonta",Mercado_Receita!$L$2:$L$754)+SUMIF(Mercado_Receita!$S$2:$S$754,"44378B3Convencional pré-pagamentoNão se aplicaNão se aplicaNão se aplicaNão se aplicaFora ponta",Mercado_Receita!$L$2:$L$754)+SUMIF(Mercado_Receita!$S$2:$S$754,"44378B3Convencional pré-pagamentoNão se aplicaNão se aplicaNão se aplicaNão se aplicaIntermediário",Mercado_Receita!$L$2:$L$754)+SUMIF(Mercado_Receita!$S$2:$S$754,"44378B3Convencional pré-pagamentoNão se aplicaNão se aplicaNão se aplicaNão se aplicaNão se aplica",Mercado_Receita!$L$2:$L$754)</f>
        <v>0</v>
      </c>
      <c r="L46" s="12">
        <f>SUMIF(Mercado_Receita!$S$2:$S$754,"44409B3Convencional pré-pagamentoNão se aplicaNão se aplicaNão se aplicaNão se aplicaPonta",Mercado_Receita!$L$2:$L$754)+SUMIF(Mercado_Receita!$S$2:$S$754,"44409B3Convencional pré-pagamentoNão se aplicaNão se aplicaNão se aplicaNão se aplicaFora ponta",Mercado_Receita!$L$2:$L$754)+SUMIF(Mercado_Receita!$S$2:$S$754,"44409B3Convencional pré-pagamentoNão se aplicaNão se aplicaNão se aplicaNão se aplicaIntermediário",Mercado_Receita!$L$2:$L$754)+SUMIF(Mercado_Receita!$S$2:$S$754,"44409B3Convencional pré-pagamentoNão se aplicaNão se aplicaNão se aplicaNão se aplicaNão se aplica",Mercado_Receita!$L$2:$L$754)</f>
        <v>0</v>
      </c>
      <c r="M46" s="12">
        <f>SUMIF(Mercado_Receita!$S$2:$S$754,"44440B3Convencional pré-pagamentoNão se aplicaNão se aplicaNão se aplicaNão se aplicaPonta",Mercado_Receita!$L$2:$L$754)+SUMIF(Mercado_Receita!$S$2:$S$754,"44440B3Convencional pré-pagamentoNão se aplicaNão se aplicaNão se aplicaNão se aplicaFora ponta",Mercado_Receita!$L$2:$L$754)+SUMIF(Mercado_Receita!$S$2:$S$754,"44440B3Convencional pré-pagamentoNão se aplicaNão se aplicaNão se aplicaNão se aplicaIntermediário",Mercado_Receita!$L$2:$L$754)+SUMIF(Mercado_Receita!$S$2:$S$754,"44440B3Convencional pré-pagamentoNão se aplicaNão se aplicaNão se aplicaNão se aplicaNão se aplica",Mercado_Receita!$L$2:$L$754)</f>
        <v>0</v>
      </c>
      <c r="N46" s="12">
        <f>SUMIF(Mercado_Receita!$S$2:$S$754,"44470B3Convencional pré-pagamentoNão se aplicaNão se aplicaNão se aplicaNão se aplicaPonta",Mercado_Receita!$L$2:$L$754)+SUMIF(Mercado_Receita!$S$2:$S$754,"44470B3Convencional pré-pagamentoNão se aplicaNão se aplicaNão se aplicaNão se aplicaFora ponta",Mercado_Receita!$L$2:$L$754)+SUMIF(Mercado_Receita!$S$2:$S$754,"44470B3Convencional pré-pagamentoNão se aplicaNão se aplicaNão se aplicaNão se aplicaIntermediário",Mercado_Receita!$L$2:$L$754)+SUMIF(Mercado_Receita!$S$2:$S$754,"44470B3Convencional pré-pagamentoNão se aplicaNão se aplicaNão se aplicaNão se aplicaNão se aplica",Mercado_Receita!$L$2:$L$754)</f>
        <v>0</v>
      </c>
      <c r="O46" s="12">
        <f>SUMIF(Mercado_Receita!$S$2:$S$754,"44501B3Convencional pré-pagamentoNão se aplicaNão se aplicaNão se aplicaNão se aplicaPonta",Mercado_Receita!$L$2:$L$754)+SUMIF(Mercado_Receita!$S$2:$S$754,"44501B3Convencional pré-pagamentoNão se aplicaNão se aplicaNão se aplicaNão se aplicaFora ponta",Mercado_Receita!$L$2:$L$754)+SUMIF(Mercado_Receita!$S$2:$S$754,"44501B3Convencional pré-pagamentoNão se aplicaNão se aplicaNão se aplicaNão se aplicaIntermediário",Mercado_Receita!$L$2:$L$754)+SUMIF(Mercado_Receita!$S$2:$S$754,"44501B3Convencional pré-pagamentoNão se aplicaNão se aplicaNão se aplicaNão se aplicaNão se aplica",Mercado_Receita!$L$2:$L$754)</f>
        <v>0</v>
      </c>
      <c r="P46" s="12">
        <f>SUMIF(Mercado_Receita!$S$2:$S$754,"44531B3Convencional pré-pagamentoNão se aplicaNão se aplicaNão se aplicaNão se aplicaPonta",Mercado_Receita!$L$2:$L$754)+SUMIF(Mercado_Receita!$S$2:$S$754,"44531B3Convencional pré-pagamentoNão se aplicaNão se aplicaNão se aplicaNão se aplicaFora ponta",Mercado_Receita!$L$2:$L$754)+SUMIF(Mercado_Receita!$S$2:$S$754,"44531B3Convencional pré-pagamentoNão se aplicaNão se aplicaNão se aplicaNão se aplicaIntermediário",Mercado_Receita!$L$2:$L$754)+SUMIF(Mercado_Receita!$S$2:$S$754,"44531B3Convencional pré-pagamentoNão se aplicaNão se aplicaNão se aplicaNão se aplicaNão se aplica",Mercado_Receita!$L$2:$L$754)</f>
        <v>0</v>
      </c>
      <c r="Q46" s="12">
        <f>SUMIF(Mercado_Receita!$S$2:$S$754,"44562B3Convencional pré-pagamentoNão se aplicaNão se aplicaNão se aplicaNão se aplicaPonta",Mercado_Receita!$L$2:$L$754)+SUMIF(Mercado_Receita!$S$2:$S$754,"44562B3Convencional pré-pagamentoNão se aplicaNão se aplicaNão se aplicaNão se aplicaFora ponta",Mercado_Receita!$L$2:$L$754)+SUMIF(Mercado_Receita!$S$2:$S$754,"44562B3Convencional pré-pagamentoNão se aplicaNão se aplicaNão se aplicaNão se aplicaIntermediário",Mercado_Receita!$L$2:$L$754)+SUMIF(Mercado_Receita!$S$2:$S$754,"44562B3Convencional pré-pagamentoNão se aplicaNão se aplicaNão se aplicaNão se aplicaNão se aplica",Mercado_Receita!$L$2:$L$754)</f>
        <v>0</v>
      </c>
      <c r="R46" s="12">
        <f>SUMIF(Mercado_Receita!$S$2:$S$754,"44593B3Convencional pré-pagamentoNão se aplicaNão se aplicaNão se aplicaNão se aplicaPonta",Mercado_Receita!$L$2:$L$754)+SUMIF(Mercado_Receita!$S$2:$S$754,"44593B3Convencional pré-pagamentoNão se aplicaNão se aplicaNão se aplicaNão se aplicaFora ponta",Mercado_Receita!$L$2:$L$754)+SUMIF(Mercado_Receita!$S$2:$S$754,"44593B3Convencional pré-pagamentoNão se aplicaNão se aplicaNão se aplicaNão se aplicaIntermediário",Mercado_Receita!$L$2:$L$754)+SUMIF(Mercado_Receita!$S$2:$S$754,"44593B3Convencional pré-pagamentoNão se aplicaNão se aplicaNão se aplicaNão se aplicaNão se aplica",Mercado_Receita!$L$2:$L$754)</f>
        <v>0</v>
      </c>
      <c r="S46" s="12">
        <f>SUMIF(Mercado_Receita!$S$2:$S$754,"44621B3Convencional pré-pagamentoNão se aplicaNão se aplicaNão se aplicaNão se aplicaPonta",Mercado_Receita!$L$2:$L$754)+SUMIF(Mercado_Receita!$S$2:$S$754,"44621B3Convencional pré-pagamentoNão se aplicaNão se aplicaNão se aplicaNão se aplicaFora ponta",Mercado_Receita!$L$2:$L$754)+SUMIF(Mercado_Receita!$S$2:$S$754,"44621B3Convencional pré-pagamentoNão se aplicaNão se aplicaNão se aplicaNão se aplicaIntermediário",Mercado_Receita!$L$2:$L$754)+SUMIF(Mercado_Receita!$S$2:$S$754,"44621B3Convencional pré-pagamentoNão se aplicaNão se aplicaNão se aplicaNão se aplicaNão se aplica",Mercado_Receita!$L$2:$L$754)</f>
        <v>0</v>
      </c>
      <c r="T46" s="12">
        <f>SUMIF(Mercado_Receita!$S$2:$S$754,"44652B3Convencional pré-pagamentoNão se aplicaNão se aplicaNão se aplicaNão se aplicaPonta",Mercado_Receita!$L$2:$L$754)+SUMIF(Mercado_Receita!$S$2:$S$754,"44652B3Convencional pré-pagamentoNão se aplicaNão se aplicaNão se aplicaNão se aplicaFora ponta",Mercado_Receita!$L$2:$L$754)+SUMIF(Mercado_Receita!$S$2:$S$754,"44652B3Convencional pré-pagamentoNão se aplicaNão se aplicaNão se aplicaNão se aplicaIntermediário",Mercado_Receita!$L$2:$L$754)+SUMIF(Mercado_Receita!$S$2:$S$754,"44652B3Convencional pré-pagamentoNão se aplicaNão se aplicaNão se aplicaNão se aplicaNão se aplica",Mercado_Receita!$L$2:$L$754)</f>
        <v>0</v>
      </c>
      <c r="U46" s="12">
        <f t="shared" si="0"/>
        <v>0</v>
      </c>
      <c r="V46" s="12"/>
      <c r="W46" s="12"/>
    </row>
    <row r="47" spans="1:23" ht="11.25" customHeight="1" x14ac:dyDescent="0.25">
      <c r="A47" s="116" t="s">
        <v>46</v>
      </c>
      <c r="B47" s="116" t="s">
        <v>23</v>
      </c>
      <c r="C47" s="116" t="s">
        <v>47</v>
      </c>
      <c r="D47" s="13" t="s">
        <v>48</v>
      </c>
      <c r="E47" s="13" t="s">
        <v>25</v>
      </c>
      <c r="F47" s="13" t="s">
        <v>25</v>
      </c>
      <c r="G47" s="12" t="s">
        <v>82</v>
      </c>
      <c r="H47" s="12" t="s">
        <v>76</v>
      </c>
      <c r="I47" s="12">
        <f>SUMIF(Mercado_Receita!$S$2:$S$754,"44317B4ConvencionalIluminação públicaIluminação pública – B4aNão se aplicaNão se aplicaPonta",Mercado_Receita!$L$2:$L$754)+SUMIF(Mercado_Receita!$S$2:$S$754,"44317B4ConvencionalIluminação públicaIluminação pública – B4aNão se aplicaNão se aplicaFora ponta",Mercado_Receita!$L$2:$L$754)+SUMIF(Mercado_Receita!$S$2:$S$754,"44317B4ConvencionalIluminação públicaIluminação pública – B4aNão se aplicaNão se aplicaIntermediário",Mercado_Receita!$L$2:$L$754)+SUMIF(Mercado_Receita!$S$2:$S$754,"44317B4ConvencionalIluminação públicaIluminação pública – B4aNão se aplicaNão se aplicaNão se aplica",Mercado_Receita!$L$2:$L$754)</f>
        <v>315.18599999999998</v>
      </c>
      <c r="J47" s="12">
        <f>SUMIF(Mercado_Receita!$S$2:$S$754,"44348B4ConvencionalIluminação públicaIluminação pública – B4aNão se aplicaNão se aplicaPonta",Mercado_Receita!$L$2:$L$754)+SUMIF(Mercado_Receita!$S$2:$S$754,"44348B4ConvencionalIluminação públicaIluminação pública – B4aNão se aplicaNão se aplicaFora ponta",Mercado_Receita!$L$2:$L$754)+SUMIF(Mercado_Receita!$S$2:$S$754,"44348B4ConvencionalIluminação públicaIluminação pública – B4aNão se aplicaNão se aplicaIntermediário",Mercado_Receita!$L$2:$L$754)+SUMIF(Mercado_Receita!$S$2:$S$754,"44348B4ConvencionalIluminação públicaIluminação pública – B4aNão se aplicaNão se aplicaNão se aplica",Mercado_Receita!$L$2:$L$754)</f>
        <v>313.87900000000002</v>
      </c>
      <c r="K47" s="12">
        <f>SUMIF(Mercado_Receita!$S$2:$S$754,"44378B4ConvencionalIluminação públicaIluminação pública – B4aNão se aplicaNão se aplicaPonta",Mercado_Receita!$L$2:$L$754)+SUMIF(Mercado_Receita!$S$2:$S$754,"44378B4ConvencionalIluminação públicaIluminação pública – B4aNão se aplicaNão se aplicaFora ponta",Mercado_Receita!$L$2:$L$754)+SUMIF(Mercado_Receita!$S$2:$S$754,"44378B4ConvencionalIluminação públicaIluminação pública – B4aNão se aplicaNão se aplicaIntermediário",Mercado_Receita!$L$2:$L$754)+SUMIF(Mercado_Receita!$S$2:$S$754,"44378B4ConvencionalIluminação públicaIluminação pública – B4aNão se aplicaNão se aplicaNão se aplica",Mercado_Receita!$L$2:$L$754)</f>
        <v>318.577</v>
      </c>
      <c r="L47" s="12">
        <f>SUMIF(Mercado_Receita!$S$2:$S$754,"44409B4ConvencionalIluminação públicaIluminação pública – B4aNão se aplicaNão se aplicaPonta",Mercado_Receita!$L$2:$L$754)+SUMIF(Mercado_Receita!$S$2:$S$754,"44409B4ConvencionalIluminação públicaIluminação pública – B4aNão se aplicaNão se aplicaFora ponta",Mercado_Receita!$L$2:$L$754)+SUMIF(Mercado_Receita!$S$2:$S$754,"44409B4ConvencionalIluminação públicaIluminação pública – B4aNão se aplicaNão se aplicaIntermediário",Mercado_Receita!$L$2:$L$754)+SUMIF(Mercado_Receita!$S$2:$S$754,"44409B4ConvencionalIluminação públicaIluminação pública – B4aNão se aplicaNão se aplicaNão se aplica",Mercado_Receita!$L$2:$L$754)</f>
        <v>319.39999999999998</v>
      </c>
      <c r="M47" s="12">
        <f>SUMIF(Mercado_Receita!$S$2:$S$754,"44440B4ConvencionalIluminação públicaIluminação pública – B4aNão se aplicaNão se aplicaPonta",Mercado_Receita!$L$2:$L$754)+SUMIF(Mercado_Receita!$S$2:$S$754,"44440B4ConvencionalIluminação públicaIluminação pública – B4aNão se aplicaNão se aplicaFora ponta",Mercado_Receita!$L$2:$L$754)+SUMIF(Mercado_Receita!$S$2:$S$754,"44440B4ConvencionalIluminação públicaIluminação pública – B4aNão se aplicaNão se aplicaIntermediário",Mercado_Receita!$L$2:$L$754)+SUMIF(Mercado_Receita!$S$2:$S$754,"44440B4ConvencionalIluminação públicaIluminação pública – B4aNão se aplicaNão se aplicaNão se aplica",Mercado_Receita!$L$2:$L$754)</f>
        <v>310.22699999999998</v>
      </c>
      <c r="N47" s="12">
        <f>SUMIF(Mercado_Receita!$S$2:$S$754,"44470B4ConvencionalIluminação públicaIluminação pública – B4aNão se aplicaNão se aplicaPonta",Mercado_Receita!$L$2:$L$754)+SUMIF(Mercado_Receita!$S$2:$S$754,"44470B4ConvencionalIluminação públicaIluminação pública – B4aNão se aplicaNão se aplicaFora ponta",Mercado_Receita!$L$2:$L$754)+SUMIF(Mercado_Receita!$S$2:$S$754,"44470B4ConvencionalIluminação públicaIluminação pública – B4aNão se aplicaNão se aplicaIntermediário",Mercado_Receita!$L$2:$L$754)+SUMIF(Mercado_Receita!$S$2:$S$754,"44470B4ConvencionalIluminação públicaIluminação pública – B4aNão se aplicaNão se aplicaNão se aplica",Mercado_Receita!$L$2:$L$754)</f>
        <v>311.78699999999998</v>
      </c>
      <c r="O47" s="12">
        <f>SUMIF(Mercado_Receita!$S$2:$S$754,"44501B4ConvencionalIluminação públicaIluminação pública – B4aNão se aplicaNão se aplicaPonta",Mercado_Receita!$L$2:$L$754)+SUMIF(Mercado_Receita!$S$2:$S$754,"44501B4ConvencionalIluminação públicaIluminação pública – B4aNão se aplicaNão se aplicaFora ponta",Mercado_Receita!$L$2:$L$754)+SUMIF(Mercado_Receita!$S$2:$S$754,"44501B4ConvencionalIluminação públicaIluminação pública – B4aNão se aplicaNão se aplicaIntermediário",Mercado_Receita!$L$2:$L$754)+SUMIF(Mercado_Receita!$S$2:$S$754,"44501B4ConvencionalIluminação públicaIluminação pública – B4aNão se aplicaNão se aplicaNão se aplica",Mercado_Receita!$L$2:$L$754)</f>
        <v>302.637</v>
      </c>
      <c r="P47" s="12">
        <f>SUMIF(Mercado_Receita!$S$2:$S$754,"44531B4ConvencionalIluminação públicaIluminação pública – B4aNão se aplicaNão se aplicaPonta",Mercado_Receita!$L$2:$L$754)+SUMIF(Mercado_Receita!$S$2:$S$754,"44531B4ConvencionalIluminação públicaIluminação pública – B4aNão se aplicaNão se aplicaFora ponta",Mercado_Receita!$L$2:$L$754)+SUMIF(Mercado_Receita!$S$2:$S$754,"44531B4ConvencionalIluminação públicaIluminação pública – B4aNão se aplicaNão se aplicaIntermediário",Mercado_Receita!$L$2:$L$754)+SUMIF(Mercado_Receita!$S$2:$S$754,"44531B4ConvencionalIluminação públicaIluminação pública – B4aNão se aplicaNão se aplicaNão se aplica",Mercado_Receita!$L$2:$L$754)</f>
        <v>309.173</v>
      </c>
      <c r="Q47" s="12">
        <f>SUMIF(Mercado_Receita!$S$2:$S$754,"44562B4ConvencionalIluminação públicaIluminação pública – B4aNão se aplicaNão se aplicaPonta",Mercado_Receita!$L$2:$L$754)+SUMIF(Mercado_Receita!$S$2:$S$754,"44562B4ConvencionalIluminação públicaIluminação pública – B4aNão se aplicaNão se aplicaFora ponta",Mercado_Receita!$L$2:$L$754)+SUMIF(Mercado_Receita!$S$2:$S$754,"44562B4ConvencionalIluminação públicaIluminação pública – B4aNão se aplicaNão se aplicaIntermediário",Mercado_Receita!$L$2:$L$754)+SUMIF(Mercado_Receita!$S$2:$S$754,"44562B4ConvencionalIluminação públicaIluminação pública – B4aNão se aplicaNão se aplicaNão se aplica",Mercado_Receita!$L$2:$L$754)</f>
        <v>303.60399999999998</v>
      </c>
      <c r="R47" s="12">
        <f>SUMIF(Mercado_Receita!$S$2:$S$754,"44593B4ConvencionalIluminação públicaIluminação pública – B4aNão se aplicaNão se aplicaPonta",Mercado_Receita!$L$2:$L$754)+SUMIF(Mercado_Receita!$S$2:$S$754,"44593B4ConvencionalIluminação públicaIluminação pública – B4aNão se aplicaNão se aplicaFora ponta",Mercado_Receita!$L$2:$L$754)+SUMIF(Mercado_Receita!$S$2:$S$754,"44593B4ConvencionalIluminação públicaIluminação pública – B4aNão se aplicaNão se aplicaIntermediário",Mercado_Receita!$L$2:$L$754)+SUMIF(Mercado_Receita!$S$2:$S$754,"44593B4ConvencionalIluminação públicaIluminação pública – B4aNão se aplicaNão se aplicaNão se aplica",Mercado_Receita!$L$2:$L$754)</f>
        <v>279.94600000000003</v>
      </c>
      <c r="S47" s="12">
        <f>SUMIF(Mercado_Receita!$S$2:$S$754,"44621B4ConvencionalIluminação públicaIluminação pública – B4aNão se aplicaNão se aplicaPonta",Mercado_Receita!$L$2:$L$754)+SUMIF(Mercado_Receita!$S$2:$S$754,"44621B4ConvencionalIluminação públicaIluminação pública – B4aNão se aplicaNão se aplicaFora ponta",Mercado_Receita!$L$2:$L$754)+SUMIF(Mercado_Receita!$S$2:$S$754,"44621B4ConvencionalIluminação públicaIluminação pública – B4aNão se aplicaNão se aplicaIntermediário",Mercado_Receita!$L$2:$L$754)+SUMIF(Mercado_Receita!$S$2:$S$754,"44621B4ConvencionalIluminação públicaIluminação pública – B4aNão se aplicaNão se aplicaNão se aplica",Mercado_Receita!$L$2:$L$754)</f>
        <v>315.32</v>
      </c>
      <c r="T47" s="12">
        <f>SUMIF(Mercado_Receita!$S$2:$S$754,"44652B4ConvencionalIluminação públicaIluminação pública – B4aNão se aplicaNão se aplicaPonta",Mercado_Receita!$L$2:$L$754)+SUMIF(Mercado_Receita!$S$2:$S$754,"44652B4ConvencionalIluminação públicaIluminação pública – B4aNão se aplicaNão se aplicaFora ponta",Mercado_Receita!$L$2:$L$754)+SUMIF(Mercado_Receita!$S$2:$S$754,"44652B4ConvencionalIluminação públicaIluminação pública – B4aNão se aplicaNão se aplicaIntermediário",Mercado_Receita!$L$2:$L$754)+SUMIF(Mercado_Receita!$S$2:$S$754,"44652B4ConvencionalIluminação públicaIluminação pública – B4aNão se aplicaNão se aplicaNão se aplica",Mercado_Receita!$L$2:$L$754)</f>
        <v>309.26</v>
      </c>
      <c r="U47" s="12">
        <f t="shared" si="0"/>
        <v>3708.9960000000001</v>
      </c>
      <c r="V47" s="12"/>
      <c r="W47" s="12"/>
    </row>
    <row r="48" spans="1:23" ht="11.25" customHeight="1" x14ac:dyDescent="0.25">
      <c r="A48" s="117"/>
      <c r="B48" s="117"/>
      <c r="C48" s="117"/>
      <c r="D48" s="12" t="s">
        <v>49</v>
      </c>
      <c r="E48" s="12" t="s">
        <v>25</v>
      </c>
      <c r="F48" s="12" t="s">
        <v>25</v>
      </c>
      <c r="G48" s="12" t="s">
        <v>82</v>
      </c>
      <c r="H48" s="12" t="s">
        <v>76</v>
      </c>
      <c r="I48" s="12">
        <f>SUMIF(Mercado_Receita!$S$2:$S$754,"44317B4ConvencionalIluminação públicaIluminação pública – B4bNão se aplicaNão se aplicaPonta",Mercado_Receita!$L$2:$L$754)+SUMIF(Mercado_Receita!$S$2:$S$754,"44317B4ConvencionalIluminação públicaIluminação pública – B4bNão se aplicaNão se aplicaFora ponta",Mercado_Receita!$L$2:$L$754)+SUMIF(Mercado_Receita!$S$2:$S$754,"44317B4ConvencionalIluminação públicaIluminação pública – B4bNão se aplicaNão se aplicaIntermediário",Mercado_Receita!$L$2:$L$754)+SUMIF(Mercado_Receita!$S$2:$S$754,"44317B4ConvencionalIluminação públicaIluminação pública – B4bNão se aplicaNão se aplicaNão se aplica",Mercado_Receita!$L$2:$L$754)</f>
        <v>28.617999999999999</v>
      </c>
      <c r="J48" s="12">
        <f>SUMIF(Mercado_Receita!$S$2:$S$754,"44348B4ConvencionalIluminação públicaIluminação pública – B4bNão se aplicaNão se aplicaPonta",Mercado_Receita!$L$2:$L$754)+SUMIF(Mercado_Receita!$S$2:$S$754,"44348B4ConvencionalIluminação públicaIluminação pública – B4bNão se aplicaNão se aplicaFora ponta",Mercado_Receita!$L$2:$L$754)+SUMIF(Mercado_Receita!$S$2:$S$754,"44348B4ConvencionalIluminação públicaIluminação pública – B4bNão se aplicaNão se aplicaIntermediário",Mercado_Receita!$L$2:$L$754)+SUMIF(Mercado_Receita!$S$2:$S$754,"44348B4ConvencionalIluminação públicaIluminação pública – B4bNão se aplicaNão se aplicaNão se aplica",Mercado_Receita!$L$2:$L$754)</f>
        <v>27.693999999999999</v>
      </c>
      <c r="K48" s="12">
        <f>SUMIF(Mercado_Receita!$S$2:$S$754,"44378B4ConvencionalIluminação públicaIluminação pública – B4bNão se aplicaNão se aplicaPonta",Mercado_Receita!$L$2:$L$754)+SUMIF(Mercado_Receita!$S$2:$S$754,"44378B4ConvencionalIluminação públicaIluminação pública – B4bNão se aplicaNão se aplicaFora ponta",Mercado_Receita!$L$2:$L$754)+SUMIF(Mercado_Receita!$S$2:$S$754,"44378B4ConvencionalIluminação públicaIluminação pública – B4bNão se aplicaNão se aplicaIntermediário",Mercado_Receita!$L$2:$L$754)+SUMIF(Mercado_Receita!$S$2:$S$754,"44378B4ConvencionalIluminação públicaIluminação pública – B4bNão se aplicaNão se aplicaNão se aplica",Mercado_Receita!$L$2:$L$754)</f>
        <v>28.617999999999999</v>
      </c>
      <c r="L48" s="12">
        <f>SUMIF(Mercado_Receita!$S$2:$S$754,"44409B4ConvencionalIluminação públicaIluminação pública – B4bNão se aplicaNão se aplicaPonta",Mercado_Receita!$L$2:$L$754)+SUMIF(Mercado_Receita!$S$2:$S$754,"44409B4ConvencionalIluminação públicaIluminação pública – B4bNão se aplicaNão se aplicaFora ponta",Mercado_Receita!$L$2:$L$754)+SUMIF(Mercado_Receita!$S$2:$S$754,"44409B4ConvencionalIluminação públicaIluminação pública – B4bNão se aplicaNão se aplicaIntermediário",Mercado_Receita!$L$2:$L$754)+SUMIF(Mercado_Receita!$S$2:$S$754,"44409B4ConvencionalIluminação públicaIluminação pública – B4bNão se aplicaNão se aplicaNão se aplica",Mercado_Receita!$L$2:$L$754)</f>
        <v>28.617999999999999</v>
      </c>
      <c r="M48" s="12">
        <f>SUMIF(Mercado_Receita!$S$2:$S$754,"44440B4ConvencionalIluminação públicaIluminação pública – B4bNão se aplicaNão se aplicaPonta",Mercado_Receita!$L$2:$L$754)+SUMIF(Mercado_Receita!$S$2:$S$754,"44440B4ConvencionalIluminação públicaIluminação pública – B4bNão se aplicaNão se aplicaFora ponta",Mercado_Receita!$L$2:$L$754)+SUMIF(Mercado_Receita!$S$2:$S$754,"44440B4ConvencionalIluminação públicaIluminação pública – B4bNão se aplicaNão se aplicaIntermediário",Mercado_Receita!$L$2:$L$754)+SUMIF(Mercado_Receita!$S$2:$S$754,"44440B4ConvencionalIluminação públicaIluminação pública – B4bNão se aplicaNão se aplicaNão se aplica",Mercado_Receita!$L$2:$L$754)</f>
        <v>27.693999999999999</v>
      </c>
      <c r="N48" s="12">
        <f>SUMIF(Mercado_Receita!$S$2:$S$754,"44470B4ConvencionalIluminação públicaIluminação pública – B4bNão se aplicaNão se aplicaPonta",Mercado_Receita!$L$2:$L$754)+SUMIF(Mercado_Receita!$S$2:$S$754,"44470B4ConvencionalIluminação públicaIluminação pública – B4bNão se aplicaNão se aplicaFora ponta",Mercado_Receita!$L$2:$L$754)+SUMIF(Mercado_Receita!$S$2:$S$754,"44470B4ConvencionalIluminação públicaIluminação pública – B4bNão se aplicaNão se aplicaIntermediário",Mercado_Receita!$L$2:$L$754)+SUMIF(Mercado_Receita!$S$2:$S$754,"44470B4ConvencionalIluminação públicaIluminação pública – B4bNão se aplicaNão se aplicaNão se aplica",Mercado_Receita!$L$2:$L$754)</f>
        <v>28.617999999999999</v>
      </c>
      <c r="O48" s="12">
        <f>SUMIF(Mercado_Receita!$S$2:$S$754,"44501B4ConvencionalIluminação públicaIluminação pública – B4bNão se aplicaNão se aplicaPonta",Mercado_Receita!$L$2:$L$754)+SUMIF(Mercado_Receita!$S$2:$S$754,"44501B4ConvencionalIluminação públicaIluminação pública – B4bNão se aplicaNão se aplicaFora ponta",Mercado_Receita!$L$2:$L$754)+SUMIF(Mercado_Receita!$S$2:$S$754,"44501B4ConvencionalIluminação públicaIluminação pública – B4bNão se aplicaNão se aplicaIntermediário",Mercado_Receita!$L$2:$L$754)+SUMIF(Mercado_Receita!$S$2:$S$754,"44501B4ConvencionalIluminação públicaIluminação pública – B4bNão se aplicaNão se aplicaNão se aplica",Mercado_Receita!$L$2:$L$754)</f>
        <v>27.693999999999999</v>
      </c>
      <c r="P48" s="12">
        <f>SUMIF(Mercado_Receita!$S$2:$S$754,"44531B4ConvencionalIluminação públicaIluminação pública – B4bNão se aplicaNão se aplicaPonta",Mercado_Receita!$L$2:$L$754)+SUMIF(Mercado_Receita!$S$2:$S$754,"44531B4ConvencionalIluminação públicaIluminação pública – B4bNão se aplicaNão se aplicaFora ponta",Mercado_Receita!$L$2:$L$754)+SUMIF(Mercado_Receita!$S$2:$S$754,"44531B4ConvencionalIluminação públicaIluminação pública – B4bNão se aplicaNão se aplicaIntermediário",Mercado_Receita!$L$2:$L$754)+SUMIF(Mercado_Receita!$S$2:$S$754,"44531B4ConvencionalIluminação públicaIluminação pública – B4bNão se aplicaNão se aplicaNão se aplica",Mercado_Receita!$L$2:$L$754)</f>
        <v>28.617999999999999</v>
      </c>
      <c r="Q48" s="12">
        <f>SUMIF(Mercado_Receita!$S$2:$S$754,"44562B4ConvencionalIluminação públicaIluminação pública – B4bNão se aplicaNão se aplicaPonta",Mercado_Receita!$L$2:$L$754)+SUMIF(Mercado_Receita!$S$2:$S$754,"44562B4ConvencionalIluminação públicaIluminação pública – B4bNão se aplicaNão se aplicaFora ponta",Mercado_Receita!$L$2:$L$754)+SUMIF(Mercado_Receita!$S$2:$S$754,"44562B4ConvencionalIluminação públicaIluminação pública – B4bNão se aplicaNão se aplicaIntermediário",Mercado_Receita!$L$2:$L$754)+SUMIF(Mercado_Receita!$S$2:$S$754,"44562B4ConvencionalIluminação públicaIluminação pública – B4bNão se aplicaNão se aplicaNão se aplica",Mercado_Receita!$L$2:$L$754)</f>
        <v>28.617999999999999</v>
      </c>
      <c r="R48" s="12">
        <f>SUMIF(Mercado_Receita!$S$2:$S$754,"44593B4ConvencionalIluminação públicaIluminação pública – B4bNão se aplicaNão se aplicaPonta",Mercado_Receita!$L$2:$L$754)+SUMIF(Mercado_Receita!$S$2:$S$754,"44593B4ConvencionalIluminação públicaIluminação pública – B4bNão se aplicaNão se aplicaFora ponta",Mercado_Receita!$L$2:$L$754)+SUMIF(Mercado_Receita!$S$2:$S$754,"44593B4ConvencionalIluminação públicaIluminação pública – B4bNão se aplicaNão se aplicaIntermediário",Mercado_Receita!$L$2:$L$754)+SUMIF(Mercado_Receita!$S$2:$S$754,"44593B4ConvencionalIluminação públicaIluminação pública – B4bNão se aplicaNão se aplicaNão se aplica",Mercado_Receita!$L$2:$L$754)</f>
        <v>25.847999999999999</v>
      </c>
      <c r="S48" s="12">
        <f>SUMIF(Mercado_Receita!$S$2:$S$754,"44621B4ConvencionalIluminação públicaIluminação pública – B4bNão se aplicaNão se aplicaPonta",Mercado_Receita!$L$2:$L$754)+SUMIF(Mercado_Receita!$S$2:$S$754,"44621B4ConvencionalIluminação públicaIluminação pública – B4bNão se aplicaNão se aplicaFora ponta",Mercado_Receita!$L$2:$L$754)+SUMIF(Mercado_Receita!$S$2:$S$754,"44621B4ConvencionalIluminação públicaIluminação pública – B4bNão se aplicaNão se aplicaIntermediário",Mercado_Receita!$L$2:$L$754)+SUMIF(Mercado_Receita!$S$2:$S$754,"44621B4ConvencionalIluminação públicaIluminação pública – B4bNão se aplicaNão se aplicaNão se aplica",Mercado_Receita!$L$2:$L$754)</f>
        <v>28.617999999999999</v>
      </c>
      <c r="T48" s="12">
        <f>SUMIF(Mercado_Receita!$S$2:$S$754,"44652B4ConvencionalIluminação públicaIluminação pública – B4bNão se aplicaNão se aplicaPonta",Mercado_Receita!$L$2:$L$754)+SUMIF(Mercado_Receita!$S$2:$S$754,"44652B4ConvencionalIluminação públicaIluminação pública – B4bNão se aplicaNão se aplicaFora ponta",Mercado_Receita!$L$2:$L$754)+SUMIF(Mercado_Receita!$S$2:$S$754,"44652B4ConvencionalIluminação públicaIluminação pública – B4bNão se aplicaNão se aplicaIntermediário",Mercado_Receita!$L$2:$L$754)+SUMIF(Mercado_Receita!$S$2:$S$754,"44652B4ConvencionalIluminação públicaIluminação pública – B4bNão se aplicaNão se aplicaNão se aplica",Mercado_Receita!$L$2:$L$754)</f>
        <v>27.693999999999999</v>
      </c>
      <c r="U48" s="12">
        <f t="shared" si="0"/>
        <v>336.95</v>
      </c>
      <c r="V48" s="12"/>
      <c r="W48" s="12"/>
    </row>
    <row r="49" spans="1:23" ht="11.25" customHeight="1" x14ac:dyDescent="0.25">
      <c r="A49" s="118" t="s">
        <v>616</v>
      </c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2"/>
      <c r="W49" s="12"/>
    </row>
  </sheetData>
  <mergeCells count="55"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  <mergeCell ref="C31:C33"/>
    <mergeCell ref="B31:B33"/>
    <mergeCell ref="F35:F37"/>
    <mergeCell ref="E35:E37"/>
    <mergeCell ref="D35:D37"/>
    <mergeCell ref="C35:C37"/>
    <mergeCell ref="B35:B37"/>
    <mergeCell ref="C17:C21"/>
    <mergeCell ref="B17:B21"/>
    <mergeCell ref="C22:C26"/>
    <mergeCell ref="B22:B26"/>
    <mergeCell ref="A14:A26"/>
    <mergeCell ref="F27:F29"/>
    <mergeCell ref="E27:E29"/>
    <mergeCell ref="D27:D29"/>
    <mergeCell ref="C27:C29"/>
    <mergeCell ref="B27:B29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25F62-CEEE-426A-B466-90A118C3804C}">
  <dimension ref="A1:AD39"/>
  <sheetViews>
    <sheetView showGridLines="0" workbookViewId="0">
      <selection sqref="A1:W3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66</v>
      </c>
      <c r="B1" s="10" t="s">
        <v>67</v>
      </c>
      <c r="C1" s="10" t="s">
        <v>68</v>
      </c>
      <c r="D1" s="10" t="s">
        <v>69</v>
      </c>
      <c r="E1" s="10" t="s">
        <v>70</v>
      </c>
      <c r="F1" s="10" t="s">
        <v>71</v>
      </c>
      <c r="G1" s="10" t="s">
        <v>72</v>
      </c>
      <c r="H1" s="10" t="s">
        <v>73</v>
      </c>
      <c r="I1" s="11">
        <v>44317</v>
      </c>
      <c r="J1" s="11">
        <v>44348</v>
      </c>
      <c r="K1" s="11">
        <v>44378</v>
      </c>
      <c r="L1" s="11">
        <v>44409</v>
      </c>
      <c r="M1" s="11">
        <v>44440</v>
      </c>
      <c r="N1" s="11">
        <v>44470</v>
      </c>
      <c r="O1" s="11">
        <v>44501</v>
      </c>
      <c r="P1" s="11">
        <v>44531</v>
      </c>
      <c r="Q1" s="11">
        <v>44562</v>
      </c>
      <c r="R1" s="11">
        <v>44593</v>
      </c>
      <c r="S1" s="11">
        <v>44621</v>
      </c>
      <c r="T1" s="11">
        <v>44652</v>
      </c>
      <c r="U1" s="10" t="s">
        <v>74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16" t="s">
        <v>33</v>
      </c>
      <c r="B2" s="116" t="s">
        <v>75</v>
      </c>
      <c r="C2" s="116" t="s">
        <v>25</v>
      </c>
      <c r="D2" s="116" t="s">
        <v>25</v>
      </c>
      <c r="E2" s="116" t="s">
        <v>25</v>
      </c>
      <c r="F2" s="116" t="s">
        <v>25</v>
      </c>
      <c r="G2" s="14" t="s">
        <v>77</v>
      </c>
      <c r="H2" s="14" t="s">
        <v>76</v>
      </c>
      <c r="I2" s="14">
        <f>SUMIF(Mercado_Receita!$T$2:$T$754,"44317A4Energia horáriaNão se aplicaNão se aplicaNão se aplicaNão se aplicaPonta",Mercado_Receita!$N$2:$N$754)</f>
        <v>235.68499999999997</v>
      </c>
      <c r="J2" s="14">
        <f>SUMIF(Mercado_Receita!$T$2:$T$754,"44348A4Energia horáriaNão se aplicaNão se aplicaNão se aplicaNão se aplicaPonta",Mercado_Receita!$N$2:$N$754)</f>
        <v>170.95599999999999</v>
      </c>
      <c r="K2" s="14">
        <f>SUMIF(Mercado_Receita!$T$2:$T$754,"44378A4Energia horáriaNão se aplicaNão se aplicaNão se aplicaNão se aplicaPonta",Mercado_Receita!$N$2:$N$754)</f>
        <v>165.261</v>
      </c>
      <c r="L2" s="14">
        <f>SUMIF(Mercado_Receita!$T$2:$T$754,"44409A4Energia horáriaNão se aplicaNão se aplicaNão se aplicaNão se aplicaPonta",Mercado_Receita!$N$2:$N$754)</f>
        <v>167.36599999999999</v>
      </c>
      <c r="M2" s="14">
        <f>SUMIF(Mercado_Receita!$T$2:$T$754,"44440A4Energia horáriaNão se aplicaNão se aplicaNão se aplicaNão se aplicaPonta",Mercado_Receita!$N$2:$N$754)</f>
        <v>182.816</v>
      </c>
      <c r="N2" s="14">
        <f>SUMIF(Mercado_Receita!$T$2:$T$754,"44470A4Energia horáriaNão se aplicaNão se aplicaNão se aplicaNão se aplicaPonta",Mercado_Receita!$N$2:$N$754)</f>
        <v>170.81600000000003</v>
      </c>
      <c r="O2" s="14">
        <f>SUMIF(Mercado_Receita!$T$2:$T$754,"44501A4Energia horáriaNão se aplicaNão se aplicaNão se aplicaNão se aplicaPonta",Mercado_Receita!$N$2:$N$754)</f>
        <v>162.46700000000001</v>
      </c>
      <c r="P2" s="14">
        <f>SUMIF(Mercado_Receita!$T$2:$T$754,"44531A4Energia horáriaNão se aplicaNão se aplicaNão se aplicaNão se aplicaPonta",Mercado_Receita!$N$2:$N$754)</f>
        <v>197.95599999999999</v>
      </c>
      <c r="Q2" s="14">
        <f>SUMIF(Mercado_Receita!$T$2:$T$754,"44562A4Energia horáriaNão se aplicaNão se aplicaNão se aplicaNão se aplicaPonta",Mercado_Receita!$N$2:$N$754)</f>
        <v>201.3</v>
      </c>
      <c r="R2" s="14">
        <f>SUMIF(Mercado_Receita!$T$2:$T$754,"44593A4Energia horáriaNão se aplicaNão se aplicaNão se aplicaNão se aplicaPonta",Mercado_Receita!$N$2:$N$754)</f>
        <v>197.459</v>
      </c>
      <c r="S2" s="14">
        <f>SUMIF(Mercado_Receita!$T$2:$T$754,"44621A4Energia horáriaNão se aplicaNão se aplicaNão se aplicaNão se aplicaPonta",Mercado_Receita!$N$2:$N$754)</f>
        <v>248.05399999999997</v>
      </c>
      <c r="T2" s="14">
        <f>SUMIF(Mercado_Receita!$T$2:$T$754,"44652A4Energia horáriaNão se aplicaNão se aplicaNão se aplicaNão se aplicaPonta",Mercado_Receita!$N$2:$N$754)</f>
        <v>164.38299999999998</v>
      </c>
      <c r="U2" s="14">
        <f t="shared" ref="U2:U38" si="0">SUM(I2:T2)</f>
        <v>2264.5189999999998</v>
      </c>
      <c r="V2" s="14"/>
      <c r="W2" s="14"/>
    </row>
    <row r="3" spans="1:30" ht="11.25" customHeight="1" x14ac:dyDescent="0.25">
      <c r="A3" s="117"/>
      <c r="B3" s="117"/>
      <c r="C3" s="117"/>
      <c r="D3" s="117"/>
      <c r="E3" s="117"/>
      <c r="F3" s="117"/>
      <c r="G3" s="14" t="s">
        <v>78</v>
      </c>
      <c r="H3" s="14" t="s">
        <v>76</v>
      </c>
      <c r="I3" s="14">
        <f>SUMIF(Mercado_Receita!$T$2:$T$754,"44317A4Energia horáriaNão se aplicaNão se aplicaNão se aplicaNão se aplicaFora ponta",Mercado_Receita!$N$2:$N$754)</f>
        <v>3740.7719999999999</v>
      </c>
      <c r="J3" s="14">
        <f>SUMIF(Mercado_Receita!$T$2:$T$754,"44348A4Energia horáriaNão se aplicaNão se aplicaNão se aplicaNão se aplicaFora ponta",Mercado_Receita!$N$2:$N$754)</f>
        <v>3159.2080000000001</v>
      </c>
      <c r="K3" s="14">
        <f>SUMIF(Mercado_Receita!$T$2:$T$754,"44378A4Energia horáriaNão se aplicaNão se aplicaNão se aplicaNão se aplicaFora ponta",Mercado_Receita!$N$2:$N$754)</f>
        <v>3078.7879999999996</v>
      </c>
      <c r="L3" s="14">
        <f>SUMIF(Mercado_Receita!$T$2:$T$754,"44409A4Energia horáriaNão se aplicaNão se aplicaNão se aplicaNão se aplicaFora ponta",Mercado_Receita!$N$2:$N$754)</f>
        <v>3230.7620000000002</v>
      </c>
      <c r="M3" s="14">
        <f>SUMIF(Mercado_Receita!$T$2:$T$754,"44440A4Energia horáriaNão se aplicaNão se aplicaNão se aplicaNão se aplicaFora ponta",Mercado_Receita!$N$2:$N$754)</f>
        <v>3623.7400000000002</v>
      </c>
      <c r="N3" s="14">
        <f>SUMIF(Mercado_Receita!$T$2:$T$754,"44470A4Energia horáriaNão se aplicaNão se aplicaNão se aplicaNão se aplicaFora ponta",Mercado_Receita!$N$2:$N$754)</f>
        <v>3658.645</v>
      </c>
      <c r="O3" s="14">
        <f>SUMIF(Mercado_Receita!$T$2:$T$754,"44501A4Energia horáriaNão se aplicaNão se aplicaNão se aplicaNão se aplicaFora ponta",Mercado_Receita!$N$2:$N$754)</f>
        <v>3588.4650000000001</v>
      </c>
      <c r="P3" s="14">
        <f>SUMIF(Mercado_Receita!$T$2:$T$754,"44531A4Energia horáriaNão se aplicaNão se aplicaNão se aplicaNão se aplicaFora ponta",Mercado_Receita!$N$2:$N$754)</f>
        <v>3723.5739999999996</v>
      </c>
      <c r="Q3" s="14">
        <f>SUMIF(Mercado_Receita!$T$2:$T$754,"44562A4Energia horáriaNão se aplicaNão se aplicaNão se aplicaNão se aplicaFora ponta",Mercado_Receita!$N$2:$N$754)</f>
        <v>3907.4600000000005</v>
      </c>
      <c r="R3" s="14">
        <f>SUMIF(Mercado_Receita!$T$2:$T$754,"44593A4Energia horáriaNão se aplicaNão se aplicaNão se aplicaNão se aplicaFora ponta",Mercado_Receita!$N$2:$N$754)</f>
        <v>3593.0370000000003</v>
      </c>
      <c r="S3" s="14">
        <f>SUMIF(Mercado_Receita!$T$2:$T$754,"44621A4Energia horáriaNão se aplicaNão se aplicaNão se aplicaNão se aplicaFora ponta",Mercado_Receita!$N$2:$N$754)</f>
        <v>4150.268</v>
      </c>
      <c r="T3" s="14">
        <f>SUMIF(Mercado_Receita!$T$2:$T$754,"44652A4Energia horáriaNão se aplicaNão se aplicaNão se aplicaNão se aplicaFora ponta",Mercado_Receita!$N$2:$N$754)</f>
        <v>3290.4459999999999</v>
      </c>
      <c r="U3" s="14">
        <f t="shared" si="0"/>
        <v>42745.164999999994</v>
      </c>
      <c r="V3" s="14"/>
      <c r="W3" s="14"/>
    </row>
    <row r="4" spans="1:30" ht="11.25" customHeight="1" x14ac:dyDescent="0.25">
      <c r="A4" s="116" t="s">
        <v>22</v>
      </c>
      <c r="B4" s="116" t="s">
        <v>75</v>
      </c>
      <c r="C4" s="116" t="s">
        <v>24</v>
      </c>
      <c r="D4" s="116" t="s">
        <v>24</v>
      </c>
      <c r="E4" s="116" t="s">
        <v>25</v>
      </c>
      <c r="F4" s="116" t="s">
        <v>25</v>
      </c>
      <c r="G4" s="14" t="s">
        <v>77</v>
      </c>
      <c r="H4" s="14" t="s">
        <v>76</v>
      </c>
      <c r="I4" s="14">
        <f>SUMIF(Mercado_Receita!$T$2:$T$754,"44317B1Energia horáriaResidencialResidencialNão se aplicaNão se aplicaPonta",Mercado_Receita!$N$2:$N$754)</f>
        <v>0.28999999999999998</v>
      </c>
      <c r="J4" s="14">
        <f>SUMIF(Mercado_Receita!$T$2:$T$754,"44348B1Energia horáriaResidencialResidencialNão se aplicaNão se aplicaPonta",Mercado_Receita!$N$2:$N$754)</f>
        <v>0.33700000000000002</v>
      </c>
      <c r="K4" s="14">
        <f>SUMIF(Mercado_Receita!$T$2:$T$754,"44378B1Energia horáriaResidencialResidencialNão se aplicaNão se aplicaPonta",Mercado_Receita!$N$2:$N$754)</f>
        <v>0.36299999999999999</v>
      </c>
      <c r="L4" s="14">
        <f>SUMIF(Mercado_Receita!$T$2:$T$754,"44409B1Energia horáriaResidencialResidencialNão se aplicaNão se aplicaPonta",Mercado_Receita!$N$2:$N$754)</f>
        <v>0.42799999999999999</v>
      </c>
      <c r="M4" s="14">
        <f>SUMIF(Mercado_Receita!$T$2:$T$754,"44440B1Energia horáriaResidencialResidencialNão se aplicaNão se aplicaPonta",Mercado_Receita!$N$2:$N$754)</f>
        <v>0.36099999999999999</v>
      </c>
      <c r="N4" s="14">
        <f>SUMIF(Mercado_Receita!$T$2:$T$754,"44470B1Energia horáriaResidencialResidencialNão se aplicaNão se aplicaPonta",Mercado_Receita!$N$2:$N$754)</f>
        <v>0.36499999999999999</v>
      </c>
      <c r="O4" s="14">
        <f>SUMIF(Mercado_Receita!$T$2:$T$754,"44501B1Energia horáriaResidencialResidencialNão se aplicaNão se aplicaPonta",Mercado_Receita!$N$2:$N$754)</f>
        <v>0.36299999999999999</v>
      </c>
      <c r="P4" s="14">
        <f>SUMIF(Mercado_Receita!$T$2:$T$754,"44531B1Energia horáriaResidencialResidencialNão se aplicaNão se aplicaPonta",Mercado_Receita!$N$2:$N$754)</f>
        <v>0.36199999999999999</v>
      </c>
      <c r="Q4" s="14">
        <f>SUMIF(Mercado_Receita!$T$2:$T$754,"44562B1Energia horáriaResidencialResidencialNão se aplicaNão se aplicaPonta",Mercado_Receita!$N$2:$N$754)</f>
        <v>0.40300000000000002</v>
      </c>
      <c r="R4" s="14">
        <f>SUMIF(Mercado_Receita!$T$2:$T$754,"44593B1Energia horáriaResidencialResidencialNão se aplicaNão se aplicaPonta",Mercado_Receita!$N$2:$N$754)</f>
        <v>0.41199999999999998</v>
      </c>
      <c r="S4" s="14">
        <f>SUMIF(Mercado_Receita!$T$2:$T$754,"44621B1Energia horáriaResidencialResidencialNão se aplicaNão se aplicaPonta",Mercado_Receita!$N$2:$N$754)</f>
        <v>0.503</v>
      </c>
      <c r="T4" s="14">
        <f>SUMIF(Mercado_Receita!$T$2:$T$754,"44652B1Energia horáriaResidencialResidencialNão se aplicaNão se aplicaPonta",Mercado_Receita!$N$2:$N$754)</f>
        <v>0.42699999999999999</v>
      </c>
      <c r="U4" s="14">
        <f t="shared" si="0"/>
        <v>4.6139999999999999</v>
      </c>
      <c r="V4" s="14"/>
      <c r="W4" s="14"/>
    </row>
    <row r="5" spans="1:30" ht="11.25" customHeight="1" x14ac:dyDescent="0.25">
      <c r="A5" s="117"/>
      <c r="B5" s="117"/>
      <c r="C5" s="117"/>
      <c r="D5" s="117"/>
      <c r="E5" s="117"/>
      <c r="F5" s="117"/>
      <c r="G5" s="14" t="s">
        <v>88</v>
      </c>
      <c r="H5" s="14" t="s">
        <v>76</v>
      </c>
      <c r="I5" s="14">
        <f>SUMIF(Mercado_Receita!$T$2:$T$754,"44317B1Energia horáriaResidencialResidencialNão se aplicaNão se aplicaIntermediário",Mercado_Receita!$N$2:$N$754)</f>
        <v>0.18</v>
      </c>
      <c r="J5" s="14">
        <f>SUMIF(Mercado_Receita!$T$2:$T$754,"44348B1Energia horáriaResidencialResidencialNão se aplicaNão se aplicaIntermediário",Mercado_Receita!$N$2:$N$754)</f>
        <v>0.21</v>
      </c>
      <c r="K5" s="14">
        <f>SUMIF(Mercado_Receita!$T$2:$T$754,"44378B1Energia horáriaResidencialResidencialNão se aplicaNão se aplicaIntermediário",Mercado_Receita!$N$2:$N$754)</f>
        <v>0.20200000000000001</v>
      </c>
      <c r="L5" s="14">
        <f>SUMIF(Mercado_Receita!$T$2:$T$754,"44409B1Energia horáriaResidencialResidencialNão se aplicaNão se aplicaIntermediário",Mercado_Receita!$N$2:$N$754)</f>
        <v>0.63500000000000001</v>
      </c>
      <c r="M5" s="14">
        <f>SUMIF(Mercado_Receita!$T$2:$T$754,"44440B1Energia horáriaResidencialResidencialNão se aplicaNão se aplicaIntermediário",Mercado_Receita!$N$2:$N$754)</f>
        <v>0.60299999999999998</v>
      </c>
      <c r="N5" s="14">
        <f>SUMIF(Mercado_Receita!$T$2:$T$754,"44470B1Energia horáriaResidencialResidencialNão se aplicaNão se aplicaIntermediário",Mercado_Receita!$N$2:$N$754)</f>
        <v>0.56299999999999994</v>
      </c>
      <c r="O5" s="14">
        <f>SUMIF(Mercado_Receita!$T$2:$T$754,"44501B1Energia horáriaResidencialResidencialNão se aplicaNão se aplicaIntermediário",Mercado_Receita!$N$2:$N$754)</f>
        <v>0.48599999999999999</v>
      </c>
      <c r="P5" s="14">
        <f>SUMIF(Mercado_Receita!$T$2:$T$754,"44531B1Energia horáriaResidencialResidencialNão se aplicaNão se aplicaIntermediário",Mercado_Receita!$N$2:$N$754)</f>
        <v>0.69</v>
      </c>
      <c r="Q5" s="14">
        <f>SUMIF(Mercado_Receita!$T$2:$T$754,"44562B1Energia horáriaResidencialResidencialNão se aplicaNão se aplicaIntermediário",Mercado_Receita!$N$2:$N$754)</f>
        <v>0.81699999999999995</v>
      </c>
      <c r="R5" s="14">
        <f>SUMIF(Mercado_Receita!$T$2:$T$754,"44593B1Energia horáriaResidencialResidencialNão se aplicaNão se aplicaIntermediário",Mercado_Receita!$N$2:$N$754)</f>
        <v>0.78</v>
      </c>
      <c r="S5" s="14">
        <f>SUMIF(Mercado_Receita!$T$2:$T$754,"44621B1Energia horáriaResidencialResidencialNão se aplicaNão se aplicaIntermediário",Mercado_Receita!$N$2:$N$754)</f>
        <v>1.012</v>
      </c>
      <c r="T5" s="14">
        <f>SUMIF(Mercado_Receita!$T$2:$T$754,"44652B1Energia horáriaResidencialResidencialNão se aplicaNão se aplicaIntermediário",Mercado_Receita!$N$2:$N$754)</f>
        <v>0.84099999999999997</v>
      </c>
      <c r="U5" s="14">
        <f t="shared" si="0"/>
        <v>7.0189999999999992</v>
      </c>
      <c r="V5" s="14"/>
      <c r="W5" s="14"/>
    </row>
    <row r="6" spans="1:30" ht="11.25" customHeight="1" x14ac:dyDescent="0.25">
      <c r="A6" s="117"/>
      <c r="B6" s="117"/>
      <c r="C6" s="117"/>
      <c r="D6" s="117"/>
      <c r="E6" s="117"/>
      <c r="F6" s="117"/>
      <c r="G6" s="14" t="s">
        <v>78</v>
      </c>
      <c r="H6" s="14" t="s">
        <v>76</v>
      </c>
      <c r="I6" s="14">
        <f>SUMIF(Mercado_Receita!$T$2:$T$754,"44317B1Energia horáriaResidencialResidencialNão se aplicaNão se aplicaFora ponta",Mercado_Receita!$N$2:$N$754)</f>
        <v>1.794</v>
      </c>
      <c r="J6" s="14">
        <f>SUMIF(Mercado_Receita!$T$2:$T$754,"44348B1Energia horáriaResidencialResidencialNão se aplicaNão se aplicaFora ponta",Mercado_Receita!$N$2:$N$754)</f>
        <v>1.857</v>
      </c>
      <c r="K6" s="14">
        <f>SUMIF(Mercado_Receita!$T$2:$T$754,"44378B1Energia horáriaResidencialResidencialNão se aplicaNão se aplicaFora ponta",Mercado_Receita!$N$2:$N$754)</f>
        <v>1.9950000000000001</v>
      </c>
      <c r="L6" s="14">
        <f>SUMIF(Mercado_Receita!$T$2:$T$754,"44409B1Energia horáriaResidencialResidencialNão se aplicaNão se aplicaFora ponta",Mercado_Receita!$N$2:$N$754)</f>
        <v>2.456</v>
      </c>
      <c r="M6" s="14">
        <f>SUMIF(Mercado_Receita!$T$2:$T$754,"44440B1Energia horáriaResidencialResidencialNão se aplicaNão se aplicaFora ponta",Mercado_Receita!$N$2:$N$754)</f>
        <v>2.7250000000000001</v>
      </c>
      <c r="N6" s="14">
        <f>SUMIF(Mercado_Receita!$T$2:$T$754,"44470B1Energia horáriaResidencialResidencialNão se aplicaNão se aplicaFora ponta",Mercado_Receita!$N$2:$N$754)</f>
        <v>2.3330000000000002</v>
      </c>
      <c r="O6" s="14">
        <f>SUMIF(Mercado_Receita!$T$2:$T$754,"44501B1Energia horáriaResidencialResidencialNão se aplicaNão se aplicaFora ponta",Mercado_Receita!$N$2:$N$754)</f>
        <v>2.3420000000000001</v>
      </c>
      <c r="P6" s="14">
        <f>SUMIF(Mercado_Receita!$T$2:$T$754,"44531B1Energia horáriaResidencialResidencialNão se aplicaNão se aplicaFora ponta",Mercado_Receita!$N$2:$N$754)</f>
        <v>2.4870000000000001</v>
      </c>
      <c r="Q6" s="14">
        <f>SUMIF(Mercado_Receita!$T$2:$T$754,"44562B1Energia horáriaResidencialResidencialNão se aplicaNão se aplicaFora ponta",Mercado_Receita!$N$2:$N$754)</f>
        <v>2.78</v>
      </c>
      <c r="R6" s="14">
        <f>SUMIF(Mercado_Receita!$T$2:$T$754,"44593B1Energia horáriaResidencialResidencialNão se aplicaNão se aplicaFora ponta",Mercado_Receita!$N$2:$N$754)</f>
        <v>2.7229999999999999</v>
      </c>
      <c r="S6" s="14">
        <f>SUMIF(Mercado_Receita!$T$2:$T$754,"44621B1Energia horáriaResidencialResidencialNão se aplicaNão se aplicaFora ponta",Mercado_Receita!$N$2:$N$754)</f>
        <v>3.5790000000000002</v>
      </c>
      <c r="T6" s="14">
        <f>SUMIF(Mercado_Receita!$T$2:$T$754,"44652B1Energia horáriaResidencialResidencialNão se aplicaNão se aplicaFora ponta",Mercado_Receita!$N$2:$N$754)</f>
        <v>2.8010000000000002</v>
      </c>
      <c r="U6" s="14">
        <f t="shared" si="0"/>
        <v>29.872</v>
      </c>
      <c r="V6" s="14"/>
      <c r="W6" s="14"/>
    </row>
    <row r="7" spans="1:30" ht="11.25" customHeight="1" x14ac:dyDescent="0.25">
      <c r="A7" s="117"/>
      <c r="B7" s="116" t="s">
        <v>89</v>
      </c>
      <c r="C7" s="116" t="s">
        <v>24</v>
      </c>
      <c r="D7" s="13" t="s">
        <v>24</v>
      </c>
      <c r="E7" s="13" t="s">
        <v>25</v>
      </c>
      <c r="F7" s="13" t="s">
        <v>25</v>
      </c>
      <c r="G7" s="14" t="s">
        <v>82</v>
      </c>
      <c r="H7" s="14" t="s">
        <v>76</v>
      </c>
      <c r="I7" s="14">
        <f>SUMIF(Mercado_Receita!$T$2:$T$754,"44317B1Energia convencionalResidencialResidencialNão se aplicaNão se aplicaNão se aplica",Mercado_Receita!$N$2:$N$754)</f>
        <v>1873.4050000000002</v>
      </c>
      <c r="J7" s="14">
        <f>SUMIF(Mercado_Receita!$T$2:$T$754,"44348B1Energia convencionalResidencialResidencialNão se aplicaNão se aplicaNão se aplica",Mercado_Receita!$N$2:$N$754)</f>
        <v>1977.857</v>
      </c>
      <c r="K7" s="14">
        <f>SUMIF(Mercado_Receita!$T$2:$T$754,"44378B1Energia convencionalResidencialResidencialNão se aplicaNão se aplicaNão se aplica",Mercado_Receita!$N$2:$N$754)</f>
        <v>1930.3869999999999</v>
      </c>
      <c r="L7" s="14">
        <f>SUMIF(Mercado_Receita!$T$2:$T$754,"44409B1Energia convencionalResidencialResidencialNão se aplicaNão se aplicaNão se aplica",Mercado_Receita!$N$2:$N$754)</f>
        <v>2004.5319999999999</v>
      </c>
      <c r="M7" s="14">
        <f>SUMIF(Mercado_Receita!$T$2:$T$754,"44440B1Energia convencionalResidencialResidencialNão se aplicaNão se aplicaNão se aplica",Mercado_Receita!$N$2:$N$754)</f>
        <v>2171.2580000000003</v>
      </c>
      <c r="N7" s="14">
        <f>SUMIF(Mercado_Receita!$T$2:$T$754,"44470B1Energia convencionalResidencialResidencialNão se aplicaNão se aplicaNão se aplica",Mercado_Receita!$N$2:$N$754)</f>
        <v>2237.9480000000003</v>
      </c>
      <c r="O7" s="14">
        <f>SUMIF(Mercado_Receita!$T$2:$T$754,"44501B1Energia convencionalResidencialResidencialNão se aplicaNão se aplicaNão se aplica",Mercado_Receita!$N$2:$N$754)</f>
        <v>2191.1039999999998</v>
      </c>
      <c r="P7" s="14">
        <f>SUMIF(Mercado_Receita!$T$2:$T$754,"44531B1Energia convencionalResidencialResidencialNão se aplicaNão se aplicaNão se aplica",Mercado_Receita!$N$2:$N$754)</f>
        <v>2136.0950000000003</v>
      </c>
      <c r="Q7" s="14">
        <f>SUMIF(Mercado_Receita!$T$2:$T$754,"44562B1Energia convencionalResidencialResidencialNão se aplicaNão se aplicaNão se aplica",Mercado_Receita!$N$2:$N$754)</f>
        <v>2293.2690000000002</v>
      </c>
      <c r="R7" s="14">
        <f>SUMIF(Mercado_Receita!$T$2:$T$754,"44593B1Energia convencionalResidencialResidencialNão se aplicaNão se aplicaNão se aplica",Mercado_Receita!$N$2:$N$754)</f>
        <v>2178.5369999999998</v>
      </c>
      <c r="S7" s="14">
        <f>SUMIF(Mercado_Receita!$T$2:$T$754,"44621B1Energia convencionalResidencialResidencialNão se aplicaNão se aplicaNão se aplica",Mercado_Receita!$N$2:$N$754)</f>
        <v>2419.1800000000003</v>
      </c>
      <c r="T7" s="14">
        <f>SUMIF(Mercado_Receita!$T$2:$T$754,"44652B1Energia convencionalResidencialResidencialNão se aplicaNão se aplicaNão se aplica",Mercado_Receita!$N$2:$N$754)</f>
        <v>2235.0160000000001</v>
      </c>
      <c r="U7" s="14">
        <f t="shared" si="0"/>
        <v>25648.588</v>
      </c>
      <c r="V7" s="14"/>
      <c r="W7" s="14"/>
    </row>
    <row r="8" spans="1:30" ht="11.25" customHeight="1" x14ac:dyDescent="0.25">
      <c r="A8" s="117"/>
      <c r="B8" s="117"/>
      <c r="C8" s="117"/>
      <c r="D8" s="13" t="s">
        <v>29</v>
      </c>
      <c r="E8" s="13" t="s">
        <v>25</v>
      </c>
      <c r="F8" s="13" t="s">
        <v>25</v>
      </c>
      <c r="G8" s="14" t="s">
        <v>82</v>
      </c>
      <c r="H8" s="14" t="s">
        <v>76</v>
      </c>
      <c r="I8" s="14">
        <f>SUMIF(Mercado_Receita!$T$2:$T$754,"44317B1Energia convencionalResidencialResidencial baixa renda – faixa 01Não se aplicaNão se aplicaNão se aplica",Mercado_Receita!$N$2:$N$754)</f>
        <v>14.34</v>
      </c>
      <c r="J8" s="14">
        <f>SUMIF(Mercado_Receita!$T$2:$T$754,"44348B1Energia convencionalResidencialResidencial baixa renda – faixa 01Não se aplicaNão se aplicaNão se aplica",Mercado_Receita!$N$2:$N$754)</f>
        <v>14.58</v>
      </c>
      <c r="K8" s="14">
        <f>SUMIF(Mercado_Receita!$T$2:$T$754,"44378B1Energia convencionalResidencialResidencial baixa renda – faixa 01Não se aplicaNão se aplicaNão se aplica",Mercado_Receita!$N$2:$N$754)</f>
        <v>14.73</v>
      </c>
      <c r="L8" s="14">
        <f>SUMIF(Mercado_Receita!$T$2:$T$754,"44409B1Energia convencionalResidencialResidencial baixa renda – faixa 01Não se aplicaNão se aplicaNão se aplica",Mercado_Receita!$N$2:$N$754)</f>
        <v>14.85</v>
      </c>
      <c r="M8" s="14">
        <f>SUMIF(Mercado_Receita!$T$2:$T$754,"44440B1Energia convencionalResidencialResidencial baixa renda – faixa 01Não se aplicaNão se aplicaNão se aplica",Mercado_Receita!$N$2:$N$754)</f>
        <v>14.85</v>
      </c>
      <c r="N8" s="14">
        <f>SUMIF(Mercado_Receita!$T$2:$T$754,"44470B1Energia convencionalResidencialResidencial baixa renda – faixa 01Não se aplicaNão se aplicaNão se aplica",Mercado_Receita!$N$2:$N$754)</f>
        <v>14.94</v>
      </c>
      <c r="O8" s="14">
        <f>SUMIF(Mercado_Receita!$T$2:$T$754,"44501B1Energia convencionalResidencialResidencial baixa renda – faixa 01Não se aplicaNão se aplicaNão se aplica",Mercado_Receita!$N$2:$N$754)</f>
        <v>15.06</v>
      </c>
      <c r="P8" s="14">
        <f>SUMIF(Mercado_Receita!$T$2:$T$754,"44531B1Energia convencionalResidencialResidencial baixa renda – faixa 01Não se aplicaNão se aplicaNão se aplica",Mercado_Receita!$N$2:$N$754)</f>
        <v>15.42</v>
      </c>
      <c r="Q8" s="14">
        <f>SUMIF(Mercado_Receita!$T$2:$T$754,"44562B1Energia convencionalResidencialResidencial baixa renda – faixa 01Não se aplicaNão se aplicaNão se aplica",Mercado_Receita!$N$2:$N$754)</f>
        <v>15.72</v>
      </c>
      <c r="R8" s="14">
        <f>SUMIF(Mercado_Receita!$T$2:$T$754,"44593B1Energia convencionalResidencialResidencial baixa renda – faixa 01Não se aplicaNão se aplicaNão se aplica",Mercado_Receita!$N$2:$N$754)</f>
        <v>17.100000000000001</v>
      </c>
      <c r="S8" s="14">
        <f>SUMIF(Mercado_Receita!$T$2:$T$754,"44621B1Energia convencionalResidencialResidencial baixa renda – faixa 01Não se aplicaNão se aplicaNão se aplica",Mercado_Receita!$N$2:$N$754)</f>
        <v>25.65</v>
      </c>
      <c r="T8" s="14">
        <f>SUMIF(Mercado_Receita!$T$2:$T$754,"44652B1Energia convencionalResidencialResidencial baixa renda – faixa 01Não se aplicaNão se aplicaNão se aplica",Mercado_Receita!$N$2:$N$754)</f>
        <v>26.34</v>
      </c>
      <c r="U8" s="14">
        <f t="shared" si="0"/>
        <v>203.58</v>
      </c>
      <c r="V8" s="14"/>
      <c r="W8" s="14"/>
    </row>
    <row r="9" spans="1:30" ht="11.25" customHeight="1" x14ac:dyDescent="0.25">
      <c r="A9" s="117"/>
      <c r="B9" s="117"/>
      <c r="C9" s="117"/>
      <c r="D9" s="13" t="s">
        <v>30</v>
      </c>
      <c r="E9" s="13" t="s">
        <v>25</v>
      </c>
      <c r="F9" s="13" t="s">
        <v>25</v>
      </c>
      <c r="G9" s="14" t="s">
        <v>82</v>
      </c>
      <c r="H9" s="14" t="s">
        <v>76</v>
      </c>
      <c r="I9" s="14">
        <f>SUMIF(Mercado_Receita!$T$2:$T$754,"44317B1Energia convencionalResidencialResidencial baixa renda – faixa 02Não se aplicaNão se aplicaNão se aplica",Mercado_Receita!$N$2:$N$754)</f>
        <v>30.431999999999999</v>
      </c>
      <c r="J9" s="14">
        <f>SUMIF(Mercado_Receita!$T$2:$T$754,"44348B1Energia convencionalResidencialResidencial baixa renda – faixa 02Não se aplicaNão se aplicaNão se aplica",Mercado_Receita!$N$2:$N$754)</f>
        <v>31.23</v>
      </c>
      <c r="K9" s="14">
        <f>SUMIF(Mercado_Receita!$T$2:$T$754,"44378B1Energia convencionalResidencialResidencial baixa renda – faixa 02Não se aplicaNão se aplicaNão se aplica",Mercado_Receita!$N$2:$N$754)</f>
        <v>31.652000000000001</v>
      </c>
      <c r="L9" s="14">
        <f>SUMIF(Mercado_Receita!$T$2:$T$754,"44409B1Energia convencionalResidencialResidencial baixa renda – faixa 02Não se aplicaNão se aplicaNão se aplica",Mercado_Receita!$N$2:$N$754)</f>
        <v>31.445</v>
      </c>
      <c r="M9" s="14">
        <f>SUMIF(Mercado_Receita!$T$2:$T$754,"44440B1Energia convencionalResidencialResidencial baixa renda – faixa 02Não se aplicaNão se aplicaNão se aplica",Mercado_Receita!$N$2:$N$754)</f>
        <v>32.24</v>
      </c>
      <c r="N9" s="14">
        <f>SUMIF(Mercado_Receita!$T$2:$T$754,"44470B1Energia convencionalResidencialResidencial baixa renda – faixa 02Não se aplicaNão se aplicaNão se aplica",Mercado_Receita!$N$2:$N$754)</f>
        <v>33.164000000000001</v>
      </c>
      <c r="O9" s="14">
        <f>SUMIF(Mercado_Receita!$T$2:$T$754,"44501B1Energia convencionalResidencialResidencial baixa renda – faixa 02Não se aplicaNão se aplicaNão se aplica",Mercado_Receita!$N$2:$N$754)</f>
        <v>32.828000000000003</v>
      </c>
      <c r="P9" s="14">
        <f>SUMIF(Mercado_Receita!$T$2:$T$754,"44531B1Energia convencionalResidencialResidencial baixa renda – faixa 02Não se aplicaNão se aplicaNão se aplica",Mercado_Receita!$N$2:$N$754)</f>
        <v>33.479999999999997</v>
      </c>
      <c r="Q9" s="14">
        <f>SUMIF(Mercado_Receita!$T$2:$T$754,"44562B1Energia convencionalResidencialResidencial baixa renda – faixa 02Não se aplicaNão se aplicaNão se aplica",Mercado_Receita!$N$2:$N$754)</f>
        <v>34.700000000000003</v>
      </c>
      <c r="R9" s="14">
        <f>SUMIF(Mercado_Receita!$T$2:$T$754,"44593B1Energia convencionalResidencialResidencial baixa renda – faixa 02Não se aplicaNão se aplicaNão se aplica",Mercado_Receita!$N$2:$N$754)</f>
        <v>37.752000000000002</v>
      </c>
      <c r="S9" s="14">
        <f>SUMIF(Mercado_Receita!$T$2:$T$754,"44621B1Energia convencionalResidencialResidencial baixa renda – faixa 02Não se aplicaNão se aplicaNão se aplica",Mercado_Receita!$N$2:$N$754)</f>
        <v>55.347000000000001</v>
      </c>
      <c r="T9" s="14">
        <f>SUMIF(Mercado_Receita!$T$2:$T$754,"44652B1Energia convencionalResidencialResidencial baixa renda – faixa 02Não se aplicaNão se aplicaNão se aplica",Mercado_Receita!$N$2:$N$754)</f>
        <v>57.487000000000002</v>
      </c>
      <c r="U9" s="14">
        <f t="shared" si="0"/>
        <v>441.75700000000001</v>
      </c>
      <c r="V9" s="14"/>
      <c r="W9" s="14"/>
    </row>
    <row r="10" spans="1:30" ht="11.25" customHeight="1" x14ac:dyDescent="0.25">
      <c r="A10" s="117"/>
      <c r="B10" s="117"/>
      <c r="C10" s="117"/>
      <c r="D10" s="13" t="s">
        <v>31</v>
      </c>
      <c r="E10" s="13" t="s">
        <v>25</v>
      </c>
      <c r="F10" s="13" t="s">
        <v>25</v>
      </c>
      <c r="G10" s="14" t="s">
        <v>82</v>
      </c>
      <c r="H10" s="14" t="s">
        <v>76</v>
      </c>
      <c r="I10" s="14">
        <f>SUMIF(Mercado_Receita!$T$2:$T$754,"44317B1Energia convencionalResidencialResidencial baixa renda – faixa 03Não se aplicaNão se aplicaNão se aplica",Mercado_Receita!$N$2:$N$754)</f>
        <v>20.859000000000002</v>
      </c>
      <c r="J10" s="14">
        <f>SUMIF(Mercado_Receita!$T$2:$T$754,"44348B1Energia convencionalResidencialResidencial baixa renda – faixa 03Não se aplicaNão se aplicaNão se aplica",Mercado_Receita!$N$2:$N$754)</f>
        <v>24.350999999999999</v>
      </c>
      <c r="K10" s="14">
        <f>SUMIF(Mercado_Receita!$T$2:$T$754,"44378B1Energia convencionalResidencialResidencial baixa renda – faixa 03Não se aplicaNão se aplicaNão se aplica",Mercado_Receita!$N$2:$N$754)</f>
        <v>26.067</v>
      </c>
      <c r="L10" s="14">
        <f>SUMIF(Mercado_Receita!$T$2:$T$754,"44409B1Energia convencionalResidencialResidencial baixa renda – faixa 03Não se aplicaNão se aplicaNão se aplica",Mercado_Receita!$N$2:$N$754)</f>
        <v>23.449000000000002</v>
      </c>
      <c r="M10" s="14">
        <f>SUMIF(Mercado_Receita!$T$2:$T$754,"44440B1Energia convencionalResidencialResidencial baixa renda – faixa 03Não se aplicaNão se aplicaNão se aplica",Mercado_Receita!$N$2:$N$754)</f>
        <v>27.283000000000001</v>
      </c>
      <c r="N10" s="14">
        <f>SUMIF(Mercado_Receita!$T$2:$T$754,"44470B1Energia convencionalResidencialResidencial baixa renda – faixa 03Não se aplicaNão se aplicaNão se aplica",Mercado_Receita!$N$2:$N$754)</f>
        <v>32.040999999999997</v>
      </c>
      <c r="O10" s="14">
        <f>SUMIF(Mercado_Receita!$T$2:$T$754,"44501B1Energia convencionalResidencialResidencial baixa renda – faixa 03Não se aplicaNão se aplicaNão se aplica",Mercado_Receita!$N$2:$N$754)</f>
        <v>29.46</v>
      </c>
      <c r="P10" s="14">
        <f>SUMIF(Mercado_Receita!$T$2:$T$754,"44531B1Energia convencionalResidencialResidencial baixa renda – faixa 03Não se aplicaNão se aplicaNão se aplica",Mercado_Receita!$N$2:$N$754)</f>
        <v>27.106999999999999</v>
      </c>
      <c r="Q10" s="14">
        <f>SUMIF(Mercado_Receita!$T$2:$T$754,"44562B1Energia convencionalResidencialResidencial baixa renda – faixa 03Não se aplicaNão se aplicaNão se aplica",Mercado_Receita!$N$2:$N$754)</f>
        <v>30.98</v>
      </c>
      <c r="R10" s="14">
        <f>SUMIF(Mercado_Receita!$T$2:$T$754,"44593B1Energia convencionalResidencialResidencial baixa renda – faixa 03Não se aplicaNão se aplicaNão se aplica",Mercado_Receita!$N$2:$N$754)</f>
        <v>33.667999999999999</v>
      </c>
      <c r="S10" s="14">
        <f>SUMIF(Mercado_Receita!$T$2:$T$754,"44621B1Energia convencionalResidencialResidencial baixa renda – faixa 03Não se aplicaNão se aplicaNão se aplica",Mercado_Receita!$N$2:$N$754)</f>
        <v>50.784999999999997</v>
      </c>
      <c r="T10" s="14">
        <f>SUMIF(Mercado_Receita!$T$2:$T$754,"44652B1Energia convencionalResidencialResidencial baixa renda – faixa 03Não se aplicaNão se aplicaNão se aplica",Mercado_Receita!$N$2:$N$754)</f>
        <v>54.502000000000002</v>
      </c>
      <c r="U10" s="14">
        <f t="shared" si="0"/>
        <v>380.55199999999996</v>
      </c>
      <c r="V10" s="14"/>
      <c r="W10" s="14"/>
    </row>
    <row r="11" spans="1:30" ht="11.25" customHeight="1" x14ac:dyDescent="0.25">
      <c r="A11" s="117"/>
      <c r="B11" s="117"/>
      <c r="C11" s="117"/>
      <c r="D11" s="13" t="s">
        <v>32</v>
      </c>
      <c r="E11" s="13" t="s">
        <v>25</v>
      </c>
      <c r="F11" s="13" t="s">
        <v>25</v>
      </c>
      <c r="G11" s="14" t="s">
        <v>82</v>
      </c>
      <c r="H11" s="14" t="s">
        <v>76</v>
      </c>
      <c r="I11" s="14">
        <f>SUMIF(Mercado_Receita!$T$2:$T$754,"44317B1Energia convencionalResidencialResidencial baixa renda – faixa 04Não se aplicaNão se aplicaNão se aplica",Mercado_Receita!$N$2:$N$754)</f>
        <v>2.774</v>
      </c>
      <c r="J11" s="14">
        <f>SUMIF(Mercado_Receita!$T$2:$T$754,"44348B1Energia convencionalResidencialResidencial baixa renda – faixa 04Não se aplicaNão se aplicaNão se aplica",Mercado_Receita!$N$2:$N$754)</f>
        <v>3.8330000000000002</v>
      </c>
      <c r="K11" s="14">
        <f>SUMIF(Mercado_Receita!$T$2:$T$754,"44378B1Energia convencionalResidencialResidencial baixa renda – faixa 04Não se aplicaNão se aplicaNão se aplica",Mercado_Receita!$N$2:$N$754)</f>
        <v>4.3360000000000003</v>
      </c>
      <c r="L11" s="14">
        <f>SUMIF(Mercado_Receita!$T$2:$T$754,"44409B1Energia convencionalResidencialResidencial baixa renda – faixa 04Não se aplicaNão se aplicaNão se aplica",Mercado_Receita!$N$2:$N$754)</f>
        <v>4.085</v>
      </c>
      <c r="M11" s="14">
        <f>SUMIF(Mercado_Receita!$T$2:$T$754,"44440B1Energia convencionalResidencialResidencial baixa renda – faixa 04Não se aplicaNão se aplicaNão se aplica",Mercado_Receita!$N$2:$N$754)</f>
        <v>5.5570000000000004</v>
      </c>
      <c r="N11" s="14">
        <f>SUMIF(Mercado_Receita!$T$2:$T$754,"44470B1Energia convencionalResidencialResidencial baixa renda – faixa 04Não se aplicaNão se aplicaNão se aplica",Mercado_Receita!$N$2:$N$754)</f>
        <v>7.4669999999999996</v>
      </c>
      <c r="O11" s="14">
        <f>SUMIF(Mercado_Receita!$T$2:$T$754,"44501B1Energia convencionalResidencialResidencial baixa renda – faixa 04Não se aplicaNão se aplicaNão se aplica",Mercado_Receita!$N$2:$N$754)</f>
        <v>6.1790000000000003</v>
      </c>
      <c r="P11" s="14">
        <f>SUMIF(Mercado_Receita!$T$2:$T$754,"44531B1Energia convencionalResidencialResidencial baixa renda – faixa 04Não se aplicaNão se aplicaNão se aplica",Mercado_Receita!$N$2:$N$754)</f>
        <v>5.0010000000000003</v>
      </c>
      <c r="Q11" s="14">
        <f>SUMIF(Mercado_Receita!$T$2:$T$754,"44562B1Energia convencionalResidencialResidencial baixa renda – faixa 04Não se aplicaNão se aplicaNão se aplica",Mercado_Receita!$N$2:$N$754)</f>
        <v>8.1170000000000009</v>
      </c>
      <c r="R11" s="14">
        <f>SUMIF(Mercado_Receita!$T$2:$T$754,"44593B1Energia convencionalResidencialResidencial baixa renda – faixa 04Não se aplicaNão se aplicaNão se aplica",Mercado_Receita!$N$2:$N$754)</f>
        <v>8.1470000000000002</v>
      </c>
      <c r="S11" s="14">
        <f>SUMIF(Mercado_Receita!$T$2:$T$754,"44621B1Energia convencionalResidencialResidencial baixa renda – faixa 04Não se aplicaNão se aplicaNão se aplica",Mercado_Receita!$N$2:$N$754)</f>
        <v>14.984</v>
      </c>
      <c r="T11" s="14">
        <f>SUMIF(Mercado_Receita!$T$2:$T$754,"44652B1Energia convencionalResidencialResidencial baixa renda – faixa 04Não se aplicaNão se aplicaNão se aplica",Mercado_Receita!$N$2:$N$754)</f>
        <v>15.241</v>
      </c>
      <c r="U11" s="14">
        <f t="shared" si="0"/>
        <v>85.721000000000004</v>
      </c>
      <c r="V11" s="14"/>
      <c r="W11" s="14"/>
    </row>
    <row r="12" spans="1:30" ht="11.25" customHeight="1" x14ac:dyDescent="0.25">
      <c r="A12" s="117"/>
      <c r="B12" s="116" t="s">
        <v>90</v>
      </c>
      <c r="C12" s="116" t="s">
        <v>24</v>
      </c>
      <c r="D12" s="13" t="s">
        <v>24</v>
      </c>
      <c r="E12" s="13" t="s">
        <v>25</v>
      </c>
      <c r="F12" s="13" t="s">
        <v>25</v>
      </c>
      <c r="G12" s="14" t="s">
        <v>82</v>
      </c>
      <c r="H12" s="14" t="s">
        <v>76</v>
      </c>
      <c r="I12" s="14">
        <f>SUMIF(Mercado_Receita!$T$2:$T$754,"44317B1Energia convencional pré-pagamentoResidencialResidencialNão se aplicaNão se aplicaNão se aplica",Mercado_Receita!$N$2:$N$754)</f>
        <v>0</v>
      </c>
      <c r="J12" s="14">
        <f>SUMIF(Mercado_Receita!$T$2:$T$754,"44348B1Energia convencional pré-pagamentoResidencialResidencialNão se aplicaNão se aplicaNão se aplica",Mercado_Receita!$N$2:$N$754)</f>
        <v>0</v>
      </c>
      <c r="K12" s="14">
        <f>SUMIF(Mercado_Receita!$T$2:$T$754,"44378B1Energia convencional pré-pagamentoResidencialResidencialNão se aplicaNão se aplicaNão se aplica",Mercado_Receita!$N$2:$N$754)</f>
        <v>0</v>
      </c>
      <c r="L12" s="14">
        <f>SUMIF(Mercado_Receita!$T$2:$T$754,"44409B1Energia convencional pré-pagamentoResidencialResidencialNão se aplicaNão se aplicaNão se aplica",Mercado_Receita!$N$2:$N$754)</f>
        <v>0</v>
      </c>
      <c r="M12" s="14">
        <f>SUMIF(Mercado_Receita!$T$2:$T$754,"44440B1Energia convencional pré-pagamentoResidencialResidencialNão se aplicaNão se aplicaNão se aplica",Mercado_Receita!$N$2:$N$754)</f>
        <v>0</v>
      </c>
      <c r="N12" s="14">
        <f>SUMIF(Mercado_Receita!$T$2:$T$754,"44470B1Energia convencional pré-pagamentoResidencialResidencialNão se aplicaNão se aplicaNão se aplica",Mercado_Receita!$N$2:$N$754)</f>
        <v>0</v>
      </c>
      <c r="O12" s="14">
        <f>SUMIF(Mercado_Receita!$T$2:$T$754,"44501B1Energia convencional pré-pagamentoResidencialResidencialNão se aplicaNão se aplicaNão se aplica",Mercado_Receita!$N$2:$N$754)</f>
        <v>0</v>
      </c>
      <c r="P12" s="14">
        <f>SUMIF(Mercado_Receita!$T$2:$T$754,"44531B1Energia convencional pré-pagamentoResidencialResidencialNão se aplicaNão se aplicaNão se aplica",Mercado_Receita!$N$2:$N$754)</f>
        <v>0</v>
      </c>
      <c r="Q12" s="14">
        <f>SUMIF(Mercado_Receita!$T$2:$T$754,"44562B1Energia convencional pré-pagamentoResidencialResidencialNão se aplicaNão se aplicaNão se aplica",Mercado_Receita!$N$2:$N$754)</f>
        <v>0</v>
      </c>
      <c r="R12" s="14">
        <f>SUMIF(Mercado_Receita!$T$2:$T$754,"44593B1Energia convencional pré-pagamentoResidencialResidencialNão se aplicaNão se aplicaNão se aplica",Mercado_Receita!$N$2:$N$754)</f>
        <v>0</v>
      </c>
      <c r="S12" s="14">
        <f>SUMIF(Mercado_Receita!$T$2:$T$754,"44621B1Energia convencional pré-pagamentoResidencialResidencialNão se aplicaNão se aplicaNão se aplica",Mercado_Receita!$N$2:$N$754)</f>
        <v>0</v>
      </c>
      <c r="T12" s="14">
        <f>SUMIF(Mercado_Receita!$T$2:$T$754,"44652B1Energia convencional pré-pagamentoResidencialResidencialNão se aplicaNão se aplicaNão se aplica",Mercado_Receita!$N$2:$N$754)</f>
        <v>0</v>
      </c>
      <c r="U12" s="14">
        <f t="shared" si="0"/>
        <v>0</v>
      </c>
      <c r="V12" s="14"/>
      <c r="W12" s="14"/>
    </row>
    <row r="13" spans="1:30" ht="11.25" customHeight="1" x14ac:dyDescent="0.25">
      <c r="A13" s="117"/>
      <c r="B13" s="117"/>
      <c r="C13" s="117"/>
      <c r="D13" s="13" t="s">
        <v>29</v>
      </c>
      <c r="E13" s="13" t="s">
        <v>25</v>
      </c>
      <c r="F13" s="13" t="s">
        <v>25</v>
      </c>
      <c r="G13" s="14" t="s">
        <v>82</v>
      </c>
      <c r="H13" s="14" t="s">
        <v>76</v>
      </c>
      <c r="I13" s="14">
        <f>SUMIF(Mercado_Receita!$T$2:$T$754,"44317B1Energia convencional pré-pagamentoResidencialResidencial baixa renda – faixa 01Não se aplicaNão se aplicaNão se aplica",Mercado_Receita!$N$2:$N$754)</f>
        <v>0</v>
      </c>
      <c r="J13" s="14">
        <f>SUMIF(Mercado_Receita!$T$2:$T$754,"44348B1Energia convencional pré-pagamentoResidencialResidencial baixa renda – faixa 01Não se aplicaNão se aplicaNão se aplica",Mercado_Receita!$N$2:$N$754)</f>
        <v>0</v>
      </c>
      <c r="K13" s="14">
        <f>SUMIF(Mercado_Receita!$T$2:$T$754,"44378B1Energia convencional pré-pagamentoResidencialResidencial baixa renda – faixa 01Não se aplicaNão se aplicaNão se aplica",Mercado_Receita!$N$2:$N$754)</f>
        <v>0</v>
      </c>
      <c r="L13" s="14">
        <f>SUMIF(Mercado_Receita!$T$2:$T$754,"44409B1Energia convencional pré-pagamentoResidencialResidencial baixa renda – faixa 01Não se aplicaNão se aplicaNão se aplica",Mercado_Receita!$N$2:$N$754)</f>
        <v>0</v>
      </c>
      <c r="M13" s="14">
        <f>SUMIF(Mercado_Receita!$T$2:$T$754,"44440B1Energia convencional pré-pagamentoResidencialResidencial baixa renda – faixa 01Não se aplicaNão se aplicaNão se aplica",Mercado_Receita!$N$2:$N$754)</f>
        <v>0</v>
      </c>
      <c r="N13" s="14">
        <f>SUMIF(Mercado_Receita!$T$2:$T$754,"44470B1Energia convencional pré-pagamentoResidencialResidencial baixa renda – faixa 01Não se aplicaNão se aplicaNão se aplica",Mercado_Receita!$N$2:$N$754)</f>
        <v>0</v>
      </c>
      <c r="O13" s="14">
        <f>SUMIF(Mercado_Receita!$T$2:$T$754,"44501B1Energia convencional pré-pagamentoResidencialResidencial baixa renda – faixa 01Não se aplicaNão se aplicaNão se aplica",Mercado_Receita!$N$2:$N$754)</f>
        <v>0</v>
      </c>
      <c r="P13" s="14">
        <f>SUMIF(Mercado_Receita!$T$2:$T$754,"44531B1Energia convencional pré-pagamentoResidencialResidencial baixa renda – faixa 01Não se aplicaNão se aplicaNão se aplica",Mercado_Receita!$N$2:$N$754)</f>
        <v>0</v>
      </c>
      <c r="Q13" s="14">
        <f>SUMIF(Mercado_Receita!$T$2:$T$754,"44562B1Energia convencional pré-pagamentoResidencialResidencial baixa renda – faixa 01Não se aplicaNão se aplicaNão se aplica",Mercado_Receita!$N$2:$N$754)</f>
        <v>0</v>
      </c>
      <c r="R13" s="14">
        <f>SUMIF(Mercado_Receita!$T$2:$T$754,"44593B1Energia convencional pré-pagamentoResidencialResidencial baixa renda – faixa 01Não se aplicaNão se aplicaNão se aplica",Mercado_Receita!$N$2:$N$754)</f>
        <v>0</v>
      </c>
      <c r="S13" s="14">
        <f>SUMIF(Mercado_Receita!$T$2:$T$754,"44621B1Energia convencional pré-pagamentoResidencialResidencial baixa renda – faixa 01Não se aplicaNão se aplicaNão se aplica",Mercado_Receita!$N$2:$N$754)</f>
        <v>0</v>
      </c>
      <c r="T13" s="14">
        <f>SUMIF(Mercado_Receita!$T$2:$T$754,"44652B1Energia convencional pré-pagamentoResidencialResidencial baixa renda – faixa 01Não se aplicaNão se aplicaNão se aplica",Mercado_Receita!$N$2:$N$754)</f>
        <v>0</v>
      </c>
      <c r="U13" s="14">
        <f t="shared" si="0"/>
        <v>0</v>
      </c>
      <c r="V13" s="14"/>
      <c r="W13" s="14"/>
    </row>
    <row r="14" spans="1:30" ht="11.25" customHeight="1" x14ac:dyDescent="0.25">
      <c r="A14" s="117"/>
      <c r="B14" s="117"/>
      <c r="C14" s="117"/>
      <c r="D14" s="13" t="s">
        <v>30</v>
      </c>
      <c r="E14" s="13" t="s">
        <v>25</v>
      </c>
      <c r="F14" s="13" t="s">
        <v>25</v>
      </c>
      <c r="G14" s="14" t="s">
        <v>82</v>
      </c>
      <c r="H14" s="14" t="s">
        <v>76</v>
      </c>
      <c r="I14" s="14">
        <f>SUMIF(Mercado_Receita!$T$2:$T$754,"44317B1Energia convencional pré-pagamentoResidencialResidencial baixa renda – faixa 02Não se aplicaNão se aplicaNão se aplica",Mercado_Receita!$N$2:$N$754)</f>
        <v>0</v>
      </c>
      <c r="J14" s="14">
        <f>SUMIF(Mercado_Receita!$T$2:$T$754,"44348B1Energia convencional pré-pagamentoResidencialResidencial baixa renda – faixa 02Não se aplicaNão se aplicaNão se aplica",Mercado_Receita!$N$2:$N$754)</f>
        <v>0</v>
      </c>
      <c r="K14" s="14">
        <f>SUMIF(Mercado_Receita!$T$2:$T$754,"44378B1Energia convencional pré-pagamentoResidencialResidencial baixa renda – faixa 02Não se aplicaNão se aplicaNão se aplica",Mercado_Receita!$N$2:$N$754)</f>
        <v>0</v>
      </c>
      <c r="L14" s="14">
        <f>SUMIF(Mercado_Receita!$T$2:$T$754,"44409B1Energia convencional pré-pagamentoResidencialResidencial baixa renda – faixa 02Não se aplicaNão se aplicaNão se aplica",Mercado_Receita!$N$2:$N$754)</f>
        <v>0</v>
      </c>
      <c r="M14" s="14">
        <f>SUMIF(Mercado_Receita!$T$2:$T$754,"44440B1Energia convencional pré-pagamentoResidencialResidencial baixa renda – faixa 02Não se aplicaNão se aplicaNão se aplica",Mercado_Receita!$N$2:$N$754)</f>
        <v>0</v>
      </c>
      <c r="N14" s="14">
        <f>SUMIF(Mercado_Receita!$T$2:$T$754,"44470B1Energia convencional pré-pagamentoResidencialResidencial baixa renda – faixa 02Não se aplicaNão se aplicaNão se aplica",Mercado_Receita!$N$2:$N$754)</f>
        <v>0</v>
      </c>
      <c r="O14" s="14">
        <f>SUMIF(Mercado_Receita!$T$2:$T$754,"44501B1Energia convencional pré-pagamentoResidencialResidencial baixa renda – faixa 02Não se aplicaNão se aplicaNão se aplica",Mercado_Receita!$N$2:$N$754)</f>
        <v>0</v>
      </c>
      <c r="P14" s="14">
        <f>SUMIF(Mercado_Receita!$T$2:$T$754,"44531B1Energia convencional pré-pagamentoResidencialResidencial baixa renda – faixa 02Não se aplicaNão se aplicaNão se aplica",Mercado_Receita!$N$2:$N$754)</f>
        <v>0</v>
      </c>
      <c r="Q14" s="14">
        <f>SUMIF(Mercado_Receita!$T$2:$T$754,"44562B1Energia convencional pré-pagamentoResidencialResidencial baixa renda – faixa 02Não se aplicaNão se aplicaNão se aplica",Mercado_Receita!$N$2:$N$754)</f>
        <v>0</v>
      </c>
      <c r="R14" s="14">
        <f>SUMIF(Mercado_Receita!$T$2:$T$754,"44593B1Energia convencional pré-pagamentoResidencialResidencial baixa renda – faixa 02Não se aplicaNão se aplicaNão se aplica",Mercado_Receita!$N$2:$N$754)</f>
        <v>0</v>
      </c>
      <c r="S14" s="14">
        <f>SUMIF(Mercado_Receita!$T$2:$T$754,"44621B1Energia convencional pré-pagamentoResidencialResidencial baixa renda – faixa 02Não se aplicaNão se aplicaNão se aplica",Mercado_Receita!$N$2:$N$754)</f>
        <v>0</v>
      </c>
      <c r="T14" s="14">
        <f>SUMIF(Mercado_Receita!$T$2:$T$754,"44652B1Energia convencional pré-pagamentoResidencialResidencial baixa renda – faixa 02Não se aplicaNão se aplicaNão se aplica",Mercado_Receita!$N$2:$N$754)</f>
        <v>0</v>
      </c>
      <c r="U14" s="14">
        <f t="shared" si="0"/>
        <v>0</v>
      </c>
      <c r="V14" s="14"/>
      <c r="W14" s="14"/>
    </row>
    <row r="15" spans="1:30" ht="11.25" customHeight="1" x14ac:dyDescent="0.25">
      <c r="A15" s="117"/>
      <c r="B15" s="117"/>
      <c r="C15" s="117"/>
      <c r="D15" s="13" t="s">
        <v>31</v>
      </c>
      <c r="E15" s="13" t="s">
        <v>25</v>
      </c>
      <c r="F15" s="13" t="s">
        <v>25</v>
      </c>
      <c r="G15" s="14" t="s">
        <v>82</v>
      </c>
      <c r="H15" s="14" t="s">
        <v>76</v>
      </c>
      <c r="I15" s="14">
        <f>SUMIF(Mercado_Receita!$T$2:$T$754,"44317B1Energia convencional pré-pagamentoResidencialResidencial baixa renda – faixa 03Não se aplicaNão se aplicaNão se aplica",Mercado_Receita!$N$2:$N$754)</f>
        <v>0</v>
      </c>
      <c r="J15" s="14">
        <f>SUMIF(Mercado_Receita!$T$2:$T$754,"44348B1Energia convencional pré-pagamentoResidencialResidencial baixa renda – faixa 03Não se aplicaNão se aplicaNão se aplica",Mercado_Receita!$N$2:$N$754)</f>
        <v>0</v>
      </c>
      <c r="K15" s="14">
        <f>SUMIF(Mercado_Receita!$T$2:$T$754,"44378B1Energia convencional pré-pagamentoResidencialResidencial baixa renda – faixa 03Não se aplicaNão se aplicaNão se aplica",Mercado_Receita!$N$2:$N$754)</f>
        <v>0</v>
      </c>
      <c r="L15" s="14">
        <f>SUMIF(Mercado_Receita!$T$2:$T$754,"44409B1Energia convencional pré-pagamentoResidencialResidencial baixa renda – faixa 03Não se aplicaNão se aplicaNão se aplica",Mercado_Receita!$N$2:$N$754)</f>
        <v>0</v>
      </c>
      <c r="M15" s="14">
        <f>SUMIF(Mercado_Receita!$T$2:$T$754,"44440B1Energia convencional pré-pagamentoResidencialResidencial baixa renda – faixa 03Não se aplicaNão se aplicaNão se aplica",Mercado_Receita!$N$2:$N$754)</f>
        <v>0</v>
      </c>
      <c r="N15" s="14">
        <f>SUMIF(Mercado_Receita!$T$2:$T$754,"44470B1Energia convencional pré-pagamentoResidencialResidencial baixa renda – faixa 03Não se aplicaNão se aplicaNão se aplica",Mercado_Receita!$N$2:$N$754)</f>
        <v>0</v>
      </c>
      <c r="O15" s="14">
        <f>SUMIF(Mercado_Receita!$T$2:$T$754,"44501B1Energia convencional pré-pagamentoResidencialResidencial baixa renda – faixa 03Não se aplicaNão se aplicaNão se aplica",Mercado_Receita!$N$2:$N$754)</f>
        <v>0</v>
      </c>
      <c r="P15" s="14">
        <f>SUMIF(Mercado_Receita!$T$2:$T$754,"44531B1Energia convencional pré-pagamentoResidencialResidencial baixa renda – faixa 03Não se aplicaNão se aplicaNão se aplica",Mercado_Receita!$N$2:$N$754)</f>
        <v>0</v>
      </c>
      <c r="Q15" s="14">
        <f>SUMIF(Mercado_Receita!$T$2:$T$754,"44562B1Energia convencional pré-pagamentoResidencialResidencial baixa renda – faixa 03Não se aplicaNão se aplicaNão se aplica",Mercado_Receita!$N$2:$N$754)</f>
        <v>0</v>
      </c>
      <c r="R15" s="14">
        <f>SUMIF(Mercado_Receita!$T$2:$T$754,"44593B1Energia convencional pré-pagamentoResidencialResidencial baixa renda – faixa 03Não se aplicaNão se aplicaNão se aplica",Mercado_Receita!$N$2:$N$754)</f>
        <v>0</v>
      </c>
      <c r="S15" s="14">
        <f>SUMIF(Mercado_Receita!$T$2:$T$754,"44621B1Energia convencional pré-pagamentoResidencialResidencial baixa renda – faixa 03Não se aplicaNão se aplicaNão se aplica",Mercado_Receita!$N$2:$N$754)</f>
        <v>0</v>
      </c>
      <c r="T15" s="14">
        <f>SUMIF(Mercado_Receita!$T$2:$T$754,"44652B1Energia convencional pré-pagamentoResidencialResidencial baixa renda – faixa 03Não se aplicaNão se aplicaNão se aplica",Mercado_Receita!$N$2:$N$754)</f>
        <v>0</v>
      </c>
      <c r="U15" s="14">
        <f t="shared" si="0"/>
        <v>0</v>
      </c>
      <c r="V15" s="14"/>
      <c r="W15" s="14"/>
    </row>
    <row r="16" spans="1:30" ht="11.25" customHeight="1" x14ac:dyDescent="0.25">
      <c r="A16" s="117"/>
      <c r="B16" s="117"/>
      <c r="C16" s="117"/>
      <c r="D16" s="13" t="s">
        <v>32</v>
      </c>
      <c r="E16" s="13" t="s">
        <v>25</v>
      </c>
      <c r="F16" s="13" t="s">
        <v>25</v>
      </c>
      <c r="G16" s="14" t="s">
        <v>82</v>
      </c>
      <c r="H16" s="14" t="s">
        <v>76</v>
      </c>
      <c r="I16" s="14">
        <f>SUMIF(Mercado_Receita!$T$2:$T$754,"44317B1Energia convencional pré-pagamentoResidencialResidencial baixa renda – faixa 04Não se aplicaNão se aplicaNão se aplica",Mercado_Receita!$N$2:$N$754)</f>
        <v>0</v>
      </c>
      <c r="J16" s="14">
        <f>SUMIF(Mercado_Receita!$T$2:$T$754,"44348B1Energia convencional pré-pagamentoResidencialResidencial baixa renda – faixa 04Não se aplicaNão se aplicaNão se aplica",Mercado_Receita!$N$2:$N$754)</f>
        <v>0</v>
      </c>
      <c r="K16" s="14">
        <f>SUMIF(Mercado_Receita!$T$2:$T$754,"44378B1Energia convencional pré-pagamentoResidencialResidencial baixa renda – faixa 04Não se aplicaNão se aplicaNão se aplica",Mercado_Receita!$N$2:$N$754)</f>
        <v>0</v>
      </c>
      <c r="L16" s="14">
        <f>SUMIF(Mercado_Receita!$T$2:$T$754,"44409B1Energia convencional pré-pagamentoResidencialResidencial baixa renda – faixa 04Não se aplicaNão se aplicaNão se aplica",Mercado_Receita!$N$2:$N$754)</f>
        <v>0</v>
      </c>
      <c r="M16" s="14">
        <f>SUMIF(Mercado_Receita!$T$2:$T$754,"44440B1Energia convencional pré-pagamentoResidencialResidencial baixa renda – faixa 04Não se aplicaNão se aplicaNão se aplica",Mercado_Receita!$N$2:$N$754)</f>
        <v>0</v>
      </c>
      <c r="N16" s="14">
        <f>SUMIF(Mercado_Receita!$T$2:$T$754,"44470B1Energia convencional pré-pagamentoResidencialResidencial baixa renda – faixa 04Não se aplicaNão se aplicaNão se aplica",Mercado_Receita!$N$2:$N$754)</f>
        <v>0</v>
      </c>
      <c r="O16" s="14">
        <f>SUMIF(Mercado_Receita!$T$2:$T$754,"44501B1Energia convencional pré-pagamentoResidencialResidencial baixa renda – faixa 04Não se aplicaNão se aplicaNão se aplica",Mercado_Receita!$N$2:$N$754)</f>
        <v>0</v>
      </c>
      <c r="P16" s="14">
        <f>SUMIF(Mercado_Receita!$T$2:$T$754,"44531B1Energia convencional pré-pagamentoResidencialResidencial baixa renda – faixa 04Não se aplicaNão se aplicaNão se aplica",Mercado_Receita!$N$2:$N$754)</f>
        <v>0</v>
      </c>
      <c r="Q16" s="14">
        <f>SUMIF(Mercado_Receita!$T$2:$T$754,"44562B1Energia convencional pré-pagamentoResidencialResidencial baixa renda – faixa 04Não se aplicaNão se aplicaNão se aplica",Mercado_Receita!$N$2:$N$754)</f>
        <v>0</v>
      </c>
      <c r="R16" s="14">
        <f>SUMIF(Mercado_Receita!$T$2:$T$754,"44593B1Energia convencional pré-pagamentoResidencialResidencial baixa renda – faixa 04Não se aplicaNão se aplicaNão se aplica",Mercado_Receita!$N$2:$N$754)</f>
        <v>0</v>
      </c>
      <c r="S16" s="14">
        <f>SUMIF(Mercado_Receita!$T$2:$T$754,"44621B1Energia convencional pré-pagamentoResidencialResidencial baixa renda – faixa 04Não se aplicaNão se aplicaNão se aplica",Mercado_Receita!$N$2:$N$754)</f>
        <v>0</v>
      </c>
      <c r="T16" s="14">
        <f>SUMIF(Mercado_Receita!$T$2:$T$754,"44652B1Energia convencional pré-pagamentoResidencialResidencial baixa renda – faixa 04Não se aplicaNão se aplicaNão se aplica",Mercado_Receita!$N$2:$N$754)</f>
        <v>0</v>
      </c>
      <c r="U16" s="14">
        <f t="shared" si="0"/>
        <v>0</v>
      </c>
      <c r="V16" s="14"/>
      <c r="W16" s="14"/>
    </row>
    <row r="17" spans="1:23" ht="11.25" customHeight="1" x14ac:dyDescent="0.25">
      <c r="A17" s="116" t="s">
        <v>43</v>
      </c>
      <c r="B17" s="116" t="s">
        <v>75</v>
      </c>
      <c r="C17" s="116" t="s">
        <v>44</v>
      </c>
      <c r="D17" s="116" t="s">
        <v>25</v>
      </c>
      <c r="E17" s="116" t="s">
        <v>25</v>
      </c>
      <c r="F17" s="116" t="s">
        <v>25</v>
      </c>
      <c r="G17" s="14" t="s">
        <v>77</v>
      </c>
      <c r="H17" s="14" t="s">
        <v>76</v>
      </c>
      <c r="I17" s="14">
        <f>SUMIF(Mercado_Receita!$T$2:$T$754,"44317B2Energia horáriaRuralNão se aplicaNão se aplicaNão se aplicaPonta",Mercado_Receita!$N$2:$N$754)</f>
        <v>6.0999999999999999E-2</v>
      </c>
      <c r="J17" s="14">
        <f>SUMIF(Mercado_Receita!$T$2:$T$754,"44348B2Energia horáriaRuralNão se aplicaNão se aplicaNão se aplicaPonta",Mercado_Receita!$N$2:$N$754)</f>
        <v>7.4999999999999997E-2</v>
      </c>
      <c r="K17" s="14">
        <f>SUMIF(Mercado_Receita!$T$2:$T$754,"44378B2Energia horáriaRuralNão se aplicaNão se aplicaNão se aplicaPonta",Mercado_Receita!$N$2:$N$754)</f>
        <v>6.5000000000000002E-2</v>
      </c>
      <c r="L17" s="14">
        <f>SUMIF(Mercado_Receita!$T$2:$T$754,"44409B2Energia horáriaRuralNão se aplicaNão se aplicaNão se aplicaPonta",Mercado_Receita!$N$2:$N$754)</f>
        <v>7.9000000000000001E-2</v>
      </c>
      <c r="M17" s="14">
        <f>SUMIF(Mercado_Receita!$T$2:$T$754,"44440B2Energia horáriaRuralNão se aplicaNão se aplicaNão se aplicaPonta",Mercado_Receita!$N$2:$N$754)</f>
        <v>7.0999999999999994E-2</v>
      </c>
      <c r="N17" s="14">
        <f>SUMIF(Mercado_Receita!$T$2:$T$754,"44470B2Energia horáriaRuralNão se aplicaNão se aplicaNão se aplicaPonta",Mercado_Receita!$N$2:$N$754)</f>
        <v>6.2E-2</v>
      </c>
      <c r="O17" s="14">
        <f>SUMIF(Mercado_Receita!$T$2:$T$754,"44501B2Energia horáriaRuralNão se aplicaNão se aplicaNão se aplicaPonta",Mercado_Receita!$N$2:$N$754)</f>
        <v>4.9000000000000002E-2</v>
      </c>
      <c r="P17" s="14">
        <f>SUMIF(Mercado_Receita!$T$2:$T$754,"44531B2Energia horáriaRuralNão se aplicaNão se aplicaNão se aplicaPonta",Mercado_Receita!$N$2:$N$754)</f>
        <v>4.9000000000000002E-2</v>
      </c>
      <c r="Q17" s="14">
        <f>SUMIF(Mercado_Receita!$T$2:$T$754,"44562B2Energia horáriaRuralNão se aplicaNão se aplicaNão se aplicaPonta",Mercado_Receita!$N$2:$N$754)</f>
        <v>5.5E-2</v>
      </c>
      <c r="R17" s="14">
        <f>SUMIF(Mercado_Receita!$T$2:$T$754,"44593B2Energia horáriaRuralNão se aplicaNão se aplicaNão se aplicaPonta",Mercado_Receita!$N$2:$N$754)</f>
        <v>6.6000000000000003E-2</v>
      </c>
      <c r="S17" s="14">
        <f>SUMIF(Mercado_Receita!$T$2:$T$754,"44621B2Energia horáriaRuralNão se aplicaNão se aplicaNão se aplicaPonta",Mercado_Receita!$N$2:$N$754)</f>
        <v>0.08</v>
      </c>
      <c r="T17" s="14">
        <f>SUMIF(Mercado_Receita!$T$2:$T$754,"44652B2Energia horáriaRuralNão se aplicaNão se aplicaNão se aplicaPonta",Mercado_Receita!$N$2:$N$754)</f>
        <v>7.6999999999999999E-2</v>
      </c>
      <c r="U17" s="14">
        <f t="shared" si="0"/>
        <v>0.78900000000000003</v>
      </c>
      <c r="V17" s="14"/>
      <c r="W17" s="14"/>
    </row>
    <row r="18" spans="1:23" ht="11.25" customHeight="1" x14ac:dyDescent="0.25">
      <c r="A18" s="117"/>
      <c r="B18" s="117"/>
      <c r="C18" s="117"/>
      <c r="D18" s="117"/>
      <c r="E18" s="117"/>
      <c r="F18" s="117"/>
      <c r="G18" s="14" t="s">
        <v>88</v>
      </c>
      <c r="H18" s="14" t="s">
        <v>76</v>
      </c>
      <c r="I18" s="14">
        <f>SUMIF(Mercado_Receita!$T$2:$T$754,"44317B2Energia horáriaRuralNão se aplicaNão se aplicaNão se aplicaIntermediário",Mercado_Receita!$N$2:$N$754)</f>
        <v>3.5000000000000003E-2</v>
      </c>
      <c r="J18" s="14">
        <f>SUMIF(Mercado_Receita!$T$2:$T$754,"44348B2Energia horáriaRuralNão se aplicaNão se aplicaNão se aplicaIntermediário",Mercado_Receita!$N$2:$N$754)</f>
        <v>3.5999999999999997E-2</v>
      </c>
      <c r="K18" s="14">
        <f>SUMIF(Mercado_Receita!$T$2:$T$754,"44378B2Energia horáriaRuralNão se aplicaNão se aplicaNão se aplicaIntermediário",Mercado_Receita!$N$2:$N$754)</f>
        <v>3.4000000000000002E-2</v>
      </c>
      <c r="L18" s="14">
        <f>SUMIF(Mercado_Receita!$T$2:$T$754,"44409B2Energia horáriaRuralNão se aplicaNão se aplicaNão se aplicaIntermediário",Mercado_Receita!$N$2:$N$754)</f>
        <v>3.9E-2</v>
      </c>
      <c r="M18" s="14">
        <f>SUMIF(Mercado_Receita!$T$2:$T$754,"44440B2Energia horáriaRuralNão se aplicaNão se aplicaNão se aplicaIntermediário",Mercado_Receita!$N$2:$N$754)</f>
        <v>0.16400000000000001</v>
      </c>
      <c r="N18" s="14">
        <f>SUMIF(Mercado_Receita!$T$2:$T$754,"44470B2Energia horáriaRuralNão se aplicaNão se aplicaNão se aplicaIntermediário",Mercado_Receita!$N$2:$N$754)</f>
        <v>3.2000000000000001E-2</v>
      </c>
      <c r="O18" s="14">
        <f>SUMIF(Mercado_Receita!$T$2:$T$754,"44501B2Energia horáriaRuralNão se aplicaNão se aplicaNão se aplicaIntermediário",Mercado_Receita!$N$2:$N$754)</f>
        <v>3.1E-2</v>
      </c>
      <c r="P18" s="14">
        <f>SUMIF(Mercado_Receita!$T$2:$T$754,"44531B2Energia horáriaRuralNão se aplicaNão se aplicaNão se aplicaIntermediário",Mercado_Receita!$N$2:$N$754)</f>
        <v>3.4000000000000002E-2</v>
      </c>
      <c r="Q18" s="14">
        <f>SUMIF(Mercado_Receita!$T$2:$T$754,"44562B2Energia horáriaRuralNão se aplicaNão se aplicaNão se aplicaIntermediário",Mercado_Receita!$N$2:$N$754)</f>
        <v>3.5000000000000003E-2</v>
      </c>
      <c r="R18" s="14">
        <f>SUMIF(Mercado_Receita!$T$2:$T$754,"44593B2Energia horáriaRuralNão se aplicaNão se aplicaNão se aplicaIntermediário",Mercado_Receita!$N$2:$N$754)</f>
        <v>4.4999999999999998E-2</v>
      </c>
      <c r="S18" s="14">
        <f>SUMIF(Mercado_Receita!$T$2:$T$754,"44621B2Energia horáriaRuralNão se aplicaNão se aplicaNão se aplicaIntermediário",Mercado_Receita!$N$2:$N$754)</f>
        <v>4.4999999999999998E-2</v>
      </c>
      <c r="T18" s="14">
        <f>SUMIF(Mercado_Receita!$T$2:$T$754,"44652B2Energia horáriaRuralNão se aplicaNão se aplicaNão se aplicaIntermediário",Mercado_Receita!$N$2:$N$754)</f>
        <v>4.7E-2</v>
      </c>
      <c r="U18" s="14">
        <f t="shared" si="0"/>
        <v>0.57700000000000018</v>
      </c>
      <c r="V18" s="14"/>
      <c r="W18" s="14"/>
    </row>
    <row r="19" spans="1:23" ht="11.25" customHeight="1" x14ac:dyDescent="0.25">
      <c r="A19" s="117"/>
      <c r="B19" s="117"/>
      <c r="C19" s="117"/>
      <c r="D19" s="117"/>
      <c r="E19" s="117"/>
      <c r="F19" s="117"/>
      <c r="G19" s="14" t="s">
        <v>78</v>
      </c>
      <c r="H19" s="14" t="s">
        <v>76</v>
      </c>
      <c r="I19" s="14">
        <f>SUMIF(Mercado_Receita!$T$2:$T$754,"44317B2Energia horáriaRuralNão se aplicaNão se aplicaNão se aplicaFora ponta",Mercado_Receita!$N$2:$N$754)</f>
        <v>0.33300000000000002</v>
      </c>
      <c r="J19" s="14">
        <f>SUMIF(Mercado_Receita!$T$2:$T$754,"44348B2Energia horáriaRuralNão se aplicaNão se aplicaNão se aplicaFora ponta",Mercado_Receita!$N$2:$N$754)</f>
        <v>0.33400000000000002</v>
      </c>
      <c r="K19" s="14">
        <f>SUMIF(Mercado_Receita!$T$2:$T$754,"44378B2Energia horáriaRuralNão se aplicaNão se aplicaNão se aplicaFora ponta",Mercado_Receita!$N$2:$N$754)</f>
        <v>0.32</v>
      </c>
      <c r="L19" s="14">
        <f>SUMIF(Mercado_Receita!$T$2:$T$754,"44409B2Energia horáriaRuralNão se aplicaNão se aplicaNão se aplicaFora ponta",Mercado_Receita!$N$2:$N$754)</f>
        <v>0.38</v>
      </c>
      <c r="M19" s="14">
        <f>SUMIF(Mercado_Receita!$T$2:$T$754,"44440B2Energia horáriaRuralNão se aplicaNão se aplicaNão se aplicaFora ponta",Mercado_Receita!$N$2:$N$754)</f>
        <v>0.45700000000000002</v>
      </c>
      <c r="N19" s="14">
        <f>SUMIF(Mercado_Receita!$T$2:$T$754,"44470B2Energia horáriaRuralNão se aplicaNão se aplicaNão se aplicaFora ponta",Mercado_Receita!$N$2:$N$754)</f>
        <v>0.44800000000000001</v>
      </c>
      <c r="O19" s="14">
        <f>SUMIF(Mercado_Receita!$T$2:$T$754,"44501B2Energia horáriaRuralNão se aplicaNão se aplicaNão se aplicaFora ponta",Mercado_Receita!$N$2:$N$754)</f>
        <v>0.47699999999999998</v>
      </c>
      <c r="P19" s="14">
        <f>SUMIF(Mercado_Receita!$T$2:$T$754,"44531B2Energia horáriaRuralNão se aplicaNão se aplicaNão se aplicaFora ponta",Mercado_Receita!$N$2:$N$754)</f>
        <v>0.432</v>
      </c>
      <c r="Q19" s="14">
        <f>SUMIF(Mercado_Receita!$T$2:$T$754,"44562B2Energia horáriaRuralNão se aplicaNão se aplicaNão se aplicaFora ponta",Mercado_Receita!$N$2:$N$754)</f>
        <v>0.42499999999999999</v>
      </c>
      <c r="R19" s="14">
        <f>SUMIF(Mercado_Receita!$T$2:$T$754,"44593B2Energia horáriaRuralNão se aplicaNão se aplicaNão se aplicaFora ponta",Mercado_Receita!$N$2:$N$754)</f>
        <v>0.46800000000000003</v>
      </c>
      <c r="S19" s="14">
        <f>SUMIF(Mercado_Receita!$T$2:$T$754,"44621B2Energia horáriaRuralNão se aplicaNão se aplicaNão se aplicaFora ponta",Mercado_Receita!$N$2:$N$754)</f>
        <v>0.56699999999999995</v>
      </c>
      <c r="T19" s="14">
        <f>SUMIF(Mercado_Receita!$T$2:$T$754,"44652B2Energia horáriaRuralNão se aplicaNão se aplicaNão se aplicaFora ponta",Mercado_Receita!$N$2:$N$754)</f>
        <v>0.45500000000000002</v>
      </c>
      <c r="U19" s="14">
        <f t="shared" si="0"/>
        <v>5.0960000000000001</v>
      </c>
      <c r="V19" s="14"/>
      <c r="W19" s="14"/>
    </row>
    <row r="20" spans="1:23" ht="11.25" customHeight="1" x14ac:dyDescent="0.25">
      <c r="A20" s="117"/>
      <c r="B20" s="13" t="s">
        <v>89</v>
      </c>
      <c r="C20" s="13" t="s">
        <v>44</v>
      </c>
      <c r="D20" s="13" t="s">
        <v>25</v>
      </c>
      <c r="E20" s="13" t="s">
        <v>25</v>
      </c>
      <c r="F20" s="13" t="s">
        <v>25</v>
      </c>
      <c r="G20" s="14" t="s">
        <v>82</v>
      </c>
      <c r="H20" s="14" t="s">
        <v>76</v>
      </c>
      <c r="I20" s="14">
        <f>SUMIF(Mercado_Receita!$T$2:$T$754,"44317B2Energia convencionalRuralNão se aplicaNão se aplicaNão se aplicaNão se aplica",Mercado_Receita!$N$2:$N$754)</f>
        <v>3242.1030000000001</v>
      </c>
      <c r="J20" s="14">
        <f>SUMIF(Mercado_Receita!$T$2:$T$754,"44348B2Energia convencionalRuralNão se aplicaNão se aplicaNão se aplicaNão se aplica",Mercado_Receita!$N$2:$N$754)</f>
        <v>3001.7460000000001</v>
      </c>
      <c r="K20" s="14">
        <f>SUMIF(Mercado_Receita!$T$2:$T$754,"44378B2Energia convencionalRuralNão se aplicaNão se aplicaNão se aplicaNão se aplica",Mercado_Receita!$N$2:$N$754)</f>
        <v>2819.5009999999997</v>
      </c>
      <c r="L20" s="14">
        <f>SUMIF(Mercado_Receita!$T$2:$T$754,"44409B2Energia convencionalRuralNão se aplicaNão se aplicaNão se aplicaNão se aplica",Mercado_Receita!$N$2:$N$754)</f>
        <v>2966.3</v>
      </c>
      <c r="M20" s="14">
        <f>SUMIF(Mercado_Receita!$T$2:$T$754,"44440B2Energia convencionalRuralNão se aplicaNão se aplicaNão se aplicaNão se aplica",Mercado_Receita!$N$2:$N$754)</f>
        <v>3479.7580000000003</v>
      </c>
      <c r="N20" s="14">
        <f>SUMIF(Mercado_Receita!$T$2:$T$754,"44470B2Energia convencionalRuralNão se aplicaNão se aplicaNão se aplicaNão se aplica",Mercado_Receita!$N$2:$N$754)</f>
        <v>3379.0910000000003</v>
      </c>
      <c r="O20" s="14">
        <f>SUMIF(Mercado_Receita!$T$2:$T$754,"44501B2Energia convencionalRuralNão se aplicaNão se aplicaNão se aplicaNão se aplica",Mercado_Receita!$N$2:$N$754)</f>
        <v>2857.0010000000002</v>
      </c>
      <c r="P20" s="14">
        <f>SUMIF(Mercado_Receita!$T$2:$T$754,"44531B2Energia convencionalRuralNão se aplicaNão se aplicaNão se aplicaNão se aplica",Mercado_Receita!$N$2:$N$754)</f>
        <v>2847.16</v>
      </c>
      <c r="Q20" s="14">
        <f>SUMIF(Mercado_Receita!$T$2:$T$754,"44562B2Energia convencionalRuralNão se aplicaNão se aplicaNão se aplicaNão se aplica",Mercado_Receita!$N$2:$N$754)</f>
        <v>2790.1420000000003</v>
      </c>
      <c r="R20" s="14">
        <f>SUMIF(Mercado_Receita!$T$2:$T$754,"44593B2Energia convencionalRuralNão se aplicaNão se aplicaNão se aplicaNão se aplica",Mercado_Receita!$N$2:$N$754)</f>
        <v>2827.4919999999997</v>
      </c>
      <c r="S20" s="14">
        <f>SUMIF(Mercado_Receita!$T$2:$T$754,"44621B2Energia convencionalRuralNão se aplicaNão se aplicaNão se aplicaNão se aplica",Mercado_Receita!$N$2:$N$754)</f>
        <v>3240.8139999999999</v>
      </c>
      <c r="T20" s="14">
        <f>SUMIF(Mercado_Receita!$T$2:$T$754,"44652B2Energia convencionalRuralNão se aplicaNão se aplicaNão se aplicaNão se aplica",Mercado_Receita!$N$2:$N$754)</f>
        <v>2922.56</v>
      </c>
      <c r="U20" s="14">
        <f t="shared" si="0"/>
        <v>36373.667999999998</v>
      </c>
      <c r="V20" s="14"/>
      <c r="W20" s="14"/>
    </row>
    <row r="21" spans="1:23" ht="11.25" customHeight="1" x14ac:dyDescent="0.25">
      <c r="A21" s="117"/>
      <c r="B21" s="116" t="s">
        <v>75</v>
      </c>
      <c r="C21" s="116" t="s">
        <v>44</v>
      </c>
      <c r="D21" s="116" t="s">
        <v>92</v>
      </c>
      <c r="E21" s="116" t="s">
        <v>25</v>
      </c>
      <c r="F21" s="116" t="s">
        <v>25</v>
      </c>
      <c r="G21" s="14" t="s">
        <v>77</v>
      </c>
      <c r="H21" s="14" t="s">
        <v>76</v>
      </c>
      <c r="I21" s="14">
        <f>SUMIF(Mercado_Receita!$T$2:$T$754,"44317B2Energia horáriaRuralCooperativa de eletrificação ruralNão se aplicaNão se aplicaPonta",Mercado_Receita!$N$2:$N$754)</f>
        <v>0</v>
      </c>
      <c r="J21" s="14">
        <f>SUMIF(Mercado_Receita!$T$2:$T$754,"44348B2Energia horáriaRuralCooperativa de eletrificação ruralNão se aplicaNão se aplicaPonta",Mercado_Receita!$N$2:$N$754)</f>
        <v>0</v>
      </c>
      <c r="K21" s="14">
        <f>SUMIF(Mercado_Receita!$T$2:$T$754,"44378B2Energia horáriaRuralCooperativa de eletrificação ruralNão se aplicaNão se aplicaPonta",Mercado_Receita!$N$2:$N$754)</f>
        <v>0</v>
      </c>
      <c r="L21" s="14">
        <f>SUMIF(Mercado_Receita!$T$2:$T$754,"44409B2Energia horáriaRuralCooperativa de eletrificação ruralNão se aplicaNão se aplicaPonta",Mercado_Receita!$N$2:$N$754)</f>
        <v>0</v>
      </c>
      <c r="M21" s="14">
        <f>SUMIF(Mercado_Receita!$T$2:$T$754,"44440B2Energia horáriaRuralCooperativa de eletrificação ruralNão se aplicaNão se aplicaPonta",Mercado_Receita!$N$2:$N$754)</f>
        <v>0</v>
      </c>
      <c r="N21" s="14">
        <f>SUMIF(Mercado_Receita!$T$2:$T$754,"44470B2Energia horáriaRuralCooperativa de eletrificação ruralNão se aplicaNão se aplicaPonta",Mercado_Receita!$N$2:$N$754)</f>
        <v>0</v>
      </c>
      <c r="O21" s="14">
        <f>SUMIF(Mercado_Receita!$T$2:$T$754,"44501B2Energia horáriaRuralCooperativa de eletrificação ruralNão se aplicaNão se aplicaPonta",Mercado_Receita!$N$2:$N$754)</f>
        <v>0</v>
      </c>
      <c r="P21" s="14">
        <f>SUMIF(Mercado_Receita!$T$2:$T$754,"44531B2Energia horáriaRuralCooperativa de eletrificação ruralNão se aplicaNão se aplicaPonta",Mercado_Receita!$N$2:$N$754)</f>
        <v>0</v>
      </c>
      <c r="Q21" s="14">
        <f>SUMIF(Mercado_Receita!$T$2:$T$754,"44562B2Energia horáriaRuralCooperativa de eletrificação ruralNão se aplicaNão se aplicaPonta",Mercado_Receita!$N$2:$N$754)</f>
        <v>0</v>
      </c>
      <c r="R21" s="14">
        <f>SUMIF(Mercado_Receita!$T$2:$T$754,"44593B2Energia horáriaRuralCooperativa de eletrificação ruralNão se aplicaNão se aplicaPonta",Mercado_Receita!$N$2:$N$754)</f>
        <v>0</v>
      </c>
      <c r="S21" s="14">
        <f>SUMIF(Mercado_Receita!$T$2:$T$754,"44621B2Energia horáriaRuralCooperativa de eletrificação ruralNão se aplicaNão se aplicaPonta",Mercado_Receita!$N$2:$N$754)</f>
        <v>0</v>
      </c>
      <c r="T21" s="14">
        <f>SUMIF(Mercado_Receita!$T$2:$T$754,"44652B2Energia horáriaRuralCooperativa de eletrificação ruralNão se aplicaNão se aplicaPonta",Mercado_Receita!$N$2:$N$754)</f>
        <v>0</v>
      </c>
      <c r="U21" s="14">
        <f t="shared" si="0"/>
        <v>0</v>
      </c>
      <c r="V21" s="14"/>
      <c r="W21" s="14"/>
    </row>
    <row r="22" spans="1:23" ht="11.25" customHeight="1" x14ac:dyDescent="0.25">
      <c r="A22" s="117"/>
      <c r="B22" s="117"/>
      <c r="C22" s="117"/>
      <c r="D22" s="117"/>
      <c r="E22" s="117"/>
      <c r="F22" s="117"/>
      <c r="G22" s="14" t="s">
        <v>88</v>
      </c>
      <c r="H22" s="14" t="s">
        <v>76</v>
      </c>
      <c r="I22" s="14">
        <f>SUMIF(Mercado_Receita!$T$2:$T$754,"44317B2Energia horáriaRuralCooperativa de eletrificação ruralNão se aplicaNão se aplicaIntermediário",Mercado_Receita!$N$2:$N$754)</f>
        <v>0</v>
      </c>
      <c r="J22" s="14">
        <f>SUMIF(Mercado_Receita!$T$2:$T$754,"44348B2Energia horáriaRuralCooperativa de eletrificação ruralNão se aplicaNão se aplicaIntermediário",Mercado_Receita!$N$2:$N$754)</f>
        <v>0</v>
      </c>
      <c r="K22" s="14">
        <f>SUMIF(Mercado_Receita!$T$2:$T$754,"44378B2Energia horáriaRuralCooperativa de eletrificação ruralNão se aplicaNão se aplicaIntermediário",Mercado_Receita!$N$2:$N$754)</f>
        <v>0</v>
      </c>
      <c r="L22" s="14">
        <f>SUMIF(Mercado_Receita!$T$2:$T$754,"44409B2Energia horáriaRuralCooperativa de eletrificação ruralNão se aplicaNão se aplicaIntermediário",Mercado_Receita!$N$2:$N$754)</f>
        <v>0</v>
      </c>
      <c r="M22" s="14">
        <f>SUMIF(Mercado_Receita!$T$2:$T$754,"44440B2Energia horáriaRuralCooperativa de eletrificação ruralNão se aplicaNão se aplicaIntermediário",Mercado_Receita!$N$2:$N$754)</f>
        <v>0</v>
      </c>
      <c r="N22" s="14">
        <f>SUMIF(Mercado_Receita!$T$2:$T$754,"44470B2Energia horáriaRuralCooperativa de eletrificação ruralNão se aplicaNão se aplicaIntermediário",Mercado_Receita!$N$2:$N$754)</f>
        <v>0</v>
      </c>
      <c r="O22" s="14">
        <f>SUMIF(Mercado_Receita!$T$2:$T$754,"44501B2Energia horáriaRuralCooperativa de eletrificação ruralNão se aplicaNão se aplicaIntermediário",Mercado_Receita!$N$2:$N$754)</f>
        <v>0</v>
      </c>
      <c r="P22" s="14">
        <f>SUMIF(Mercado_Receita!$T$2:$T$754,"44531B2Energia horáriaRuralCooperativa de eletrificação ruralNão se aplicaNão se aplicaIntermediário",Mercado_Receita!$N$2:$N$754)</f>
        <v>0</v>
      </c>
      <c r="Q22" s="14">
        <f>SUMIF(Mercado_Receita!$T$2:$T$754,"44562B2Energia horáriaRuralCooperativa de eletrificação ruralNão se aplicaNão se aplicaIntermediário",Mercado_Receita!$N$2:$N$754)</f>
        <v>0</v>
      </c>
      <c r="R22" s="14">
        <f>SUMIF(Mercado_Receita!$T$2:$T$754,"44593B2Energia horáriaRuralCooperativa de eletrificação ruralNão se aplicaNão se aplicaIntermediário",Mercado_Receita!$N$2:$N$754)</f>
        <v>0</v>
      </c>
      <c r="S22" s="14">
        <f>SUMIF(Mercado_Receita!$T$2:$T$754,"44621B2Energia horáriaRuralCooperativa de eletrificação ruralNão se aplicaNão se aplicaIntermediário",Mercado_Receita!$N$2:$N$754)</f>
        <v>0</v>
      </c>
      <c r="T22" s="14">
        <f>SUMIF(Mercado_Receita!$T$2:$T$754,"44652B2Energia horáriaRuralCooperativa de eletrificação ruralNão se aplicaNão se aplicaIntermediário",Mercado_Receita!$N$2:$N$754)</f>
        <v>0</v>
      </c>
      <c r="U22" s="14">
        <f t="shared" si="0"/>
        <v>0</v>
      </c>
      <c r="V22" s="14"/>
      <c r="W22" s="14"/>
    </row>
    <row r="23" spans="1:23" ht="11.25" customHeight="1" x14ac:dyDescent="0.25">
      <c r="A23" s="117"/>
      <c r="B23" s="117"/>
      <c r="C23" s="117"/>
      <c r="D23" s="117"/>
      <c r="E23" s="117"/>
      <c r="F23" s="117"/>
      <c r="G23" s="14" t="s">
        <v>78</v>
      </c>
      <c r="H23" s="14" t="s">
        <v>76</v>
      </c>
      <c r="I23" s="14">
        <f>SUMIF(Mercado_Receita!$T$2:$T$754,"44317B2Energia horáriaRuralCooperativa de eletrificação ruralNão se aplicaNão se aplicaFora ponta",Mercado_Receita!$N$2:$N$754)</f>
        <v>0</v>
      </c>
      <c r="J23" s="14">
        <f>SUMIF(Mercado_Receita!$T$2:$T$754,"44348B2Energia horáriaRuralCooperativa de eletrificação ruralNão se aplicaNão se aplicaFora ponta",Mercado_Receita!$N$2:$N$754)</f>
        <v>0</v>
      </c>
      <c r="K23" s="14">
        <f>SUMIF(Mercado_Receita!$T$2:$T$754,"44378B2Energia horáriaRuralCooperativa de eletrificação ruralNão se aplicaNão se aplicaFora ponta",Mercado_Receita!$N$2:$N$754)</f>
        <v>0</v>
      </c>
      <c r="L23" s="14">
        <f>SUMIF(Mercado_Receita!$T$2:$T$754,"44409B2Energia horáriaRuralCooperativa de eletrificação ruralNão se aplicaNão se aplicaFora ponta",Mercado_Receita!$N$2:$N$754)</f>
        <v>0</v>
      </c>
      <c r="M23" s="14">
        <f>SUMIF(Mercado_Receita!$T$2:$T$754,"44440B2Energia horáriaRuralCooperativa de eletrificação ruralNão se aplicaNão se aplicaFora ponta",Mercado_Receita!$N$2:$N$754)</f>
        <v>0</v>
      </c>
      <c r="N23" s="14">
        <f>SUMIF(Mercado_Receita!$T$2:$T$754,"44470B2Energia horáriaRuralCooperativa de eletrificação ruralNão se aplicaNão se aplicaFora ponta",Mercado_Receita!$N$2:$N$754)</f>
        <v>0</v>
      </c>
      <c r="O23" s="14">
        <f>SUMIF(Mercado_Receita!$T$2:$T$754,"44501B2Energia horáriaRuralCooperativa de eletrificação ruralNão se aplicaNão se aplicaFora ponta",Mercado_Receita!$N$2:$N$754)</f>
        <v>0</v>
      </c>
      <c r="P23" s="14">
        <f>SUMIF(Mercado_Receita!$T$2:$T$754,"44531B2Energia horáriaRuralCooperativa de eletrificação ruralNão se aplicaNão se aplicaFora ponta",Mercado_Receita!$N$2:$N$754)</f>
        <v>0</v>
      </c>
      <c r="Q23" s="14">
        <f>SUMIF(Mercado_Receita!$T$2:$T$754,"44562B2Energia horáriaRuralCooperativa de eletrificação ruralNão se aplicaNão se aplicaFora ponta",Mercado_Receita!$N$2:$N$754)</f>
        <v>0</v>
      </c>
      <c r="R23" s="14">
        <f>SUMIF(Mercado_Receita!$T$2:$T$754,"44593B2Energia horáriaRuralCooperativa de eletrificação ruralNão se aplicaNão se aplicaFora ponta",Mercado_Receita!$N$2:$N$754)</f>
        <v>0</v>
      </c>
      <c r="S23" s="14">
        <f>SUMIF(Mercado_Receita!$T$2:$T$754,"44621B2Energia horáriaRuralCooperativa de eletrificação ruralNão se aplicaNão se aplicaFora ponta",Mercado_Receita!$N$2:$N$754)</f>
        <v>0</v>
      </c>
      <c r="T23" s="14">
        <f>SUMIF(Mercado_Receita!$T$2:$T$754,"44652B2Energia horáriaRuralCooperativa de eletrificação ruralNão se aplicaNão se aplicaFora ponta",Mercado_Receita!$N$2:$N$754)</f>
        <v>0</v>
      </c>
      <c r="U23" s="14">
        <f t="shared" si="0"/>
        <v>0</v>
      </c>
      <c r="V23" s="14"/>
      <c r="W23" s="14"/>
    </row>
    <row r="24" spans="1:23" ht="11.25" customHeight="1" x14ac:dyDescent="0.25">
      <c r="A24" s="117"/>
      <c r="B24" s="13" t="s">
        <v>89</v>
      </c>
      <c r="C24" s="13" t="s">
        <v>44</v>
      </c>
      <c r="D24" s="13" t="s">
        <v>92</v>
      </c>
      <c r="E24" s="13" t="s">
        <v>25</v>
      </c>
      <c r="F24" s="13" t="s">
        <v>25</v>
      </c>
      <c r="G24" s="14" t="s">
        <v>82</v>
      </c>
      <c r="H24" s="14" t="s">
        <v>76</v>
      </c>
      <c r="I24" s="14">
        <f>SUMIF(Mercado_Receita!$T$2:$T$754,"44317B2Energia convencionalRuralCooperativa de eletrificação ruralNão se aplicaNão se aplicaNão se aplica",Mercado_Receita!$N$2:$N$754)</f>
        <v>0</v>
      </c>
      <c r="J24" s="14">
        <f>SUMIF(Mercado_Receita!$T$2:$T$754,"44348B2Energia convencionalRuralCooperativa de eletrificação ruralNão se aplicaNão se aplicaNão se aplica",Mercado_Receita!$N$2:$N$754)</f>
        <v>0</v>
      </c>
      <c r="K24" s="14">
        <f>SUMIF(Mercado_Receita!$T$2:$T$754,"44378B2Energia convencionalRuralCooperativa de eletrificação ruralNão se aplicaNão se aplicaNão se aplica",Mercado_Receita!$N$2:$N$754)</f>
        <v>0</v>
      </c>
      <c r="L24" s="14">
        <f>SUMIF(Mercado_Receita!$T$2:$T$754,"44409B2Energia convencionalRuralCooperativa de eletrificação ruralNão se aplicaNão se aplicaNão se aplica",Mercado_Receita!$N$2:$N$754)</f>
        <v>0</v>
      </c>
      <c r="M24" s="14">
        <f>SUMIF(Mercado_Receita!$T$2:$T$754,"44440B2Energia convencionalRuralCooperativa de eletrificação ruralNão se aplicaNão se aplicaNão se aplica",Mercado_Receita!$N$2:$N$754)</f>
        <v>0</v>
      </c>
      <c r="N24" s="14">
        <f>SUMIF(Mercado_Receita!$T$2:$T$754,"44470B2Energia convencionalRuralCooperativa de eletrificação ruralNão se aplicaNão se aplicaNão se aplica",Mercado_Receita!$N$2:$N$754)</f>
        <v>0</v>
      </c>
      <c r="O24" s="14">
        <f>SUMIF(Mercado_Receita!$T$2:$T$754,"44501B2Energia convencionalRuralCooperativa de eletrificação ruralNão se aplicaNão se aplicaNão se aplica",Mercado_Receita!$N$2:$N$754)</f>
        <v>0</v>
      </c>
      <c r="P24" s="14">
        <f>SUMIF(Mercado_Receita!$T$2:$T$754,"44531B2Energia convencionalRuralCooperativa de eletrificação ruralNão se aplicaNão se aplicaNão se aplica",Mercado_Receita!$N$2:$N$754)</f>
        <v>0</v>
      </c>
      <c r="Q24" s="14">
        <f>SUMIF(Mercado_Receita!$T$2:$T$754,"44562B2Energia convencionalRuralCooperativa de eletrificação ruralNão se aplicaNão se aplicaNão se aplica",Mercado_Receita!$N$2:$N$754)</f>
        <v>0</v>
      </c>
      <c r="R24" s="14">
        <f>SUMIF(Mercado_Receita!$T$2:$T$754,"44593B2Energia convencionalRuralCooperativa de eletrificação ruralNão se aplicaNão se aplicaNão se aplica",Mercado_Receita!$N$2:$N$754)</f>
        <v>0</v>
      </c>
      <c r="S24" s="14">
        <f>SUMIF(Mercado_Receita!$T$2:$T$754,"44621B2Energia convencionalRuralCooperativa de eletrificação ruralNão se aplicaNão se aplicaNão se aplica",Mercado_Receita!$N$2:$N$754)</f>
        <v>0</v>
      </c>
      <c r="T24" s="14">
        <f>SUMIF(Mercado_Receita!$T$2:$T$754,"44652B2Energia convencionalRuralCooperativa de eletrificação ruralNão se aplicaNão se aplicaNão se aplica",Mercado_Receita!$N$2:$N$754)</f>
        <v>0</v>
      </c>
      <c r="U24" s="14">
        <f t="shared" si="0"/>
        <v>0</v>
      </c>
      <c r="V24" s="14"/>
      <c r="W24" s="14"/>
    </row>
    <row r="25" spans="1:23" ht="11.25" customHeight="1" x14ac:dyDescent="0.25">
      <c r="A25" s="117"/>
      <c r="B25" s="116" t="s">
        <v>75</v>
      </c>
      <c r="C25" s="116" t="s">
        <v>44</v>
      </c>
      <c r="D25" s="116" t="s">
        <v>93</v>
      </c>
      <c r="E25" s="116" t="s">
        <v>25</v>
      </c>
      <c r="F25" s="116" t="s">
        <v>25</v>
      </c>
      <c r="G25" s="14" t="s">
        <v>77</v>
      </c>
      <c r="H25" s="14" t="s">
        <v>76</v>
      </c>
      <c r="I25" s="14">
        <f>SUMIF(Mercado_Receita!$T$2:$T$754,"44317B2Energia horáriaRuralServiço público de irrigação ruralNão se aplicaNão se aplicaPonta",Mercado_Receita!$N$2:$N$754)</f>
        <v>0</v>
      </c>
      <c r="J25" s="14">
        <f>SUMIF(Mercado_Receita!$T$2:$T$754,"44348B2Energia horáriaRuralServiço público de irrigação ruralNão se aplicaNão se aplicaPonta",Mercado_Receita!$N$2:$N$754)</f>
        <v>0</v>
      </c>
      <c r="K25" s="14">
        <f>SUMIF(Mercado_Receita!$T$2:$T$754,"44378B2Energia horáriaRuralServiço público de irrigação ruralNão se aplicaNão se aplicaPonta",Mercado_Receita!$N$2:$N$754)</f>
        <v>0</v>
      </c>
      <c r="L25" s="14">
        <f>SUMIF(Mercado_Receita!$T$2:$T$754,"44409B2Energia horáriaRuralServiço público de irrigação ruralNão se aplicaNão se aplicaPonta",Mercado_Receita!$N$2:$N$754)</f>
        <v>0</v>
      </c>
      <c r="M25" s="14">
        <f>SUMIF(Mercado_Receita!$T$2:$T$754,"44440B2Energia horáriaRuralServiço público de irrigação ruralNão se aplicaNão se aplicaPonta",Mercado_Receita!$N$2:$N$754)</f>
        <v>0</v>
      </c>
      <c r="N25" s="14">
        <f>SUMIF(Mercado_Receita!$T$2:$T$754,"44470B2Energia horáriaRuralServiço público de irrigação ruralNão se aplicaNão se aplicaPonta",Mercado_Receita!$N$2:$N$754)</f>
        <v>0</v>
      </c>
      <c r="O25" s="14">
        <f>SUMIF(Mercado_Receita!$T$2:$T$754,"44501B2Energia horáriaRuralServiço público de irrigação ruralNão se aplicaNão se aplicaPonta",Mercado_Receita!$N$2:$N$754)</f>
        <v>0</v>
      </c>
      <c r="P25" s="14">
        <f>SUMIF(Mercado_Receita!$T$2:$T$754,"44531B2Energia horáriaRuralServiço público de irrigação ruralNão se aplicaNão se aplicaPonta",Mercado_Receita!$N$2:$N$754)</f>
        <v>0</v>
      </c>
      <c r="Q25" s="14">
        <f>SUMIF(Mercado_Receita!$T$2:$T$754,"44562B2Energia horáriaRuralServiço público de irrigação ruralNão se aplicaNão se aplicaPonta",Mercado_Receita!$N$2:$N$754)</f>
        <v>0</v>
      </c>
      <c r="R25" s="14">
        <f>SUMIF(Mercado_Receita!$T$2:$T$754,"44593B2Energia horáriaRuralServiço público de irrigação ruralNão se aplicaNão se aplicaPonta",Mercado_Receita!$N$2:$N$754)</f>
        <v>0</v>
      </c>
      <c r="S25" s="14">
        <f>SUMIF(Mercado_Receita!$T$2:$T$754,"44621B2Energia horáriaRuralServiço público de irrigação ruralNão se aplicaNão se aplicaPonta",Mercado_Receita!$N$2:$N$754)</f>
        <v>0</v>
      </c>
      <c r="T25" s="14">
        <f>SUMIF(Mercado_Receita!$T$2:$T$754,"44652B2Energia horáriaRuralServiço público de irrigação ruralNão se aplicaNão se aplicaPonta",Mercado_Receita!$N$2:$N$754)</f>
        <v>0</v>
      </c>
      <c r="U25" s="14">
        <f t="shared" si="0"/>
        <v>0</v>
      </c>
      <c r="V25" s="14"/>
      <c r="W25" s="14"/>
    </row>
    <row r="26" spans="1:23" ht="11.25" customHeight="1" x14ac:dyDescent="0.25">
      <c r="A26" s="117"/>
      <c r="B26" s="117"/>
      <c r="C26" s="117"/>
      <c r="D26" s="117"/>
      <c r="E26" s="117"/>
      <c r="F26" s="117"/>
      <c r="G26" s="14" t="s">
        <v>88</v>
      </c>
      <c r="H26" s="14" t="s">
        <v>76</v>
      </c>
      <c r="I26" s="14">
        <f>SUMIF(Mercado_Receita!$T$2:$T$754,"44317B2Energia horáriaRuralServiço público de irrigação ruralNão se aplicaNão se aplicaIntermediário",Mercado_Receita!$N$2:$N$754)</f>
        <v>0</v>
      </c>
      <c r="J26" s="14">
        <f>SUMIF(Mercado_Receita!$T$2:$T$754,"44348B2Energia horáriaRuralServiço público de irrigação ruralNão se aplicaNão se aplicaIntermediário",Mercado_Receita!$N$2:$N$754)</f>
        <v>0</v>
      </c>
      <c r="K26" s="14">
        <f>SUMIF(Mercado_Receita!$T$2:$T$754,"44378B2Energia horáriaRuralServiço público de irrigação ruralNão se aplicaNão se aplicaIntermediário",Mercado_Receita!$N$2:$N$754)</f>
        <v>0</v>
      </c>
      <c r="L26" s="14">
        <f>SUMIF(Mercado_Receita!$T$2:$T$754,"44409B2Energia horáriaRuralServiço público de irrigação ruralNão se aplicaNão se aplicaIntermediário",Mercado_Receita!$N$2:$N$754)</f>
        <v>0</v>
      </c>
      <c r="M26" s="14">
        <f>SUMIF(Mercado_Receita!$T$2:$T$754,"44440B2Energia horáriaRuralServiço público de irrigação ruralNão se aplicaNão se aplicaIntermediário",Mercado_Receita!$N$2:$N$754)</f>
        <v>0</v>
      </c>
      <c r="N26" s="14">
        <f>SUMIF(Mercado_Receita!$T$2:$T$754,"44470B2Energia horáriaRuralServiço público de irrigação ruralNão se aplicaNão se aplicaIntermediário",Mercado_Receita!$N$2:$N$754)</f>
        <v>0</v>
      </c>
      <c r="O26" s="14">
        <f>SUMIF(Mercado_Receita!$T$2:$T$754,"44501B2Energia horáriaRuralServiço público de irrigação ruralNão se aplicaNão se aplicaIntermediário",Mercado_Receita!$N$2:$N$754)</f>
        <v>0</v>
      </c>
      <c r="P26" s="14">
        <f>SUMIF(Mercado_Receita!$T$2:$T$754,"44531B2Energia horáriaRuralServiço público de irrigação ruralNão se aplicaNão se aplicaIntermediário",Mercado_Receita!$N$2:$N$754)</f>
        <v>0</v>
      </c>
      <c r="Q26" s="14">
        <f>SUMIF(Mercado_Receita!$T$2:$T$754,"44562B2Energia horáriaRuralServiço público de irrigação ruralNão se aplicaNão se aplicaIntermediário",Mercado_Receita!$N$2:$N$754)</f>
        <v>0</v>
      </c>
      <c r="R26" s="14">
        <f>SUMIF(Mercado_Receita!$T$2:$T$754,"44593B2Energia horáriaRuralServiço público de irrigação ruralNão se aplicaNão se aplicaIntermediário",Mercado_Receita!$N$2:$N$754)</f>
        <v>0</v>
      </c>
      <c r="S26" s="14">
        <f>SUMIF(Mercado_Receita!$T$2:$T$754,"44621B2Energia horáriaRuralServiço público de irrigação ruralNão se aplicaNão se aplicaIntermediário",Mercado_Receita!$N$2:$N$754)</f>
        <v>0</v>
      </c>
      <c r="T26" s="14">
        <f>SUMIF(Mercado_Receita!$T$2:$T$754,"44652B2Energia horáriaRuralServiço público de irrigação ruralNão se aplicaNão se aplicaIntermediário",Mercado_Receita!$N$2:$N$754)</f>
        <v>0</v>
      </c>
      <c r="U26" s="14">
        <f t="shared" si="0"/>
        <v>0</v>
      </c>
      <c r="V26" s="14"/>
      <c r="W26" s="14"/>
    </row>
    <row r="27" spans="1:23" ht="11.25" customHeight="1" x14ac:dyDescent="0.25">
      <c r="A27" s="117"/>
      <c r="B27" s="117"/>
      <c r="C27" s="117"/>
      <c r="D27" s="117"/>
      <c r="E27" s="117"/>
      <c r="F27" s="117"/>
      <c r="G27" s="14" t="s">
        <v>78</v>
      </c>
      <c r="H27" s="14" t="s">
        <v>76</v>
      </c>
      <c r="I27" s="14">
        <f>SUMIF(Mercado_Receita!$T$2:$T$754,"44317B2Energia horáriaRuralServiço público de irrigação ruralNão se aplicaNão se aplicaFora ponta",Mercado_Receita!$N$2:$N$754)</f>
        <v>0</v>
      </c>
      <c r="J27" s="14">
        <f>SUMIF(Mercado_Receita!$T$2:$T$754,"44348B2Energia horáriaRuralServiço público de irrigação ruralNão se aplicaNão se aplicaFora ponta",Mercado_Receita!$N$2:$N$754)</f>
        <v>0</v>
      </c>
      <c r="K27" s="14">
        <f>SUMIF(Mercado_Receita!$T$2:$T$754,"44378B2Energia horáriaRuralServiço público de irrigação ruralNão se aplicaNão se aplicaFora ponta",Mercado_Receita!$N$2:$N$754)</f>
        <v>0</v>
      </c>
      <c r="L27" s="14">
        <f>SUMIF(Mercado_Receita!$T$2:$T$754,"44409B2Energia horáriaRuralServiço público de irrigação ruralNão se aplicaNão se aplicaFora ponta",Mercado_Receita!$N$2:$N$754)</f>
        <v>0</v>
      </c>
      <c r="M27" s="14">
        <f>SUMIF(Mercado_Receita!$T$2:$T$754,"44440B2Energia horáriaRuralServiço público de irrigação ruralNão se aplicaNão se aplicaFora ponta",Mercado_Receita!$N$2:$N$754)</f>
        <v>0</v>
      </c>
      <c r="N27" s="14">
        <f>SUMIF(Mercado_Receita!$T$2:$T$754,"44470B2Energia horáriaRuralServiço público de irrigação ruralNão se aplicaNão se aplicaFora ponta",Mercado_Receita!$N$2:$N$754)</f>
        <v>0</v>
      </c>
      <c r="O27" s="14">
        <f>SUMIF(Mercado_Receita!$T$2:$T$754,"44501B2Energia horáriaRuralServiço público de irrigação ruralNão se aplicaNão se aplicaFora ponta",Mercado_Receita!$N$2:$N$754)</f>
        <v>0</v>
      </c>
      <c r="P27" s="14">
        <f>SUMIF(Mercado_Receita!$T$2:$T$754,"44531B2Energia horáriaRuralServiço público de irrigação ruralNão se aplicaNão se aplicaFora ponta",Mercado_Receita!$N$2:$N$754)</f>
        <v>0</v>
      </c>
      <c r="Q27" s="14">
        <f>SUMIF(Mercado_Receita!$T$2:$T$754,"44562B2Energia horáriaRuralServiço público de irrigação ruralNão se aplicaNão se aplicaFora ponta",Mercado_Receita!$N$2:$N$754)</f>
        <v>0</v>
      </c>
      <c r="R27" s="14">
        <f>SUMIF(Mercado_Receita!$T$2:$T$754,"44593B2Energia horáriaRuralServiço público de irrigação ruralNão se aplicaNão se aplicaFora ponta",Mercado_Receita!$N$2:$N$754)</f>
        <v>0</v>
      </c>
      <c r="S27" s="14">
        <f>SUMIF(Mercado_Receita!$T$2:$T$754,"44621B2Energia horáriaRuralServiço público de irrigação ruralNão se aplicaNão se aplicaFora ponta",Mercado_Receita!$N$2:$N$754)</f>
        <v>0</v>
      </c>
      <c r="T27" s="14">
        <f>SUMIF(Mercado_Receita!$T$2:$T$754,"44652B2Energia horáriaRuralServiço público de irrigação ruralNão se aplicaNão se aplicaFora ponta",Mercado_Receita!$N$2:$N$754)</f>
        <v>0</v>
      </c>
      <c r="U27" s="14">
        <f t="shared" si="0"/>
        <v>0</v>
      </c>
      <c r="V27" s="14"/>
      <c r="W27" s="14"/>
    </row>
    <row r="28" spans="1:23" ht="11.25" customHeight="1" x14ac:dyDescent="0.25">
      <c r="A28" s="117"/>
      <c r="B28" s="13" t="s">
        <v>89</v>
      </c>
      <c r="C28" s="13" t="s">
        <v>44</v>
      </c>
      <c r="D28" s="13" t="s">
        <v>93</v>
      </c>
      <c r="E28" s="13" t="s">
        <v>25</v>
      </c>
      <c r="F28" s="13" t="s">
        <v>25</v>
      </c>
      <c r="G28" s="14" t="s">
        <v>82</v>
      </c>
      <c r="H28" s="14" t="s">
        <v>76</v>
      </c>
      <c r="I28" s="14">
        <f>SUMIF(Mercado_Receita!$T$2:$T$754,"44317B2Energia convencionalRuralServiço público de irrigação ruralNão se aplicaNão se aplicaNão se aplica",Mercado_Receita!$N$2:$N$754)</f>
        <v>0</v>
      </c>
      <c r="J28" s="14">
        <f>SUMIF(Mercado_Receita!$T$2:$T$754,"44348B2Energia convencionalRuralServiço público de irrigação ruralNão se aplicaNão se aplicaNão se aplica",Mercado_Receita!$N$2:$N$754)</f>
        <v>0</v>
      </c>
      <c r="K28" s="14">
        <f>SUMIF(Mercado_Receita!$T$2:$T$754,"44378B2Energia convencionalRuralServiço público de irrigação ruralNão se aplicaNão se aplicaNão se aplica",Mercado_Receita!$N$2:$N$754)</f>
        <v>0</v>
      </c>
      <c r="L28" s="14">
        <f>SUMIF(Mercado_Receita!$T$2:$T$754,"44409B2Energia convencionalRuralServiço público de irrigação ruralNão se aplicaNão se aplicaNão se aplica",Mercado_Receita!$N$2:$N$754)</f>
        <v>0</v>
      </c>
      <c r="M28" s="14">
        <f>SUMIF(Mercado_Receita!$T$2:$T$754,"44440B2Energia convencionalRuralServiço público de irrigação ruralNão se aplicaNão se aplicaNão se aplica",Mercado_Receita!$N$2:$N$754)</f>
        <v>0</v>
      </c>
      <c r="N28" s="14">
        <f>SUMIF(Mercado_Receita!$T$2:$T$754,"44470B2Energia convencionalRuralServiço público de irrigação ruralNão se aplicaNão se aplicaNão se aplica",Mercado_Receita!$N$2:$N$754)</f>
        <v>0</v>
      </c>
      <c r="O28" s="14">
        <f>SUMIF(Mercado_Receita!$T$2:$T$754,"44501B2Energia convencionalRuralServiço público de irrigação ruralNão se aplicaNão se aplicaNão se aplica",Mercado_Receita!$N$2:$N$754)</f>
        <v>0</v>
      </c>
      <c r="P28" s="14">
        <f>SUMIF(Mercado_Receita!$T$2:$T$754,"44531B2Energia convencionalRuralServiço público de irrigação ruralNão se aplicaNão se aplicaNão se aplica",Mercado_Receita!$N$2:$N$754)</f>
        <v>0</v>
      </c>
      <c r="Q28" s="14">
        <f>SUMIF(Mercado_Receita!$T$2:$T$754,"44562B2Energia convencionalRuralServiço público de irrigação ruralNão se aplicaNão se aplicaNão se aplica",Mercado_Receita!$N$2:$N$754)</f>
        <v>0</v>
      </c>
      <c r="R28" s="14">
        <f>SUMIF(Mercado_Receita!$T$2:$T$754,"44593B2Energia convencionalRuralServiço público de irrigação ruralNão se aplicaNão se aplicaNão se aplica",Mercado_Receita!$N$2:$N$754)</f>
        <v>0</v>
      </c>
      <c r="S28" s="14">
        <f>SUMIF(Mercado_Receita!$T$2:$T$754,"44621B2Energia convencionalRuralServiço público de irrigação ruralNão se aplicaNão se aplicaNão se aplica",Mercado_Receita!$N$2:$N$754)</f>
        <v>0</v>
      </c>
      <c r="T28" s="14">
        <f>SUMIF(Mercado_Receita!$T$2:$T$754,"44652B2Energia convencionalRuralServiço público de irrigação ruralNão se aplicaNão se aplicaNão se aplica",Mercado_Receita!$N$2:$N$754)</f>
        <v>0</v>
      </c>
      <c r="U28" s="14">
        <f t="shared" si="0"/>
        <v>0</v>
      </c>
      <c r="V28" s="14"/>
      <c r="W28" s="14"/>
    </row>
    <row r="29" spans="1:23" ht="11.25" customHeight="1" x14ac:dyDescent="0.25">
      <c r="A29" s="117"/>
      <c r="B29" s="116" t="s">
        <v>90</v>
      </c>
      <c r="C29" s="116" t="s">
        <v>44</v>
      </c>
      <c r="D29" s="13" t="s">
        <v>25</v>
      </c>
      <c r="E29" s="13" t="s">
        <v>25</v>
      </c>
      <c r="F29" s="13" t="s">
        <v>25</v>
      </c>
      <c r="G29" s="14" t="s">
        <v>82</v>
      </c>
      <c r="H29" s="14" t="s">
        <v>76</v>
      </c>
      <c r="I29" s="14">
        <f>SUMIF(Mercado_Receita!$T$2:$T$754,"44317B2Energia convencional pré-pagamentoRuralNão se aplicaNão se aplicaNão se aplicaNão se aplica",Mercado_Receita!$N$2:$N$754)</f>
        <v>0</v>
      </c>
      <c r="J29" s="14">
        <f>SUMIF(Mercado_Receita!$T$2:$T$754,"44348B2Energia convencional pré-pagamentoRuralNão se aplicaNão se aplicaNão se aplicaNão se aplica",Mercado_Receita!$N$2:$N$754)</f>
        <v>0</v>
      </c>
      <c r="K29" s="14">
        <f>SUMIF(Mercado_Receita!$T$2:$T$754,"44378B2Energia convencional pré-pagamentoRuralNão se aplicaNão se aplicaNão se aplicaNão se aplica",Mercado_Receita!$N$2:$N$754)</f>
        <v>0</v>
      </c>
      <c r="L29" s="14">
        <f>SUMIF(Mercado_Receita!$T$2:$T$754,"44409B2Energia convencional pré-pagamentoRuralNão se aplicaNão se aplicaNão se aplicaNão se aplica",Mercado_Receita!$N$2:$N$754)</f>
        <v>0</v>
      </c>
      <c r="M29" s="14">
        <f>SUMIF(Mercado_Receita!$T$2:$T$754,"44440B2Energia convencional pré-pagamentoRuralNão se aplicaNão se aplicaNão se aplicaNão se aplica",Mercado_Receita!$N$2:$N$754)</f>
        <v>0</v>
      </c>
      <c r="N29" s="14">
        <f>SUMIF(Mercado_Receita!$T$2:$T$754,"44470B2Energia convencional pré-pagamentoRuralNão se aplicaNão se aplicaNão se aplicaNão se aplica",Mercado_Receita!$N$2:$N$754)</f>
        <v>0</v>
      </c>
      <c r="O29" s="14">
        <f>SUMIF(Mercado_Receita!$T$2:$T$754,"44501B2Energia convencional pré-pagamentoRuralNão se aplicaNão se aplicaNão se aplicaNão se aplica",Mercado_Receita!$N$2:$N$754)</f>
        <v>0</v>
      </c>
      <c r="P29" s="14">
        <f>SUMIF(Mercado_Receita!$T$2:$T$754,"44531B2Energia convencional pré-pagamentoRuralNão se aplicaNão se aplicaNão se aplicaNão se aplica",Mercado_Receita!$N$2:$N$754)</f>
        <v>0</v>
      </c>
      <c r="Q29" s="14">
        <f>SUMIF(Mercado_Receita!$T$2:$T$754,"44562B2Energia convencional pré-pagamentoRuralNão se aplicaNão se aplicaNão se aplicaNão se aplica",Mercado_Receita!$N$2:$N$754)</f>
        <v>0</v>
      </c>
      <c r="R29" s="14">
        <f>SUMIF(Mercado_Receita!$T$2:$T$754,"44593B2Energia convencional pré-pagamentoRuralNão se aplicaNão se aplicaNão se aplicaNão se aplica",Mercado_Receita!$N$2:$N$754)</f>
        <v>0</v>
      </c>
      <c r="S29" s="14">
        <f>SUMIF(Mercado_Receita!$T$2:$T$754,"44621B2Energia convencional pré-pagamentoRuralNão se aplicaNão se aplicaNão se aplicaNão se aplica",Mercado_Receita!$N$2:$N$754)</f>
        <v>0</v>
      </c>
      <c r="T29" s="14">
        <f>SUMIF(Mercado_Receita!$T$2:$T$754,"44652B2Energia convencional pré-pagamentoRuralNão se aplicaNão se aplicaNão se aplicaNão se aplica",Mercado_Receita!$N$2:$N$754)</f>
        <v>0</v>
      </c>
      <c r="U29" s="14">
        <f t="shared" si="0"/>
        <v>0</v>
      </c>
      <c r="V29" s="14"/>
      <c r="W29" s="14"/>
    </row>
    <row r="30" spans="1:23" ht="11.25" customHeight="1" x14ac:dyDescent="0.25">
      <c r="A30" s="117"/>
      <c r="B30" s="117"/>
      <c r="C30" s="117"/>
      <c r="D30" s="13" t="s">
        <v>92</v>
      </c>
      <c r="E30" s="13" t="s">
        <v>25</v>
      </c>
      <c r="F30" s="13" t="s">
        <v>25</v>
      </c>
      <c r="G30" s="14" t="s">
        <v>82</v>
      </c>
      <c r="H30" s="14" t="s">
        <v>76</v>
      </c>
      <c r="I30" s="14">
        <f>SUMIF(Mercado_Receita!$T$2:$T$754,"44317B2Energia convencional pré-pagamentoRuralCooperativa de eletrificação ruralNão se aplicaNão se aplicaNão se aplica",Mercado_Receita!$N$2:$N$754)</f>
        <v>0</v>
      </c>
      <c r="J30" s="14">
        <f>SUMIF(Mercado_Receita!$T$2:$T$754,"44348B2Energia convencional pré-pagamentoRuralCooperativa de eletrificação ruralNão se aplicaNão se aplicaNão se aplica",Mercado_Receita!$N$2:$N$754)</f>
        <v>0</v>
      </c>
      <c r="K30" s="14">
        <f>SUMIF(Mercado_Receita!$T$2:$T$754,"44378B2Energia convencional pré-pagamentoRuralCooperativa de eletrificação ruralNão se aplicaNão se aplicaNão se aplica",Mercado_Receita!$N$2:$N$754)</f>
        <v>0</v>
      </c>
      <c r="L30" s="14">
        <f>SUMIF(Mercado_Receita!$T$2:$T$754,"44409B2Energia convencional pré-pagamentoRuralCooperativa de eletrificação ruralNão se aplicaNão se aplicaNão se aplica",Mercado_Receita!$N$2:$N$754)</f>
        <v>0</v>
      </c>
      <c r="M30" s="14">
        <f>SUMIF(Mercado_Receita!$T$2:$T$754,"44440B2Energia convencional pré-pagamentoRuralCooperativa de eletrificação ruralNão se aplicaNão se aplicaNão se aplica",Mercado_Receita!$N$2:$N$754)</f>
        <v>0</v>
      </c>
      <c r="N30" s="14">
        <f>SUMIF(Mercado_Receita!$T$2:$T$754,"44470B2Energia convencional pré-pagamentoRuralCooperativa de eletrificação ruralNão se aplicaNão se aplicaNão se aplica",Mercado_Receita!$N$2:$N$754)</f>
        <v>0</v>
      </c>
      <c r="O30" s="14">
        <f>SUMIF(Mercado_Receita!$T$2:$T$754,"44501B2Energia convencional pré-pagamentoRuralCooperativa de eletrificação ruralNão se aplicaNão se aplicaNão se aplica",Mercado_Receita!$N$2:$N$754)</f>
        <v>0</v>
      </c>
      <c r="P30" s="14">
        <f>SUMIF(Mercado_Receita!$T$2:$T$754,"44531B2Energia convencional pré-pagamentoRuralCooperativa de eletrificação ruralNão se aplicaNão se aplicaNão se aplica",Mercado_Receita!$N$2:$N$754)</f>
        <v>0</v>
      </c>
      <c r="Q30" s="14">
        <f>SUMIF(Mercado_Receita!$T$2:$T$754,"44562B2Energia convencional pré-pagamentoRuralCooperativa de eletrificação ruralNão se aplicaNão se aplicaNão se aplica",Mercado_Receita!$N$2:$N$754)</f>
        <v>0</v>
      </c>
      <c r="R30" s="14">
        <f>SUMIF(Mercado_Receita!$T$2:$T$754,"44593B2Energia convencional pré-pagamentoRuralCooperativa de eletrificação ruralNão se aplicaNão se aplicaNão se aplica",Mercado_Receita!$N$2:$N$754)</f>
        <v>0</v>
      </c>
      <c r="S30" s="14">
        <f>SUMIF(Mercado_Receita!$T$2:$T$754,"44621B2Energia convencional pré-pagamentoRuralCooperativa de eletrificação ruralNão se aplicaNão se aplicaNão se aplica",Mercado_Receita!$N$2:$N$754)</f>
        <v>0</v>
      </c>
      <c r="T30" s="14">
        <f>SUMIF(Mercado_Receita!$T$2:$T$754,"44652B2Energia convencional pré-pagamentoRuralCooperativa de eletrificação ruralNão se aplicaNão se aplicaNão se aplica",Mercado_Receita!$N$2:$N$754)</f>
        <v>0</v>
      </c>
      <c r="U30" s="14">
        <f t="shared" si="0"/>
        <v>0</v>
      </c>
      <c r="V30" s="14"/>
      <c r="W30" s="14"/>
    </row>
    <row r="31" spans="1:23" ht="11.25" customHeight="1" x14ac:dyDescent="0.25">
      <c r="A31" s="117"/>
      <c r="B31" s="117"/>
      <c r="C31" s="117"/>
      <c r="D31" s="13" t="s">
        <v>93</v>
      </c>
      <c r="E31" s="13" t="s">
        <v>25</v>
      </c>
      <c r="F31" s="13" t="s">
        <v>25</v>
      </c>
      <c r="G31" s="14" t="s">
        <v>82</v>
      </c>
      <c r="H31" s="14" t="s">
        <v>76</v>
      </c>
      <c r="I31" s="14">
        <f>SUMIF(Mercado_Receita!$T$2:$T$754,"44317B2Energia convencional pré-pagamentoRuralServiço público de irrigação ruralNão se aplicaNão se aplicaNão se aplica",Mercado_Receita!$N$2:$N$754)</f>
        <v>0</v>
      </c>
      <c r="J31" s="14">
        <f>SUMIF(Mercado_Receita!$T$2:$T$754,"44348B2Energia convencional pré-pagamentoRuralServiço público de irrigação ruralNão se aplicaNão se aplicaNão se aplica",Mercado_Receita!$N$2:$N$754)</f>
        <v>0</v>
      </c>
      <c r="K31" s="14">
        <f>SUMIF(Mercado_Receita!$T$2:$T$754,"44378B2Energia convencional pré-pagamentoRuralServiço público de irrigação ruralNão se aplicaNão se aplicaNão se aplica",Mercado_Receita!$N$2:$N$754)</f>
        <v>0</v>
      </c>
      <c r="L31" s="14">
        <f>SUMIF(Mercado_Receita!$T$2:$T$754,"44409B2Energia convencional pré-pagamentoRuralServiço público de irrigação ruralNão se aplicaNão se aplicaNão se aplica",Mercado_Receita!$N$2:$N$754)</f>
        <v>0</v>
      </c>
      <c r="M31" s="14">
        <f>SUMIF(Mercado_Receita!$T$2:$T$754,"44440B2Energia convencional pré-pagamentoRuralServiço público de irrigação ruralNão se aplicaNão se aplicaNão se aplica",Mercado_Receita!$N$2:$N$754)</f>
        <v>0</v>
      </c>
      <c r="N31" s="14">
        <f>SUMIF(Mercado_Receita!$T$2:$T$754,"44470B2Energia convencional pré-pagamentoRuralServiço público de irrigação ruralNão se aplicaNão se aplicaNão se aplica",Mercado_Receita!$N$2:$N$754)</f>
        <v>0</v>
      </c>
      <c r="O31" s="14">
        <f>SUMIF(Mercado_Receita!$T$2:$T$754,"44501B2Energia convencional pré-pagamentoRuralServiço público de irrigação ruralNão se aplicaNão se aplicaNão se aplica",Mercado_Receita!$N$2:$N$754)</f>
        <v>0</v>
      </c>
      <c r="P31" s="14">
        <f>SUMIF(Mercado_Receita!$T$2:$T$754,"44531B2Energia convencional pré-pagamentoRuralServiço público de irrigação ruralNão se aplicaNão se aplicaNão se aplica",Mercado_Receita!$N$2:$N$754)</f>
        <v>0</v>
      </c>
      <c r="Q31" s="14">
        <f>SUMIF(Mercado_Receita!$T$2:$T$754,"44562B2Energia convencional pré-pagamentoRuralServiço público de irrigação ruralNão se aplicaNão se aplicaNão se aplica",Mercado_Receita!$N$2:$N$754)</f>
        <v>0</v>
      </c>
      <c r="R31" s="14">
        <f>SUMIF(Mercado_Receita!$T$2:$T$754,"44593B2Energia convencional pré-pagamentoRuralServiço público de irrigação ruralNão se aplicaNão se aplicaNão se aplica",Mercado_Receita!$N$2:$N$754)</f>
        <v>0</v>
      </c>
      <c r="S31" s="14">
        <f>SUMIF(Mercado_Receita!$T$2:$T$754,"44621B2Energia convencional pré-pagamentoRuralServiço público de irrigação ruralNão se aplicaNão se aplicaNão se aplica",Mercado_Receita!$N$2:$N$754)</f>
        <v>0</v>
      </c>
      <c r="T31" s="14">
        <f>SUMIF(Mercado_Receita!$T$2:$T$754,"44652B2Energia convencional pré-pagamentoRuralServiço público de irrigação ruralNão se aplicaNão se aplicaNão se aplica",Mercado_Receita!$N$2:$N$754)</f>
        <v>0</v>
      </c>
      <c r="U31" s="14">
        <f t="shared" si="0"/>
        <v>0</v>
      </c>
      <c r="V31" s="14"/>
      <c r="W31" s="14"/>
    </row>
    <row r="32" spans="1:23" ht="11.25" customHeight="1" x14ac:dyDescent="0.25">
      <c r="A32" s="116" t="s">
        <v>39</v>
      </c>
      <c r="B32" s="116" t="s">
        <v>75</v>
      </c>
      <c r="C32" s="116" t="s">
        <v>25</v>
      </c>
      <c r="D32" s="116" t="s">
        <v>25</v>
      </c>
      <c r="E32" s="116" t="s">
        <v>25</v>
      </c>
      <c r="F32" s="116" t="s">
        <v>25</v>
      </c>
      <c r="G32" s="14" t="s">
        <v>77</v>
      </c>
      <c r="H32" s="14" t="s">
        <v>76</v>
      </c>
      <c r="I32" s="14">
        <f>SUMIF(Mercado_Receita!$T$2:$T$754,"44317B3Energia horáriaNão se aplicaNão se aplicaNão se aplicaNão se aplicaPonta",Mercado_Receita!$N$2:$N$754)</f>
        <v>0.06</v>
      </c>
      <c r="J32" s="14">
        <f>SUMIF(Mercado_Receita!$T$2:$T$754,"44348B3Energia horáriaNão se aplicaNão se aplicaNão se aplicaNão se aplicaPonta",Mercado_Receita!$N$2:$N$754)</f>
        <v>0.14299999999999999</v>
      </c>
      <c r="K32" s="14">
        <f>SUMIF(Mercado_Receita!$T$2:$T$754,"44378B3Energia horáriaNão se aplicaNão se aplicaNão se aplicaNão se aplicaPonta",Mercado_Receita!$N$2:$N$754)</f>
        <v>4.2000000000000003E-2</v>
      </c>
      <c r="L32" s="14">
        <f>SUMIF(Mercado_Receita!$T$2:$T$754,"44409B3Energia horáriaNão se aplicaNão se aplicaNão se aplicaNão se aplicaPonta",Mercado_Receita!$N$2:$N$754)</f>
        <v>4.5999999999999999E-2</v>
      </c>
      <c r="M32" s="14">
        <f>SUMIF(Mercado_Receita!$T$2:$T$754,"44440B3Energia horáriaNão se aplicaNão se aplicaNão se aplicaNão se aplicaPonta",Mercado_Receita!$N$2:$N$754)</f>
        <v>4.5000000000001705E-2</v>
      </c>
      <c r="N32" s="14">
        <f>SUMIF(Mercado_Receita!$T$2:$T$754,"44470B3Energia horáriaNão se aplicaNão se aplicaNão se aplicaNão se aplicaPonta",Mercado_Receita!$N$2:$N$754)</f>
        <v>6.0999999999999999E-2</v>
      </c>
      <c r="O32" s="14">
        <f>SUMIF(Mercado_Receita!$T$2:$T$754,"44501B3Energia horáriaNão se aplicaNão se aplicaNão se aplicaNão se aplicaPonta",Mercado_Receita!$N$2:$N$754)</f>
        <v>6.5000000000000002E-2</v>
      </c>
      <c r="P32" s="14">
        <f>SUMIF(Mercado_Receita!$T$2:$T$754,"44531B3Energia horáriaNão se aplicaNão se aplicaNão se aplicaNão se aplicaPonta",Mercado_Receita!$N$2:$N$754)</f>
        <v>6.4000000000000001E-2</v>
      </c>
      <c r="Q32" s="14">
        <f>SUMIF(Mercado_Receita!$T$2:$T$754,"44562B3Energia horáriaNão se aplicaNão se aplicaNão se aplicaNão se aplicaPonta",Mercado_Receita!$N$2:$N$754)</f>
        <v>5.8999999999999997E-2</v>
      </c>
      <c r="R32" s="14">
        <f>SUMIF(Mercado_Receita!$T$2:$T$754,"44593B3Energia horáriaNão se aplicaNão se aplicaNão se aplicaNão se aplicaPonta",Mercado_Receita!$N$2:$N$754)</f>
        <v>7.1999999999999995E-2</v>
      </c>
      <c r="S32" s="14">
        <f>SUMIF(Mercado_Receita!$T$2:$T$754,"44621B3Energia horáriaNão se aplicaNão se aplicaNão se aplicaNão se aplicaPonta",Mercado_Receita!$N$2:$N$754)</f>
        <v>9.5000000000000001E-2</v>
      </c>
      <c r="T32" s="14">
        <f>SUMIF(Mercado_Receita!$T$2:$T$754,"44652B3Energia horáriaNão se aplicaNão se aplicaNão se aplicaNão se aplicaPonta",Mercado_Receita!$N$2:$N$754)</f>
        <v>5.2999999999999999E-2</v>
      </c>
      <c r="U32" s="14">
        <f t="shared" si="0"/>
        <v>0.80500000000000171</v>
      </c>
      <c r="V32" s="14"/>
      <c r="W32" s="14"/>
    </row>
    <row r="33" spans="1:23" ht="11.25" customHeight="1" x14ac:dyDescent="0.25">
      <c r="A33" s="117"/>
      <c r="B33" s="117"/>
      <c r="C33" s="117"/>
      <c r="D33" s="117"/>
      <c r="E33" s="117"/>
      <c r="F33" s="117"/>
      <c r="G33" s="14" t="s">
        <v>88</v>
      </c>
      <c r="H33" s="14" t="s">
        <v>76</v>
      </c>
      <c r="I33" s="14">
        <f>SUMIF(Mercado_Receita!$T$2:$T$754,"44317B3Energia horáriaNão se aplicaNão se aplicaNão se aplicaNão se aplicaIntermediário",Mercado_Receita!$N$2:$N$754)</f>
        <v>0.10199999999999999</v>
      </c>
      <c r="J33" s="14">
        <f>SUMIF(Mercado_Receita!$T$2:$T$754,"44348B3Energia horáriaNão se aplicaNão se aplicaNão se aplicaNão se aplicaIntermediário",Mercado_Receita!$N$2:$N$754)</f>
        <v>8.3000000000000004E-2</v>
      </c>
      <c r="K33" s="14">
        <f>SUMIF(Mercado_Receita!$T$2:$T$754,"44378B3Energia horáriaNão se aplicaNão se aplicaNão se aplicaNão se aplicaIntermediário",Mercado_Receita!$N$2:$N$754)</f>
        <v>0.10100000000000001</v>
      </c>
      <c r="L33" s="14">
        <f>SUMIF(Mercado_Receita!$T$2:$T$754,"44409B3Energia horáriaNão se aplicaNão se aplicaNão se aplicaNão se aplicaIntermediário",Mercado_Receita!$N$2:$N$754)</f>
        <v>7.0999999999999994E-2</v>
      </c>
      <c r="M33" s="14">
        <f>SUMIF(Mercado_Receita!$T$2:$T$754,"44440B3Energia horáriaNão se aplicaNão se aplicaNão se aplicaNão se aplicaIntermediário",Mercado_Receita!$N$2:$N$754)</f>
        <v>0.108</v>
      </c>
      <c r="N33" s="14">
        <f>SUMIF(Mercado_Receita!$T$2:$T$754,"44470B3Energia horáriaNão se aplicaNão se aplicaNão se aplicaNão se aplicaIntermediário",Mercado_Receita!$N$2:$N$754)</f>
        <v>9.6000000000000002E-2</v>
      </c>
      <c r="O33" s="14">
        <f>SUMIF(Mercado_Receita!$T$2:$T$754,"44501B3Energia horáriaNão se aplicaNão se aplicaNão se aplicaNão se aplicaIntermediário",Mercado_Receita!$N$2:$N$754)</f>
        <v>0.114</v>
      </c>
      <c r="P33" s="14">
        <f>SUMIF(Mercado_Receita!$T$2:$T$754,"44531B3Energia horáriaNão se aplicaNão se aplicaNão se aplicaNão se aplicaIntermediário",Mercado_Receita!$N$2:$N$754)</f>
        <v>9.2999999999999999E-2</v>
      </c>
      <c r="Q33" s="14">
        <f>SUMIF(Mercado_Receita!$T$2:$T$754,"44562B3Energia horáriaNão se aplicaNão se aplicaNão se aplicaNão se aplicaIntermediário",Mercado_Receita!$N$2:$N$754)</f>
        <v>8.7999999999999995E-2</v>
      </c>
      <c r="R33" s="14">
        <f>SUMIF(Mercado_Receita!$T$2:$T$754,"44593B3Energia horáriaNão se aplicaNão se aplicaNão se aplicaNão se aplicaIntermediário",Mercado_Receita!$N$2:$N$754)</f>
        <v>0.13200000000000001</v>
      </c>
      <c r="S33" s="14">
        <f>SUMIF(Mercado_Receita!$T$2:$T$754,"44621B3Energia horáriaNão se aplicaNão se aplicaNão se aplicaNão se aplicaIntermediário",Mercado_Receita!$N$2:$N$754)</f>
        <v>0.15</v>
      </c>
      <c r="T33" s="14">
        <f>SUMIF(Mercado_Receita!$T$2:$T$754,"44652B3Energia horáriaNão se aplicaNão se aplicaNão se aplicaNão se aplicaIntermediário",Mercado_Receita!$N$2:$N$754)</f>
        <v>9.1999999999999998E-2</v>
      </c>
      <c r="U33" s="14">
        <f t="shared" si="0"/>
        <v>1.23</v>
      </c>
      <c r="V33" s="14"/>
      <c r="W33" s="14"/>
    </row>
    <row r="34" spans="1:23" ht="11.25" customHeight="1" x14ac:dyDescent="0.25">
      <c r="A34" s="117"/>
      <c r="B34" s="117"/>
      <c r="C34" s="117"/>
      <c r="D34" s="117"/>
      <c r="E34" s="117"/>
      <c r="F34" s="117"/>
      <c r="G34" s="14" t="s">
        <v>78</v>
      </c>
      <c r="H34" s="14" t="s">
        <v>76</v>
      </c>
      <c r="I34" s="14">
        <f>SUMIF(Mercado_Receita!$T$2:$T$754,"44317B3Energia horáriaNão se aplicaNão se aplicaNão se aplicaNão se aplicaFora ponta",Mercado_Receita!$N$2:$N$754)</f>
        <v>1.724</v>
      </c>
      <c r="J34" s="14">
        <f>SUMIF(Mercado_Receita!$T$2:$T$754,"44348B3Energia horáriaNão se aplicaNão se aplicaNão se aplicaNão se aplicaFora ponta",Mercado_Receita!$N$2:$N$754)</f>
        <v>1.5469999999999999</v>
      </c>
      <c r="K34" s="14">
        <f>SUMIF(Mercado_Receita!$T$2:$T$754,"44378B3Energia horáriaNão se aplicaNão se aplicaNão se aplicaNão se aplicaFora ponta",Mercado_Receita!$N$2:$N$754)</f>
        <v>1.603</v>
      </c>
      <c r="L34" s="14">
        <f>SUMIF(Mercado_Receita!$T$2:$T$754,"44409B3Energia horáriaNão se aplicaNão se aplicaNão se aplicaNão se aplicaFora ponta",Mercado_Receita!$N$2:$N$754)</f>
        <v>1.3779999999999999</v>
      </c>
      <c r="M34" s="14">
        <f>SUMIF(Mercado_Receita!$T$2:$T$754,"44440B3Energia horáriaNão se aplicaNão se aplicaNão se aplicaNão se aplicaFora ponta",Mercado_Receita!$N$2:$N$754)</f>
        <v>1.526</v>
      </c>
      <c r="N34" s="14">
        <f>SUMIF(Mercado_Receita!$T$2:$T$754,"44470B3Energia horáriaNão se aplicaNão se aplicaNão se aplicaNão se aplicaFora ponta",Mercado_Receita!$N$2:$N$754)</f>
        <v>1.534</v>
      </c>
      <c r="O34" s="14">
        <f>SUMIF(Mercado_Receita!$T$2:$T$754,"44501B3Energia horáriaNão se aplicaNão se aplicaNão se aplicaNão se aplicaFora ponta",Mercado_Receita!$N$2:$N$754)</f>
        <v>1.647</v>
      </c>
      <c r="P34" s="14">
        <f>SUMIF(Mercado_Receita!$T$2:$T$754,"44531B3Energia horáriaNão se aplicaNão se aplicaNão se aplicaNão se aplicaFora ponta",Mercado_Receita!$N$2:$N$754)</f>
        <v>1.4419999999999999</v>
      </c>
      <c r="Q34" s="14">
        <f>SUMIF(Mercado_Receita!$T$2:$T$754,"44562B3Energia horáriaNão se aplicaNão se aplicaNão se aplicaNão se aplicaFora ponta",Mercado_Receita!$N$2:$N$754)</f>
        <v>1.373</v>
      </c>
      <c r="R34" s="14">
        <f>SUMIF(Mercado_Receita!$T$2:$T$754,"44593B3Energia horáriaNão se aplicaNão se aplicaNão se aplicaNão se aplicaFora ponta",Mercado_Receita!$N$2:$N$754)</f>
        <v>1.794</v>
      </c>
      <c r="S34" s="14">
        <f>SUMIF(Mercado_Receita!$T$2:$T$754,"44621B3Energia horáriaNão se aplicaNão se aplicaNão se aplicaNão se aplicaFora ponta",Mercado_Receita!$N$2:$N$754)</f>
        <v>2.0720000000000001</v>
      </c>
      <c r="T34" s="14">
        <f>SUMIF(Mercado_Receita!$T$2:$T$754,"44652B3Energia horáriaNão se aplicaNão se aplicaNão se aplicaNão se aplicaFora ponta",Mercado_Receita!$N$2:$N$754)</f>
        <v>1.32</v>
      </c>
      <c r="U34" s="14">
        <f t="shared" si="0"/>
        <v>18.96</v>
      </c>
      <c r="V34" s="14"/>
      <c r="W34" s="14"/>
    </row>
    <row r="35" spans="1:23" ht="11.25" customHeight="1" x14ac:dyDescent="0.25">
      <c r="A35" s="117"/>
      <c r="B35" s="13" t="s">
        <v>89</v>
      </c>
      <c r="C35" s="13" t="s">
        <v>25</v>
      </c>
      <c r="D35" s="13" t="s">
        <v>25</v>
      </c>
      <c r="E35" s="13" t="s">
        <v>25</v>
      </c>
      <c r="F35" s="13" t="s">
        <v>25</v>
      </c>
      <c r="G35" s="14" t="s">
        <v>82</v>
      </c>
      <c r="H35" s="14" t="s">
        <v>76</v>
      </c>
      <c r="I35" s="14">
        <f>SUMIF(Mercado_Receita!$T$2:$T$754,"44317B3Energia convencionalNão se aplicaNão se aplicaNão se aplicaNão se aplicaNão se aplica",Mercado_Receita!$N$2:$N$754)</f>
        <v>1201.414</v>
      </c>
      <c r="J35" s="14">
        <f>SUMIF(Mercado_Receita!$T$2:$T$754,"44348B3Energia convencionalNão se aplicaNão se aplicaNão se aplicaNão se aplicaNão se aplica",Mercado_Receita!$N$2:$N$754)</f>
        <v>1225.9449999999999</v>
      </c>
      <c r="K35" s="14">
        <f>SUMIF(Mercado_Receita!$T$2:$T$754,"44378B3Energia convencionalNão se aplicaNão se aplicaNão se aplicaNão se aplicaNão se aplica",Mercado_Receita!$N$2:$N$754)</f>
        <v>1179.4080000000001</v>
      </c>
      <c r="L35" s="14">
        <f>SUMIF(Mercado_Receita!$T$2:$T$754,"44409B3Energia convencionalNão se aplicaNão se aplicaNão se aplicaNão se aplicaNão se aplica",Mercado_Receita!$N$2:$N$754)</f>
        <v>1266.4019999999998</v>
      </c>
      <c r="M35" s="14">
        <f>SUMIF(Mercado_Receita!$T$2:$T$754,"44440B3Energia convencionalNão se aplicaNão se aplicaNão se aplicaNão se aplicaNão se aplica",Mercado_Receita!$N$2:$N$754)</f>
        <v>1454.1569999999999</v>
      </c>
      <c r="N35" s="14">
        <f>SUMIF(Mercado_Receita!$T$2:$T$754,"44470B3Energia convencionalNão se aplicaNão se aplicaNão se aplicaNão se aplicaNão se aplica",Mercado_Receita!$N$2:$N$754)</f>
        <v>1493.0730000000001</v>
      </c>
      <c r="O35" s="14">
        <f>SUMIF(Mercado_Receita!$T$2:$T$754,"44501B3Energia convencionalNão se aplicaNão se aplicaNão se aplicaNão se aplicaNão se aplica",Mercado_Receita!$N$2:$N$754)</f>
        <v>1467.912</v>
      </c>
      <c r="P35" s="14">
        <f>SUMIF(Mercado_Receita!$T$2:$T$754,"44531B3Energia convencionalNão se aplicaNão se aplicaNão se aplicaNão se aplicaNão se aplica",Mercado_Receita!$N$2:$N$754)</f>
        <v>1497.8520000000001</v>
      </c>
      <c r="Q35" s="14">
        <f>SUMIF(Mercado_Receita!$T$2:$T$754,"44562B3Energia convencionalNão se aplicaNão se aplicaNão se aplicaNão se aplicaNão se aplica",Mercado_Receita!$N$2:$N$754)</f>
        <v>1426.1939999999997</v>
      </c>
      <c r="R35" s="14">
        <f>SUMIF(Mercado_Receita!$T$2:$T$754,"44593B3Energia convencionalNão se aplicaNão se aplicaNão se aplicaNão se aplicaNão se aplica",Mercado_Receita!$N$2:$N$754)</f>
        <v>1503.4109999999998</v>
      </c>
      <c r="S35" s="14">
        <f>SUMIF(Mercado_Receita!$T$2:$T$754,"44621B3Energia convencionalNão se aplicaNão se aplicaNão se aplicaNão se aplicaNão se aplica",Mercado_Receita!$N$2:$N$754)</f>
        <v>1675.884</v>
      </c>
      <c r="T35" s="14">
        <f>SUMIF(Mercado_Receita!$T$2:$T$754,"44652B3Energia convencionalNão se aplicaNão se aplicaNão se aplicaNão se aplicaNão se aplica",Mercado_Receita!$N$2:$N$754)</f>
        <v>1618.8999999999999</v>
      </c>
      <c r="U35" s="14">
        <f t="shared" si="0"/>
        <v>17010.552</v>
      </c>
      <c r="V35" s="14"/>
      <c r="W35" s="14"/>
    </row>
    <row r="36" spans="1:23" ht="11.25" customHeight="1" x14ac:dyDescent="0.25">
      <c r="A36" s="117"/>
      <c r="B36" s="13" t="s">
        <v>90</v>
      </c>
      <c r="C36" s="13" t="s">
        <v>25</v>
      </c>
      <c r="D36" s="13" t="s">
        <v>25</v>
      </c>
      <c r="E36" s="13" t="s">
        <v>25</v>
      </c>
      <c r="F36" s="13" t="s">
        <v>25</v>
      </c>
      <c r="G36" s="14" t="s">
        <v>82</v>
      </c>
      <c r="H36" s="14" t="s">
        <v>76</v>
      </c>
      <c r="I36" s="14">
        <f>SUMIF(Mercado_Receita!$T$2:$T$754,"44317B3Energia convencional pré-pagamentoNão se aplicaNão se aplicaNão se aplicaNão se aplicaNão se aplica",Mercado_Receita!$N$2:$N$754)</f>
        <v>0</v>
      </c>
      <c r="J36" s="14">
        <f>SUMIF(Mercado_Receita!$T$2:$T$754,"44348B3Energia convencional pré-pagamentoNão se aplicaNão se aplicaNão se aplicaNão se aplicaNão se aplica",Mercado_Receita!$N$2:$N$754)</f>
        <v>0</v>
      </c>
      <c r="K36" s="14">
        <f>SUMIF(Mercado_Receita!$T$2:$T$754,"44378B3Energia convencional pré-pagamentoNão se aplicaNão se aplicaNão se aplicaNão se aplicaNão se aplica",Mercado_Receita!$N$2:$N$754)</f>
        <v>0</v>
      </c>
      <c r="L36" s="14">
        <f>SUMIF(Mercado_Receita!$T$2:$T$754,"44409B3Energia convencional pré-pagamentoNão se aplicaNão se aplicaNão se aplicaNão se aplicaNão se aplica",Mercado_Receita!$N$2:$N$754)</f>
        <v>0</v>
      </c>
      <c r="M36" s="14">
        <f>SUMIF(Mercado_Receita!$T$2:$T$754,"44440B3Energia convencional pré-pagamentoNão se aplicaNão se aplicaNão se aplicaNão se aplicaNão se aplica",Mercado_Receita!$N$2:$N$754)</f>
        <v>0</v>
      </c>
      <c r="N36" s="14">
        <f>SUMIF(Mercado_Receita!$T$2:$T$754,"44470B3Energia convencional pré-pagamentoNão se aplicaNão se aplicaNão se aplicaNão se aplicaNão se aplica",Mercado_Receita!$N$2:$N$754)</f>
        <v>0</v>
      </c>
      <c r="O36" s="14">
        <f>SUMIF(Mercado_Receita!$T$2:$T$754,"44501B3Energia convencional pré-pagamentoNão se aplicaNão se aplicaNão se aplicaNão se aplicaNão se aplica",Mercado_Receita!$N$2:$N$754)</f>
        <v>0</v>
      </c>
      <c r="P36" s="14">
        <f>SUMIF(Mercado_Receita!$T$2:$T$754,"44531B3Energia convencional pré-pagamentoNão se aplicaNão se aplicaNão se aplicaNão se aplicaNão se aplica",Mercado_Receita!$N$2:$N$754)</f>
        <v>0</v>
      </c>
      <c r="Q36" s="14">
        <f>SUMIF(Mercado_Receita!$T$2:$T$754,"44562B3Energia convencional pré-pagamentoNão se aplicaNão se aplicaNão se aplicaNão se aplicaNão se aplica",Mercado_Receita!$N$2:$N$754)</f>
        <v>0</v>
      </c>
      <c r="R36" s="14">
        <f>SUMIF(Mercado_Receita!$T$2:$T$754,"44593B3Energia convencional pré-pagamentoNão se aplicaNão se aplicaNão se aplicaNão se aplicaNão se aplica",Mercado_Receita!$N$2:$N$754)</f>
        <v>0</v>
      </c>
      <c r="S36" s="14">
        <f>SUMIF(Mercado_Receita!$T$2:$T$754,"44621B3Energia convencional pré-pagamentoNão se aplicaNão se aplicaNão se aplicaNão se aplicaNão se aplica",Mercado_Receita!$N$2:$N$754)</f>
        <v>0</v>
      </c>
      <c r="T36" s="14">
        <f>SUMIF(Mercado_Receita!$T$2:$T$754,"44652B3Energia convencional pré-pagamentoNão se aplicaNão se aplicaNão se aplicaNão se aplicaNão se aplica",Mercado_Receita!$N$2:$N$754)</f>
        <v>0</v>
      </c>
      <c r="U36" s="14">
        <f t="shared" si="0"/>
        <v>0</v>
      </c>
      <c r="V36" s="14"/>
      <c r="W36" s="14"/>
    </row>
    <row r="37" spans="1:23" ht="11.25" customHeight="1" x14ac:dyDescent="0.25">
      <c r="A37" s="116" t="s">
        <v>46</v>
      </c>
      <c r="B37" s="116" t="s">
        <v>89</v>
      </c>
      <c r="C37" s="116" t="s">
        <v>47</v>
      </c>
      <c r="D37" s="13" t="s">
        <v>48</v>
      </c>
      <c r="E37" s="13" t="s">
        <v>25</v>
      </c>
      <c r="F37" s="13" t="s">
        <v>25</v>
      </c>
      <c r="G37" s="14" t="s">
        <v>82</v>
      </c>
      <c r="H37" s="14" t="s">
        <v>76</v>
      </c>
      <c r="I37" s="14">
        <f>SUMIF(Mercado_Receita!$T$2:$T$754,"44317B4Energia convencionalIluminação públicaIluminação pública – B4aNão se aplicaNão se aplicaNão se aplica",Mercado_Receita!$N$2:$N$754)</f>
        <v>315.18599999999998</v>
      </c>
      <c r="J37" s="14">
        <f>SUMIF(Mercado_Receita!$T$2:$T$754,"44348B4Energia convencionalIluminação públicaIluminação pública – B4aNão se aplicaNão se aplicaNão se aplica",Mercado_Receita!$N$2:$N$754)</f>
        <v>313.87900000000002</v>
      </c>
      <c r="K37" s="14">
        <f>SUMIF(Mercado_Receita!$T$2:$T$754,"44378B4Energia convencionalIluminação públicaIluminação pública – B4aNão se aplicaNão se aplicaNão se aplica",Mercado_Receita!$N$2:$N$754)</f>
        <v>318.577</v>
      </c>
      <c r="L37" s="14">
        <f>SUMIF(Mercado_Receita!$T$2:$T$754,"44409B4Energia convencionalIluminação públicaIluminação pública – B4aNão se aplicaNão se aplicaNão se aplica",Mercado_Receita!$N$2:$N$754)</f>
        <v>319.39999999999998</v>
      </c>
      <c r="M37" s="14">
        <f>SUMIF(Mercado_Receita!$T$2:$T$754,"44440B4Energia convencionalIluminação públicaIluminação pública – B4aNão se aplicaNão se aplicaNão se aplica",Mercado_Receita!$N$2:$N$754)</f>
        <v>310.22699999999998</v>
      </c>
      <c r="N37" s="14">
        <f>SUMIF(Mercado_Receita!$T$2:$T$754,"44470B4Energia convencionalIluminação públicaIluminação pública – B4aNão se aplicaNão se aplicaNão se aplica",Mercado_Receita!$N$2:$N$754)</f>
        <v>311.78699999999998</v>
      </c>
      <c r="O37" s="14">
        <f>SUMIF(Mercado_Receita!$T$2:$T$754,"44501B4Energia convencionalIluminação públicaIluminação pública – B4aNão se aplicaNão se aplicaNão se aplica",Mercado_Receita!$N$2:$N$754)</f>
        <v>302.637</v>
      </c>
      <c r="P37" s="14">
        <f>SUMIF(Mercado_Receita!$T$2:$T$754,"44531B4Energia convencionalIluminação públicaIluminação pública – B4aNão se aplicaNão se aplicaNão se aplica",Mercado_Receita!$N$2:$N$754)</f>
        <v>309.173</v>
      </c>
      <c r="Q37" s="14">
        <f>SUMIF(Mercado_Receita!$T$2:$T$754,"44562B4Energia convencionalIluminação públicaIluminação pública – B4aNão se aplicaNão se aplicaNão se aplica",Mercado_Receita!$N$2:$N$754)</f>
        <v>303.60399999999998</v>
      </c>
      <c r="R37" s="14">
        <f>SUMIF(Mercado_Receita!$T$2:$T$754,"44593B4Energia convencionalIluminação públicaIluminação pública – B4aNão se aplicaNão se aplicaNão se aplica",Mercado_Receita!$N$2:$N$754)</f>
        <v>279.94600000000003</v>
      </c>
      <c r="S37" s="14">
        <f>SUMIF(Mercado_Receita!$T$2:$T$754,"44621B4Energia convencionalIluminação públicaIluminação pública – B4aNão se aplicaNão se aplicaNão se aplica",Mercado_Receita!$N$2:$N$754)</f>
        <v>315.32</v>
      </c>
      <c r="T37" s="14">
        <f>SUMIF(Mercado_Receita!$T$2:$T$754,"44652B4Energia convencionalIluminação públicaIluminação pública – B4aNão se aplicaNão se aplicaNão se aplica",Mercado_Receita!$N$2:$N$754)</f>
        <v>309.26</v>
      </c>
      <c r="U37" s="14">
        <f t="shared" si="0"/>
        <v>3708.9960000000001</v>
      </c>
      <c r="V37" s="14"/>
      <c r="W37" s="14"/>
    </row>
    <row r="38" spans="1:23" ht="11.25" customHeight="1" x14ac:dyDescent="0.25">
      <c r="A38" s="117"/>
      <c r="B38" s="117"/>
      <c r="C38" s="117"/>
      <c r="D38" s="14" t="s">
        <v>49</v>
      </c>
      <c r="E38" s="14" t="s">
        <v>25</v>
      </c>
      <c r="F38" s="14" t="s">
        <v>25</v>
      </c>
      <c r="G38" s="14" t="s">
        <v>82</v>
      </c>
      <c r="H38" s="14" t="s">
        <v>76</v>
      </c>
      <c r="I38" s="14">
        <f>SUMIF(Mercado_Receita!$T$2:$T$754,"44317B4Energia convencionalIluminação públicaIluminação pública – B4bNão se aplicaNão se aplicaNão se aplica",Mercado_Receita!$N$2:$N$754)</f>
        <v>28.617999999999999</v>
      </c>
      <c r="J38" s="14">
        <f>SUMIF(Mercado_Receita!$T$2:$T$754,"44348B4Energia convencionalIluminação públicaIluminação pública – B4bNão se aplicaNão se aplicaNão se aplica",Mercado_Receita!$N$2:$N$754)</f>
        <v>27.693999999999999</v>
      </c>
      <c r="K38" s="14">
        <f>SUMIF(Mercado_Receita!$T$2:$T$754,"44378B4Energia convencionalIluminação públicaIluminação pública – B4bNão se aplicaNão se aplicaNão se aplica",Mercado_Receita!$N$2:$N$754)</f>
        <v>28.617999999999999</v>
      </c>
      <c r="L38" s="14">
        <f>SUMIF(Mercado_Receita!$T$2:$T$754,"44409B4Energia convencionalIluminação públicaIluminação pública – B4bNão se aplicaNão se aplicaNão se aplica",Mercado_Receita!$N$2:$N$754)</f>
        <v>28.617999999999999</v>
      </c>
      <c r="M38" s="14">
        <f>SUMIF(Mercado_Receita!$T$2:$T$754,"44440B4Energia convencionalIluminação públicaIluminação pública – B4bNão se aplicaNão se aplicaNão se aplica",Mercado_Receita!$N$2:$N$754)</f>
        <v>27.693999999999999</v>
      </c>
      <c r="N38" s="14">
        <f>SUMIF(Mercado_Receita!$T$2:$T$754,"44470B4Energia convencionalIluminação públicaIluminação pública – B4bNão se aplicaNão se aplicaNão se aplica",Mercado_Receita!$N$2:$N$754)</f>
        <v>28.617999999999999</v>
      </c>
      <c r="O38" s="14">
        <f>SUMIF(Mercado_Receita!$T$2:$T$754,"44501B4Energia convencionalIluminação públicaIluminação pública – B4bNão se aplicaNão se aplicaNão se aplica",Mercado_Receita!$N$2:$N$754)</f>
        <v>27.693999999999999</v>
      </c>
      <c r="P38" s="14">
        <f>SUMIF(Mercado_Receita!$T$2:$T$754,"44531B4Energia convencionalIluminação públicaIluminação pública – B4bNão se aplicaNão se aplicaNão se aplica",Mercado_Receita!$N$2:$N$754)</f>
        <v>28.617999999999999</v>
      </c>
      <c r="Q38" s="14">
        <f>SUMIF(Mercado_Receita!$T$2:$T$754,"44562B4Energia convencionalIluminação públicaIluminação pública – B4bNão se aplicaNão se aplicaNão se aplica",Mercado_Receita!$N$2:$N$754)</f>
        <v>28.617999999999999</v>
      </c>
      <c r="R38" s="14">
        <f>SUMIF(Mercado_Receita!$T$2:$T$754,"44593B4Energia convencionalIluminação públicaIluminação pública – B4bNão se aplicaNão se aplicaNão se aplica",Mercado_Receita!$N$2:$N$754)</f>
        <v>25.847999999999999</v>
      </c>
      <c r="S38" s="14">
        <f>SUMIF(Mercado_Receita!$T$2:$T$754,"44621B4Energia convencionalIluminação públicaIluminação pública – B4bNão se aplicaNão se aplicaNão se aplica",Mercado_Receita!$N$2:$N$754)</f>
        <v>28.617999999999999</v>
      </c>
      <c r="T38" s="14">
        <f>SUMIF(Mercado_Receita!$T$2:$T$754,"44652B4Energia convencionalIluminação públicaIluminação pública – B4bNão se aplicaNão se aplicaNão se aplica",Mercado_Receita!$N$2:$N$754)</f>
        <v>27.693999999999999</v>
      </c>
      <c r="U38" s="14">
        <f t="shared" si="0"/>
        <v>336.95</v>
      </c>
      <c r="V38" s="14"/>
      <c r="W38" s="14"/>
    </row>
    <row r="39" spans="1:23" ht="11.25" customHeight="1" x14ac:dyDescent="0.25">
      <c r="A39" s="118" t="s">
        <v>616</v>
      </c>
      <c r="B39" s="119"/>
      <c r="C39" s="119"/>
      <c r="D39" s="119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4"/>
      <c r="W39" s="14"/>
    </row>
  </sheetData>
  <mergeCells count="44">
    <mergeCell ref="A2:A3"/>
    <mergeCell ref="F2:F3"/>
    <mergeCell ref="E2:E3"/>
    <mergeCell ref="D2:D3"/>
    <mergeCell ref="C2:C3"/>
    <mergeCell ref="B2:B3"/>
    <mergeCell ref="C12:C16"/>
    <mergeCell ref="B12:B16"/>
    <mergeCell ref="A4:A16"/>
    <mergeCell ref="F17:F19"/>
    <mergeCell ref="E17:E19"/>
    <mergeCell ref="D17:D19"/>
    <mergeCell ref="C17:C19"/>
    <mergeCell ref="B17:B19"/>
    <mergeCell ref="F4:F6"/>
    <mergeCell ref="E4:E6"/>
    <mergeCell ref="D4:D6"/>
    <mergeCell ref="C4:C6"/>
    <mergeCell ref="B4:B6"/>
    <mergeCell ref="C7:C11"/>
    <mergeCell ref="B7:B11"/>
    <mergeCell ref="C21:C23"/>
    <mergeCell ref="B21:B23"/>
    <mergeCell ref="F25:F27"/>
    <mergeCell ref="E25:E27"/>
    <mergeCell ref="D25:D27"/>
    <mergeCell ref="C25:C27"/>
    <mergeCell ref="B25:B27"/>
    <mergeCell ref="A37:A38"/>
    <mergeCell ref="B37:B38"/>
    <mergeCell ref="C37:C38"/>
    <mergeCell ref="A39:U39"/>
    <mergeCell ref="C29:C31"/>
    <mergeCell ref="B29:B31"/>
    <mergeCell ref="A17:A31"/>
    <mergeCell ref="F32:F34"/>
    <mergeCell ref="E32:E34"/>
    <mergeCell ref="D32:D34"/>
    <mergeCell ref="C32:C34"/>
    <mergeCell ref="B32:B34"/>
    <mergeCell ref="A32:A36"/>
    <mergeCell ref="F21:F23"/>
    <mergeCell ref="E21:E23"/>
    <mergeCell ref="D21:D2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FA3E8-A7B0-46EE-B9AA-59E082E92C84}">
  <dimension ref="A1:AD200"/>
  <sheetViews>
    <sheetView showGridLines="0" topLeftCell="A17" workbookViewId="0">
      <selection activeCell="E55" sqref="E55"/>
    </sheetView>
  </sheetViews>
  <sheetFormatPr defaultRowHeight="12" customHeight="1" x14ac:dyDescent="0.2"/>
  <cols>
    <col min="1" max="1" width="10.5703125" style="17" bestFit="1" customWidth="1"/>
    <col min="2" max="2" width="14.42578125" style="17" bestFit="1" customWidth="1"/>
    <col min="3" max="3" width="18.42578125" style="17" bestFit="1" customWidth="1"/>
    <col min="4" max="4" width="15" style="17" bestFit="1" customWidth="1"/>
    <col min="5" max="5" width="14.5703125" style="17" bestFit="1" customWidth="1"/>
    <col min="6" max="6" width="4.42578125" style="17" bestFit="1" customWidth="1"/>
    <col min="7" max="11" width="9.140625" style="17"/>
    <col min="12" max="12" width="34.140625" style="17" bestFit="1" customWidth="1"/>
    <col min="13" max="13" width="10.85546875" style="17" bestFit="1" customWidth="1"/>
    <col min="14" max="14" width="9.140625" style="17"/>
    <col min="15" max="15" width="30.7109375" style="17" customWidth="1"/>
    <col min="16" max="16" width="4" style="17" bestFit="1" customWidth="1"/>
    <col min="17" max="16384" width="9.140625" style="17"/>
  </cols>
  <sheetData>
    <row r="1" spans="1:30" ht="12" customHeight="1" x14ac:dyDescent="0.2">
      <c r="A1" s="10" t="s">
        <v>655</v>
      </c>
      <c r="B1" s="10" t="s">
        <v>656</v>
      </c>
      <c r="C1" s="10" t="s">
        <v>657</v>
      </c>
      <c r="D1" s="10" t="s">
        <v>658</v>
      </c>
      <c r="E1" s="10" t="s">
        <v>659</v>
      </c>
      <c r="F1" s="10" t="s">
        <v>660</v>
      </c>
      <c r="G1" s="7"/>
      <c r="H1" s="7"/>
      <c r="I1" s="7"/>
      <c r="J1" s="7"/>
      <c r="K1" s="7"/>
      <c r="L1" s="126" t="s">
        <v>661</v>
      </c>
      <c r="M1" s="129"/>
      <c r="N1" s="7"/>
      <c r="O1" s="126" t="s">
        <v>742</v>
      </c>
      <c r="P1" s="127"/>
      <c r="Q1" s="127"/>
      <c r="R1" s="127"/>
      <c r="S1" s="127"/>
      <c r="T1" s="127"/>
      <c r="U1" s="127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22" t="s">
        <v>617</v>
      </c>
      <c r="B2" s="122" t="s">
        <v>618</v>
      </c>
      <c r="C2" s="19" t="s">
        <v>702</v>
      </c>
      <c r="D2" s="15">
        <v>0</v>
      </c>
      <c r="E2" s="15"/>
      <c r="F2" s="15"/>
      <c r="G2" s="18"/>
      <c r="H2" s="18"/>
      <c r="I2" s="18"/>
      <c r="J2" s="18"/>
      <c r="K2" s="18"/>
      <c r="L2" s="15" t="s">
        <v>662</v>
      </c>
      <c r="M2" s="20">
        <v>6.4999999999999997E-3</v>
      </c>
      <c r="N2" s="18"/>
      <c r="O2" s="63" t="s">
        <v>743</v>
      </c>
      <c r="P2" s="63" t="s">
        <v>744</v>
      </c>
      <c r="Q2" s="63" t="s">
        <v>745</v>
      </c>
      <c r="R2" s="63" t="s">
        <v>33</v>
      </c>
      <c r="S2" s="63" t="s">
        <v>746</v>
      </c>
      <c r="T2" s="63" t="s">
        <v>85</v>
      </c>
      <c r="U2" s="63"/>
      <c r="V2" s="18"/>
      <c r="W2" s="18"/>
      <c r="X2" s="16" t="s">
        <v>715</v>
      </c>
      <c r="Y2" s="18"/>
      <c r="Z2" s="18"/>
      <c r="AA2" s="18" t="s">
        <v>754</v>
      </c>
      <c r="AB2" s="18"/>
      <c r="AC2" s="18"/>
      <c r="AD2" s="18"/>
    </row>
    <row r="3" spans="1:30" ht="12" customHeight="1" x14ac:dyDescent="0.2">
      <c r="A3" s="130"/>
      <c r="B3" s="130"/>
      <c r="C3" s="19" t="s">
        <v>619</v>
      </c>
      <c r="D3" s="15">
        <v>137495.02281363407</v>
      </c>
      <c r="E3" s="15">
        <v>2351.5564917225506</v>
      </c>
      <c r="F3" s="15">
        <v>0</v>
      </c>
      <c r="G3" s="18"/>
      <c r="H3" s="18"/>
      <c r="I3" s="18"/>
      <c r="J3" s="18"/>
      <c r="K3" s="18"/>
      <c r="L3" s="15" t="s">
        <v>663</v>
      </c>
      <c r="M3" s="20"/>
      <c r="N3" s="18"/>
      <c r="O3" s="64">
        <v>1</v>
      </c>
      <c r="P3" s="64">
        <v>1</v>
      </c>
      <c r="Q3" s="64">
        <v>1</v>
      </c>
      <c r="R3" s="64">
        <v>1</v>
      </c>
      <c r="S3" s="64">
        <v>1</v>
      </c>
      <c r="T3" s="64">
        <v>1</v>
      </c>
      <c r="U3" s="64" t="s">
        <v>747</v>
      </c>
      <c r="V3" s="18"/>
      <c r="W3" s="18"/>
      <c r="X3" s="16" t="s">
        <v>716</v>
      </c>
      <c r="Y3" s="18"/>
      <c r="Z3" s="18"/>
      <c r="AA3" s="18">
        <v>0</v>
      </c>
      <c r="AB3" s="18"/>
      <c r="AC3" s="18"/>
      <c r="AD3" s="18"/>
    </row>
    <row r="4" spans="1:30" ht="12" customHeight="1" x14ac:dyDescent="0.2">
      <c r="A4" s="130"/>
      <c r="B4" s="130"/>
      <c r="C4" s="19" t="s">
        <v>620</v>
      </c>
      <c r="D4" s="15">
        <f>$M$22-D$30</f>
        <v>0</v>
      </c>
      <c r="E4" s="15">
        <f>IF((D4+D$30)&lt;&gt;0,$M$20*D4/(D4+D$30),0)</f>
        <v>0</v>
      </c>
      <c r="F4" s="15">
        <f>IF((D4+D$30)&lt;&gt;0,$M$21*D4/(D4+D$30),0)</f>
        <v>0</v>
      </c>
      <c r="G4" s="18"/>
      <c r="H4" s="18"/>
      <c r="I4" s="18"/>
      <c r="J4" s="18"/>
      <c r="K4" s="18"/>
      <c r="L4" s="15" t="s">
        <v>664</v>
      </c>
      <c r="M4" s="20">
        <v>0.14660863250101475</v>
      </c>
      <c r="N4" s="18"/>
      <c r="O4" s="64">
        <v>1</v>
      </c>
      <c r="P4" s="64">
        <v>1</v>
      </c>
      <c r="Q4" s="64">
        <v>1</v>
      </c>
      <c r="R4" s="64">
        <v>1</v>
      </c>
      <c r="S4" s="64">
        <v>1</v>
      </c>
      <c r="T4" s="64">
        <v>1</v>
      </c>
      <c r="U4" s="64" t="s">
        <v>84</v>
      </c>
      <c r="V4" s="18"/>
      <c r="W4" s="18"/>
      <c r="X4" s="18"/>
      <c r="Y4" s="18"/>
      <c r="Z4" s="18"/>
      <c r="AA4" s="18"/>
      <c r="AB4" s="18"/>
      <c r="AC4" s="18"/>
      <c r="AD4" s="18"/>
    </row>
    <row r="5" spans="1:30" ht="12" customHeight="1" x14ac:dyDescent="0.2">
      <c r="A5" s="130"/>
      <c r="B5" s="130"/>
      <c r="C5" s="19" t="s">
        <v>621</v>
      </c>
      <c r="D5" s="15">
        <v>0</v>
      </c>
      <c r="E5" s="15"/>
      <c r="F5" s="15"/>
      <c r="G5" s="18"/>
      <c r="H5" s="18"/>
      <c r="I5" s="18"/>
      <c r="J5" s="18"/>
      <c r="K5" s="18"/>
      <c r="L5" s="15" t="s">
        <v>665</v>
      </c>
      <c r="M5" s="20">
        <v>1E-14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</row>
    <row r="6" spans="1:30" ht="12" customHeight="1" x14ac:dyDescent="0.2">
      <c r="A6" s="130"/>
      <c r="B6" s="130"/>
      <c r="C6" s="19" t="s">
        <v>622</v>
      </c>
      <c r="D6" s="15">
        <v>0</v>
      </c>
      <c r="E6" s="15">
        <v>0</v>
      </c>
      <c r="F6" s="15">
        <v>0</v>
      </c>
      <c r="G6" s="18"/>
      <c r="H6" s="18"/>
      <c r="I6" s="18"/>
      <c r="J6" s="18"/>
      <c r="K6" s="18"/>
      <c r="L6" s="15" t="s">
        <v>666</v>
      </c>
      <c r="M6" s="20">
        <v>0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</row>
    <row r="7" spans="1:30" ht="12" customHeight="1" x14ac:dyDescent="0.2">
      <c r="A7" s="130"/>
      <c r="B7" s="130"/>
      <c r="C7" s="19" t="s">
        <v>623</v>
      </c>
      <c r="D7" s="15">
        <v>13883474.528079998</v>
      </c>
      <c r="E7" s="15">
        <v>285752.56803565449</v>
      </c>
      <c r="F7" s="15">
        <v>0</v>
      </c>
      <c r="G7" s="18"/>
      <c r="H7" s="18"/>
      <c r="I7" s="18"/>
      <c r="J7" s="18"/>
      <c r="K7" s="18"/>
      <c r="L7" s="15" t="s">
        <v>667</v>
      </c>
      <c r="M7" s="15">
        <f>M8+M9+M10+M11</f>
        <v>11977.721429999992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</row>
    <row r="8" spans="1:30" ht="12" customHeight="1" x14ac:dyDescent="0.2">
      <c r="A8" s="130"/>
      <c r="B8" s="130"/>
      <c r="C8" s="19" t="s">
        <v>624</v>
      </c>
      <c r="D8" s="15">
        <v>2389881.4216200002</v>
      </c>
      <c r="E8" s="15">
        <v>50072.856508614503</v>
      </c>
      <c r="F8" s="15">
        <v>0</v>
      </c>
      <c r="G8" s="18"/>
      <c r="H8" s="18"/>
      <c r="I8" s="18"/>
      <c r="J8" s="18"/>
      <c r="K8" s="18"/>
      <c r="L8" s="21" t="s">
        <v>668</v>
      </c>
      <c r="M8" s="15">
        <v>10904.131829999993</v>
      </c>
      <c r="N8" s="18"/>
      <c r="O8" s="16" t="s">
        <v>701</v>
      </c>
      <c r="P8" s="25">
        <v>0</v>
      </c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</row>
    <row r="9" spans="1:30" ht="12" customHeight="1" x14ac:dyDescent="0.2">
      <c r="A9" s="130"/>
      <c r="B9" s="130"/>
      <c r="C9" s="19" t="s">
        <v>625</v>
      </c>
      <c r="D9" s="15"/>
      <c r="E9" s="15"/>
      <c r="F9" s="15"/>
      <c r="G9" s="18"/>
      <c r="H9" s="18"/>
      <c r="I9" s="18"/>
      <c r="J9" s="18"/>
      <c r="K9" s="18"/>
      <c r="L9" s="22" t="s">
        <v>669</v>
      </c>
      <c r="M9" s="15">
        <v>0</v>
      </c>
      <c r="N9" s="18"/>
      <c r="O9" s="16" t="s">
        <v>706</v>
      </c>
      <c r="P9" s="25">
        <f>SUM(Mercado_Receita!$J$2:$J$754)</f>
        <v>322932</v>
      </c>
      <c r="Q9" s="25">
        <v>322932</v>
      </c>
      <c r="R9" s="25" t="str">
        <f>IF(ABS(P9-Q9)&gt;1,"ERRO BADNET","OK BADNET")</f>
        <v>OK BADNET</v>
      </c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</row>
    <row r="10" spans="1:30" ht="12" customHeight="1" x14ac:dyDescent="0.2">
      <c r="A10" s="130"/>
      <c r="B10" s="123"/>
      <c r="C10" s="19" t="s">
        <v>626</v>
      </c>
      <c r="D10" s="15">
        <f>SUM(D$2:D9)</f>
        <v>16410850.972513633</v>
      </c>
      <c r="E10" s="15">
        <f>SUM(E$2:E9)</f>
        <v>338176.98103599151</v>
      </c>
      <c r="F10" s="15">
        <f>SUM(F$2:F9)</f>
        <v>0</v>
      </c>
      <c r="G10" s="18"/>
      <c r="H10" s="18"/>
      <c r="I10" s="18"/>
      <c r="J10" s="18"/>
      <c r="K10" s="18"/>
      <c r="L10" s="21" t="s">
        <v>670</v>
      </c>
      <c r="M10" s="15">
        <v>83.515018475611498</v>
      </c>
      <c r="N10" s="18"/>
      <c r="O10" s="16" t="s">
        <v>707</v>
      </c>
      <c r="P10" s="25">
        <f>SUM(Mercado_Receita!$L$2:$L$754)</f>
        <v>170246.88399999987</v>
      </c>
      <c r="Q10" s="25">
        <v>170246.88399999999</v>
      </c>
      <c r="R10" s="25" t="str">
        <f>IF(ABS(P10-Q10)&gt;1,"ERRO BADNET","OK BADNET")</f>
        <v>OK BADNET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</row>
    <row r="11" spans="1:30" ht="12" customHeight="1" x14ac:dyDescent="0.2">
      <c r="A11" s="130"/>
      <c r="B11" s="122" t="s">
        <v>627</v>
      </c>
      <c r="C11" s="19" t="s">
        <v>628</v>
      </c>
      <c r="D11" s="15">
        <v>2865872</v>
      </c>
      <c r="E11" s="15">
        <v>-264180.63454462652</v>
      </c>
      <c r="F11" s="15">
        <f>IF((+$D$11+$D$12+$D$16+$D$17+$D$38)&lt;&gt;0,$M$19*$D$11/(+$D$11+$D$12+$D$16+$D$17+$D$38),0)</f>
        <v>0</v>
      </c>
      <c r="G11" s="18"/>
      <c r="H11" s="18"/>
      <c r="I11" s="18"/>
      <c r="J11" s="18"/>
      <c r="K11" s="18"/>
      <c r="L11" s="21" t="s">
        <v>671</v>
      </c>
      <c r="M11" s="15">
        <v>990.07458152438858</v>
      </c>
      <c r="N11" s="18"/>
      <c r="O11" s="16" t="s">
        <v>708</v>
      </c>
      <c r="P11" s="25">
        <f>SUM(Mercado_Receita!$N$2:$N$754)</f>
        <v>129269.01000000011</v>
      </c>
      <c r="Q11" s="25">
        <v>129269.01</v>
      </c>
      <c r="R11" s="25" t="str">
        <f>IF(ABS(P11-Q11)&gt;1,"ERRO BADNET","OK BADNET")</f>
        <v>OK BADNET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</row>
    <row r="12" spans="1:30" ht="12" customHeight="1" x14ac:dyDescent="0.2">
      <c r="A12" s="130"/>
      <c r="B12" s="130"/>
      <c r="C12" s="19" t="s">
        <v>629</v>
      </c>
      <c r="D12" s="15">
        <v>2266000.7999999998</v>
      </c>
      <c r="E12" s="15">
        <v>-208883.55419315005</v>
      </c>
      <c r="F12" s="15">
        <f>IF((+$D$11+$D$12+$D$16+$D$17+$D$38)&lt;&gt;0,$M$19*$D$12/(+$D$11+$D$12+$D$16+$D$17+$D$38),0)</f>
        <v>0</v>
      </c>
      <c r="G12" s="18"/>
      <c r="H12" s="18"/>
      <c r="I12" s="18"/>
      <c r="J12" s="18"/>
      <c r="K12" s="18"/>
      <c r="L12" s="15" t="s">
        <v>672</v>
      </c>
      <c r="M12" s="15">
        <v>141246.73142999999</v>
      </c>
      <c r="N12" s="18"/>
      <c r="O12" s="16" t="s">
        <v>709</v>
      </c>
      <c r="P12" s="25">
        <f>SUMIF('MERCADO TUSD'!$H$2:$H$48,"kW",'MERCADO TUSD'!$U$2:$U$48)</f>
        <v>322932</v>
      </c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</row>
    <row r="13" spans="1:30" ht="12" customHeight="1" x14ac:dyDescent="0.2">
      <c r="A13" s="130"/>
      <c r="B13" s="130"/>
      <c r="C13" s="19" t="s">
        <v>630</v>
      </c>
      <c r="D13" s="15">
        <f>-$M$51+0</f>
        <v>0</v>
      </c>
      <c r="E13" s="15"/>
      <c r="F13" s="15"/>
      <c r="G13" s="18"/>
      <c r="H13" s="18"/>
      <c r="I13" s="18"/>
      <c r="J13" s="18"/>
      <c r="K13" s="18"/>
      <c r="L13" s="15" t="s">
        <v>673</v>
      </c>
      <c r="M13" s="15">
        <v>2577.4</v>
      </c>
      <c r="N13" s="18"/>
      <c r="O13" s="16" t="s">
        <v>710</v>
      </c>
      <c r="P13" s="25">
        <f>SUMIF('MERCADO TUSD'!$H$2:$H$48,"MWh",'MERCADO TUSD'!$U$2:$U$48)</f>
        <v>170246.88400000002</v>
      </c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</row>
    <row r="14" spans="1:30" ht="12" customHeight="1" x14ac:dyDescent="0.2">
      <c r="A14" s="130"/>
      <c r="B14" s="130"/>
      <c r="C14" s="19" t="s">
        <v>631</v>
      </c>
      <c r="D14" s="15"/>
      <c r="E14" s="15"/>
      <c r="F14" s="15"/>
      <c r="G14" s="18"/>
      <c r="H14" s="18"/>
      <c r="I14" s="18"/>
      <c r="J14" s="18"/>
      <c r="K14" s="18"/>
      <c r="L14" s="15" t="s">
        <v>674</v>
      </c>
      <c r="M14" s="15">
        <v>164.9148362178143</v>
      </c>
      <c r="N14" s="18"/>
      <c r="O14" s="16" t="s">
        <v>711</v>
      </c>
      <c r="P14" s="25">
        <f>SUMIF('MERCADO TE'!$H$2:$H$38,"MWh",'MERCADO TE'!$U$2:$U$38)</f>
        <v>129269.01000000001</v>
      </c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</row>
    <row r="15" spans="1:30" ht="12" customHeight="1" x14ac:dyDescent="0.2">
      <c r="A15" s="130"/>
      <c r="B15" s="130"/>
      <c r="C15" s="19" t="s">
        <v>632</v>
      </c>
      <c r="D15" s="15">
        <v>3624914.5317399995</v>
      </c>
      <c r="E15" s="15">
        <v>107304.24743100881</v>
      </c>
      <c r="F15" s="15">
        <v>0</v>
      </c>
      <c r="G15" s="18"/>
      <c r="H15" s="18"/>
      <c r="I15" s="18"/>
      <c r="J15" s="18"/>
      <c r="K15" s="18"/>
      <c r="L15" s="15" t="s">
        <v>675</v>
      </c>
      <c r="M15" s="15">
        <f>M14*M12</f>
        <v>23293681.580080051</v>
      </c>
      <c r="N15" s="18"/>
      <c r="O15" s="16" t="s">
        <v>712</v>
      </c>
      <c r="P15" s="25" t="str">
        <f>IF(ABS(P9-P12)&gt;1,"ERRO","OK")</f>
        <v>OK</v>
      </c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</row>
    <row r="16" spans="1:30" ht="12" customHeight="1" x14ac:dyDescent="0.2">
      <c r="A16" s="130"/>
      <c r="B16" s="130"/>
      <c r="C16" s="19" t="s">
        <v>633</v>
      </c>
      <c r="D16" s="15">
        <v>0</v>
      </c>
      <c r="E16" s="15"/>
      <c r="F16" s="15">
        <f>IF((+$D$11+$D$12+$D$16+$D$17+$D$38)&lt;&gt;0,$M$19*$D$16/(+$D$11+$D$12+$D$16+$D$17+$D$38),0)</f>
        <v>0</v>
      </c>
      <c r="G16" s="18"/>
      <c r="H16" s="18"/>
      <c r="I16" s="18"/>
      <c r="J16" s="18"/>
      <c r="K16" s="18"/>
      <c r="L16" s="15" t="s">
        <v>676</v>
      </c>
      <c r="M16" s="15">
        <v>3924355.0257363049</v>
      </c>
      <c r="N16" s="18"/>
      <c r="O16" s="16" t="s">
        <v>713</v>
      </c>
      <c r="P16" s="25" t="str">
        <f>IF(ABS(P10-P13)&gt;1,"ERRO","OK")</f>
        <v>OK</v>
      </c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</row>
    <row r="17" spans="1:30" ht="12" customHeight="1" x14ac:dyDescent="0.2">
      <c r="A17" s="130"/>
      <c r="B17" s="130"/>
      <c r="C17" s="19" t="s">
        <v>634</v>
      </c>
      <c r="D17" s="15">
        <v>0</v>
      </c>
      <c r="E17" s="15"/>
      <c r="F17" s="15">
        <f>IF((+$D$11+$D$12+$D$16+$D$17+$D$38)&lt;&gt;0,$M$19*$D$17/(+$D$11+$D$12+$D$16+$D$17+$D$38),0)</f>
        <v>0</v>
      </c>
      <c r="G17" s="18"/>
      <c r="H17" s="18"/>
      <c r="I17" s="18"/>
      <c r="J17" s="18"/>
      <c r="K17" s="18"/>
      <c r="L17" s="15" t="s">
        <v>677</v>
      </c>
      <c r="M17" s="15">
        <v>0</v>
      </c>
      <c r="N17" s="18"/>
      <c r="O17" s="16" t="s">
        <v>714</v>
      </c>
      <c r="P17" s="25" t="str">
        <f>IF(ABS(P11-P14)&gt;1,"ERRO","OK")</f>
        <v>OK</v>
      </c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</row>
    <row r="18" spans="1:30" ht="12" customHeight="1" x14ac:dyDescent="0.2">
      <c r="A18" s="130"/>
      <c r="B18" s="123"/>
      <c r="C18" s="19" t="s">
        <v>626</v>
      </c>
      <c r="D18" s="15">
        <f>SUM(D$11:D17)</f>
        <v>8756787.3317399994</v>
      </c>
      <c r="E18" s="15">
        <f>SUM(E$11:E17)</f>
        <v>-365759.94130676775</v>
      </c>
      <c r="F18" s="15">
        <f>SUM(F$11:F17)</f>
        <v>0</v>
      </c>
      <c r="G18" s="18"/>
      <c r="H18" s="18"/>
      <c r="I18" s="18"/>
      <c r="J18" s="18"/>
      <c r="K18" s="18"/>
      <c r="L18" s="15" t="s">
        <v>678</v>
      </c>
      <c r="M18" s="15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</row>
    <row r="19" spans="1:30" ht="12" customHeight="1" x14ac:dyDescent="0.2">
      <c r="A19" s="130"/>
      <c r="B19" s="122" t="s">
        <v>635</v>
      </c>
      <c r="C19" s="19" t="s">
        <v>636</v>
      </c>
      <c r="D19" s="15">
        <v>27172167.598823659</v>
      </c>
      <c r="E19" s="15">
        <v>-9615460.4931933079</v>
      </c>
      <c r="F19" s="15">
        <v>0</v>
      </c>
      <c r="G19" s="18"/>
      <c r="H19" s="18"/>
      <c r="I19" s="18"/>
      <c r="J19" s="18"/>
      <c r="K19" s="18"/>
      <c r="L19" s="15" t="s">
        <v>679</v>
      </c>
      <c r="M19" s="15">
        <v>0</v>
      </c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</row>
    <row r="20" spans="1:30" ht="12" customHeight="1" x14ac:dyDescent="0.2">
      <c r="A20" s="130"/>
      <c r="B20" s="123"/>
      <c r="C20" s="19" t="s">
        <v>626</v>
      </c>
      <c r="D20" s="15">
        <f>SUM(D$19:D19)</f>
        <v>27172167.598823659</v>
      </c>
      <c r="E20" s="15">
        <f>SUM(E$19:E19)</f>
        <v>-9615460.4931933079</v>
      </c>
      <c r="F20" s="15">
        <f>SUM(F$19:F19)</f>
        <v>0</v>
      </c>
      <c r="G20" s="18"/>
      <c r="H20" s="18"/>
      <c r="I20" s="18"/>
      <c r="J20" s="18"/>
      <c r="K20" s="18"/>
      <c r="L20" s="15" t="s">
        <v>680</v>
      </c>
      <c r="M20" s="15">
        <v>0</v>
      </c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</row>
    <row r="21" spans="1:30" ht="12" customHeight="1" x14ac:dyDescent="0.2">
      <c r="A21" s="130"/>
      <c r="B21" s="122" t="s">
        <v>637</v>
      </c>
      <c r="C21" s="19" t="s">
        <v>638</v>
      </c>
      <c r="D21" s="15"/>
      <c r="E21" s="15">
        <f>IF($D$46&lt;&gt;0,(1-$D$45/$D$46)*0,0)+0</f>
        <v>0</v>
      </c>
      <c r="F21" s="15"/>
      <c r="G21" s="18"/>
      <c r="H21" s="18"/>
      <c r="I21" s="18"/>
      <c r="J21" s="18"/>
      <c r="K21" s="18"/>
      <c r="L21" s="15" t="s">
        <v>681</v>
      </c>
      <c r="M21" s="15">
        <v>0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</row>
    <row r="22" spans="1:30" ht="12" customHeight="1" x14ac:dyDescent="0.2">
      <c r="A22" s="130"/>
      <c r="B22" s="130"/>
      <c r="C22" s="19" t="s">
        <v>639</v>
      </c>
      <c r="D22" s="15"/>
      <c r="E22" s="15"/>
      <c r="F22" s="15"/>
      <c r="G22" s="18"/>
      <c r="H22" s="18"/>
      <c r="I22" s="18"/>
      <c r="J22" s="18"/>
      <c r="K22" s="18"/>
      <c r="L22" s="15" t="s">
        <v>703</v>
      </c>
      <c r="M22" s="15">
        <v>0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</row>
    <row r="23" spans="1:30" ht="12" customHeight="1" x14ac:dyDescent="0.2">
      <c r="A23" s="130"/>
      <c r="B23" s="123"/>
      <c r="C23" s="19" t="s">
        <v>626</v>
      </c>
      <c r="D23" s="15">
        <f>SUM(D$21:D22)</f>
        <v>0</v>
      </c>
      <c r="E23" s="15">
        <f>SUM(E$21:E22)</f>
        <v>0</v>
      </c>
      <c r="F23" s="15">
        <f>SUM(F$21:F22)</f>
        <v>0</v>
      </c>
      <c r="G23" s="18"/>
      <c r="H23" s="18"/>
      <c r="I23" s="18"/>
      <c r="J23" s="18"/>
      <c r="K23" s="18"/>
      <c r="L23" s="15" t="s">
        <v>682</v>
      </c>
      <c r="M23" s="15">
        <v>13</v>
      </c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</row>
    <row r="24" spans="1:30" ht="12" customHeight="1" x14ac:dyDescent="0.2">
      <c r="A24" s="130"/>
      <c r="B24" s="122" t="s">
        <v>640</v>
      </c>
      <c r="C24" s="19" t="s">
        <v>641</v>
      </c>
      <c r="D24" s="15">
        <f>$M$14*$M$8</f>
        <v>1798253.1148419045</v>
      </c>
      <c r="E24" s="15">
        <f>$M$16*$M$8/$M$12</f>
        <v>302956.989624632</v>
      </c>
      <c r="F24" s="15">
        <f>$M$17*$M$8/$M$12</f>
        <v>0</v>
      </c>
      <c r="G24" s="18"/>
      <c r="H24" s="18"/>
      <c r="I24" s="18"/>
      <c r="J24" s="18"/>
      <c r="K24" s="18"/>
      <c r="L24" s="15" t="s">
        <v>683</v>
      </c>
      <c r="M24" s="15">
        <v>0</v>
      </c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</row>
    <row r="25" spans="1:30" ht="12" customHeight="1" x14ac:dyDescent="0.2">
      <c r="A25" s="130"/>
      <c r="B25" s="130"/>
      <c r="C25" s="19" t="s">
        <v>642</v>
      </c>
      <c r="D25" s="15">
        <f>$M$14*$M$10</f>
        <v>13772.865593633205</v>
      </c>
      <c r="E25" s="15">
        <f>$M$16*$M$10/$M$12</f>
        <v>2320.3551626371705</v>
      </c>
      <c r="F25" s="15">
        <f>$M$17*$M$10/$M$12</f>
        <v>0</v>
      </c>
      <c r="G25" s="18"/>
      <c r="H25" s="18"/>
      <c r="I25" s="18"/>
      <c r="J25" s="18"/>
      <c r="K25" s="18"/>
      <c r="L25" s="15" t="s">
        <v>684</v>
      </c>
      <c r="M25" s="15">
        <v>0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</row>
    <row r="26" spans="1:30" ht="12" customHeight="1" x14ac:dyDescent="0.2">
      <c r="A26" s="130"/>
      <c r="B26" s="130"/>
      <c r="C26" s="19" t="s">
        <v>643</v>
      </c>
      <c r="D26" s="15">
        <f>$M$14*$M$9</f>
        <v>0</v>
      </c>
      <c r="E26" s="15">
        <f>$M$16*$M$9/$M$12</f>
        <v>0</v>
      </c>
      <c r="F26" s="15">
        <f>$M$17*$M$9/$M$12</f>
        <v>0</v>
      </c>
      <c r="G26" s="18"/>
      <c r="H26" s="18"/>
      <c r="I26" s="18"/>
      <c r="J26" s="18"/>
      <c r="K26" s="18"/>
      <c r="L26" s="15" t="s">
        <v>685</v>
      </c>
      <c r="M26" s="15">
        <v>0</v>
      </c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</row>
    <row r="27" spans="1:30" ht="12" customHeight="1" x14ac:dyDescent="0.2">
      <c r="A27" s="130"/>
      <c r="B27" s="130"/>
      <c r="C27" s="19" t="s">
        <v>644</v>
      </c>
      <c r="D27" s="15"/>
      <c r="E27" s="15"/>
      <c r="F27" s="15"/>
      <c r="G27" s="18"/>
      <c r="H27" s="18"/>
      <c r="I27" s="18"/>
      <c r="J27" s="18"/>
      <c r="K27" s="18"/>
      <c r="L27" s="15" t="s">
        <v>686</v>
      </c>
      <c r="M27" s="15">
        <v>0</v>
      </c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</row>
    <row r="28" spans="1:30" ht="12" customHeight="1" x14ac:dyDescent="0.2">
      <c r="A28" s="130"/>
      <c r="B28" s="123"/>
      <c r="C28" s="19" t="s">
        <v>626</v>
      </c>
      <c r="D28" s="15">
        <f>SUM(D$24:D27)</f>
        <v>1812025.9804355376</v>
      </c>
      <c r="E28" s="15">
        <f>SUM(E$24:E27)</f>
        <v>305277.34478726919</v>
      </c>
      <c r="F28" s="15">
        <f>SUM(F$24:F27)</f>
        <v>0</v>
      </c>
      <c r="G28" s="18"/>
      <c r="H28" s="18"/>
      <c r="I28" s="18"/>
      <c r="J28" s="18"/>
      <c r="K28" s="18"/>
      <c r="L28" s="15" t="s">
        <v>687</v>
      </c>
      <c r="M28" s="15">
        <v>0</v>
      </c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</row>
    <row r="29" spans="1:30" ht="12" customHeight="1" x14ac:dyDescent="0.2">
      <c r="A29" s="123"/>
      <c r="B29" s="124" t="s">
        <v>626</v>
      </c>
      <c r="C29" s="125"/>
      <c r="D29" s="15">
        <f>SUMIF(C$2:C28,"SUBTOTAL",D$2:D28)</f>
        <v>54151831.883512825</v>
      </c>
      <c r="E29" s="15">
        <f>SUMIF(C$2:C28,"SUBTOTAL",E$2:E28)</f>
        <v>-9337766.1086768135</v>
      </c>
      <c r="F29" s="15">
        <f>SUMIF(C$2:C28,"SUBTOTAL",F$2:F28)</f>
        <v>0</v>
      </c>
      <c r="G29" s="18"/>
      <c r="H29" s="18"/>
      <c r="I29" s="18"/>
      <c r="J29" s="18"/>
      <c r="K29" s="18"/>
      <c r="L29" s="15" t="s">
        <v>688</v>
      </c>
      <c r="M29" s="15">
        <v>0</v>
      </c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</row>
    <row r="30" spans="1:30" ht="12" customHeight="1" x14ac:dyDescent="0.2">
      <c r="A30" s="122" t="s">
        <v>645</v>
      </c>
      <c r="B30" s="122" t="s">
        <v>618</v>
      </c>
      <c r="C30" s="19" t="s">
        <v>620</v>
      </c>
      <c r="D30" s="15">
        <f>IFERROR($M$5*(+D$31+D$32+D$33+D$35+D$37+D$38+D$39+D$43)+($M$5^2)*(+D$31+D$32+D$33+D$35+D$37+D$38+D$39+D$43)/$M$22*(+$E$2+$F$2+$E$3+$F$3+$E$8+$F$8+$E$9+$F$9+$E$11+$F$11+$E$12+$F$12+$E$13+$F$13+$E$14+$F$14+$E$15+$F$15+$E$16+$F$16+$E$17+$F$17+$E$19+$F$19+$E$22+$F$22+$E$24+$F$24+$E$25+$F$25+$E$26+$F$26+$E$27+$F$27+$E$31+$F$31+$E$32+$F$32+$E$33+$F$33+$E$35+$F$35+$E$37+$F$37+$E$38+$F$38+$E$39+$F$39+$E$43+$F$43),0)</f>
        <v>0</v>
      </c>
      <c r="E30" s="15">
        <f>IF((D30+D$4)&lt;&gt;0,$M$20*D30/(D30+D$4),0)</f>
        <v>0</v>
      </c>
      <c r="F30" s="15">
        <f>IF((D30+D$4)&lt;&gt;0,$M$21*D30/(D30+D$4),0)</f>
        <v>0</v>
      </c>
      <c r="G30" s="18"/>
      <c r="H30" s="18"/>
      <c r="I30" s="18"/>
      <c r="J30" s="18"/>
      <c r="K30" s="18"/>
      <c r="L30" s="15" t="s">
        <v>689</v>
      </c>
      <c r="M30" s="15">
        <v>0</v>
      </c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</row>
    <row r="31" spans="1:30" ht="12" customHeight="1" x14ac:dyDescent="0.2">
      <c r="A31" s="130"/>
      <c r="B31" s="130"/>
      <c r="C31" s="19" t="s">
        <v>646</v>
      </c>
      <c r="D31" s="15">
        <v>1679157.6937069311</v>
      </c>
      <c r="E31" s="15">
        <v>69881.719465040325</v>
      </c>
      <c r="F31" s="15">
        <v>0</v>
      </c>
      <c r="G31" s="18"/>
      <c r="H31" s="18"/>
      <c r="I31" s="18"/>
      <c r="J31" s="18"/>
      <c r="K31" s="18"/>
      <c r="L31" s="15" t="s">
        <v>690</v>
      </c>
      <c r="M31" s="15">
        <v>0</v>
      </c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</row>
    <row r="32" spans="1:30" ht="12" customHeight="1" x14ac:dyDescent="0.2">
      <c r="A32" s="130"/>
      <c r="B32" s="130"/>
      <c r="C32" s="19" t="s">
        <v>647</v>
      </c>
      <c r="D32" s="15">
        <v>0</v>
      </c>
      <c r="E32" s="15">
        <v>0</v>
      </c>
      <c r="F32" s="15">
        <v>0</v>
      </c>
      <c r="G32" s="18"/>
      <c r="H32" s="18"/>
      <c r="I32" s="18"/>
      <c r="J32" s="18"/>
      <c r="K32" s="18"/>
      <c r="L32" s="15" t="s">
        <v>691</v>
      </c>
      <c r="M32" s="15">
        <v>0.45</v>
      </c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</row>
    <row r="33" spans="1:30" ht="12" customHeight="1" x14ac:dyDescent="0.2">
      <c r="A33" s="130"/>
      <c r="B33" s="130"/>
      <c r="C33" s="19" t="s">
        <v>705</v>
      </c>
      <c r="D33" s="15"/>
      <c r="E33" s="15">
        <v>0</v>
      </c>
      <c r="F33" s="15">
        <v>0</v>
      </c>
      <c r="G33" s="18"/>
      <c r="H33" s="18"/>
      <c r="I33" s="18"/>
      <c r="J33" s="18"/>
      <c r="K33" s="18"/>
      <c r="L33" s="15" t="s">
        <v>692</v>
      </c>
      <c r="M33" s="15">
        <v>0.4</v>
      </c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</row>
    <row r="34" spans="1:30" ht="12" customHeight="1" x14ac:dyDescent="0.2">
      <c r="A34" s="130"/>
      <c r="B34" s="123"/>
      <c r="C34" s="19" t="s">
        <v>626</v>
      </c>
      <c r="D34" s="15">
        <f>SUM(D$30:D33)</f>
        <v>1679157.6937069311</v>
      </c>
      <c r="E34" s="15">
        <f>SUM(E$30:E33)</f>
        <v>69881.719465040325</v>
      </c>
      <c r="F34" s="15">
        <f>SUM(F$30:F33)</f>
        <v>0</v>
      </c>
      <c r="G34" s="18"/>
      <c r="H34" s="18"/>
      <c r="I34" s="18"/>
      <c r="J34" s="18"/>
      <c r="K34" s="18"/>
      <c r="L34" s="15" t="s">
        <v>693</v>
      </c>
      <c r="M34" s="15">
        <v>0.65</v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</row>
    <row r="35" spans="1:30" ht="12" customHeight="1" x14ac:dyDescent="0.2">
      <c r="A35" s="130"/>
      <c r="B35" s="122" t="s">
        <v>648</v>
      </c>
      <c r="C35" s="19" t="s">
        <v>649</v>
      </c>
      <c r="D35" s="15">
        <f>$M$14*($M$12-$M$7)</f>
        <v>21318377.612188999</v>
      </c>
      <c r="E35" s="15">
        <f>$M$16*($M$12-$M$7)/$M$12</f>
        <v>3591569.7583194454</v>
      </c>
      <c r="F35" s="15">
        <f>$M$17*($M$12-$M$7)/$M$12</f>
        <v>0</v>
      </c>
      <c r="G35" s="18"/>
      <c r="H35" s="18"/>
      <c r="I35" s="18"/>
      <c r="J35" s="18"/>
      <c r="K35" s="18"/>
      <c r="L35" s="15" t="s">
        <v>694</v>
      </c>
      <c r="M35" s="15">
        <v>0.4</v>
      </c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</row>
    <row r="36" spans="1:30" ht="12" customHeight="1" x14ac:dyDescent="0.2">
      <c r="A36" s="130"/>
      <c r="B36" s="123"/>
      <c r="C36" s="19" t="s">
        <v>626</v>
      </c>
      <c r="D36" s="15">
        <f>SUM(D$35:D35)</f>
        <v>21318377.612188999</v>
      </c>
      <c r="E36" s="15">
        <f>SUM(E$35:E35)</f>
        <v>3591569.7583194454</v>
      </c>
      <c r="F36" s="15">
        <f>SUM(F$35:F35)</f>
        <v>0</v>
      </c>
      <c r="G36" s="18"/>
      <c r="H36" s="18"/>
      <c r="I36" s="18"/>
      <c r="J36" s="18"/>
      <c r="K36" s="18"/>
      <c r="L36" s="15" t="s">
        <v>695</v>
      </c>
      <c r="M36" s="15">
        <v>0.1</v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</row>
    <row r="37" spans="1:30" ht="12" customHeight="1" x14ac:dyDescent="0.2">
      <c r="A37" s="130"/>
      <c r="B37" s="122" t="s">
        <v>627</v>
      </c>
      <c r="C37" s="19" t="s">
        <v>650</v>
      </c>
      <c r="D37" s="15">
        <v>0</v>
      </c>
      <c r="E37" s="15">
        <v>0</v>
      </c>
      <c r="F37" s="15">
        <v>0</v>
      </c>
      <c r="G37" s="18"/>
      <c r="H37" s="18"/>
      <c r="I37" s="18"/>
      <c r="J37" s="18"/>
      <c r="K37" s="18"/>
      <c r="L37" s="15" t="s">
        <v>696</v>
      </c>
      <c r="M37" s="15">
        <v>0</v>
      </c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</row>
    <row r="38" spans="1:30" ht="12" customHeight="1" x14ac:dyDescent="0.2">
      <c r="A38" s="130"/>
      <c r="B38" s="130"/>
      <c r="C38" s="19" t="s">
        <v>651</v>
      </c>
      <c r="D38" s="15">
        <v>0</v>
      </c>
      <c r="E38" s="15">
        <v>0</v>
      </c>
      <c r="F38" s="15">
        <f>IF((+$D$11+$D$12+$D$16+$D$17+$D$38)&lt;&gt;0,$M$19*$D$38/(+$D$11+$D$12+$D$16+$D$17+$D$38),0)</f>
        <v>0</v>
      </c>
      <c r="G38" s="18"/>
      <c r="H38" s="18"/>
      <c r="I38" s="18"/>
      <c r="J38" s="18"/>
      <c r="K38" s="18"/>
      <c r="L38" s="15" t="s">
        <v>697</v>
      </c>
      <c r="M38" s="15">
        <f>IFERROR(VLOOKUP("Convencional1RuralNão se aplicaRURALB2",Descontos!B1:U88,VLOOKUP("Convencional1RuralNão se aplicaRURALB2",Descontos!B1:U88,20,FALSE)+12,FALSE),100)</f>
        <v>0.06</v>
      </c>
      <c r="N38" s="18" t="s">
        <v>748</v>
      </c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</row>
    <row r="39" spans="1:30" ht="12" customHeight="1" x14ac:dyDescent="0.2">
      <c r="A39" s="130"/>
      <c r="B39" s="130"/>
      <c r="C39" s="19" t="s">
        <v>652</v>
      </c>
      <c r="D39" s="15"/>
      <c r="E39" s="15"/>
      <c r="F39" s="15"/>
      <c r="G39" s="18"/>
      <c r="H39" s="18"/>
      <c r="I39" s="18"/>
      <c r="J39" s="18"/>
      <c r="K39" s="18"/>
      <c r="L39" s="15" t="s">
        <v>698</v>
      </c>
      <c r="M39" s="15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8">
        <v>0.06</v>
      </c>
      <c r="O39" s="18" t="s">
        <v>765</v>
      </c>
      <c r="P39" s="18" t="s">
        <v>766</v>
      </c>
      <c r="Q39" s="18" t="s">
        <v>767</v>
      </c>
      <c r="R39" s="18" t="s">
        <v>768</v>
      </c>
      <c r="S39" s="18" t="s">
        <v>1</v>
      </c>
      <c r="T39" s="18" t="s">
        <v>769</v>
      </c>
      <c r="U39" s="18"/>
      <c r="V39" s="18"/>
      <c r="W39" s="18"/>
      <c r="X39" s="18"/>
      <c r="Y39" s="18"/>
      <c r="Z39" s="18"/>
      <c r="AA39" s="18"/>
      <c r="AB39" s="18"/>
      <c r="AC39" s="18"/>
      <c r="AD39" s="18"/>
    </row>
    <row r="40" spans="1:30" ht="12" customHeight="1" x14ac:dyDescent="0.25">
      <c r="A40" s="130"/>
      <c r="B40" s="123"/>
      <c r="C40" s="19" t="s">
        <v>626</v>
      </c>
      <c r="D40" s="15">
        <f>SUM(D$37:D39)</f>
        <v>0</v>
      </c>
      <c r="E40" s="15">
        <f>SUM(E$37:E39)</f>
        <v>0</v>
      </c>
      <c r="F40" s="15">
        <f>SUM(F$37:F39)</f>
        <v>0</v>
      </c>
      <c r="G40" s="18"/>
      <c r="H40" s="18"/>
      <c r="I40" s="18"/>
      <c r="J40" s="18"/>
      <c r="K40" s="18"/>
      <c r="L40" s="15" t="s">
        <v>699</v>
      </c>
      <c r="M40" s="15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8">
        <v>0.08</v>
      </c>
      <c r="O40" s="70"/>
      <c r="P40" s="70"/>
      <c r="Q40" s="70"/>
      <c r="R40" s="70"/>
      <c r="S40" s="70"/>
      <c r="T40" s="70"/>
      <c r="U40" s="18"/>
      <c r="V40" s="18"/>
      <c r="W40" s="18"/>
      <c r="X40" s="18"/>
      <c r="Y40" s="18"/>
      <c r="Z40" s="18"/>
      <c r="AA40" s="18"/>
      <c r="AB40" s="18"/>
      <c r="AC40" s="18"/>
      <c r="AD40" s="18"/>
    </row>
    <row r="41" spans="1:30" ht="12" customHeight="1" x14ac:dyDescent="0.25">
      <c r="A41" s="130"/>
      <c r="B41" s="122" t="s">
        <v>637</v>
      </c>
      <c r="C41" s="19" t="s">
        <v>638</v>
      </c>
      <c r="D41" s="15"/>
      <c r="E41" s="15">
        <f>IF($D$46&lt;&gt;0,($D$45/$D$46)* 0,0)+0</f>
        <v>0</v>
      </c>
      <c r="F41" s="15"/>
      <c r="G41" s="18"/>
      <c r="H41" s="18"/>
      <c r="I41" s="18"/>
      <c r="J41" s="18"/>
      <c r="K41" s="18"/>
      <c r="L41" s="18"/>
      <c r="M41" s="18"/>
      <c r="N41" s="18"/>
      <c r="O41" s="70"/>
      <c r="P41" s="70"/>
      <c r="Q41" s="70"/>
      <c r="R41" s="70"/>
      <c r="S41" s="70"/>
      <c r="T41" s="70"/>
      <c r="U41" s="18"/>
      <c r="V41" s="18"/>
      <c r="W41" s="18"/>
      <c r="X41" s="18"/>
      <c r="Y41" s="18"/>
      <c r="Z41" s="18"/>
      <c r="AA41" s="18"/>
      <c r="AB41" s="18"/>
      <c r="AC41" s="18"/>
      <c r="AD41" s="18"/>
    </row>
    <row r="42" spans="1:30" ht="12" customHeight="1" x14ac:dyDescent="0.25">
      <c r="A42" s="130"/>
      <c r="B42" s="123"/>
      <c r="C42" s="19" t="s">
        <v>626</v>
      </c>
      <c r="D42" s="15">
        <f>SUM(D$41:D41)</f>
        <v>0</v>
      </c>
      <c r="E42" s="15">
        <f>SUM(E$41:E41)</f>
        <v>0</v>
      </c>
      <c r="F42" s="15">
        <f>SUM(F$41:F41)</f>
        <v>0</v>
      </c>
      <c r="G42" s="18"/>
      <c r="H42" s="18"/>
      <c r="I42" s="18"/>
      <c r="J42" s="18"/>
      <c r="K42" s="18"/>
      <c r="L42" s="18"/>
      <c r="M42" s="18"/>
      <c r="N42" s="18"/>
      <c r="O42" s="70"/>
      <c r="P42" s="70"/>
      <c r="Q42" s="70"/>
      <c r="R42" s="70"/>
      <c r="S42" s="70"/>
      <c r="T42" s="70"/>
      <c r="U42" s="18"/>
      <c r="V42" s="18"/>
      <c r="W42" s="18"/>
      <c r="X42" s="18"/>
      <c r="Y42" s="18"/>
      <c r="Z42" s="18"/>
      <c r="AA42" s="18"/>
      <c r="AB42" s="18"/>
      <c r="AC42" s="18"/>
      <c r="AD42" s="18"/>
    </row>
    <row r="43" spans="1:30" ht="12" customHeight="1" x14ac:dyDescent="0.25">
      <c r="A43" s="130"/>
      <c r="B43" s="122" t="s">
        <v>640</v>
      </c>
      <c r="C43" s="19" t="s">
        <v>653</v>
      </c>
      <c r="D43" s="15">
        <f>$M$14*$M$11</f>
        <v>163277.98745551557</v>
      </c>
      <c r="E43" s="15">
        <f>$M$16*$M$11/$M$12</f>
        <v>27507.922629590605</v>
      </c>
      <c r="F43" s="15">
        <f>$M$17*$M$11/$M$12</f>
        <v>0</v>
      </c>
      <c r="G43" s="18"/>
      <c r="H43" s="18"/>
      <c r="I43" s="18"/>
      <c r="J43" s="18"/>
      <c r="K43" s="18"/>
      <c r="L43" s="18"/>
      <c r="M43" s="18"/>
      <c r="N43" s="18"/>
      <c r="O43" s="70"/>
      <c r="P43" s="70"/>
      <c r="Q43" s="70"/>
      <c r="R43" s="70"/>
      <c r="S43" s="70"/>
      <c r="T43" s="70"/>
      <c r="U43" s="18"/>
      <c r="V43" s="18"/>
      <c r="W43" s="18"/>
      <c r="X43" s="18"/>
      <c r="Y43" s="18"/>
      <c r="Z43" s="18"/>
      <c r="AA43" s="18"/>
      <c r="AB43" s="18"/>
      <c r="AC43" s="18"/>
      <c r="AD43" s="18"/>
    </row>
    <row r="44" spans="1:30" ht="12" customHeight="1" x14ac:dyDescent="0.25">
      <c r="A44" s="130"/>
      <c r="B44" s="123"/>
      <c r="C44" s="19" t="s">
        <v>626</v>
      </c>
      <c r="D44" s="15">
        <f>SUM(D$43:D43)</f>
        <v>163277.98745551557</v>
      </c>
      <c r="E44" s="15">
        <f>SUM(E$43:E43)</f>
        <v>27507.922629590605</v>
      </c>
      <c r="F44" s="15">
        <f>SUM(F$43:F43)</f>
        <v>0</v>
      </c>
      <c r="G44" s="18"/>
      <c r="H44" s="18"/>
      <c r="I44" s="18"/>
      <c r="J44" s="18"/>
      <c r="K44" s="18"/>
      <c r="L44" s="18"/>
      <c r="M44" s="18"/>
      <c r="N44" s="18"/>
      <c r="O44" s="70"/>
      <c r="P44" s="70"/>
      <c r="Q44" s="70"/>
      <c r="R44" s="70"/>
      <c r="S44" s="70"/>
      <c r="T44" s="70"/>
      <c r="U44" s="18"/>
      <c r="V44" s="18"/>
      <c r="W44" s="18"/>
      <c r="X44" s="18"/>
      <c r="Y44" s="18"/>
      <c r="Z44" s="18"/>
      <c r="AA44" s="18"/>
      <c r="AB44" s="18"/>
      <c r="AC44" s="18"/>
      <c r="AD44" s="18"/>
    </row>
    <row r="45" spans="1:30" ht="12" customHeight="1" x14ac:dyDescent="0.25">
      <c r="A45" s="123"/>
      <c r="B45" s="124" t="s">
        <v>626</v>
      </c>
      <c r="C45" s="125"/>
      <c r="D45" s="15">
        <f>SUMIF(C$30:C44,"SUBTOTAL",D$30:D44)</f>
        <v>23160813.293351445</v>
      </c>
      <c r="E45" s="15">
        <f>SUMIF(C$30:C44,"SUBTOTAL",E$30:E44)</f>
        <v>3688959.4004140762</v>
      </c>
      <c r="F45" s="15">
        <f>SUMIF(C$30:C44,"SUBTOTAL",F$30:F44)</f>
        <v>0</v>
      </c>
      <c r="G45" s="18"/>
      <c r="H45" s="18"/>
      <c r="I45" s="18"/>
      <c r="J45" s="18"/>
      <c r="K45" s="18"/>
      <c r="L45" s="18"/>
      <c r="M45" s="18"/>
      <c r="N45" s="18"/>
      <c r="O45" s="70"/>
      <c r="P45" s="70"/>
      <c r="Q45" s="70"/>
      <c r="R45" s="70"/>
      <c r="S45" s="70"/>
      <c r="T45" s="70"/>
      <c r="U45" s="18"/>
      <c r="V45" s="18"/>
      <c r="W45" s="18"/>
      <c r="X45" s="18"/>
      <c r="Y45" s="18"/>
      <c r="Z45" s="18"/>
      <c r="AA45" s="18"/>
      <c r="AB45" s="18"/>
      <c r="AC45" s="18"/>
      <c r="AD45" s="18"/>
    </row>
    <row r="46" spans="1:30" ht="12" customHeight="1" x14ac:dyDescent="0.25">
      <c r="A46" s="124" t="s">
        <v>654</v>
      </c>
      <c r="B46" s="128"/>
      <c r="C46" s="125"/>
      <c r="D46" s="15">
        <f>SUMIF(C$2:C45,"SUBTOTAL",D$2:D45)</f>
        <v>77312645.176864266</v>
      </c>
      <c r="E46" s="15">
        <f>SUMIF(C$2:C45,"SUBTOTAL",E$2:E45)</f>
        <v>-5648806.7082627388</v>
      </c>
      <c r="F46" s="15">
        <f>SUMIF(C$2:C45,"SUBTOTAL",F$2:F45)</f>
        <v>0</v>
      </c>
      <c r="G46" s="18"/>
      <c r="H46" s="18"/>
      <c r="I46" s="18"/>
      <c r="J46" s="18"/>
      <c r="K46" s="18"/>
      <c r="L46" s="18"/>
      <c r="M46" s="18"/>
      <c r="N46" s="18"/>
      <c r="O46" s="70"/>
      <c r="P46" s="70"/>
      <c r="Q46" s="70"/>
      <c r="R46" s="70"/>
      <c r="S46" s="70"/>
      <c r="T46" s="70"/>
      <c r="U46" s="18"/>
      <c r="V46" s="18"/>
      <c r="W46" s="18"/>
      <c r="X46" s="18"/>
      <c r="Y46" s="18"/>
      <c r="Z46" s="18"/>
      <c r="AA46" s="18"/>
      <c r="AB46" s="18"/>
      <c r="AC46" s="18"/>
      <c r="AD46" s="18"/>
    </row>
    <row r="47" spans="1:30" ht="12" customHeight="1" x14ac:dyDescent="0.25">
      <c r="A47" s="120" t="s">
        <v>740</v>
      </c>
      <c r="B47" s="121"/>
      <c r="C47" s="121"/>
      <c r="D47" s="61">
        <f ca="1">'TUSD BE'!$AM$53+'TUSD BE'!$AM$57+'TE BE'!$AA$43</f>
        <v>77312645.176864281</v>
      </c>
      <c r="E47" s="61">
        <f ca="1">'TUSD BF'!$AM$53+'TE BF'!$AA$43</f>
        <v>-5648806.7082627397</v>
      </c>
      <c r="F47" s="61">
        <f ca="1">'TUSD CVA'!$AM$53+'TE CVA'!$AA$43</f>
        <v>0</v>
      </c>
      <c r="L47" s="9"/>
      <c r="M47" s="18"/>
      <c r="O47" s="70"/>
      <c r="P47" s="70"/>
      <c r="Q47" s="70"/>
      <c r="R47" s="70"/>
      <c r="S47" s="70"/>
      <c r="T47" s="70"/>
    </row>
    <row r="48" spans="1:30" ht="12" customHeight="1" x14ac:dyDescent="0.25">
      <c r="A48" s="120" t="s">
        <v>741</v>
      </c>
      <c r="B48" s="121"/>
      <c r="C48" s="121"/>
      <c r="D48" s="62" t="str">
        <f ca="1">IF(ABS(D47-D46)&gt;1,"ERRO","OK")</f>
        <v>OK</v>
      </c>
      <c r="E48" s="62" t="str">
        <f ca="1">IF(ABS(E47-E46)&gt;1,"ERRO","OK")</f>
        <v>OK</v>
      </c>
      <c r="F48" s="62" t="str">
        <f ca="1">IF(ABS(F47-F46)&gt;1,"ERRO","OK")</f>
        <v>OK</v>
      </c>
      <c r="L48" s="19"/>
      <c r="M48" s="15"/>
      <c r="O48" s="70"/>
      <c r="P48" s="70"/>
      <c r="Q48" s="70"/>
      <c r="R48" s="70"/>
      <c r="S48" s="70"/>
      <c r="T48" s="70"/>
    </row>
    <row r="49" spans="4:20" ht="12" customHeight="1" x14ac:dyDescent="0.25">
      <c r="L49" s="19"/>
      <c r="M49" s="15"/>
      <c r="O49" s="70"/>
      <c r="P49" s="70"/>
      <c r="Q49" s="70"/>
      <c r="R49" s="70"/>
      <c r="S49" s="70"/>
      <c r="T49" s="70"/>
    </row>
    <row r="50" spans="4:20" ht="12" customHeight="1" x14ac:dyDescent="0.25">
      <c r="L50" s="19"/>
      <c r="M50" s="15"/>
      <c r="O50" s="70"/>
      <c r="P50" s="70"/>
      <c r="Q50" s="70"/>
      <c r="R50" s="70"/>
      <c r="S50" s="70"/>
      <c r="T50" s="70"/>
    </row>
    <row r="51" spans="4:20" ht="12" customHeight="1" x14ac:dyDescent="0.25">
      <c r="D51" s="17">
        <v>77312645.176864266</v>
      </c>
      <c r="E51" s="17">
        <v>-5648806.7082627388</v>
      </c>
      <c r="L51" s="23" t="s">
        <v>700</v>
      </c>
      <c r="M51" s="24">
        <v>0</v>
      </c>
      <c r="O51" s="70"/>
      <c r="P51" s="70"/>
      <c r="Q51" s="70"/>
      <c r="R51" s="70"/>
      <c r="S51" s="70"/>
      <c r="T51" s="70"/>
    </row>
    <row r="52" spans="4:20" ht="12" customHeight="1" x14ac:dyDescent="0.25">
      <c r="D52" s="89">
        <f ca="1">D51-D47</f>
        <v>0</v>
      </c>
      <c r="E52" s="89">
        <f ca="1">E51-E47</f>
        <v>0</v>
      </c>
      <c r="O52" s="70"/>
      <c r="P52" s="70"/>
      <c r="Q52" s="70"/>
      <c r="R52" s="70"/>
      <c r="S52" s="70"/>
      <c r="T52" s="70"/>
    </row>
    <row r="53" spans="4:20" ht="12" customHeight="1" x14ac:dyDescent="0.25">
      <c r="O53" s="70"/>
      <c r="P53" s="70"/>
      <c r="Q53" s="70"/>
      <c r="R53" s="70"/>
      <c r="S53" s="70"/>
      <c r="T53" s="70"/>
    </row>
    <row r="54" spans="4:20" ht="12" customHeight="1" x14ac:dyDescent="0.25">
      <c r="O54" s="70"/>
      <c r="P54" s="70"/>
      <c r="Q54" s="70"/>
      <c r="R54" s="70"/>
      <c r="S54" s="70"/>
      <c r="T54" s="70"/>
    </row>
    <row r="55" spans="4:20" ht="12" customHeight="1" x14ac:dyDescent="0.25">
      <c r="O55" s="70"/>
      <c r="P55" s="70"/>
      <c r="Q55" s="70"/>
      <c r="R55" s="70"/>
      <c r="S55" s="70"/>
      <c r="T55" s="70"/>
    </row>
    <row r="56" spans="4:20" ht="12" customHeight="1" x14ac:dyDescent="0.25">
      <c r="O56" s="70"/>
      <c r="P56" s="70"/>
      <c r="Q56" s="70"/>
      <c r="R56" s="70"/>
      <c r="S56" s="70"/>
      <c r="T56" s="70"/>
    </row>
    <row r="57" spans="4:20" ht="12" customHeight="1" x14ac:dyDescent="0.25">
      <c r="O57" s="70"/>
      <c r="P57" s="70"/>
      <c r="Q57" s="70"/>
      <c r="R57" s="70"/>
      <c r="S57" s="70"/>
      <c r="T57" s="70"/>
    </row>
    <row r="58" spans="4:20" ht="12" customHeight="1" x14ac:dyDescent="0.25">
      <c r="O58" s="70"/>
      <c r="P58" s="70"/>
      <c r="Q58" s="70"/>
      <c r="R58" s="70"/>
      <c r="S58" s="70"/>
      <c r="T58" s="70"/>
    </row>
    <row r="59" spans="4:20" ht="12" customHeight="1" x14ac:dyDescent="0.25">
      <c r="O59" s="70"/>
      <c r="P59" s="70"/>
      <c r="Q59" s="70"/>
      <c r="R59" s="70"/>
      <c r="S59" s="70"/>
      <c r="T59" s="70"/>
    </row>
    <row r="60" spans="4:20" ht="12" customHeight="1" x14ac:dyDescent="0.25">
      <c r="O60" s="70"/>
      <c r="P60" s="70"/>
      <c r="Q60" s="70"/>
      <c r="R60" s="70"/>
      <c r="S60" s="70"/>
      <c r="T60" s="70"/>
    </row>
    <row r="61" spans="4:20" ht="12" customHeight="1" x14ac:dyDescent="0.25">
      <c r="O61" s="70"/>
      <c r="P61" s="70"/>
      <c r="Q61" s="70"/>
      <c r="R61" s="70"/>
      <c r="S61" s="70"/>
      <c r="T61" s="70"/>
    </row>
    <row r="62" spans="4:20" ht="12" customHeight="1" x14ac:dyDescent="0.25">
      <c r="O62" s="70"/>
      <c r="P62" s="70"/>
      <c r="Q62" s="70"/>
      <c r="R62" s="70"/>
      <c r="S62" s="70"/>
      <c r="T62" s="70"/>
    </row>
    <row r="63" spans="4:20" ht="12" customHeight="1" x14ac:dyDescent="0.25">
      <c r="O63" s="70"/>
      <c r="P63" s="70"/>
      <c r="Q63" s="70"/>
      <c r="R63" s="70"/>
      <c r="S63" s="70"/>
      <c r="T63" s="70"/>
    </row>
    <row r="64" spans="4:20" ht="12" customHeight="1" x14ac:dyDescent="0.25">
      <c r="O64" s="70"/>
      <c r="P64" s="70"/>
      <c r="Q64" s="70"/>
      <c r="R64" s="70"/>
      <c r="S64" s="70"/>
      <c r="T64" s="70"/>
    </row>
    <row r="65" spans="15:20" ht="12" customHeight="1" x14ac:dyDescent="0.25">
      <c r="O65" s="70"/>
      <c r="P65" s="70"/>
      <c r="Q65" s="70"/>
      <c r="R65" s="70"/>
      <c r="S65" s="70"/>
      <c r="T65" s="70"/>
    </row>
    <row r="66" spans="15:20" ht="12" customHeight="1" x14ac:dyDescent="0.25">
      <c r="O66" s="70"/>
      <c r="P66" s="70"/>
      <c r="Q66" s="70"/>
      <c r="R66" s="70"/>
      <c r="S66" s="70"/>
      <c r="T66" s="70"/>
    </row>
    <row r="67" spans="15:20" ht="12" customHeight="1" x14ac:dyDescent="0.25">
      <c r="O67" s="70"/>
      <c r="P67" s="70"/>
      <c r="Q67" s="70"/>
      <c r="R67" s="70"/>
      <c r="S67" s="70"/>
      <c r="T67" s="70"/>
    </row>
    <row r="68" spans="15:20" ht="12" customHeight="1" x14ac:dyDescent="0.25">
      <c r="O68" s="70"/>
      <c r="P68" s="70"/>
      <c r="Q68" s="70"/>
      <c r="R68" s="70"/>
      <c r="S68" s="70"/>
      <c r="T68" s="70"/>
    </row>
    <row r="69" spans="15:20" ht="12" customHeight="1" x14ac:dyDescent="0.25">
      <c r="O69" s="70"/>
      <c r="P69" s="70"/>
      <c r="Q69" s="70"/>
      <c r="R69" s="70"/>
      <c r="S69" s="70"/>
      <c r="T69" s="70"/>
    </row>
    <row r="70" spans="15:20" ht="12" customHeight="1" x14ac:dyDescent="0.25">
      <c r="O70" s="70"/>
      <c r="P70" s="70"/>
      <c r="Q70" s="70"/>
      <c r="R70" s="70"/>
      <c r="S70" s="70"/>
      <c r="T70" s="70"/>
    </row>
    <row r="71" spans="15:20" ht="12" customHeight="1" x14ac:dyDescent="0.25">
      <c r="O71" s="70"/>
      <c r="P71" s="70"/>
      <c r="Q71" s="70"/>
      <c r="R71" s="70"/>
      <c r="S71" s="70"/>
      <c r="T71" s="70"/>
    </row>
    <row r="72" spans="15:20" ht="12" customHeight="1" x14ac:dyDescent="0.25">
      <c r="O72" s="70"/>
      <c r="P72" s="70"/>
      <c r="Q72" s="70"/>
      <c r="R72" s="70"/>
      <c r="S72" s="70"/>
      <c r="T72" s="70"/>
    </row>
    <row r="73" spans="15:20" ht="12" customHeight="1" x14ac:dyDescent="0.25">
      <c r="O73" s="70"/>
      <c r="P73" s="70"/>
      <c r="Q73" s="70"/>
      <c r="R73" s="70"/>
      <c r="S73" s="70"/>
      <c r="T73" s="70"/>
    </row>
    <row r="74" spans="15:20" ht="12" customHeight="1" x14ac:dyDescent="0.25">
      <c r="O74" s="70"/>
      <c r="P74" s="70"/>
      <c r="Q74" s="70"/>
      <c r="R74" s="70"/>
      <c r="S74" s="70"/>
      <c r="T74" s="70"/>
    </row>
    <row r="75" spans="15:20" ht="12" customHeight="1" x14ac:dyDescent="0.25">
      <c r="O75" s="70"/>
      <c r="P75" s="70"/>
      <c r="Q75" s="70"/>
      <c r="R75" s="70"/>
      <c r="S75" s="70"/>
      <c r="T75" s="70"/>
    </row>
    <row r="76" spans="15:20" ht="12" customHeight="1" x14ac:dyDescent="0.25">
      <c r="O76" s="70"/>
      <c r="P76" s="70"/>
      <c r="Q76" s="70"/>
      <c r="R76" s="70"/>
      <c r="S76" s="70"/>
      <c r="T76" s="70"/>
    </row>
    <row r="77" spans="15:20" ht="12" customHeight="1" x14ac:dyDescent="0.25">
      <c r="O77" s="70"/>
      <c r="P77" s="70"/>
      <c r="Q77" s="70"/>
      <c r="R77" s="70"/>
      <c r="S77" s="70"/>
      <c r="T77" s="70"/>
    </row>
    <row r="78" spans="15:20" ht="12" customHeight="1" x14ac:dyDescent="0.25">
      <c r="O78" s="70"/>
      <c r="P78" s="70"/>
      <c r="Q78" s="70"/>
      <c r="R78" s="70"/>
      <c r="S78" s="70"/>
      <c r="T78" s="70"/>
    </row>
    <row r="79" spans="15:20" ht="12" customHeight="1" x14ac:dyDescent="0.25">
      <c r="O79" s="70"/>
      <c r="P79" s="70"/>
      <c r="Q79" s="70"/>
      <c r="R79" s="70"/>
      <c r="S79" s="70"/>
      <c r="T79" s="70"/>
    </row>
    <row r="80" spans="15:20" ht="12" customHeight="1" x14ac:dyDescent="0.25">
      <c r="O80" s="70"/>
      <c r="P80" s="70"/>
      <c r="Q80" s="70"/>
      <c r="R80" s="70"/>
      <c r="S80" s="70"/>
      <c r="T80" s="70"/>
    </row>
    <row r="81" spans="15:20" ht="12" customHeight="1" x14ac:dyDescent="0.25">
      <c r="O81" s="70"/>
      <c r="P81" s="70"/>
      <c r="Q81" s="70"/>
      <c r="R81" s="70"/>
      <c r="S81" s="70"/>
      <c r="T81" s="70"/>
    </row>
    <row r="82" spans="15:20" ht="12" customHeight="1" x14ac:dyDescent="0.25">
      <c r="O82" s="70"/>
      <c r="P82" s="70"/>
      <c r="Q82" s="70"/>
      <c r="R82" s="70"/>
      <c r="S82" s="70"/>
      <c r="T82" s="70"/>
    </row>
    <row r="83" spans="15:20" ht="12" customHeight="1" x14ac:dyDescent="0.25">
      <c r="O83" s="70"/>
      <c r="P83" s="70"/>
      <c r="Q83" s="70"/>
      <c r="R83" s="70"/>
      <c r="S83" s="70"/>
      <c r="T83" s="70"/>
    </row>
    <row r="84" spans="15:20" ht="12" customHeight="1" x14ac:dyDescent="0.25">
      <c r="O84" s="70"/>
      <c r="P84" s="70"/>
      <c r="Q84" s="70"/>
      <c r="R84" s="70"/>
      <c r="S84" s="70"/>
      <c r="T84" s="70"/>
    </row>
    <row r="85" spans="15:20" ht="12" customHeight="1" x14ac:dyDescent="0.25">
      <c r="O85" s="70"/>
      <c r="P85" s="70"/>
      <c r="Q85" s="70"/>
      <c r="R85" s="70"/>
      <c r="S85" s="70"/>
      <c r="T85" s="70"/>
    </row>
    <row r="86" spans="15:20" ht="12" customHeight="1" x14ac:dyDescent="0.25">
      <c r="O86" s="70"/>
      <c r="P86" s="70"/>
      <c r="Q86" s="70"/>
      <c r="R86" s="70"/>
      <c r="S86" s="70"/>
      <c r="T86" s="70"/>
    </row>
    <row r="87" spans="15:20" ht="12" customHeight="1" x14ac:dyDescent="0.25">
      <c r="O87" s="70"/>
      <c r="P87" s="70"/>
      <c r="Q87" s="70"/>
      <c r="R87" s="70"/>
      <c r="S87" s="70"/>
      <c r="T87" s="70"/>
    </row>
    <row r="88" spans="15:20" ht="12" customHeight="1" x14ac:dyDescent="0.25">
      <c r="O88" s="70"/>
      <c r="P88" s="70"/>
      <c r="Q88" s="70"/>
      <c r="R88" s="70"/>
      <c r="S88" s="70"/>
      <c r="T88" s="70"/>
    </row>
    <row r="89" spans="15:20" ht="12" customHeight="1" x14ac:dyDescent="0.25">
      <c r="O89" s="70"/>
      <c r="P89" s="70"/>
      <c r="Q89" s="70"/>
      <c r="R89" s="70"/>
      <c r="S89" s="70"/>
      <c r="T89" s="70"/>
    </row>
    <row r="90" spans="15:20" ht="12" customHeight="1" x14ac:dyDescent="0.25">
      <c r="O90" s="70"/>
      <c r="P90" s="70"/>
      <c r="Q90" s="70"/>
      <c r="R90" s="70"/>
      <c r="S90" s="70"/>
      <c r="T90" s="70"/>
    </row>
    <row r="91" spans="15:20" ht="12" customHeight="1" x14ac:dyDescent="0.25">
      <c r="O91" s="70"/>
      <c r="P91" s="70"/>
      <c r="Q91" s="70"/>
      <c r="R91" s="70"/>
      <c r="S91" s="70"/>
      <c r="T91" s="70"/>
    </row>
    <row r="92" spans="15:20" ht="12" customHeight="1" x14ac:dyDescent="0.25">
      <c r="O92" s="70"/>
      <c r="P92" s="70"/>
      <c r="Q92" s="70"/>
      <c r="R92" s="70"/>
      <c r="S92" s="70"/>
      <c r="T92" s="70"/>
    </row>
    <row r="93" spans="15:20" ht="12" customHeight="1" x14ac:dyDescent="0.25">
      <c r="O93" s="70"/>
      <c r="P93" s="70"/>
      <c r="Q93" s="70"/>
      <c r="R93" s="70"/>
      <c r="S93" s="70"/>
      <c r="T93" s="70"/>
    </row>
    <row r="94" spans="15:20" ht="12" customHeight="1" x14ac:dyDescent="0.25">
      <c r="O94" s="70"/>
      <c r="P94" s="70"/>
      <c r="Q94" s="70"/>
      <c r="R94" s="70"/>
      <c r="S94" s="70"/>
      <c r="T94" s="70"/>
    </row>
    <row r="95" spans="15:20" ht="12" customHeight="1" x14ac:dyDescent="0.25">
      <c r="O95" s="70"/>
      <c r="P95" s="70"/>
      <c r="Q95" s="70"/>
      <c r="R95" s="70"/>
      <c r="S95" s="70"/>
      <c r="T95" s="70"/>
    </row>
    <row r="96" spans="15:20" ht="12" customHeight="1" x14ac:dyDescent="0.25">
      <c r="O96" s="70"/>
      <c r="P96" s="70"/>
      <c r="Q96" s="70"/>
      <c r="R96" s="70"/>
      <c r="S96" s="70"/>
      <c r="T96" s="70"/>
    </row>
    <row r="97" spans="15:30" ht="12" customHeight="1" x14ac:dyDescent="0.25">
      <c r="O97" s="70"/>
      <c r="P97" s="70"/>
      <c r="Q97" s="70"/>
      <c r="R97" s="70"/>
      <c r="S97" s="70"/>
      <c r="T97" s="70"/>
    </row>
    <row r="98" spans="15:30" ht="12" customHeight="1" x14ac:dyDescent="0.25">
      <c r="O98" s="70"/>
      <c r="P98" s="70"/>
      <c r="Q98" s="70"/>
      <c r="R98" s="70"/>
      <c r="S98" s="70"/>
      <c r="T98" s="70"/>
    </row>
    <row r="99" spans="15:30" ht="12" customHeight="1" x14ac:dyDescent="0.25">
      <c r="O99" s="69"/>
      <c r="P99" s="69"/>
      <c r="Q99" s="69"/>
      <c r="R99" s="69"/>
      <c r="S99" s="69"/>
      <c r="T99" s="69"/>
    </row>
    <row r="100" spans="15:30" ht="12" customHeight="1" x14ac:dyDescent="0.25"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</row>
    <row r="101" spans="15:30" ht="12" customHeight="1" x14ac:dyDescent="0.25">
      <c r="O101" s="70" t="s">
        <v>765</v>
      </c>
      <c r="P101" s="70" t="s">
        <v>770</v>
      </c>
      <c r="Q101" s="70" t="s">
        <v>771</v>
      </c>
      <c r="R101" s="70" t="s">
        <v>772</v>
      </c>
      <c r="S101" s="70" t="s">
        <v>773</v>
      </c>
      <c r="T101" s="70" t="s">
        <v>774</v>
      </c>
      <c r="U101" s="70" t="s">
        <v>775</v>
      </c>
      <c r="V101" s="70" t="s">
        <v>776</v>
      </c>
      <c r="W101" s="70"/>
      <c r="X101" s="70"/>
      <c r="Y101" s="70"/>
      <c r="Z101" s="70"/>
      <c r="AA101" s="70"/>
      <c r="AB101" s="70"/>
      <c r="AC101" s="70"/>
      <c r="AD101" s="70"/>
    </row>
    <row r="102" spans="15:30" ht="12" customHeight="1" x14ac:dyDescent="0.25">
      <c r="O102" s="70" t="s">
        <v>40</v>
      </c>
      <c r="P102" s="70" t="s">
        <v>23</v>
      </c>
      <c r="Q102" s="70" t="s">
        <v>43</v>
      </c>
      <c r="R102" s="70" t="s">
        <v>44</v>
      </c>
      <c r="S102" s="70" t="s">
        <v>25</v>
      </c>
      <c r="T102" s="70" t="s">
        <v>44</v>
      </c>
      <c r="U102" s="70">
        <v>4</v>
      </c>
      <c r="V102" s="70">
        <v>0.3</v>
      </c>
      <c r="W102" s="70">
        <v>0.24</v>
      </c>
      <c r="X102" s="70">
        <v>0.18</v>
      </c>
      <c r="Y102" s="70">
        <v>0.12</v>
      </c>
      <c r="Z102" s="70">
        <v>0.06</v>
      </c>
      <c r="AA102" s="70">
        <v>0</v>
      </c>
      <c r="AB102" s="70"/>
      <c r="AC102" s="70"/>
      <c r="AD102" s="70"/>
    </row>
    <row r="103" spans="15:30" ht="12" customHeight="1" x14ac:dyDescent="0.25"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</row>
    <row r="104" spans="15:30" ht="12" customHeight="1" x14ac:dyDescent="0.25"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</row>
    <row r="105" spans="15:30" ht="12" customHeight="1" x14ac:dyDescent="0.25"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</row>
    <row r="106" spans="15:30" ht="12" customHeight="1" x14ac:dyDescent="0.25"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</row>
    <row r="107" spans="15:30" ht="12" customHeight="1" x14ac:dyDescent="0.25"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</row>
    <row r="108" spans="15:30" ht="12" customHeight="1" x14ac:dyDescent="0.25"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</row>
    <row r="109" spans="15:30" ht="12" customHeight="1" x14ac:dyDescent="0.25"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</row>
    <row r="110" spans="15:30" ht="12" customHeight="1" x14ac:dyDescent="0.25"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</row>
    <row r="111" spans="15:30" ht="12" customHeight="1" x14ac:dyDescent="0.25"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</row>
    <row r="112" spans="15:30" ht="12" customHeight="1" x14ac:dyDescent="0.25"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</row>
    <row r="113" spans="15:30" ht="12" customHeight="1" x14ac:dyDescent="0.25"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</row>
    <row r="114" spans="15:30" ht="12" customHeight="1" x14ac:dyDescent="0.25"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</row>
    <row r="115" spans="15:30" ht="12" customHeight="1" x14ac:dyDescent="0.25"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</row>
    <row r="116" spans="15:30" ht="12" customHeight="1" x14ac:dyDescent="0.25"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</row>
    <row r="117" spans="15:30" ht="12" customHeight="1" x14ac:dyDescent="0.25"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</row>
    <row r="118" spans="15:30" ht="12" customHeight="1" x14ac:dyDescent="0.25"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</row>
    <row r="119" spans="15:30" ht="12" customHeight="1" x14ac:dyDescent="0.25"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</row>
    <row r="120" spans="15:30" ht="12" customHeight="1" x14ac:dyDescent="0.25"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</row>
    <row r="121" spans="15:30" ht="12" customHeight="1" x14ac:dyDescent="0.25"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</row>
    <row r="122" spans="15:30" ht="12" customHeight="1" x14ac:dyDescent="0.25"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</row>
    <row r="123" spans="15:30" ht="12" customHeight="1" x14ac:dyDescent="0.25"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</row>
    <row r="124" spans="15:30" ht="12" customHeight="1" x14ac:dyDescent="0.25"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</row>
    <row r="125" spans="15:30" ht="12" customHeight="1" x14ac:dyDescent="0.25"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</row>
    <row r="126" spans="15:30" ht="12" customHeight="1" x14ac:dyDescent="0.25"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</row>
    <row r="127" spans="15:30" ht="12" customHeight="1" x14ac:dyDescent="0.25"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</row>
    <row r="128" spans="15:30" ht="12" customHeight="1" x14ac:dyDescent="0.25"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</row>
    <row r="129" spans="15:30" ht="12" customHeight="1" x14ac:dyDescent="0.25"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</row>
    <row r="130" spans="15:30" ht="12" customHeight="1" x14ac:dyDescent="0.25"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</row>
    <row r="131" spans="15:30" ht="12" customHeight="1" x14ac:dyDescent="0.25"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</row>
    <row r="132" spans="15:30" ht="12" customHeight="1" x14ac:dyDescent="0.25"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</row>
    <row r="133" spans="15:30" ht="12" customHeight="1" x14ac:dyDescent="0.25"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</row>
    <row r="134" spans="15:30" ht="12" customHeight="1" x14ac:dyDescent="0.25"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</row>
    <row r="135" spans="15:30" ht="12" customHeight="1" x14ac:dyDescent="0.25"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</row>
    <row r="136" spans="15:30" ht="12" customHeight="1" x14ac:dyDescent="0.25"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</row>
    <row r="137" spans="15:30" ht="12" customHeight="1" x14ac:dyDescent="0.25"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</row>
    <row r="138" spans="15:30" ht="12" customHeight="1" x14ac:dyDescent="0.25"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</row>
    <row r="139" spans="15:30" ht="12" customHeight="1" x14ac:dyDescent="0.25"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</row>
    <row r="140" spans="15:30" ht="12" customHeight="1" x14ac:dyDescent="0.25"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</row>
    <row r="141" spans="15:30" ht="12" customHeight="1" x14ac:dyDescent="0.25"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</row>
    <row r="142" spans="15:30" ht="12" customHeight="1" x14ac:dyDescent="0.25"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</row>
    <row r="143" spans="15:30" ht="12" customHeight="1" x14ac:dyDescent="0.25"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</row>
    <row r="144" spans="15:30" ht="12" customHeight="1" x14ac:dyDescent="0.25"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</row>
    <row r="145" spans="15:30" ht="12" customHeight="1" x14ac:dyDescent="0.25"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</row>
    <row r="146" spans="15:30" ht="12" customHeight="1" x14ac:dyDescent="0.25"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</row>
    <row r="147" spans="15:30" ht="12" customHeight="1" x14ac:dyDescent="0.25"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</row>
    <row r="148" spans="15:30" ht="12" customHeight="1" x14ac:dyDescent="0.25"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</row>
    <row r="149" spans="15:30" ht="12" customHeight="1" x14ac:dyDescent="0.25"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</row>
    <row r="150" spans="15:30" ht="12" customHeight="1" x14ac:dyDescent="0.25"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</row>
    <row r="151" spans="15:30" ht="12" customHeight="1" x14ac:dyDescent="0.25"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</row>
    <row r="152" spans="15:30" ht="12" customHeight="1" x14ac:dyDescent="0.25"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</row>
    <row r="153" spans="15:30" ht="12" customHeight="1" x14ac:dyDescent="0.25"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</row>
    <row r="154" spans="15:30" ht="12" customHeight="1" x14ac:dyDescent="0.25"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</row>
    <row r="155" spans="15:30" ht="12" customHeight="1" x14ac:dyDescent="0.25"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</row>
    <row r="156" spans="15:30" ht="12" customHeight="1" x14ac:dyDescent="0.25"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</row>
    <row r="157" spans="15:30" ht="12" customHeight="1" x14ac:dyDescent="0.25"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</row>
    <row r="158" spans="15:30" ht="12" customHeight="1" x14ac:dyDescent="0.25"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</row>
    <row r="159" spans="15:30" ht="12" customHeight="1" x14ac:dyDescent="0.25"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</row>
    <row r="160" spans="15:30" ht="12" customHeight="1" x14ac:dyDescent="0.25"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</row>
    <row r="161" spans="15:30" ht="12" customHeight="1" x14ac:dyDescent="0.25"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</row>
    <row r="162" spans="15:30" ht="12" customHeight="1" x14ac:dyDescent="0.25"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</row>
    <row r="163" spans="15:30" ht="12" customHeight="1" x14ac:dyDescent="0.25"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</row>
    <row r="164" spans="15:30" ht="12" customHeight="1" x14ac:dyDescent="0.25"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</row>
    <row r="165" spans="15:30" ht="12" customHeight="1" x14ac:dyDescent="0.25"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</row>
    <row r="166" spans="15:30" ht="12" customHeight="1" x14ac:dyDescent="0.25"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</row>
    <row r="167" spans="15:30" ht="12" customHeight="1" x14ac:dyDescent="0.25"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</row>
    <row r="168" spans="15:30" ht="12" customHeight="1" x14ac:dyDescent="0.25"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</row>
    <row r="169" spans="15:30" ht="12" customHeight="1" x14ac:dyDescent="0.25"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</row>
    <row r="170" spans="15:30" ht="12" customHeight="1" x14ac:dyDescent="0.25"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</row>
    <row r="171" spans="15:30" ht="12" customHeight="1" x14ac:dyDescent="0.25"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</row>
    <row r="172" spans="15:30" ht="12" customHeight="1" x14ac:dyDescent="0.25"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</row>
    <row r="173" spans="15:30" ht="12" customHeight="1" x14ac:dyDescent="0.25"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</row>
    <row r="174" spans="15:30" ht="12" customHeight="1" x14ac:dyDescent="0.25"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</row>
    <row r="175" spans="15:30" ht="12" customHeight="1" x14ac:dyDescent="0.25"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</row>
    <row r="176" spans="15:30" ht="12" customHeight="1" x14ac:dyDescent="0.25"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</row>
    <row r="177" spans="15:30" ht="12" customHeight="1" x14ac:dyDescent="0.25"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</row>
    <row r="178" spans="15:30" ht="12" customHeight="1" x14ac:dyDescent="0.25"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</row>
    <row r="179" spans="15:30" ht="12" customHeight="1" x14ac:dyDescent="0.25"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</row>
    <row r="180" spans="15:30" ht="12" customHeight="1" x14ac:dyDescent="0.25"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</row>
    <row r="181" spans="15:30" ht="12" customHeight="1" x14ac:dyDescent="0.25"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</row>
    <row r="182" spans="15:30" ht="12" customHeight="1" x14ac:dyDescent="0.25"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</row>
    <row r="183" spans="15:30" ht="12" customHeight="1" x14ac:dyDescent="0.25"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</row>
    <row r="184" spans="15:30" ht="12" customHeight="1" x14ac:dyDescent="0.25"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</row>
    <row r="185" spans="15:30" ht="12" customHeight="1" x14ac:dyDescent="0.25"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</row>
    <row r="186" spans="15:30" ht="12" customHeight="1" x14ac:dyDescent="0.25"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</row>
    <row r="187" spans="15:30" ht="12" customHeight="1" x14ac:dyDescent="0.25"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</row>
    <row r="188" spans="15:30" ht="12" customHeight="1" x14ac:dyDescent="0.25"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</row>
    <row r="189" spans="15:30" ht="12" customHeight="1" x14ac:dyDescent="0.25"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</row>
    <row r="190" spans="15:30" ht="12" customHeight="1" x14ac:dyDescent="0.25"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</row>
    <row r="191" spans="15:30" ht="12" customHeight="1" x14ac:dyDescent="0.25"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</row>
    <row r="192" spans="15:30" ht="12" customHeight="1" x14ac:dyDescent="0.25"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</row>
    <row r="193" spans="15:30" ht="12" customHeight="1" x14ac:dyDescent="0.25"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</row>
    <row r="194" spans="15:30" ht="12" customHeight="1" x14ac:dyDescent="0.25"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</row>
    <row r="195" spans="15:30" ht="12" customHeight="1" x14ac:dyDescent="0.25"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</row>
    <row r="196" spans="15:30" ht="12" customHeight="1" x14ac:dyDescent="0.25"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</row>
    <row r="197" spans="15:30" ht="12" customHeight="1" x14ac:dyDescent="0.25"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</row>
    <row r="198" spans="15:30" ht="12" customHeight="1" x14ac:dyDescent="0.25"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</row>
    <row r="199" spans="15:30" ht="12" customHeight="1" x14ac:dyDescent="0.25"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</row>
    <row r="200" spans="15:30" ht="12" customHeight="1" x14ac:dyDescent="0.25"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</row>
  </sheetData>
  <mergeCells count="19">
    <mergeCell ref="B35:B36"/>
    <mergeCell ref="B37:B40"/>
    <mergeCell ref="B41:B42"/>
    <mergeCell ref="A47:C47"/>
    <mergeCell ref="A48:C48"/>
    <mergeCell ref="B43:B44"/>
    <mergeCell ref="B45:C45"/>
    <mergeCell ref="O1:U1"/>
    <mergeCell ref="A46:C46"/>
    <mergeCell ref="L1:M1"/>
    <mergeCell ref="A2:A29"/>
    <mergeCell ref="A30:A45"/>
    <mergeCell ref="B2:B10"/>
    <mergeCell ref="B11:B18"/>
    <mergeCell ref="B19:B20"/>
    <mergeCell ref="B21:B23"/>
    <mergeCell ref="B24:B28"/>
    <mergeCell ref="B29:C29"/>
    <mergeCell ref="B30:B34"/>
  </mergeCells>
  <pageMargins left="0.511811024" right="0.511811024" top="0.78740157499999996" bottom="0.78740157499999996" header="0.31496062000000002" footer="0.31496062000000002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DF91-060C-4AF8-9F79-F5F4A9481B61}">
  <dimension ref="A1:AP51"/>
  <sheetViews>
    <sheetView showGridLines="0" topLeftCell="A28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2" width="10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2" t="s">
        <v>66</v>
      </c>
      <c r="B1" s="132" t="s">
        <v>67</v>
      </c>
      <c r="C1" s="132" t="s">
        <v>68</v>
      </c>
      <c r="D1" s="132" t="s">
        <v>69</v>
      </c>
      <c r="E1" s="132" t="s">
        <v>70</v>
      </c>
      <c r="F1" s="132" t="s">
        <v>15</v>
      </c>
      <c r="G1" s="132" t="s">
        <v>72</v>
      </c>
      <c r="H1" s="132" t="s">
        <v>73</v>
      </c>
      <c r="I1" s="132" t="s">
        <v>717</v>
      </c>
      <c r="J1" s="126"/>
      <c r="L1" s="133" t="s">
        <v>718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719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6"/>
      <c r="L2" s="133" t="s">
        <v>617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4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6"/>
      <c r="L3" s="133" t="s">
        <v>618</v>
      </c>
      <c r="M3" s="133"/>
      <c r="N3" s="133"/>
      <c r="O3" s="133"/>
      <c r="P3" s="133"/>
      <c r="Q3" s="133"/>
      <c r="R3" s="133"/>
      <c r="S3" s="133"/>
      <c r="T3" s="133"/>
      <c r="U3" s="133" t="s">
        <v>627</v>
      </c>
      <c r="V3" s="133"/>
      <c r="W3" s="133"/>
      <c r="X3" s="133"/>
      <c r="Y3" s="133"/>
      <c r="Z3" s="133"/>
      <c r="AA3" s="133"/>
      <c r="AB3" s="133"/>
      <c r="AC3" s="133" t="s">
        <v>635</v>
      </c>
      <c r="AD3" s="133"/>
      <c r="AE3" s="133" t="s">
        <v>637</v>
      </c>
      <c r="AF3" s="133"/>
      <c r="AG3" s="133"/>
      <c r="AH3" s="133" t="s">
        <v>640</v>
      </c>
      <c r="AI3" s="133"/>
      <c r="AJ3" s="133"/>
      <c r="AK3" s="133"/>
      <c r="AL3" s="133"/>
      <c r="AM3" s="133" t="s">
        <v>626</v>
      </c>
      <c r="AP3" s="134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6"/>
      <c r="L4" s="60" t="s">
        <v>702</v>
      </c>
      <c r="M4" s="60" t="s">
        <v>619</v>
      </c>
      <c r="N4" s="60" t="s">
        <v>620</v>
      </c>
      <c r="O4" s="60" t="s">
        <v>621</v>
      </c>
      <c r="P4" s="60" t="s">
        <v>622</v>
      </c>
      <c r="Q4" s="60" t="s">
        <v>623</v>
      </c>
      <c r="R4" s="60" t="s">
        <v>624</v>
      </c>
      <c r="S4" s="60" t="s">
        <v>625</v>
      </c>
      <c r="T4" s="60" t="s">
        <v>626</v>
      </c>
      <c r="U4" s="60" t="s">
        <v>628</v>
      </c>
      <c r="V4" s="60" t="s">
        <v>629</v>
      </c>
      <c r="W4" s="60" t="s">
        <v>630</v>
      </c>
      <c r="X4" s="60" t="s">
        <v>631</v>
      </c>
      <c r="Y4" s="60" t="s">
        <v>632</v>
      </c>
      <c r="Z4" s="60" t="s">
        <v>633</v>
      </c>
      <c r="AA4" s="60" t="s">
        <v>634</v>
      </c>
      <c r="AB4" s="60" t="s">
        <v>626</v>
      </c>
      <c r="AC4" s="60" t="s">
        <v>636</v>
      </c>
      <c r="AD4" s="60" t="s">
        <v>626</v>
      </c>
      <c r="AE4" s="60" t="s">
        <v>638</v>
      </c>
      <c r="AF4" s="60" t="s">
        <v>639</v>
      </c>
      <c r="AG4" s="60" t="s">
        <v>626</v>
      </c>
      <c r="AH4" s="60" t="s">
        <v>641</v>
      </c>
      <c r="AI4" s="60" t="s">
        <v>642</v>
      </c>
      <c r="AJ4" s="60" t="s">
        <v>643</v>
      </c>
      <c r="AK4" s="60" t="s">
        <v>644</v>
      </c>
      <c r="AL4" s="60" t="s">
        <v>626</v>
      </c>
      <c r="AM4" s="135"/>
      <c r="AP4" s="134"/>
    </row>
    <row r="5" spans="1:42" ht="11.25" customHeight="1" x14ac:dyDescent="0.25">
      <c r="A5" s="131" t="s">
        <v>33</v>
      </c>
      <c r="B5" s="131" t="s">
        <v>41</v>
      </c>
      <c r="C5" s="131" t="s">
        <v>25</v>
      </c>
      <c r="D5" s="131" t="s">
        <v>25</v>
      </c>
      <c r="E5" s="131" t="s">
        <v>25</v>
      </c>
      <c r="F5" s="131" t="s">
        <v>25</v>
      </c>
      <c r="G5" s="44" t="s">
        <v>80</v>
      </c>
      <c r="H5" s="44" t="s">
        <v>79</v>
      </c>
      <c r="I5" s="44">
        <f>'MERCADO TUSD'!$U$2</f>
        <v>2147</v>
      </c>
      <c r="J5" s="18"/>
      <c r="L5" s="26"/>
      <c r="M5" s="26"/>
      <c r="N5" s="26"/>
      <c r="O5" s="26"/>
      <c r="P5" s="26"/>
      <c r="Q5" s="26"/>
      <c r="R5" s="26"/>
      <c r="S5" s="26"/>
      <c r="T5" s="26"/>
      <c r="U5" s="26">
        <v>3.5063</v>
      </c>
      <c r="V5" s="26">
        <v>3.5708000000000002</v>
      </c>
      <c r="W5" s="26">
        <v>0</v>
      </c>
      <c r="X5" s="26">
        <v>0</v>
      </c>
      <c r="Y5" s="26">
        <v>4.4862000000000002</v>
      </c>
      <c r="Z5" s="26">
        <v>0</v>
      </c>
      <c r="AA5" s="26">
        <v>0</v>
      </c>
      <c r="AB5" s="26"/>
      <c r="AC5" s="26">
        <v>35.614899999999999</v>
      </c>
      <c r="AD5" s="26"/>
      <c r="AE5" s="26"/>
      <c r="AF5" s="26"/>
      <c r="AG5" s="26"/>
      <c r="AH5" s="26"/>
      <c r="AI5" s="26"/>
      <c r="AJ5" s="26"/>
      <c r="AK5" s="26"/>
      <c r="AL5" s="26"/>
      <c r="AM5" s="26"/>
      <c r="AP5" s="26">
        <v>1</v>
      </c>
    </row>
    <row r="6" spans="1:42" ht="11.25" customHeight="1" x14ac:dyDescent="0.25">
      <c r="A6" s="131"/>
      <c r="B6" s="131"/>
      <c r="C6" s="131"/>
      <c r="D6" s="131"/>
      <c r="E6" s="131"/>
      <c r="F6" s="131"/>
      <c r="G6" s="44" t="s">
        <v>81</v>
      </c>
      <c r="H6" s="44" t="s">
        <v>79</v>
      </c>
      <c r="I6" s="44">
        <f>'MERCADO TUSD'!$U$3</f>
        <v>2668</v>
      </c>
      <c r="J6" s="18"/>
      <c r="L6" s="26"/>
      <c r="M6" s="26"/>
      <c r="N6" s="26"/>
      <c r="O6" s="26"/>
      <c r="P6" s="26"/>
      <c r="Q6" s="26"/>
      <c r="R6" s="26"/>
      <c r="S6" s="26"/>
      <c r="T6" s="26"/>
      <c r="U6" s="26">
        <v>3.4548999999999999</v>
      </c>
      <c r="V6" s="26">
        <v>3.5531000000000001</v>
      </c>
      <c r="W6" s="26">
        <v>0</v>
      </c>
      <c r="X6" s="26">
        <v>0</v>
      </c>
      <c r="Y6" s="26">
        <v>4.4203000000000001</v>
      </c>
      <c r="Z6" s="26">
        <v>0</v>
      </c>
      <c r="AA6" s="26">
        <v>0</v>
      </c>
      <c r="AB6" s="26"/>
      <c r="AC6" s="26">
        <v>8.9125999999999994</v>
      </c>
      <c r="AD6" s="26"/>
      <c r="AE6" s="26"/>
      <c r="AF6" s="26"/>
      <c r="AG6" s="26"/>
      <c r="AH6" s="26"/>
      <c r="AI6" s="26"/>
      <c r="AJ6" s="26"/>
      <c r="AK6" s="26"/>
      <c r="AL6" s="26"/>
      <c r="AM6" s="26"/>
      <c r="AP6" s="26">
        <v>1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44" t="s">
        <v>82</v>
      </c>
      <c r="H7" s="44" t="s">
        <v>76</v>
      </c>
      <c r="I7" s="44">
        <f>'MERCADO TUSD'!$U$4</f>
        <v>669.6350000000001</v>
      </c>
      <c r="J7" s="18"/>
      <c r="L7" s="26"/>
      <c r="M7" s="26"/>
      <c r="N7" s="26"/>
      <c r="O7" s="26"/>
      <c r="P7" s="26"/>
      <c r="Q7" s="26"/>
      <c r="R7" s="26"/>
      <c r="S7" s="26"/>
      <c r="T7" s="26"/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/>
      <c r="AC7" s="26">
        <v>0</v>
      </c>
      <c r="AD7" s="26"/>
      <c r="AE7" s="26"/>
      <c r="AF7" s="26"/>
      <c r="AG7" s="26"/>
      <c r="AH7" s="26"/>
      <c r="AI7" s="26"/>
      <c r="AJ7" s="26"/>
      <c r="AK7" s="26"/>
      <c r="AL7" s="26"/>
      <c r="AM7" s="26"/>
      <c r="AP7" s="26">
        <v>1</v>
      </c>
    </row>
    <row r="8" spans="1:42" ht="11.25" customHeight="1" x14ac:dyDescent="0.25">
      <c r="A8" s="131"/>
      <c r="B8" s="131"/>
      <c r="C8" s="131"/>
      <c r="D8" s="131"/>
      <c r="E8" s="59" t="s">
        <v>83</v>
      </c>
      <c r="F8" s="59" t="s">
        <v>25</v>
      </c>
      <c r="G8" s="44" t="s">
        <v>82</v>
      </c>
      <c r="H8" s="44" t="s">
        <v>76</v>
      </c>
      <c r="I8" s="44">
        <f>'MERCADO TUSD'!$U$5</f>
        <v>0</v>
      </c>
      <c r="J8" s="18"/>
      <c r="L8" s="26"/>
      <c r="M8" s="26"/>
      <c r="N8" s="26"/>
      <c r="O8" s="26"/>
      <c r="P8" s="26"/>
      <c r="Q8" s="26"/>
      <c r="R8" s="26"/>
      <c r="S8" s="26"/>
      <c r="T8" s="26"/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/>
      <c r="AC8" s="26">
        <v>0</v>
      </c>
      <c r="AD8" s="26"/>
      <c r="AE8" s="26"/>
      <c r="AF8" s="26"/>
      <c r="AG8" s="26"/>
      <c r="AH8" s="26"/>
      <c r="AI8" s="26"/>
      <c r="AJ8" s="26"/>
      <c r="AK8" s="26"/>
      <c r="AL8" s="26"/>
      <c r="AM8" s="26"/>
      <c r="AP8" s="26">
        <v>1</v>
      </c>
    </row>
    <row r="9" spans="1:42" ht="11.25" customHeight="1" x14ac:dyDescent="0.25">
      <c r="A9" s="131"/>
      <c r="B9" s="59" t="s">
        <v>84</v>
      </c>
      <c r="C9" s="59" t="s">
        <v>25</v>
      </c>
      <c r="D9" s="59" t="s">
        <v>25</v>
      </c>
      <c r="E9" s="59" t="s">
        <v>25</v>
      </c>
      <c r="F9" s="59" t="s">
        <v>25</v>
      </c>
      <c r="G9" s="44" t="s">
        <v>9</v>
      </c>
      <c r="H9" s="44" t="s">
        <v>79</v>
      </c>
      <c r="I9" s="44">
        <f>'MERCADO TUSD'!$U$6</f>
        <v>0</v>
      </c>
      <c r="J9" s="18"/>
      <c r="L9" s="26"/>
      <c r="M9" s="26"/>
      <c r="N9" s="26"/>
      <c r="O9" s="26"/>
      <c r="P9" s="26"/>
      <c r="Q9" s="26"/>
      <c r="R9" s="26"/>
      <c r="S9" s="26"/>
      <c r="T9" s="26"/>
      <c r="U9" s="26">
        <v>0</v>
      </c>
      <c r="V9" s="26">
        <v>0</v>
      </c>
      <c r="W9" s="26">
        <v>0</v>
      </c>
      <c r="X9" s="26">
        <v>0</v>
      </c>
      <c r="Y9" s="26">
        <v>0</v>
      </c>
      <c r="Z9" s="26">
        <v>0</v>
      </c>
      <c r="AA9" s="26">
        <v>0</v>
      </c>
      <c r="AB9" s="26"/>
      <c r="AC9" s="26">
        <v>4.6040999999999999</v>
      </c>
      <c r="AD9" s="26"/>
      <c r="AE9" s="26"/>
      <c r="AF9" s="26"/>
      <c r="AG9" s="26"/>
      <c r="AH9" s="26"/>
      <c r="AI9" s="26"/>
      <c r="AJ9" s="26"/>
      <c r="AK9" s="26"/>
      <c r="AL9" s="26"/>
      <c r="AM9" s="26"/>
      <c r="AP9" s="26"/>
    </row>
    <row r="10" spans="1:42" ht="11.25" customHeight="1" x14ac:dyDescent="0.25">
      <c r="A10" s="131"/>
      <c r="B10" s="131" t="s">
        <v>34</v>
      </c>
      <c r="C10" s="131" t="s">
        <v>25</v>
      </c>
      <c r="D10" s="131" t="s">
        <v>25</v>
      </c>
      <c r="E10" s="131" t="s">
        <v>25</v>
      </c>
      <c r="F10" s="131" t="s">
        <v>25</v>
      </c>
      <c r="G10" s="44" t="s">
        <v>9</v>
      </c>
      <c r="H10" s="44" t="s">
        <v>79</v>
      </c>
      <c r="I10" s="44">
        <f>'MERCADO TUSD'!$U$7</f>
        <v>318117</v>
      </c>
      <c r="J10" s="18"/>
      <c r="L10" s="26"/>
      <c r="M10" s="26"/>
      <c r="N10" s="26"/>
      <c r="O10" s="26"/>
      <c r="P10" s="26"/>
      <c r="Q10" s="26"/>
      <c r="R10" s="26"/>
      <c r="S10" s="26"/>
      <c r="T10" s="26"/>
      <c r="U10" s="26">
        <v>3.4548999999999999</v>
      </c>
      <c r="V10" s="26">
        <v>3.5531000000000001</v>
      </c>
      <c r="W10" s="26">
        <v>0</v>
      </c>
      <c r="X10" s="26">
        <v>0</v>
      </c>
      <c r="Y10" s="26">
        <v>4.4203000000000001</v>
      </c>
      <c r="Z10" s="26">
        <v>0</v>
      </c>
      <c r="AA10" s="26">
        <v>0</v>
      </c>
      <c r="AB10" s="26"/>
      <c r="AC10" s="26">
        <v>8.9125999999999994</v>
      </c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P10" s="26">
        <v>1</v>
      </c>
    </row>
    <row r="11" spans="1:42" ht="11.25" customHeight="1" x14ac:dyDescent="0.25">
      <c r="A11" s="131"/>
      <c r="B11" s="131"/>
      <c r="C11" s="131"/>
      <c r="D11" s="131"/>
      <c r="E11" s="131"/>
      <c r="F11" s="131"/>
      <c r="G11" s="44" t="s">
        <v>77</v>
      </c>
      <c r="H11" s="44" t="s">
        <v>76</v>
      </c>
      <c r="I11" s="44">
        <f>'MERCADO TUSD'!$U$8</f>
        <v>5116.8689999999997</v>
      </c>
      <c r="J11" s="18"/>
      <c r="L11" s="26"/>
      <c r="M11" s="26"/>
      <c r="N11" s="26"/>
      <c r="O11" s="26"/>
      <c r="P11" s="26"/>
      <c r="Q11" s="26"/>
      <c r="R11" s="26"/>
      <c r="S11" s="26"/>
      <c r="T11" s="26"/>
      <c r="U11" s="26">
        <v>84.326400000000007</v>
      </c>
      <c r="V11" s="26">
        <v>85.880099999999999</v>
      </c>
      <c r="W11" s="26">
        <v>0</v>
      </c>
      <c r="X11" s="26">
        <v>0</v>
      </c>
      <c r="Y11" s="26">
        <v>107.8926</v>
      </c>
      <c r="Z11" s="26">
        <v>0</v>
      </c>
      <c r="AA11" s="26">
        <v>0</v>
      </c>
      <c r="AB11" s="26"/>
      <c r="AC11" s="26">
        <v>856.53740000000005</v>
      </c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P11" s="26">
        <v>1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44" t="s">
        <v>78</v>
      </c>
      <c r="H12" s="44" t="s">
        <v>76</v>
      </c>
      <c r="I12" s="44">
        <f>'MERCADO TUSD'!$U$9</f>
        <v>80201.053999999989</v>
      </c>
      <c r="J12" s="18"/>
      <c r="L12" s="26"/>
      <c r="M12" s="26"/>
      <c r="N12" s="26"/>
      <c r="O12" s="26"/>
      <c r="P12" s="26"/>
      <c r="Q12" s="26"/>
      <c r="R12" s="26"/>
      <c r="S12" s="26"/>
      <c r="T12" s="26"/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/>
      <c r="AC12" s="26">
        <v>0</v>
      </c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P12" s="26">
        <v>1</v>
      </c>
    </row>
    <row r="13" spans="1:42" ht="11.25" customHeight="1" x14ac:dyDescent="0.25">
      <c r="A13" s="131"/>
      <c r="B13" s="131"/>
      <c r="C13" s="131"/>
      <c r="D13" s="131"/>
      <c r="E13" s="131" t="s">
        <v>83</v>
      </c>
      <c r="F13" s="131" t="s">
        <v>25</v>
      </c>
      <c r="G13" s="44" t="s">
        <v>77</v>
      </c>
      <c r="H13" s="44" t="s">
        <v>76</v>
      </c>
      <c r="I13" s="44">
        <f>'MERCADO TUSD'!$U$10</f>
        <v>0</v>
      </c>
      <c r="J13" s="18"/>
      <c r="L13" s="26"/>
      <c r="M13" s="26"/>
      <c r="N13" s="26"/>
      <c r="O13" s="26"/>
      <c r="P13" s="26"/>
      <c r="Q13" s="26"/>
      <c r="R13" s="26"/>
      <c r="S13" s="26"/>
      <c r="T13" s="26"/>
      <c r="U13" s="26">
        <v>84.326400000000007</v>
      </c>
      <c r="V13" s="26">
        <v>85.880099999999999</v>
      </c>
      <c r="W13" s="26">
        <v>0</v>
      </c>
      <c r="X13" s="26">
        <v>0</v>
      </c>
      <c r="Y13" s="26">
        <v>107.8926</v>
      </c>
      <c r="Z13" s="26">
        <v>0</v>
      </c>
      <c r="AA13" s="26">
        <v>0</v>
      </c>
      <c r="AB13" s="26"/>
      <c r="AC13" s="26">
        <v>856.53740000000005</v>
      </c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P13" s="26">
        <v>1</v>
      </c>
    </row>
    <row r="14" spans="1:42" ht="11.25" customHeight="1" x14ac:dyDescent="0.25">
      <c r="A14" s="131"/>
      <c r="B14" s="131"/>
      <c r="C14" s="131"/>
      <c r="D14" s="131"/>
      <c r="E14" s="131"/>
      <c r="F14" s="131"/>
      <c r="G14" s="44" t="s">
        <v>78</v>
      </c>
      <c r="H14" s="44" t="s">
        <v>76</v>
      </c>
      <c r="I14" s="44">
        <f>'MERCADO TUSD'!$U$11</f>
        <v>0</v>
      </c>
      <c r="J14" s="18"/>
      <c r="L14" s="26"/>
      <c r="M14" s="26"/>
      <c r="N14" s="26"/>
      <c r="O14" s="26"/>
      <c r="P14" s="26"/>
      <c r="Q14" s="26"/>
      <c r="R14" s="26"/>
      <c r="S14" s="26"/>
      <c r="T14" s="26"/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/>
      <c r="AC14" s="26">
        <v>0</v>
      </c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P14" s="26">
        <v>1</v>
      </c>
    </row>
    <row r="15" spans="1:42" ht="11.25" customHeight="1" x14ac:dyDescent="0.25">
      <c r="A15" s="131" t="s">
        <v>85</v>
      </c>
      <c r="B15" s="131" t="s">
        <v>84</v>
      </c>
      <c r="C15" s="131" t="s">
        <v>25</v>
      </c>
      <c r="D15" s="131" t="s">
        <v>25</v>
      </c>
      <c r="E15" s="59" t="s">
        <v>86</v>
      </c>
      <c r="F15" s="59" t="s">
        <v>25</v>
      </c>
      <c r="G15" s="44" t="s">
        <v>9</v>
      </c>
      <c r="H15" s="44" t="s">
        <v>79</v>
      </c>
      <c r="I15" s="44">
        <f>'MERCADO TUSD'!$U$12+0.00000001</f>
        <v>1E-8</v>
      </c>
      <c r="J15" s="18"/>
      <c r="L15" s="26"/>
      <c r="M15" s="26"/>
      <c r="N15" s="26"/>
      <c r="O15" s="26"/>
      <c r="P15" s="26"/>
      <c r="Q15" s="26"/>
      <c r="R15" s="26"/>
      <c r="S15" s="26"/>
      <c r="T15" s="26"/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/>
      <c r="AC15" s="26">
        <v>5.1420000000000003</v>
      </c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P15" s="26"/>
    </row>
    <row r="16" spans="1:42" ht="11.25" customHeight="1" x14ac:dyDescent="0.25">
      <c r="A16" s="131"/>
      <c r="B16" s="131"/>
      <c r="C16" s="131"/>
      <c r="D16" s="131"/>
      <c r="E16" s="59" t="s">
        <v>87</v>
      </c>
      <c r="F16" s="59" t="s">
        <v>25</v>
      </c>
      <c r="G16" s="44" t="s">
        <v>9</v>
      </c>
      <c r="H16" s="44" t="s">
        <v>79</v>
      </c>
      <c r="I16" s="44">
        <f>'MERCADO TUSD'!$U$13+0.00000001</f>
        <v>1E-8</v>
      </c>
      <c r="J16" s="18"/>
      <c r="L16" s="26"/>
      <c r="M16" s="26"/>
      <c r="N16" s="26"/>
      <c r="O16" s="26"/>
      <c r="P16" s="26"/>
      <c r="Q16" s="26"/>
      <c r="R16" s="26"/>
      <c r="S16" s="26"/>
      <c r="T16" s="26"/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/>
      <c r="AC16" s="26">
        <v>10.4602</v>
      </c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P16" s="26"/>
    </row>
    <row r="17" spans="1:42" ht="11.25" customHeight="1" x14ac:dyDescent="0.25">
      <c r="A17" s="131" t="s">
        <v>22</v>
      </c>
      <c r="B17" s="131" t="s">
        <v>37</v>
      </c>
      <c r="C17" s="131" t="s">
        <v>24</v>
      </c>
      <c r="D17" s="131" t="s">
        <v>24</v>
      </c>
      <c r="E17" s="131" t="s">
        <v>25</v>
      </c>
      <c r="F17" s="131" t="s">
        <v>25</v>
      </c>
      <c r="G17" s="44" t="s">
        <v>77</v>
      </c>
      <c r="H17" s="44" t="s">
        <v>76</v>
      </c>
      <c r="I17" s="44">
        <f>'MERCADO TUSD'!$U$14</f>
        <v>4.6139999999999999</v>
      </c>
      <c r="J17" s="18"/>
      <c r="L17" s="26"/>
      <c r="M17" s="26"/>
      <c r="N17" s="26"/>
      <c r="O17" s="26"/>
      <c r="P17" s="26"/>
      <c r="Q17" s="26"/>
      <c r="R17" s="26"/>
      <c r="S17" s="26"/>
      <c r="T17" s="26"/>
      <c r="U17" s="26">
        <v>39.942</v>
      </c>
      <c r="V17" s="26">
        <v>40.827800000000003</v>
      </c>
      <c r="W17" s="26">
        <v>0</v>
      </c>
      <c r="X17" s="26">
        <v>0</v>
      </c>
      <c r="Y17" s="26">
        <v>51.104399999999998</v>
      </c>
      <c r="Z17" s="26">
        <v>0</v>
      </c>
      <c r="AA17" s="26">
        <v>0</v>
      </c>
      <c r="AB17" s="26"/>
      <c r="AC17" s="26">
        <v>502.59190000000001</v>
      </c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P17" s="26">
        <v>1</v>
      </c>
    </row>
    <row r="18" spans="1:42" ht="11.25" customHeight="1" x14ac:dyDescent="0.25">
      <c r="A18" s="131"/>
      <c r="B18" s="131"/>
      <c r="C18" s="131"/>
      <c r="D18" s="131"/>
      <c r="E18" s="131"/>
      <c r="F18" s="131"/>
      <c r="G18" s="44" t="s">
        <v>88</v>
      </c>
      <c r="H18" s="44" t="s">
        <v>76</v>
      </c>
      <c r="I18" s="44">
        <f>'MERCADO TUSD'!$U$15</f>
        <v>7.0189999999999992</v>
      </c>
      <c r="J18" s="18"/>
      <c r="L18" s="26"/>
      <c r="M18" s="26"/>
      <c r="N18" s="26"/>
      <c r="O18" s="26"/>
      <c r="P18" s="26"/>
      <c r="Q18" s="26"/>
      <c r="R18" s="26"/>
      <c r="S18" s="26"/>
      <c r="T18" s="26"/>
      <c r="U18" s="26">
        <v>23.965399999999999</v>
      </c>
      <c r="V18" s="26">
        <v>24.4969</v>
      </c>
      <c r="W18" s="26">
        <v>0</v>
      </c>
      <c r="X18" s="26">
        <v>0</v>
      </c>
      <c r="Y18" s="26">
        <v>30.662800000000001</v>
      </c>
      <c r="Z18" s="26">
        <v>0</v>
      </c>
      <c r="AA18" s="26">
        <v>0</v>
      </c>
      <c r="AB18" s="26"/>
      <c r="AC18" s="26">
        <v>301.55509999999998</v>
      </c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P18" s="26">
        <v>1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44" t="s">
        <v>78</v>
      </c>
      <c r="H19" s="44" t="s">
        <v>76</v>
      </c>
      <c r="I19" s="44">
        <f>'MERCADO TUSD'!$U$16</f>
        <v>29.872</v>
      </c>
      <c r="J19" s="18"/>
      <c r="L19" s="26"/>
      <c r="M19" s="26"/>
      <c r="N19" s="26"/>
      <c r="O19" s="26"/>
      <c r="P19" s="26"/>
      <c r="Q19" s="26"/>
      <c r="R19" s="26"/>
      <c r="S19" s="26"/>
      <c r="T19" s="26"/>
      <c r="U19" s="26">
        <v>7.9885000000000002</v>
      </c>
      <c r="V19" s="26">
        <v>8.1654999999999998</v>
      </c>
      <c r="W19" s="26">
        <v>0</v>
      </c>
      <c r="X19" s="26">
        <v>0</v>
      </c>
      <c r="Y19" s="26">
        <v>10.2209</v>
      </c>
      <c r="Z19" s="26">
        <v>0</v>
      </c>
      <c r="AA19" s="26">
        <v>0</v>
      </c>
      <c r="AB19" s="26"/>
      <c r="AC19" s="26">
        <v>100.5184</v>
      </c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P19" s="26">
        <v>1</v>
      </c>
    </row>
    <row r="20" spans="1:42" ht="11.25" customHeight="1" x14ac:dyDescent="0.25">
      <c r="A20" s="131"/>
      <c r="B20" s="131" t="s">
        <v>23</v>
      </c>
      <c r="C20" s="131" t="s">
        <v>24</v>
      </c>
      <c r="D20" s="59" t="s">
        <v>24</v>
      </c>
      <c r="E20" s="59" t="s">
        <v>25</v>
      </c>
      <c r="F20" s="59" t="s">
        <v>25</v>
      </c>
      <c r="G20" s="44" t="s">
        <v>82</v>
      </c>
      <c r="H20" s="44" t="s">
        <v>76</v>
      </c>
      <c r="I20" s="44">
        <f>'MERCADO TUSD'!$U$17</f>
        <v>25648.588</v>
      </c>
      <c r="J20" s="18"/>
      <c r="L20" s="26"/>
      <c r="M20" s="26"/>
      <c r="N20" s="26"/>
      <c r="O20" s="26"/>
      <c r="P20" s="26"/>
      <c r="Q20" s="26"/>
      <c r="R20" s="26"/>
      <c r="S20" s="26"/>
      <c r="T20" s="26"/>
      <c r="U20" s="26">
        <v>15.976900000000001</v>
      </c>
      <c r="V20" s="26">
        <v>16.331299999999999</v>
      </c>
      <c r="W20" s="26">
        <v>0</v>
      </c>
      <c r="X20" s="26">
        <v>0</v>
      </c>
      <c r="Y20" s="26">
        <v>20.441800000000001</v>
      </c>
      <c r="Z20" s="26">
        <v>0</v>
      </c>
      <c r="AA20" s="26">
        <v>0</v>
      </c>
      <c r="AB20" s="26"/>
      <c r="AC20" s="26">
        <v>201.03659999999999</v>
      </c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P20" s="26">
        <v>1</v>
      </c>
    </row>
    <row r="21" spans="1:42" ht="11.25" customHeight="1" x14ac:dyDescent="0.25">
      <c r="A21" s="131"/>
      <c r="B21" s="131"/>
      <c r="C21" s="131"/>
      <c r="D21" s="59" t="s">
        <v>29</v>
      </c>
      <c r="E21" s="59" t="s">
        <v>25</v>
      </c>
      <c r="F21" s="59" t="s">
        <v>25</v>
      </c>
      <c r="G21" s="44" t="s">
        <v>82</v>
      </c>
      <c r="H21" s="44" t="s">
        <v>76</v>
      </c>
      <c r="I21" s="44">
        <f>'MERCADO TUSD'!$U$18</f>
        <v>203.58</v>
      </c>
      <c r="J21" s="18"/>
      <c r="L21" s="26"/>
      <c r="M21" s="26"/>
      <c r="N21" s="26"/>
      <c r="O21" s="26"/>
      <c r="P21" s="26"/>
      <c r="Q21" s="26"/>
      <c r="R21" s="26"/>
      <c r="S21" s="26"/>
      <c r="T21" s="26"/>
      <c r="U21" s="26">
        <f>(1 - CUSTOS!$M$24)*15.9769</f>
        <v>15.976900000000001</v>
      </c>
      <c r="V21" s="26">
        <f>(1 - CUSTOS!$M$24)*16.3313</f>
        <v>16.331299999999999</v>
      </c>
      <c r="W21" s="26">
        <v>0</v>
      </c>
      <c r="X21" s="26">
        <v>0</v>
      </c>
      <c r="Y21" s="26">
        <f>(1 - CUSTOS!$M$24)*20.4418</f>
        <v>20.441800000000001</v>
      </c>
      <c r="Z21" s="26">
        <v>0</v>
      </c>
      <c r="AA21" s="26">
        <v>0</v>
      </c>
      <c r="AB21" s="26"/>
      <c r="AC21" s="26">
        <f>(1 - CUSTOS!$M$24)*201.0366</f>
        <v>201.03659999999999</v>
      </c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P21" s="26">
        <f>IF((1 - CUSTOS!$M$24)&lt;&gt;0,1/(1 - CUSTOS!$M$24),1)</f>
        <v>1</v>
      </c>
    </row>
    <row r="22" spans="1:42" ht="11.25" customHeight="1" x14ac:dyDescent="0.25">
      <c r="A22" s="131"/>
      <c r="B22" s="131"/>
      <c r="C22" s="131"/>
      <c r="D22" s="59" t="s">
        <v>30</v>
      </c>
      <c r="E22" s="59" t="s">
        <v>25</v>
      </c>
      <c r="F22" s="59" t="s">
        <v>25</v>
      </c>
      <c r="G22" s="44" t="s">
        <v>82</v>
      </c>
      <c r="H22" s="44" t="s">
        <v>76</v>
      </c>
      <c r="I22" s="44">
        <f>'MERCADO TUSD'!$U$19</f>
        <v>441.75700000000001</v>
      </c>
      <c r="J22" s="18"/>
      <c r="L22" s="26"/>
      <c r="M22" s="26"/>
      <c r="N22" s="26"/>
      <c r="O22" s="26"/>
      <c r="P22" s="26"/>
      <c r="Q22" s="26"/>
      <c r="R22" s="26"/>
      <c r="S22" s="26"/>
      <c r="T22" s="26"/>
      <c r="U22" s="26">
        <f>(1 - CUSTOS!$M$25)*15.9769</f>
        <v>15.976900000000001</v>
      </c>
      <c r="V22" s="26">
        <f>(1 - CUSTOS!$M$25)*16.3313</f>
        <v>16.331299999999999</v>
      </c>
      <c r="W22" s="26">
        <v>0</v>
      </c>
      <c r="X22" s="26">
        <v>0</v>
      </c>
      <c r="Y22" s="26">
        <f>(1 - CUSTOS!$M$25)*20.4418</f>
        <v>20.441800000000001</v>
      </c>
      <c r="Z22" s="26">
        <v>0</v>
      </c>
      <c r="AA22" s="26">
        <v>0</v>
      </c>
      <c r="AB22" s="26"/>
      <c r="AC22" s="26">
        <f>(1 - CUSTOS!$M$25)*201.0366</f>
        <v>201.03659999999999</v>
      </c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P22" s="26">
        <f>IF((1 - CUSTOS!$M$25)&lt;&gt;0,1/(1 - CUSTOS!$M$25),1)</f>
        <v>1</v>
      </c>
    </row>
    <row r="23" spans="1:42" ht="11.25" customHeight="1" x14ac:dyDescent="0.25">
      <c r="A23" s="131"/>
      <c r="B23" s="131"/>
      <c r="C23" s="131"/>
      <c r="D23" s="59" t="s">
        <v>31</v>
      </c>
      <c r="E23" s="59" t="s">
        <v>25</v>
      </c>
      <c r="F23" s="59" t="s">
        <v>25</v>
      </c>
      <c r="G23" s="44" t="s">
        <v>82</v>
      </c>
      <c r="H23" s="44" t="s">
        <v>76</v>
      </c>
      <c r="I23" s="44">
        <f>'MERCADO TUSD'!$U$20</f>
        <v>380.55199999999996</v>
      </c>
      <c r="J23" s="18"/>
      <c r="L23" s="26"/>
      <c r="M23" s="26"/>
      <c r="N23" s="26"/>
      <c r="O23" s="26"/>
      <c r="P23" s="26"/>
      <c r="Q23" s="26"/>
      <c r="R23" s="26"/>
      <c r="S23" s="26"/>
      <c r="T23" s="26"/>
      <c r="U23" s="26">
        <f>(1 - CUSTOS!$M$26)*15.9769</f>
        <v>15.976900000000001</v>
      </c>
      <c r="V23" s="26">
        <f>(1 - CUSTOS!$M$26)*16.3313</f>
        <v>16.331299999999999</v>
      </c>
      <c r="W23" s="26">
        <v>0</v>
      </c>
      <c r="X23" s="26">
        <v>0</v>
      </c>
      <c r="Y23" s="26">
        <f>(1 - CUSTOS!$M$26)*20.4418</f>
        <v>20.441800000000001</v>
      </c>
      <c r="Z23" s="26">
        <v>0</v>
      </c>
      <c r="AA23" s="26">
        <v>0</v>
      </c>
      <c r="AB23" s="26"/>
      <c r="AC23" s="26">
        <f>(1 - CUSTOS!$M$26)*201.0366</f>
        <v>201.03659999999999</v>
      </c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P23" s="26">
        <f>IF((1 - CUSTOS!$M$26)&lt;&gt;0,1/(1 - CUSTOS!$M$26),1)</f>
        <v>1</v>
      </c>
    </row>
    <row r="24" spans="1:42" ht="11.25" customHeight="1" x14ac:dyDescent="0.25">
      <c r="A24" s="131"/>
      <c r="B24" s="131"/>
      <c r="C24" s="131"/>
      <c r="D24" s="59" t="s">
        <v>32</v>
      </c>
      <c r="E24" s="59" t="s">
        <v>25</v>
      </c>
      <c r="F24" s="59" t="s">
        <v>25</v>
      </c>
      <c r="G24" s="44" t="s">
        <v>82</v>
      </c>
      <c r="H24" s="44" t="s">
        <v>76</v>
      </c>
      <c r="I24" s="44">
        <f>'MERCADO TUSD'!$U$21</f>
        <v>85.721000000000004</v>
      </c>
      <c r="J24" s="18"/>
      <c r="L24" s="26"/>
      <c r="M24" s="26"/>
      <c r="N24" s="26"/>
      <c r="O24" s="26"/>
      <c r="P24" s="26"/>
      <c r="Q24" s="26"/>
      <c r="R24" s="26"/>
      <c r="S24" s="26"/>
      <c r="T24" s="26"/>
      <c r="U24" s="26">
        <f>(1 - CUSTOS!$M$27)*15.9769</f>
        <v>15.976900000000001</v>
      </c>
      <c r="V24" s="26">
        <f>(1 - CUSTOS!$M$27)*16.3313</f>
        <v>16.331299999999999</v>
      </c>
      <c r="W24" s="26">
        <v>0</v>
      </c>
      <c r="X24" s="26">
        <v>0</v>
      </c>
      <c r="Y24" s="26">
        <f>(1 - CUSTOS!$M$27)*20.4418</f>
        <v>20.441800000000001</v>
      </c>
      <c r="Z24" s="26">
        <v>0</v>
      </c>
      <c r="AA24" s="26">
        <v>0</v>
      </c>
      <c r="AB24" s="26"/>
      <c r="AC24" s="26">
        <f>(1 - CUSTOS!$M$27)*201.0366</f>
        <v>201.03659999999999</v>
      </c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P24" s="26">
        <f>IF((1 - CUSTOS!$M$27)&lt;&gt;0,1/(1 - CUSTOS!$M$27),1)</f>
        <v>1</v>
      </c>
    </row>
    <row r="25" spans="1:42" ht="11.25" customHeight="1" x14ac:dyDescent="0.25">
      <c r="A25" s="131"/>
      <c r="B25" s="131" t="s">
        <v>91</v>
      </c>
      <c r="C25" s="131" t="s">
        <v>24</v>
      </c>
      <c r="D25" s="59" t="s">
        <v>24</v>
      </c>
      <c r="E25" s="59" t="s">
        <v>25</v>
      </c>
      <c r="F25" s="59" t="s">
        <v>25</v>
      </c>
      <c r="G25" s="44" t="s">
        <v>82</v>
      </c>
      <c r="H25" s="44" t="s">
        <v>76</v>
      </c>
      <c r="I25" s="44">
        <f>'MERCADO TUSD'!$U$22</f>
        <v>0</v>
      </c>
      <c r="J25" s="18"/>
      <c r="L25" s="26"/>
      <c r="M25" s="26"/>
      <c r="N25" s="26"/>
      <c r="O25" s="26"/>
      <c r="P25" s="26"/>
      <c r="Q25" s="26"/>
      <c r="R25" s="26"/>
      <c r="S25" s="26"/>
      <c r="T25" s="26"/>
      <c r="U25" s="26">
        <v>15.976900000000001</v>
      </c>
      <c r="V25" s="26">
        <v>16.331299999999999</v>
      </c>
      <c r="W25" s="26">
        <v>0</v>
      </c>
      <c r="X25" s="26">
        <v>0</v>
      </c>
      <c r="Y25" s="26">
        <v>20.441800000000001</v>
      </c>
      <c r="Z25" s="26">
        <v>0</v>
      </c>
      <c r="AA25" s="26">
        <v>0</v>
      </c>
      <c r="AB25" s="26"/>
      <c r="AC25" s="26">
        <v>201.03659999999999</v>
      </c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P25" s="26">
        <v>1</v>
      </c>
    </row>
    <row r="26" spans="1:42" ht="11.25" customHeight="1" x14ac:dyDescent="0.25">
      <c r="A26" s="131"/>
      <c r="B26" s="131"/>
      <c r="C26" s="131"/>
      <c r="D26" s="59" t="s">
        <v>29</v>
      </c>
      <c r="E26" s="59" t="s">
        <v>25</v>
      </c>
      <c r="F26" s="59" t="s">
        <v>25</v>
      </c>
      <c r="G26" s="44" t="s">
        <v>82</v>
      </c>
      <c r="H26" s="44" t="s">
        <v>76</v>
      </c>
      <c r="I26" s="44">
        <f>'MERCADO TUSD'!$U$23</f>
        <v>0</v>
      </c>
      <c r="J26" s="18"/>
      <c r="L26" s="26"/>
      <c r="M26" s="26"/>
      <c r="N26" s="26"/>
      <c r="O26" s="26"/>
      <c r="P26" s="26"/>
      <c r="Q26" s="26"/>
      <c r="R26" s="26"/>
      <c r="S26" s="26"/>
      <c r="T26" s="26"/>
      <c r="U26" s="26">
        <f>(1 - CUSTOS!$M$24)*15.9769</f>
        <v>15.976900000000001</v>
      </c>
      <c r="V26" s="26">
        <f>(1 - CUSTOS!$M$24)*16.3313</f>
        <v>16.331299999999999</v>
      </c>
      <c r="W26" s="26">
        <v>0</v>
      </c>
      <c r="X26" s="26">
        <v>0</v>
      </c>
      <c r="Y26" s="26">
        <f>(1 - CUSTOS!$M$24)*20.4418</f>
        <v>20.441800000000001</v>
      </c>
      <c r="Z26" s="26">
        <v>0</v>
      </c>
      <c r="AA26" s="26">
        <v>0</v>
      </c>
      <c r="AB26" s="26"/>
      <c r="AC26" s="26">
        <f>(1 - CUSTOS!$M$24)*201.0366</f>
        <v>201.03659999999999</v>
      </c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P26" s="26">
        <f>IF((1 - CUSTOS!$M$24)&lt;&gt;0,1/(1 - CUSTOS!$M$24),1)</f>
        <v>1</v>
      </c>
    </row>
    <row r="27" spans="1:42" ht="11.25" customHeight="1" x14ac:dyDescent="0.25">
      <c r="A27" s="131"/>
      <c r="B27" s="131"/>
      <c r="C27" s="131"/>
      <c r="D27" s="59" t="s">
        <v>30</v>
      </c>
      <c r="E27" s="59" t="s">
        <v>25</v>
      </c>
      <c r="F27" s="59" t="s">
        <v>25</v>
      </c>
      <c r="G27" s="44" t="s">
        <v>82</v>
      </c>
      <c r="H27" s="44" t="s">
        <v>76</v>
      </c>
      <c r="I27" s="44">
        <f>'MERCADO TUSD'!$U$24</f>
        <v>0</v>
      </c>
      <c r="J27" s="18"/>
      <c r="L27" s="26"/>
      <c r="M27" s="26"/>
      <c r="N27" s="26"/>
      <c r="O27" s="26"/>
      <c r="P27" s="26"/>
      <c r="Q27" s="26"/>
      <c r="R27" s="26"/>
      <c r="S27" s="26"/>
      <c r="T27" s="26"/>
      <c r="U27" s="26">
        <f>(1 - CUSTOS!$M$25)*15.9769</f>
        <v>15.976900000000001</v>
      </c>
      <c r="V27" s="26">
        <f>(1 - CUSTOS!$M$25)*16.3313</f>
        <v>16.331299999999999</v>
      </c>
      <c r="W27" s="26">
        <v>0</v>
      </c>
      <c r="X27" s="26">
        <v>0</v>
      </c>
      <c r="Y27" s="26">
        <f>(1 - CUSTOS!$M$25)*20.4418</f>
        <v>20.441800000000001</v>
      </c>
      <c r="Z27" s="26">
        <v>0</v>
      </c>
      <c r="AA27" s="26">
        <v>0</v>
      </c>
      <c r="AB27" s="26"/>
      <c r="AC27" s="26">
        <f>(1 - CUSTOS!$M$25)*201.0366</f>
        <v>201.03659999999999</v>
      </c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P27" s="26">
        <f>IF((1 - CUSTOS!$M$25)&lt;&gt;0,1/(1 - CUSTOS!$M$25),1)</f>
        <v>1</v>
      </c>
    </row>
    <row r="28" spans="1:42" ht="11.25" customHeight="1" x14ac:dyDescent="0.25">
      <c r="A28" s="131"/>
      <c r="B28" s="131"/>
      <c r="C28" s="131"/>
      <c r="D28" s="59" t="s">
        <v>31</v>
      </c>
      <c r="E28" s="59" t="s">
        <v>25</v>
      </c>
      <c r="F28" s="59" t="s">
        <v>25</v>
      </c>
      <c r="G28" s="44" t="s">
        <v>82</v>
      </c>
      <c r="H28" s="44" t="s">
        <v>76</v>
      </c>
      <c r="I28" s="44">
        <f>'MERCADO TUSD'!$U$25</f>
        <v>0</v>
      </c>
      <c r="J28" s="18"/>
      <c r="L28" s="26"/>
      <c r="M28" s="26"/>
      <c r="N28" s="26"/>
      <c r="O28" s="26"/>
      <c r="P28" s="26"/>
      <c r="Q28" s="26"/>
      <c r="R28" s="26"/>
      <c r="S28" s="26"/>
      <c r="T28" s="26"/>
      <c r="U28" s="26">
        <f>(1 - CUSTOS!$M$26)*15.9769</f>
        <v>15.976900000000001</v>
      </c>
      <c r="V28" s="26">
        <f>(1 - CUSTOS!$M$26)*16.3313</f>
        <v>16.331299999999999</v>
      </c>
      <c r="W28" s="26">
        <v>0</v>
      </c>
      <c r="X28" s="26">
        <v>0</v>
      </c>
      <c r="Y28" s="26">
        <f>(1 - CUSTOS!$M$26)*20.4418</f>
        <v>20.441800000000001</v>
      </c>
      <c r="Z28" s="26">
        <v>0</v>
      </c>
      <c r="AA28" s="26">
        <v>0</v>
      </c>
      <c r="AB28" s="26"/>
      <c r="AC28" s="26">
        <f>(1 - CUSTOS!$M$26)*201.0366</f>
        <v>201.03659999999999</v>
      </c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P28" s="26">
        <f>IF((1 - CUSTOS!$M$26)&lt;&gt;0,1/(1 - CUSTOS!$M$26),1)</f>
        <v>1</v>
      </c>
    </row>
    <row r="29" spans="1:42" ht="11.25" customHeight="1" x14ac:dyDescent="0.25">
      <c r="A29" s="131"/>
      <c r="B29" s="131"/>
      <c r="C29" s="131"/>
      <c r="D29" s="59" t="s">
        <v>32</v>
      </c>
      <c r="E29" s="59" t="s">
        <v>25</v>
      </c>
      <c r="F29" s="59" t="s">
        <v>25</v>
      </c>
      <c r="G29" s="44" t="s">
        <v>82</v>
      </c>
      <c r="H29" s="44" t="s">
        <v>76</v>
      </c>
      <c r="I29" s="44">
        <f>'MERCADO TUSD'!$U$26</f>
        <v>0</v>
      </c>
      <c r="J29" s="18"/>
      <c r="L29" s="26"/>
      <c r="M29" s="26"/>
      <c r="N29" s="26"/>
      <c r="O29" s="26"/>
      <c r="P29" s="26"/>
      <c r="Q29" s="26"/>
      <c r="R29" s="26"/>
      <c r="S29" s="26"/>
      <c r="T29" s="26"/>
      <c r="U29" s="26">
        <f>(1 - CUSTOS!$M$27)*15.9769</f>
        <v>15.976900000000001</v>
      </c>
      <c r="V29" s="26">
        <f>(1 - CUSTOS!$M$27)*16.3313</f>
        <v>16.331299999999999</v>
      </c>
      <c r="W29" s="26">
        <v>0</v>
      </c>
      <c r="X29" s="26">
        <v>0</v>
      </c>
      <c r="Y29" s="26">
        <f>(1 - CUSTOS!$M$27)*20.4418</f>
        <v>20.441800000000001</v>
      </c>
      <c r="Z29" s="26">
        <v>0</v>
      </c>
      <c r="AA29" s="26">
        <v>0</v>
      </c>
      <c r="AB29" s="26"/>
      <c r="AC29" s="26">
        <f>(1 - CUSTOS!$M$27)*201.0366</f>
        <v>201.03659999999999</v>
      </c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P29" s="26">
        <f>IF((1 - CUSTOS!$M$27)&lt;&gt;0,1/(1 - CUSTOS!$M$27),1)</f>
        <v>1</v>
      </c>
    </row>
    <row r="30" spans="1:42" ht="11.25" customHeight="1" x14ac:dyDescent="0.25">
      <c r="A30" s="131" t="s">
        <v>43</v>
      </c>
      <c r="B30" s="131" t="s">
        <v>37</v>
      </c>
      <c r="C30" s="131" t="s">
        <v>44</v>
      </c>
      <c r="D30" s="131" t="s">
        <v>25</v>
      </c>
      <c r="E30" s="131" t="s">
        <v>25</v>
      </c>
      <c r="F30" s="131" t="s">
        <v>25</v>
      </c>
      <c r="G30" s="44" t="s">
        <v>77</v>
      </c>
      <c r="H30" s="44" t="s">
        <v>76</v>
      </c>
      <c r="I30" s="44">
        <f>'MERCADO TUSD'!$U$27</f>
        <v>0.78900000000000003</v>
      </c>
      <c r="J30" s="18"/>
      <c r="L30" s="26"/>
      <c r="M30" s="26"/>
      <c r="N30" s="26"/>
      <c r="O30" s="26"/>
      <c r="P30" s="26"/>
      <c r="Q30" s="26"/>
      <c r="R30" s="26"/>
      <c r="S30" s="26"/>
      <c r="T30" s="26"/>
      <c r="U30" s="26">
        <f>(1 - CUSTOS!$M$28)*43.9364</f>
        <v>43.936399999999999</v>
      </c>
      <c r="V30" s="26">
        <f>(1 - CUSTOS!$M$28)*44.9109</f>
        <v>44.910899999999998</v>
      </c>
      <c r="W30" s="26">
        <v>0</v>
      </c>
      <c r="X30" s="26">
        <v>0</v>
      </c>
      <c r="Y30" s="26">
        <f>(1 - CUSTOS!$M$28)*56.215</f>
        <v>56.215000000000003</v>
      </c>
      <c r="Z30" s="26">
        <v>0</v>
      </c>
      <c r="AA30" s="26">
        <v>0</v>
      </c>
      <c r="AB30" s="26"/>
      <c r="AC30" s="26">
        <f>(1 - CUSTOS!$M$28)*552.8511</f>
        <v>552.85109999999997</v>
      </c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P30" s="26">
        <f>IF((1 - CUSTOS!$M$28)&lt;&gt;0,1/(1 - CUSTOS!$M$28),1)</f>
        <v>1</v>
      </c>
    </row>
    <row r="31" spans="1:42" ht="11.25" customHeight="1" x14ac:dyDescent="0.25">
      <c r="A31" s="131"/>
      <c r="B31" s="131"/>
      <c r="C31" s="131"/>
      <c r="D31" s="131"/>
      <c r="E31" s="131"/>
      <c r="F31" s="131"/>
      <c r="G31" s="44" t="s">
        <v>88</v>
      </c>
      <c r="H31" s="44" t="s">
        <v>76</v>
      </c>
      <c r="I31" s="44">
        <f>'MERCADO TUSD'!$U$28</f>
        <v>0.57700000000000018</v>
      </c>
      <c r="J31" s="18"/>
      <c r="L31" s="26"/>
      <c r="M31" s="26"/>
      <c r="N31" s="26"/>
      <c r="O31" s="26"/>
      <c r="P31" s="26"/>
      <c r="Q31" s="26"/>
      <c r="R31" s="26"/>
      <c r="S31" s="26"/>
      <c r="T31" s="26"/>
      <c r="U31" s="26">
        <f>(1 - CUSTOS!$M$28)*26.3619</f>
        <v>26.361899999999999</v>
      </c>
      <c r="V31" s="26">
        <f>(1 - CUSTOS!$M$28)*26.9464</f>
        <v>26.946400000000001</v>
      </c>
      <c r="W31" s="26">
        <v>0</v>
      </c>
      <c r="X31" s="26">
        <v>0</v>
      </c>
      <c r="Y31" s="26">
        <f>(1 - CUSTOS!$M$28)*33.729</f>
        <v>33.728999999999999</v>
      </c>
      <c r="Z31" s="26">
        <v>0</v>
      </c>
      <c r="AA31" s="26">
        <v>0</v>
      </c>
      <c r="AB31" s="26"/>
      <c r="AC31" s="26">
        <f>(1 - CUSTOS!$M$28)*331.7106</f>
        <v>331.7106</v>
      </c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P31" s="26">
        <f>IF((1 - CUSTOS!$M$28)&lt;&gt;0,1/(1 - CUSTOS!$M$28),1)</f>
        <v>1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44" t="s">
        <v>78</v>
      </c>
      <c r="H32" s="44" t="s">
        <v>76</v>
      </c>
      <c r="I32" s="44">
        <f>'MERCADO TUSD'!$U$29</f>
        <v>5.0960000000000001</v>
      </c>
      <c r="J32" s="18"/>
      <c r="L32" s="26"/>
      <c r="M32" s="26"/>
      <c r="N32" s="26"/>
      <c r="O32" s="26"/>
      <c r="P32" s="26"/>
      <c r="Q32" s="26"/>
      <c r="R32" s="26"/>
      <c r="S32" s="26"/>
      <c r="T32" s="26"/>
      <c r="U32" s="26">
        <f>(1 - CUSTOS!$M$28)*8.7873</f>
        <v>8.7873000000000001</v>
      </c>
      <c r="V32" s="26">
        <f>(1 - CUSTOS!$M$28)*8.9821</f>
        <v>8.9821000000000009</v>
      </c>
      <c r="W32" s="26">
        <v>0</v>
      </c>
      <c r="X32" s="26">
        <v>0</v>
      </c>
      <c r="Y32" s="26">
        <f>(1 - CUSTOS!$M$28)*11.243</f>
        <v>11.243</v>
      </c>
      <c r="Z32" s="26">
        <v>0</v>
      </c>
      <c r="AA32" s="26">
        <v>0</v>
      </c>
      <c r="AB32" s="26"/>
      <c r="AC32" s="26">
        <f>(1 - CUSTOS!$M$28)*110.5702</f>
        <v>110.5702</v>
      </c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P32" s="26">
        <f>IF((1 - CUSTOS!$M$28)&lt;&gt;0,1/(1 - CUSTOS!$M$28),1)</f>
        <v>1</v>
      </c>
    </row>
    <row r="33" spans="1:42" ht="11.25" customHeight="1" x14ac:dyDescent="0.25">
      <c r="A33" s="131"/>
      <c r="B33" s="59" t="s">
        <v>23</v>
      </c>
      <c r="C33" s="59" t="s">
        <v>44</v>
      </c>
      <c r="D33" s="59" t="s">
        <v>25</v>
      </c>
      <c r="E33" s="59" t="s">
        <v>25</v>
      </c>
      <c r="F33" s="59" t="s">
        <v>25</v>
      </c>
      <c r="G33" s="44" t="s">
        <v>82</v>
      </c>
      <c r="H33" s="44" t="s">
        <v>76</v>
      </c>
      <c r="I33" s="44">
        <f>'MERCADO TUSD'!$U$30</f>
        <v>36373.667999999998</v>
      </c>
      <c r="J33" s="18"/>
      <c r="L33" s="26"/>
      <c r="M33" s="26"/>
      <c r="N33" s="26"/>
      <c r="O33" s="26"/>
      <c r="P33" s="26"/>
      <c r="Q33" s="26"/>
      <c r="R33" s="26"/>
      <c r="S33" s="26"/>
      <c r="T33" s="26"/>
      <c r="U33" s="26">
        <f>(1 - CUSTOS!$M$28)*15.9769</f>
        <v>15.976900000000001</v>
      </c>
      <c r="V33" s="26">
        <f>(1 - CUSTOS!$M$28)*16.3313</f>
        <v>16.331299999999999</v>
      </c>
      <c r="W33" s="26">
        <v>0</v>
      </c>
      <c r="X33" s="26">
        <v>0</v>
      </c>
      <c r="Y33" s="26">
        <f>(1 - CUSTOS!$M$28)*20.4418</f>
        <v>20.441800000000001</v>
      </c>
      <c r="Z33" s="26">
        <v>0</v>
      </c>
      <c r="AA33" s="26">
        <v>0</v>
      </c>
      <c r="AB33" s="26"/>
      <c r="AC33" s="26">
        <f>(1 - CUSTOS!$M$28)*201.0366</f>
        <v>201.03659999999999</v>
      </c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P33" s="26">
        <f>IF((1 - CUSTOS!$M$28)&lt;&gt;0,1/(1 - CUSTOS!$M$28),1)</f>
        <v>1</v>
      </c>
    </row>
    <row r="34" spans="1:42" ht="11.25" customHeight="1" x14ac:dyDescent="0.25">
      <c r="A34" s="131"/>
      <c r="B34" s="131" t="s">
        <v>37</v>
      </c>
      <c r="C34" s="131" t="s">
        <v>44</v>
      </c>
      <c r="D34" s="131" t="s">
        <v>92</v>
      </c>
      <c r="E34" s="131" t="s">
        <v>25</v>
      </c>
      <c r="F34" s="131" t="s">
        <v>25</v>
      </c>
      <c r="G34" s="44" t="s">
        <v>77</v>
      </c>
      <c r="H34" s="44" t="s">
        <v>76</v>
      </c>
      <c r="I34" s="44">
        <f>'MERCADO TUSD'!$U$31</f>
        <v>0</v>
      </c>
      <c r="J34" s="18"/>
      <c r="L34" s="26"/>
      <c r="M34" s="26"/>
      <c r="N34" s="26"/>
      <c r="O34" s="26"/>
      <c r="P34" s="26"/>
      <c r="Q34" s="26"/>
      <c r="R34" s="26"/>
      <c r="S34" s="26"/>
      <c r="T34" s="26"/>
      <c r="U34" s="26">
        <f>(1 - CUSTOS!$M$29)*43.9364</f>
        <v>43.936399999999999</v>
      </c>
      <c r="V34" s="26">
        <f>(1 - CUSTOS!$M$29)*44.9109</f>
        <v>44.910899999999998</v>
      </c>
      <c r="W34" s="26">
        <v>0</v>
      </c>
      <c r="X34" s="26">
        <v>0</v>
      </c>
      <c r="Y34" s="26">
        <f>(1 - CUSTOS!$M$29)*56.215</f>
        <v>56.215000000000003</v>
      </c>
      <c r="Z34" s="26">
        <v>0</v>
      </c>
      <c r="AA34" s="26">
        <v>0</v>
      </c>
      <c r="AB34" s="26"/>
      <c r="AC34" s="26">
        <f>(1 - CUSTOS!$M$29)*552.8511</f>
        <v>552.85109999999997</v>
      </c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P34" s="26">
        <f>IF((1 - CUSTOS!$M$29)&lt;&gt;0,1/(1 - CUSTOS!$M$29),1)</f>
        <v>1</v>
      </c>
    </row>
    <row r="35" spans="1:42" ht="11.25" customHeight="1" x14ac:dyDescent="0.25">
      <c r="A35" s="131"/>
      <c r="B35" s="131"/>
      <c r="C35" s="131"/>
      <c r="D35" s="131"/>
      <c r="E35" s="131"/>
      <c r="F35" s="131"/>
      <c r="G35" s="44" t="s">
        <v>88</v>
      </c>
      <c r="H35" s="44" t="s">
        <v>76</v>
      </c>
      <c r="I35" s="44">
        <f>'MERCADO TUSD'!$U$32</f>
        <v>0</v>
      </c>
      <c r="J35" s="18"/>
      <c r="L35" s="26"/>
      <c r="M35" s="26"/>
      <c r="N35" s="26"/>
      <c r="O35" s="26"/>
      <c r="P35" s="26"/>
      <c r="Q35" s="26"/>
      <c r="R35" s="26"/>
      <c r="S35" s="26"/>
      <c r="T35" s="26"/>
      <c r="U35" s="26">
        <f>(1 - CUSTOS!$M$29)*26.3619</f>
        <v>26.361899999999999</v>
      </c>
      <c r="V35" s="26">
        <f>(1 - CUSTOS!$M$29)*26.9464</f>
        <v>26.946400000000001</v>
      </c>
      <c r="W35" s="26">
        <v>0</v>
      </c>
      <c r="X35" s="26">
        <v>0</v>
      </c>
      <c r="Y35" s="26">
        <f>(1 - CUSTOS!$M$29)*33.729</f>
        <v>33.728999999999999</v>
      </c>
      <c r="Z35" s="26">
        <v>0</v>
      </c>
      <c r="AA35" s="26">
        <v>0</v>
      </c>
      <c r="AB35" s="26"/>
      <c r="AC35" s="26">
        <f>(1 - CUSTOS!$M$29)*331.7106</f>
        <v>331.7106</v>
      </c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P35" s="26">
        <f>IF((1 - CUSTOS!$M$29)&lt;&gt;0,1/(1 - CUSTOS!$M$29),1)</f>
        <v>1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44" t="s">
        <v>78</v>
      </c>
      <c r="H36" s="44" t="s">
        <v>76</v>
      </c>
      <c r="I36" s="44">
        <f>'MERCADO TUSD'!$U$33</f>
        <v>0</v>
      </c>
      <c r="J36" s="18"/>
      <c r="L36" s="26"/>
      <c r="M36" s="26"/>
      <c r="N36" s="26"/>
      <c r="O36" s="26"/>
      <c r="P36" s="26"/>
      <c r="Q36" s="26"/>
      <c r="R36" s="26"/>
      <c r="S36" s="26"/>
      <c r="T36" s="26"/>
      <c r="U36" s="26">
        <f>(1 - CUSTOS!$M$29)*8.7873</f>
        <v>8.7873000000000001</v>
      </c>
      <c r="V36" s="26">
        <f>(1 - CUSTOS!$M$29)*8.9821</f>
        <v>8.9821000000000009</v>
      </c>
      <c r="W36" s="26">
        <v>0</v>
      </c>
      <c r="X36" s="26">
        <v>0</v>
      </c>
      <c r="Y36" s="26">
        <f>(1 - CUSTOS!$M$29)*11.243</f>
        <v>11.243</v>
      </c>
      <c r="Z36" s="26">
        <v>0</v>
      </c>
      <c r="AA36" s="26">
        <v>0</v>
      </c>
      <c r="AB36" s="26"/>
      <c r="AC36" s="26">
        <f>(1 - CUSTOS!$M$29)*110.5702</f>
        <v>110.5702</v>
      </c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P36" s="26">
        <f>IF((1 - CUSTOS!$M$29)&lt;&gt;0,1/(1 - CUSTOS!$M$29),1)</f>
        <v>1</v>
      </c>
    </row>
    <row r="37" spans="1:42" ht="11.25" customHeight="1" x14ac:dyDescent="0.25">
      <c r="A37" s="131"/>
      <c r="B37" s="59" t="s">
        <v>23</v>
      </c>
      <c r="C37" s="59" t="s">
        <v>44</v>
      </c>
      <c r="D37" s="59" t="s">
        <v>92</v>
      </c>
      <c r="E37" s="59" t="s">
        <v>25</v>
      </c>
      <c r="F37" s="59" t="s">
        <v>25</v>
      </c>
      <c r="G37" s="44" t="s">
        <v>82</v>
      </c>
      <c r="H37" s="44" t="s">
        <v>76</v>
      </c>
      <c r="I37" s="44">
        <f>'MERCADO TUSD'!$U$34</f>
        <v>0</v>
      </c>
      <c r="J37" s="18"/>
      <c r="L37" s="26"/>
      <c r="M37" s="26"/>
      <c r="N37" s="26"/>
      <c r="O37" s="26"/>
      <c r="P37" s="26"/>
      <c r="Q37" s="26"/>
      <c r="R37" s="26"/>
      <c r="S37" s="26"/>
      <c r="T37" s="26"/>
      <c r="U37" s="26">
        <f>(1 - CUSTOS!$M$29)*15.9769</f>
        <v>15.976900000000001</v>
      </c>
      <c r="V37" s="26">
        <f>(1 - CUSTOS!$M$29)*16.3313</f>
        <v>16.331299999999999</v>
      </c>
      <c r="W37" s="26">
        <v>0</v>
      </c>
      <c r="X37" s="26">
        <v>0</v>
      </c>
      <c r="Y37" s="26">
        <f>(1 - CUSTOS!$M$29)*20.4418</f>
        <v>20.441800000000001</v>
      </c>
      <c r="Z37" s="26">
        <v>0</v>
      </c>
      <c r="AA37" s="26">
        <v>0</v>
      </c>
      <c r="AB37" s="26"/>
      <c r="AC37" s="26">
        <f>(1 - CUSTOS!$M$29)*201.0366</f>
        <v>201.03659999999999</v>
      </c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P37" s="26">
        <f>IF((1 - CUSTOS!$M$29)&lt;&gt;0,1/(1 - CUSTOS!$M$29),1)</f>
        <v>1</v>
      </c>
    </row>
    <row r="38" spans="1:42" ht="11.25" customHeight="1" x14ac:dyDescent="0.25">
      <c r="A38" s="131"/>
      <c r="B38" s="131" t="s">
        <v>37</v>
      </c>
      <c r="C38" s="131" t="s">
        <v>44</v>
      </c>
      <c r="D38" s="131" t="s">
        <v>93</v>
      </c>
      <c r="E38" s="131" t="s">
        <v>25</v>
      </c>
      <c r="F38" s="131" t="s">
        <v>25</v>
      </c>
      <c r="G38" s="44" t="s">
        <v>77</v>
      </c>
      <c r="H38" s="44" t="s">
        <v>76</v>
      </c>
      <c r="I38" s="44">
        <f>'MERCADO TUSD'!$U$35</f>
        <v>0</v>
      </c>
      <c r="J38" s="18"/>
      <c r="L38" s="26"/>
      <c r="M38" s="26"/>
      <c r="N38" s="26"/>
      <c r="O38" s="26"/>
      <c r="P38" s="26"/>
      <c r="Q38" s="26"/>
      <c r="R38" s="26"/>
      <c r="S38" s="26"/>
      <c r="T38" s="26"/>
      <c r="U38" s="26">
        <f>(1 - CUSTOS!$M$30)*43.9364</f>
        <v>43.936399999999999</v>
      </c>
      <c r="V38" s="26">
        <f>(1 - CUSTOS!$M$30)*44.9109</f>
        <v>44.910899999999998</v>
      </c>
      <c r="W38" s="26">
        <v>0</v>
      </c>
      <c r="X38" s="26">
        <v>0</v>
      </c>
      <c r="Y38" s="26">
        <f>(1 - CUSTOS!$M$30)*56.215</f>
        <v>56.215000000000003</v>
      </c>
      <c r="Z38" s="26">
        <v>0</v>
      </c>
      <c r="AA38" s="26">
        <v>0</v>
      </c>
      <c r="AB38" s="26"/>
      <c r="AC38" s="26">
        <f>(1 - CUSTOS!$M$30)*552.8511</f>
        <v>552.85109999999997</v>
      </c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P38" s="26">
        <f>IF((1 - CUSTOS!$M$30)&lt;&gt;0,1/(1 - CUSTOS!$M$30),1)</f>
        <v>1</v>
      </c>
    </row>
    <row r="39" spans="1:42" ht="11.25" customHeight="1" x14ac:dyDescent="0.25">
      <c r="A39" s="131"/>
      <c r="B39" s="131"/>
      <c r="C39" s="131"/>
      <c r="D39" s="131"/>
      <c r="E39" s="131"/>
      <c r="F39" s="131"/>
      <c r="G39" s="44" t="s">
        <v>88</v>
      </c>
      <c r="H39" s="44" t="s">
        <v>76</v>
      </c>
      <c r="I39" s="44">
        <f>'MERCADO TUSD'!$U$36</f>
        <v>0</v>
      </c>
      <c r="J39" s="18"/>
      <c r="L39" s="26"/>
      <c r="M39" s="26"/>
      <c r="N39" s="26"/>
      <c r="O39" s="26"/>
      <c r="P39" s="26"/>
      <c r="Q39" s="26"/>
      <c r="R39" s="26"/>
      <c r="S39" s="26"/>
      <c r="T39" s="26"/>
      <c r="U39" s="26">
        <f>(1 - CUSTOS!$M$30)*26.3619</f>
        <v>26.361899999999999</v>
      </c>
      <c r="V39" s="26">
        <f>(1 - CUSTOS!$M$30)*26.9464</f>
        <v>26.946400000000001</v>
      </c>
      <c r="W39" s="26">
        <v>0</v>
      </c>
      <c r="X39" s="26">
        <v>0</v>
      </c>
      <c r="Y39" s="26">
        <f>(1 - CUSTOS!$M$30)*33.729</f>
        <v>33.728999999999999</v>
      </c>
      <c r="Z39" s="26">
        <v>0</v>
      </c>
      <c r="AA39" s="26">
        <v>0</v>
      </c>
      <c r="AB39" s="26"/>
      <c r="AC39" s="26">
        <f>(1 - CUSTOS!$M$30)*331.7106</f>
        <v>331.7106</v>
      </c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P39" s="26">
        <f>IF((1 - CUSTOS!$M$30)&lt;&gt;0,1/(1 - CUSTOS!$M$30),1)</f>
        <v>1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44" t="s">
        <v>78</v>
      </c>
      <c r="H40" s="44" t="s">
        <v>76</v>
      </c>
      <c r="I40" s="44">
        <f>'MERCADO TUSD'!$U$37</f>
        <v>0</v>
      </c>
      <c r="J40" s="18"/>
      <c r="L40" s="26"/>
      <c r="M40" s="26"/>
      <c r="N40" s="26"/>
      <c r="O40" s="26"/>
      <c r="P40" s="26"/>
      <c r="Q40" s="26"/>
      <c r="R40" s="26"/>
      <c r="S40" s="26"/>
      <c r="T40" s="26"/>
      <c r="U40" s="26">
        <f>(1 - CUSTOS!$M$30)*8.7873</f>
        <v>8.7873000000000001</v>
      </c>
      <c r="V40" s="26">
        <f>(1 - CUSTOS!$M$30)*8.9821</f>
        <v>8.9821000000000009</v>
      </c>
      <c r="W40" s="26">
        <v>0</v>
      </c>
      <c r="X40" s="26">
        <v>0</v>
      </c>
      <c r="Y40" s="26">
        <f>(1 - CUSTOS!$M$30)*11.243</f>
        <v>11.243</v>
      </c>
      <c r="Z40" s="26">
        <v>0</v>
      </c>
      <c r="AA40" s="26">
        <v>0</v>
      </c>
      <c r="AB40" s="26"/>
      <c r="AC40" s="26">
        <f>(1 - CUSTOS!$M$30)*110.5702</f>
        <v>110.5702</v>
      </c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P40" s="26">
        <f>IF((1 - CUSTOS!$M$30)&lt;&gt;0,1/(1 - CUSTOS!$M$30),1)</f>
        <v>1</v>
      </c>
    </row>
    <row r="41" spans="1:42" ht="11.25" customHeight="1" x14ac:dyDescent="0.25">
      <c r="A41" s="131"/>
      <c r="B41" s="59" t="s">
        <v>23</v>
      </c>
      <c r="C41" s="59" t="s">
        <v>44</v>
      </c>
      <c r="D41" s="59" t="s">
        <v>93</v>
      </c>
      <c r="E41" s="59" t="s">
        <v>25</v>
      </c>
      <c r="F41" s="59" t="s">
        <v>25</v>
      </c>
      <c r="G41" s="44" t="s">
        <v>82</v>
      </c>
      <c r="H41" s="44" t="s">
        <v>76</v>
      </c>
      <c r="I41" s="44">
        <f>'MERCADO TUSD'!$U$38</f>
        <v>0</v>
      </c>
      <c r="J41" s="18"/>
      <c r="L41" s="26"/>
      <c r="M41" s="26"/>
      <c r="N41" s="26"/>
      <c r="O41" s="26"/>
      <c r="P41" s="26"/>
      <c r="Q41" s="26"/>
      <c r="R41" s="26"/>
      <c r="S41" s="26"/>
      <c r="T41" s="26"/>
      <c r="U41" s="26">
        <f>(1 - CUSTOS!$M$30)*15.9769</f>
        <v>15.976900000000001</v>
      </c>
      <c r="V41" s="26">
        <f>(1 - CUSTOS!$M$30)*16.3313</f>
        <v>16.331299999999999</v>
      </c>
      <c r="W41" s="26">
        <v>0</v>
      </c>
      <c r="X41" s="26">
        <v>0</v>
      </c>
      <c r="Y41" s="26">
        <f>(1 - CUSTOS!$M$30)*20.4418</f>
        <v>20.441800000000001</v>
      </c>
      <c r="Z41" s="26">
        <v>0</v>
      </c>
      <c r="AA41" s="26">
        <v>0</v>
      </c>
      <c r="AB41" s="26"/>
      <c r="AC41" s="26">
        <f>(1 - CUSTOS!$M$30)*201.0366</f>
        <v>201.03659999999999</v>
      </c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P41" s="26">
        <f>IF((1 - CUSTOS!$M$30)&lt;&gt;0,1/(1 - CUSTOS!$M$30),1)</f>
        <v>1</v>
      </c>
    </row>
    <row r="42" spans="1:42" ht="11.25" customHeight="1" x14ac:dyDescent="0.25">
      <c r="A42" s="131"/>
      <c r="B42" s="131" t="s">
        <v>91</v>
      </c>
      <c r="C42" s="131" t="s">
        <v>44</v>
      </c>
      <c r="D42" s="59" t="s">
        <v>25</v>
      </c>
      <c r="E42" s="59" t="s">
        <v>25</v>
      </c>
      <c r="F42" s="59" t="s">
        <v>25</v>
      </c>
      <c r="G42" s="44" t="s">
        <v>82</v>
      </c>
      <c r="H42" s="44" t="s">
        <v>76</v>
      </c>
      <c r="I42" s="44">
        <f>'MERCADO TUSD'!$U$39</f>
        <v>0</v>
      </c>
      <c r="J42" s="18"/>
      <c r="L42" s="26"/>
      <c r="M42" s="26"/>
      <c r="N42" s="26"/>
      <c r="O42" s="26"/>
      <c r="P42" s="26"/>
      <c r="Q42" s="26"/>
      <c r="R42" s="26"/>
      <c r="S42" s="26"/>
      <c r="T42" s="26"/>
      <c r="U42" s="26">
        <f>(1 - CUSTOS!$M$28)*15.9769</f>
        <v>15.976900000000001</v>
      </c>
      <c r="V42" s="26">
        <f>(1 - CUSTOS!$M$28)*16.3313</f>
        <v>16.331299999999999</v>
      </c>
      <c r="W42" s="26">
        <v>0</v>
      </c>
      <c r="X42" s="26">
        <v>0</v>
      </c>
      <c r="Y42" s="26">
        <f>(1 - CUSTOS!$M$28)*20.4418</f>
        <v>20.441800000000001</v>
      </c>
      <c r="Z42" s="26">
        <v>0</v>
      </c>
      <c r="AA42" s="26">
        <v>0</v>
      </c>
      <c r="AB42" s="26"/>
      <c r="AC42" s="26">
        <f>(1 - CUSTOS!$M$28)*201.0366</f>
        <v>201.03659999999999</v>
      </c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P42" s="26">
        <f>IF((1 - CUSTOS!$M$28)&lt;&gt;0,1/(1 - CUSTOS!$M$28),1)</f>
        <v>1</v>
      </c>
    </row>
    <row r="43" spans="1:42" ht="11.25" customHeight="1" x14ac:dyDescent="0.25">
      <c r="A43" s="131"/>
      <c r="B43" s="131"/>
      <c r="C43" s="131"/>
      <c r="D43" s="59" t="s">
        <v>92</v>
      </c>
      <c r="E43" s="59" t="s">
        <v>25</v>
      </c>
      <c r="F43" s="59" t="s">
        <v>25</v>
      </c>
      <c r="G43" s="44" t="s">
        <v>82</v>
      </c>
      <c r="H43" s="44" t="s">
        <v>76</v>
      </c>
      <c r="I43" s="44">
        <f>'MERCADO TUSD'!$U$40</f>
        <v>0</v>
      </c>
      <c r="J43" s="18"/>
      <c r="L43" s="26"/>
      <c r="M43" s="26"/>
      <c r="N43" s="26"/>
      <c r="O43" s="26"/>
      <c r="P43" s="26"/>
      <c r="Q43" s="26"/>
      <c r="R43" s="26"/>
      <c r="S43" s="26"/>
      <c r="T43" s="26"/>
      <c r="U43" s="26">
        <f>(1 - CUSTOS!$M$29)*15.9769</f>
        <v>15.976900000000001</v>
      </c>
      <c r="V43" s="26">
        <f>(1 - CUSTOS!$M$29)*16.3313</f>
        <v>16.331299999999999</v>
      </c>
      <c r="W43" s="26">
        <v>0</v>
      </c>
      <c r="X43" s="26">
        <v>0</v>
      </c>
      <c r="Y43" s="26">
        <f>(1 - CUSTOS!$M$29)*20.4418</f>
        <v>20.441800000000001</v>
      </c>
      <c r="Z43" s="26">
        <v>0</v>
      </c>
      <c r="AA43" s="26">
        <v>0</v>
      </c>
      <c r="AB43" s="26"/>
      <c r="AC43" s="26">
        <f>(1 - CUSTOS!$M$29)*201.0366</f>
        <v>201.03659999999999</v>
      </c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P43" s="26">
        <f>IF((1 - CUSTOS!$M$29)&lt;&gt;0,1/(1 - CUSTOS!$M$29),1)</f>
        <v>1</v>
      </c>
    </row>
    <row r="44" spans="1:42" ht="11.25" customHeight="1" x14ac:dyDescent="0.25">
      <c r="A44" s="131"/>
      <c r="B44" s="131"/>
      <c r="C44" s="131"/>
      <c r="D44" s="59" t="s">
        <v>93</v>
      </c>
      <c r="E44" s="59" t="s">
        <v>25</v>
      </c>
      <c r="F44" s="59" t="s">
        <v>25</v>
      </c>
      <c r="G44" s="44" t="s">
        <v>82</v>
      </c>
      <c r="H44" s="44" t="s">
        <v>76</v>
      </c>
      <c r="I44" s="44">
        <f>'MERCADO TUSD'!$U$41</f>
        <v>0</v>
      </c>
      <c r="J44" s="18"/>
      <c r="L44" s="26"/>
      <c r="M44" s="26"/>
      <c r="N44" s="26"/>
      <c r="O44" s="26"/>
      <c r="P44" s="26"/>
      <c r="Q44" s="26"/>
      <c r="R44" s="26"/>
      <c r="S44" s="26"/>
      <c r="T44" s="26"/>
      <c r="U44" s="26">
        <f>(1 - CUSTOS!$M$30)*15.9769</f>
        <v>15.976900000000001</v>
      </c>
      <c r="V44" s="26">
        <f>(1 - CUSTOS!$M$30)*16.3313</f>
        <v>16.331299999999999</v>
      </c>
      <c r="W44" s="26">
        <v>0</v>
      </c>
      <c r="X44" s="26">
        <v>0</v>
      </c>
      <c r="Y44" s="26">
        <f>(1 - CUSTOS!$M$30)*20.4418</f>
        <v>20.441800000000001</v>
      </c>
      <c r="Z44" s="26">
        <v>0</v>
      </c>
      <c r="AA44" s="26">
        <v>0</v>
      </c>
      <c r="AB44" s="26"/>
      <c r="AC44" s="26">
        <f>(1 - CUSTOS!$M$30)*201.0366</f>
        <v>201.03659999999999</v>
      </c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P44" s="26">
        <f>IF((1 - CUSTOS!$M$30)&lt;&gt;0,1/(1 - CUSTOS!$M$30),1)</f>
        <v>1</v>
      </c>
    </row>
    <row r="45" spans="1:42" ht="11.25" customHeight="1" x14ac:dyDescent="0.25">
      <c r="A45" s="131" t="s">
        <v>39</v>
      </c>
      <c r="B45" s="131" t="s">
        <v>37</v>
      </c>
      <c r="C45" s="131" t="s">
        <v>25</v>
      </c>
      <c r="D45" s="131" t="s">
        <v>25</v>
      </c>
      <c r="E45" s="131" t="s">
        <v>25</v>
      </c>
      <c r="F45" s="131" t="s">
        <v>25</v>
      </c>
      <c r="G45" s="44" t="s">
        <v>77</v>
      </c>
      <c r="H45" s="44" t="s">
        <v>76</v>
      </c>
      <c r="I45" s="44">
        <f>'MERCADO TUSD'!$U$42</f>
        <v>0.80500000000000171</v>
      </c>
      <c r="J45" s="18"/>
      <c r="L45" s="26"/>
      <c r="M45" s="26"/>
      <c r="N45" s="26"/>
      <c r="O45" s="26"/>
      <c r="P45" s="26"/>
      <c r="Q45" s="26"/>
      <c r="R45" s="26"/>
      <c r="S45" s="26"/>
      <c r="T45" s="26"/>
      <c r="U45" s="26">
        <f>(1 - CUSTOS!$M$31)*49.5282</f>
        <v>49.528199999999998</v>
      </c>
      <c r="V45" s="26">
        <f>(1 - CUSTOS!$M$31)*50.6268</f>
        <v>50.626800000000003</v>
      </c>
      <c r="W45" s="26">
        <v>0</v>
      </c>
      <c r="X45" s="26">
        <v>0</v>
      </c>
      <c r="Y45" s="26">
        <f>(1 - CUSTOS!$M$31)*63.3696</f>
        <v>63.369599999999998</v>
      </c>
      <c r="Z45" s="26">
        <v>0</v>
      </c>
      <c r="AA45" s="26">
        <v>0</v>
      </c>
      <c r="AB45" s="26"/>
      <c r="AC45" s="26">
        <f>(1 - CUSTOS!$M$31)*623.2139</f>
        <v>623.21389999999997</v>
      </c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P45" s="26">
        <f>IF((1 - CUSTOS!$M$31)&lt;&gt;0,1/(1 - CUSTOS!$M$31),1)</f>
        <v>1</v>
      </c>
    </row>
    <row r="46" spans="1:42" ht="11.25" customHeight="1" x14ac:dyDescent="0.25">
      <c r="A46" s="131"/>
      <c r="B46" s="131"/>
      <c r="C46" s="131"/>
      <c r="D46" s="131"/>
      <c r="E46" s="131"/>
      <c r="F46" s="131"/>
      <c r="G46" s="44" t="s">
        <v>88</v>
      </c>
      <c r="H46" s="44" t="s">
        <v>76</v>
      </c>
      <c r="I46" s="44">
        <f>'MERCADO TUSD'!$U$43</f>
        <v>1.23</v>
      </c>
      <c r="J46" s="18"/>
      <c r="L46" s="26"/>
      <c r="M46" s="26"/>
      <c r="N46" s="26"/>
      <c r="O46" s="26"/>
      <c r="P46" s="26"/>
      <c r="Q46" s="26"/>
      <c r="R46" s="26"/>
      <c r="S46" s="26"/>
      <c r="T46" s="26"/>
      <c r="U46" s="26">
        <f>(1 - CUSTOS!$M$31)*29.717</f>
        <v>29.716999999999999</v>
      </c>
      <c r="V46" s="26">
        <f>(1 - CUSTOS!$M$31)*30.3759</f>
        <v>30.375900000000001</v>
      </c>
      <c r="W46" s="26">
        <v>0</v>
      </c>
      <c r="X46" s="26">
        <v>0</v>
      </c>
      <c r="Y46" s="26">
        <f>(1 - CUSTOS!$M$31)*38.0218</f>
        <v>38.021799999999999</v>
      </c>
      <c r="Z46" s="26">
        <v>0</v>
      </c>
      <c r="AA46" s="26">
        <v>0</v>
      </c>
      <c r="AB46" s="26"/>
      <c r="AC46" s="26">
        <f>(1 - CUSTOS!$M$31)*373.9282</f>
        <v>373.9282</v>
      </c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P46" s="26">
        <f>IF((1 - CUSTOS!$M$31)&lt;&gt;0,1/(1 - CUSTOS!$M$31),1)</f>
        <v>1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44" t="s">
        <v>78</v>
      </c>
      <c r="H47" s="44" t="s">
        <v>76</v>
      </c>
      <c r="I47" s="44">
        <f>'MERCADO TUSD'!$U$44</f>
        <v>18.96</v>
      </c>
      <c r="J47" s="18"/>
      <c r="L47" s="26"/>
      <c r="M47" s="26"/>
      <c r="N47" s="26"/>
      <c r="O47" s="26"/>
      <c r="P47" s="26"/>
      <c r="Q47" s="26"/>
      <c r="R47" s="26"/>
      <c r="S47" s="26"/>
      <c r="T47" s="26"/>
      <c r="U47" s="26">
        <f>(1 - CUSTOS!$M$31)*9.9056</f>
        <v>9.9055999999999997</v>
      </c>
      <c r="V47" s="26">
        <f>(1 - CUSTOS!$M$31)*10.1251</f>
        <v>10.1251</v>
      </c>
      <c r="W47" s="26">
        <v>0</v>
      </c>
      <c r="X47" s="26">
        <v>0</v>
      </c>
      <c r="Y47" s="26">
        <f>(1 - CUSTOS!$M$31)*12.674</f>
        <v>12.673999999999999</v>
      </c>
      <c r="Z47" s="26">
        <v>0</v>
      </c>
      <c r="AA47" s="26">
        <v>0</v>
      </c>
      <c r="AB47" s="26"/>
      <c r="AC47" s="26">
        <f>(1 - CUSTOS!$M$31)*124.6427</f>
        <v>124.6427</v>
      </c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P47" s="26">
        <f>IF((1 - CUSTOS!$M$31)&lt;&gt;0,1/(1 - CUSTOS!$M$31),1)</f>
        <v>1</v>
      </c>
    </row>
    <row r="48" spans="1:42" ht="11.25" customHeight="1" x14ac:dyDescent="0.25">
      <c r="A48" s="131"/>
      <c r="B48" s="59" t="s">
        <v>23</v>
      </c>
      <c r="C48" s="59" t="s">
        <v>25</v>
      </c>
      <c r="D48" s="59" t="s">
        <v>25</v>
      </c>
      <c r="E48" s="59" t="s">
        <v>25</v>
      </c>
      <c r="F48" s="59" t="s">
        <v>25</v>
      </c>
      <c r="G48" s="44" t="s">
        <v>82</v>
      </c>
      <c r="H48" s="44" t="s">
        <v>76</v>
      </c>
      <c r="I48" s="44">
        <f>'MERCADO TUSD'!$U$45</f>
        <v>17010.552</v>
      </c>
      <c r="J48" s="18"/>
      <c r="L48" s="26"/>
      <c r="M48" s="26"/>
      <c r="N48" s="26"/>
      <c r="O48" s="26"/>
      <c r="P48" s="26"/>
      <c r="Q48" s="26"/>
      <c r="R48" s="26"/>
      <c r="S48" s="26"/>
      <c r="T48" s="26"/>
      <c r="U48" s="26">
        <f>(1 - CUSTOS!$M$31)*15.9769</f>
        <v>15.976900000000001</v>
      </c>
      <c r="V48" s="26">
        <f>(1 - CUSTOS!$M$31)*16.3313</f>
        <v>16.331299999999999</v>
      </c>
      <c r="W48" s="26">
        <v>0</v>
      </c>
      <c r="X48" s="26">
        <v>0</v>
      </c>
      <c r="Y48" s="26">
        <f>(1 - CUSTOS!$M$31)*20.4418</f>
        <v>20.441800000000001</v>
      </c>
      <c r="Z48" s="26">
        <v>0</v>
      </c>
      <c r="AA48" s="26">
        <v>0</v>
      </c>
      <c r="AB48" s="26"/>
      <c r="AC48" s="26">
        <f>(1 - CUSTOS!$M$31)*201.0366</f>
        <v>201.03659999999999</v>
      </c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P48" s="26">
        <f>IF((1 - CUSTOS!$M$31)&lt;&gt;0,1/(1 - CUSTOS!$M$31),1)</f>
        <v>1</v>
      </c>
    </row>
    <row r="49" spans="1:42" ht="11.25" customHeight="1" x14ac:dyDescent="0.25">
      <c r="A49" s="131"/>
      <c r="B49" s="59" t="s">
        <v>91</v>
      </c>
      <c r="C49" s="59" t="s">
        <v>25</v>
      </c>
      <c r="D49" s="59" t="s">
        <v>25</v>
      </c>
      <c r="E49" s="59" t="s">
        <v>25</v>
      </c>
      <c r="F49" s="59" t="s">
        <v>25</v>
      </c>
      <c r="G49" s="44" t="s">
        <v>82</v>
      </c>
      <c r="H49" s="44" t="s">
        <v>76</v>
      </c>
      <c r="I49" s="44">
        <f>'MERCADO TUSD'!$U$46</f>
        <v>0</v>
      </c>
      <c r="J49" s="18"/>
      <c r="L49" s="26"/>
      <c r="M49" s="26"/>
      <c r="N49" s="26"/>
      <c r="O49" s="26"/>
      <c r="P49" s="26"/>
      <c r="Q49" s="26"/>
      <c r="R49" s="26"/>
      <c r="S49" s="26"/>
      <c r="T49" s="26"/>
      <c r="U49" s="26">
        <f>(1 - CUSTOS!$M$31)*15.9769</f>
        <v>15.976900000000001</v>
      </c>
      <c r="V49" s="26">
        <f>(1 - CUSTOS!$M$31)*16.3313</f>
        <v>16.331299999999999</v>
      </c>
      <c r="W49" s="26">
        <v>0</v>
      </c>
      <c r="X49" s="26">
        <v>0</v>
      </c>
      <c r="Y49" s="26">
        <f>(1 - CUSTOS!$M$31)*20.4418</f>
        <v>20.441800000000001</v>
      </c>
      <c r="Z49" s="26">
        <v>0</v>
      </c>
      <c r="AA49" s="26">
        <v>0</v>
      </c>
      <c r="AB49" s="26"/>
      <c r="AC49" s="26">
        <f>(1 - CUSTOS!$M$31)*201.0366</f>
        <v>201.03659999999999</v>
      </c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P49" s="26">
        <f>IF((1 - CUSTOS!$M$31)&lt;&gt;0,1/(1 - CUSTOS!$M$31),1)</f>
        <v>1</v>
      </c>
    </row>
    <row r="50" spans="1:42" ht="11.25" customHeight="1" x14ac:dyDescent="0.25">
      <c r="A50" s="131" t="s">
        <v>46</v>
      </c>
      <c r="B50" s="131" t="s">
        <v>23</v>
      </c>
      <c r="C50" s="131" t="s">
        <v>47</v>
      </c>
      <c r="D50" s="59" t="s">
        <v>48</v>
      </c>
      <c r="E50" s="59" t="s">
        <v>25</v>
      </c>
      <c r="F50" s="59" t="s">
        <v>25</v>
      </c>
      <c r="G50" s="44" t="s">
        <v>82</v>
      </c>
      <c r="H50" s="44" t="s">
        <v>76</v>
      </c>
      <c r="I50" s="44">
        <f>'MERCADO TUSD'!$U$47</f>
        <v>3708.9960000000001</v>
      </c>
      <c r="J50" s="18"/>
      <c r="L50" s="26"/>
      <c r="M50" s="26"/>
      <c r="N50" s="26"/>
      <c r="O50" s="26"/>
      <c r="P50" s="26"/>
      <c r="Q50" s="26"/>
      <c r="R50" s="26"/>
      <c r="S50" s="26"/>
      <c r="T50" s="26"/>
      <c r="U50" s="26">
        <f>(1 - CUSTOS!$M$32)*15.9769</f>
        <v>8.7872950000000003</v>
      </c>
      <c r="V50" s="26">
        <f>(1 - CUSTOS!$M$32)*16.3313</f>
        <v>8.9822150000000001</v>
      </c>
      <c r="W50" s="26">
        <v>0</v>
      </c>
      <c r="X50" s="26">
        <v>0</v>
      </c>
      <c r="Y50" s="26">
        <f>(1 - CUSTOS!$M$32)*20.4418</f>
        <v>11.242990000000001</v>
      </c>
      <c r="Z50" s="26">
        <v>0</v>
      </c>
      <c r="AA50" s="26">
        <v>0</v>
      </c>
      <c r="AB50" s="26"/>
      <c r="AC50" s="26">
        <f>(1 - CUSTOS!$M$32)*201.0366</f>
        <v>110.57013000000001</v>
      </c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P50" s="26">
        <f>IF((1 - CUSTOS!$M$32)&lt;&gt;0,1/(1 - CUSTOS!$M$32),1)</f>
        <v>1.8181818181818181</v>
      </c>
    </row>
    <row r="51" spans="1:42" ht="11.25" customHeight="1" x14ac:dyDescent="0.25">
      <c r="A51" s="131"/>
      <c r="B51" s="131"/>
      <c r="C51" s="131"/>
      <c r="D51" s="44" t="s">
        <v>49</v>
      </c>
      <c r="E51" s="44" t="s">
        <v>25</v>
      </c>
      <c r="F51" s="44" t="s">
        <v>25</v>
      </c>
      <c r="G51" s="44" t="s">
        <v>82</v>
      </c>
      <c r="H51" s="44" t="s">
        <v>76</v>
      </c>
      <c r="I51" s="44">
        <f>'MERCADO TUSD'!$U$48</f>
        <v>336.95</v>
      </c>
      <c r="J51" s="18"/>
      <c r="L51" s="26"/>
      <c r="M51" s="26"/>
      <c r="N51" s="26"/>
      <c r="O51" s="26"/>
      <c r="P51" s="26"/>
      <c r="Q51" s="26"/>
      <c r="R51" s="26"/>
      <c r="S51" s="26"/>
      <c r="T51" s="26"/>
      <c r="U51" s="26">
        <f>(1 - CUSTOS!$M$33)*15.9769</f>
        <v>9.5861400000000003</v>
      </c>
      <c r="V51" s="26">
        <f>(1 - CUSTOS!$M$33)*16.3313</f>
        <v>9.7987799999999989</v>
      </c>
      <c r="W51" s="26">
        <v>0</v>
      </c>
      <c r="X51" s="26">
        <v>0</v>
      </c>
      <c r="Y51" s="26">
        <f>(1 - CUSTOS!$M$33)*20.4418</f>
        <v>12.265079999999999</v>
      </c>
      <c r="Z51" s="26">
        <v>0</v>
      </c>
      <c r="AA51" s="26">
        <v>0</v>
      </c>
      <c r="AB51" s="26"/>
      <c r="AC51" s="26">
        <f>(1 - CUSTOS!$M$33)*201.0366</f>
        <v>120.62195999999999</v>
      </c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P51" s="26">
        <f>IF((1 - CUSTOS!$M$33)&lt;&gt;0,1/(1 - CUSTOS!$M$33),1)</f>
        <v>1.6666666666666667</v>
      </c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A70B0-0CC9-4C07-BBFF-9CAB04DCEA9F}">
  <dimension ref="A1:AP70"/>
  <sheetViews>
    <sheetView showGridLines="0" topLeftCell="A28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2" width="10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2" t="s">
        <v>66</v>
      </c>
      <c r="B1" s="132" t="s">
        <v>67</v>
      </c>
      <c r="C1" s="132" t="s">
        <v>68</v>
      </c>
      <c r="D1" s="132" t="s">
        <v>69</v>
      </c>
      <c r="E1" s="132" t="s">
        <v>70</v>
      </c>
      <c r="F1" s="132" t="s">
        <v>15</v>
      </c>
      <c r="G1" s="132" t="s">
        <v>72</v>
      </c>
      <c r="H1" s="132" t="s">
        <v>73</v>
      </c>
      <c r="I1" s="132" t="s">
        <v>717</v>
      </c>
      <c r="J1" s="126"/>
      <c r="L1" s="133" t="s">
        <v>718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719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6"/>
      <c r="L2" s="133" t="s">
        <v>617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4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6"/>
      <c r="L3" s="133" t="s">
        <v>618</v>
      </c>
      <c r="M3" s="133"/>
      <c r="N3" s="133"/>
      <c r="O3" s="133"/>
      <c r="P3" s="133"/>
      <c r="Q3" s="133"/>
      <c r="R3" s="133"/>
      <c r="S3" s="133"/>
      <c r="T3" s="133"/>
      <c r="U3" s="133" t="s">
        <v>627</v>
      </c>
      <c r="V3" s="133"/>
      <c r="W3" s="133"/>
      <c r="X3" s="133"/>
      <c r="Y3" s="133"/>
      <c r="Z3" s="133"/>
      <c r="AA3" s="133"/>
      <c r="AB3" s="133"/>
      <c r="AC3" s="133" t="s">
        <v>635</v>
      </c>
      <c r="AD3" s="133"/>
      <c r="AE3" s="133" t="s">
        <v>637</v>
      </c>
      <c r="AF3" s="133"/>
      <c r="AG3" s="133"/>
      <c r="AH3" s="133" t="s">
        <v>640</v>
      </c>
      <c r="AI3" s="133"/>
      <c r="AJ3" s="133"/>
      <c r="AK3" s="133"/>
      <c r="AL3" s="133"/>
      <c r="AM3" s="133" t="s">
        <v>626</v>
      </c>
      <c r="AP3" s="134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6"/>
      <c r="L4" s="41" t="s">
        <v>702</v>
      </c>
      <c r="M4" s="41" t="s">
        <v>619</v>
      </c>
      <c r="N4" s="41" t="s">
        <v>620</v>
      </c>
      <c r="O4" s="41" t="s">
        <v>621</v>
      </c>
      <c r="P4" s="41" t="s">
        <v>622</v>
      </c>
      <c r="Q4" s="41" t="s">
        <v>623</v>
      </c>
      <c r="R4" s="41" t="s">
        <v>624</v>
      </c>
      <c r="S4" s="41" t="s">
        <v>625</v>
      </c>
      <c r="T4" s="41" t="s">
        <v>626</v>
      </c>
      <c r="U4" s="41" t="s">
        <v>628</v>
      </c>
      <c r="V4" s="41" t="s">
        <v>629</v>
      </c>
      <c r="W4" s="41" t="s">
        <v>630</v>
      </c>
      <c r="X4" s="41" t="s">
        <v>631</v>
      </c>
      <c r="Y4" s="41" t="s">
        <v>632</v>
      </c>
      <c r="Z4" s="41" t="s">
        <v>633</v>
      </c>
      <c r="AA4" s="41" t="s">
        <v>634</v>
      </c>
      <c r="AB4" s="41" t="s">
        <v>626</v>
      </c>
      <c r="AC4" s="41" t="s">
        <v>636</v>
      </c>
      <c r="AD4" s="41" t="s">
        <v>626</v>
      </c>
      <c r="AE4" s="41" t="s">
        <v>638</v>
      </c>
      <c r="AF4" s="41" t="s">
        <v>639</v>
      </c>
      <c r="AG4" s="41" t="s">
        <v>626</v>
      </c>
      <c r="AH4" s="41" t="s">
        <v>641</v>
      </c>
      <c r="AI4" s="41" t="s">
        <v>642</v>
      </c>
      <c r="AJ4" s="41" t="s">
        <v>643</v>
      </c>
      <c r="AK4" s="41" t="s">
        <v>644</v>
      </c>
      <c r="AL4" s="41" t="s">
        <v>626</v>
      </c>
      <c r="AM4" s="135"/>
      <c r="AP4" s="134"/>
    </row>
    <row r="5" spans="1:42" ht="11.25" customHeight="1" x14ac:dyDescent="0.25">
      <c r="A5" s="131" t="s">
        <v>33</v>
      </c>
      <c r="B5" s="131" t="s">
        <v>41</v>
      </c>
      <c r="C5" s="131" t="s">
        <v>25</v>
      </c>
      <c r="D5" s="131" t="s">
        <v>25</v>
      </c>
      <c r="E5" s="131" t="s">
        <v>25</v>
      </c>
      <c r="F5" s="131" t="s">
        <v>25</v>
      </c>
      <c r="G5" s="44" t="s">
        <v>80</v>
      </c>
      <c r="H5" s="44" t="s">
        <v>79</v>
      </c>
      <c r="I5" s="44">
        <f>'MERCADO TUSD'!$U$2</f>
        <v>2147</v>
      </c>
      <c r="J5" s="18"/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/>
      <c r="U5" s="26">
        <f>TRANSICAO!$U$5*CUSTOS!$R$3</f>
        <v>3.5063</v>
      </c>
      <c r="V5" s="26">
        <f>TRANSICAO!$V$5*CUSTOS!$R$3</f>
        <v>3.5708000000000002</v>
      </c>
      <c r="W5" s="26">
        <f>TRANSICAO!$W$5*CUSTOS!$R$3</f>
        <v>0</v>
      </c>
      <c r="X5" s="26">
        <f>TRANSICAO!$X$5*CUSTOS!$R$3</f>
        <v>0</v>
      </c>
      <c r="Y5" s="26">
        <f>TRANSICAO!$Y$5*CUSTOS!$R$3</f>
        <v>4.4862000000000002</v>
      </c>
      <c r="Z5" s="26">
        <f>TRANSICAO!$Z$5*CUSTOS!$R$3</f>
        <v>0</v>
      </c>
      <c r="AA5" s="26">
        <f>TRANSICAO!$AA$5*CUSTOS!$R$3</f>
        <v>0</v>
      </c>
      <c r="AB5" s="26">
        <f>TRANSICAO!$AB$5*CUSTOS!$R$3</f>
        <v>0</v>
      </c>
      <c r="AC5" s="26">
        <f>TRANSICAO!$AC$5*CUSTOS!$R$3</f>
        <v>35.614899999999999</v>
      </c>
      <c r="AD5" s="26">
        <f>TRANSICAO!$AD$5*CUSTOS!$R$3</f>
        <v>0</v>
      </c>
      <c r="AE5" s="26">
        <v>0</v>
      </c>
      <c r="AF5" s="26">
        <v>0</v>
      </c>
      <c r="AG5" s="26"/>
      <c r="AH5" s="26">
        <v>0</v>
      </c>
      <c r="AI5" s="26">
        <v>0</v>
      </c>
      <c r="AJ5" s="26">
        <v>0</v>
      </c>
      <c r="AK5" s="26">
        <f t="shared" ref="AK5:AK51" si="0">AJ5</f>
        <v>0</v>
      </c>
      <c r="AL5" s="26"/>
      <c r="AM5" s="26"/>
      <c r="AP5" s="26">
        <v>1</v>
      </c>
    </row>
    <row r="6" spans="1:42" ht="11.25" customHeight="1" x14ac:dyDescent="0.25">
      <c r="A6" s="131"/>
      <c r="B6" s="131"/>
      <c r="C6" s="131"/>
      <c r="D6" s="131"/>
      <c r="E6" s="131"/>
      <c r="F6" s="131"/>
      <c r="G6" s="44" t="s">
        <v>81</v>
      </c>
      <c r="H6" s="44" t="s">
        <v>79</v>
      </c>
      <c r="I6" s="44">
        <f>'MERCADO TUSD'!$U$3</f>
        <v>2668</v>
      </c>
      <c r="J6" s="18"/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/>
      <c r="U6" s="26">
        <f>TRANSICAO!$U$6*CUSTOS!$R$3</f>
        <v>3.4548999999999999</v>
      </c>
      <c r="V6" s="26">
        <f>TRANSICAO!$V$6*CUSTOS!$R$3</f>
        <v>3.5531000000000001</v>
      </c>
      <c r="W6" s="26">
        <f>TRANSICAO!$W$6*CUSTOS!$R$3</f>
        <v>0</v>
      </c>
      <c r="X6" s="26">
        <f>TRANSICAO!$X$6*CUSTOS!$R$3</f>
        <v>0</v>
      </c>
      <c r="Y6" s="26">
        <f>TRANSICAO!$Y$6*CUSTOS!$R$3</f>
        <v>4.4203000000000001</v>
      </c>
      <c r="Z6" s="26">
        <f>TRANSICAO!$Z$6*CUSTOS!$R$3</f>
        <v>0</v>
      </c>
      <c r="AA6" s="26">
        <f>TRANSICAO!$AA$6*CUSTOS!$R$3</f>
        <v>0</v>
      </c>
      <c r="AB6" s="26">
        <f>TRANSICAO!$AB$6*CUSTOS!$R$3</f>
        <v>0</v>
      </c>
      <c r="AC6" s="26">
        <f>TRANSICAO!$AC$6*CUSTOS!$R$3</f>
        <v>8.9125999999999994</v>
      </c>
      <c r="AD6" s="26">
        <f>TRANSICAO!$AD$6*CUSTOS!$R$3</f>
        <v>0</v>
      </c>
      <c r="AE6" s="26">
        <v>0</v>
      </c>
      <c r="AF6" s="26">
        <v>0</v>
      </c>
      <c r="AG6" s="26"/>
      <c r="AH6" s="26">
        <v>0</v>
      </c>
      <c r="AI6" s="26">
        <v>0</v>
      </c>
      <c r="AJ6" s="26">
        <v>0</v>
      </c>
      <c r="AK6" s="26">
        <f t="shared" si="0"/>
        <v>0</v>
      </c>
      <c r="AL6" s="26"/>
      <c r="AM6" s="26"/>
      <c r="AP6" s="26">
        <v>1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44" t="s">
        <v>82</v>
      </c>
      <c r="H7" s="44" t="s">
        <v>76</v>
      </c>
      <c r="I7" s="44">
        <f>'MERCADO TUSD'!$U$4</f>
        <v>669.6350000000001</v>
      </c>
      <c r="J7" s="18"/>
      <c r="L7" s="26">
        <f>0.84</f>
        <v>0.84</v>
      </c>
      <c r="M7" s="2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0.4824461864445474</v>
      </c>
      <c r="N7" s="26">
        <f ca="1">(+M7+O7+R7+U7+V7+W7+X7+Y7+Z7+AA7+AC7+AH7+AI7+AJ7+AK7)*CUSTOS!$M$5</f>
        <v>2.1339246186444549E-13</v>
      </c>
      <c r="O7" s="26">
        <v>1</v>
      </c>
      <c r="P7" s="26">
        <v>1</v>
      </c>
      <c r="Q7" s="26">
        <f>0.84</f>
        <v>0.84</v>
      </c>
      <c r="R7" s="26">
        <v>1</v>
      </c>
      <c r="S7" s="26">
        <v>1</v>
      </c>
      <c r="T7" s="26"/>
      <c r="U7" s="26">
        <f>TRANSICAO!$U$7*CUSTOS!$R$3</f>
        <v>0</v>
      </c>
      <c r="V7" s="26">
        <f>TRANSICAO!$V$7*CUSTOS!$R$3</f>
        <v>0</v>
      </c>
      <c r="W7" s="26">
        <f>TRANSICAO!$W$7*CUSTOS!$R$3</f>
        <v>0</v>
      </c>
      <c r="X7" s="26">
        <f>TRANSICAO!$X$7*CUSTOS!$R$3</f>
        <v>0</v>
      </c>
      <c r="Y7" s="26">
        <f>TRANSICAO!$Y$7*CUSTOS!$R$3</f>
        <v>0</v>
      </c>
      <c r="Z7" s="26">
        <f>TRANSICAO!$Z$7*CUSTOS!$R$3</f>
        <v>0</v>
      </c>
      <c r="AA7" s="26">
        <f>TRANSICAO!$AA$7*CUSTOS!$R$3</f>
        <v>0</v>
      </c>
      <c r="AB7" s="26">
        <f>TRANSICAO!$AB$7*CUSTOS!$R$3</f>
        <v>0</v>
      </c>
      <c r="AC7" s="26">
        <f>TRANSICAO!$AC$7*CUSTOS!$R$3</f>
        <v>0</v>
      </c>
      <c r="AD7" s="26">
        <f>TRANSICAO!$AD$7*CUSTOS!$R$3</f>
        <v>0</v>
      </c>
      <c r="AE7" s="26">
        <v>0</v>
      </c>
      <c r="AF7" s="26">
        <v>0</v>
      </c>
      <c r="AG7" s="26"/>
      <c r="AH7" s="26">
        <v>9.4283999999999999</v>
      </c>
      <c r="AI7" s="26">
        <v>9.4283999999999999</v>
      </c>
      <c r="AJ7" s="26">
        <f ca="1">$N$63</f>
        <v>0</v>
      </c>
      <c r="AK7" s="26">
        <f t="shared" ca="1" si="0"/>
        <v>0</v>
      </c>
      <c r="AL7" s="26"/>
      <c r="AM7" s="26"/>
      <c r="AP7" s="26">
        <v>1</v>
      </c>
    </row>
    <row r="8" spans="1:42" ht="11.25" customHeight="1" x14ac:dyDescent="0.25">
      <c r="A8" s="131"/>
      <c r="B8" s="131"/>
      <c r="C8" s="131"/>
      <c r="D8" s="131"/>
      <c r="E8" s="45" t="s">
        <v>83</v>
      </c>
      <c r="F8" s="45" t="s">
        <v>25</v>
      </c>
      <c r="G8" s="44" t="s">
        <v>82</v>
      </c>
      <c r="H8" s="44" t="s">
        <v>76</v>
      </c>
      <c r="I8" s="44">
        <f>'MERCADO TUSD'!$U$5</f>
        <v>0</v>
      </c>
      <c r="J8" s="18"/>
      <c r="L8" s="26">
        <v>0</v>
      </c>
      <c r="M8" s="2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0.4824461864445474</v>
      </c>
      <c r="N8" s="26">
        <f ca="1">(+M8+O8+R8+U8+V8+W8+X8+Y8+Z8+AA8+AC8+AH8+AI8+AJ8+AK8)*CUSTOS!$M$5</f>
        <v>2.0339246186444548E-13</v>
      </c>
      <c r="O8" s="26">
        <v>1</v>
      </c>
      <c r="P8" s="26">
        <v>0</v>
      </c>
      <c r="Q8" s="26">
        <v>0</v>
      </c>
      <c r="R8" s="26">
        <v>0</v>
      </c>
      <c r="S8" s="26">
        <v>0</v>
      </c>
      <c r="T8" s="26"/>
      <c r="U8" s="26">
        <f>TRANSICAO!$U$8*CUSTOS!$R$3</f>
        <v>0</v>
      </c>
      <c r="V8" s="26">
        <f>TRANSICAO!$V$8*CUSTOS!$R$3</f>
        <v>0</v>
      </c>
      <c r="W8" s="26">
        <f>TRANSICAO!$W$8*CUSTOS!$R$3</f>
        <v>0</v>
      </c>
      <c r="X8" s="26">
        <f>TRANSICAO!$X$8*CUSTOS!$R$3</f>
        <v>0</v>
      </c>
      <c r="Y8" s="26">
        <f>TRANSICAO!$Y$8*CUSTOS!$R$3</f>
        <v>0</v>
      </c>
      <c r="Z8" s="26">
        <f>TRANSICAO!$Z$8*CUSTOS!$R$3</f>
        <v>0</v>
      </c>
      <c r="AA8" s="26">
        <f>TRANSICAO!$AA$8*CUSTOS!$R$3</f>
        <v>0</v>
      </c>
      <c r="AB8" s="26">
        <f>TRANSICAO!$AB$8*CUSTOS!$R$3</f>
        <v>0</v>
      </c>
      <c r="AC8" s="26">
        <f>TRANSICAO!$AC$8*CUSTOS!$R$3</f>
        <v>0</v>
      </c>
      <c r="AD8" s="26">
        <f>TRANSICAO!$AD$8*CUSTOS!$R$3</f>
        <v>0</v>
      </c>
      <c r="AE8" s="26">
        <v>0</v>
      </c>
      <c r="AF8" s="26">
        <v>0</v>
      </c>
      <c r="AG8" s="26"/>
      <c r="AH8" s="26">
        <v>9.4283999999999999</v>
      </c>
      <c r="AI8" s="26">
        <v>9.4283999999999999</v>
      </c>
      <c r="AJ8" s="26">
        <f ca="1">$N$63</f>
        <v>0</v>
      </c>
      <c r="AK8" s="26">
        <f t="shared" ca="1" si="0"/>
        <v>0</v>
      </c>
      <c r="AL8" s="26"/>
      <c r="AM8" s="26"/>
      <c r="AP8" s="26">
        <v>1</v>
      </c>
    </row>
    <row r="9" spans="1:42" ht="11.25" customHeight="1" x14ac:dyDescent="0.25">
      <c r="A9" s="131"/>
      <c r="B9" s="45" t="s">
        <v>84</v>
      </c>
      <c r="C9" s="45" t="s">
        <v>25</v>
      </c>
      <c r="D9" s="45" t="s">
        <v>25</v>
      </c>
      <c r="E9" s="45" t="s">
        <v>25</v>
      </c>
      <c r="F9" s="45" t="s">
        <v>25</v>
      </c>
      <c r="G9" s="44" t="s">
        <v>9</v>
      </c>
      <c r="H9" s="44" t="s">
        <v>79</v>
      </c>
      <c r="I9" s="44">
        <f>'MERCADO TUSD'!$U$6</f>
        <v>0</v>
      </c>
      <c r="J9" s="18"/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/>
      <c r="U9" s="26">
        <f>TRANSICAO!$U$9*CUSTOS!$R$4</f>
        <v>0</v>
      </c>
      <c r="V9" s="26">
        <f>TRANSICAO!$V$9*CUSTOS!$R$4</f>
        <v>0</v>
      </c>
      <c r="W9" s="26">
        <f>TRANSICAO!$W$9*CUSTOS!$R$4</f>
        <v>0</v>
      </c>
      <c r="X9" s="26">
        <f>TRANSICAO!$X$9*CUSTOS!$R$4</f>
        <v>0</v>
      </c>
      <c r="Y9" s="26">
        <f>TRANSICAO!$Y$9*CUSTOS!$R$4</f>
        <v>0</v>
      </c>
      <c r="Z9" s="26">
        <f>TRANSICAO!$Z$9*CUSTOS!$R$4</f>
        <v>0</v>
      </c>
      <c r="AA9" s="26">
        <f>TRANSICAO!$AA$9*CUSTOS!$R$4</f>
        <v>0</v>
      </c>
      <c r="AB9" s="26">
        <f>TRANSICAO!$AB$9*CUSTOS!$R$4</f>
        <v>0</v>
      </c>
      <c r="AC9" s="26">
        <f>TRANSICAO!$AC$9*CUSTOS!$R$4</f>
        <v>4.6040999999999999</v>
      </c>
      <c r="AD9" s="26">
        <f>TRANSICAO!$AD$9*CUSTOS!$R$4</f>
        <v>0</v>
      </c>
      <c r="AE9" s="26">
        <v>0</v>
      </c>
      <c r="AF9" s="26">
        <v>0</v>
      </c>
      <c r="AG9" s="26"/>
      <c r="AH9" s="26">
        <v>0</v>
      </c>
      <c r="AI9" s="26">
        <v>0</v>
      </c>
      <c r="AJ9" s="26">
        <v>0</v>
      </c>
      <c r="AK9" s="26">
        <f t="shared" si="0"/>
        <v>0</v>
      </c>
      <c r="AL9" s="26"/>
      <c r="AM9" s="26"/>
      <c r="AP9" s="26"/>
    </row>
    <row r="10" spans="1:42" ht="11.25" customHeight="1" x14ac:dyDescent="0.25">
      <c r="A10" s="131"/>
      <c r="B10" s="131" t="s">
        <v>34</v>
      </c>
      <c r="C10" s="131" t="s">
        <v>25</v>
      </c>
      <c r="D10" s="131" t="s">
        <v>25</v>
      </c>
      <c r="E10" s="131" t="s">
        <v>25</v>
      </c>
      <c r="F10" s="131" t="s">
        <v>25</v>
      </c>
      <c r="G10" s="44" t="s">
        <v>9</v>
      </c>
      <c r="H10" s="44" t="s">
        <v>79</v>
      </c>
      <c r="I10" s="44">
        <f>'MERCADO TUSD'!$U$7</f>
        <v>318117</v>
      </c>
      <c r="J10" s="18"/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/>
      <c r="U10" s="26">
        <f>TRANSICAO!$U$10*CUSTOS!$R$3</f>
        <v>3.4548999999999999</v>
      </c>
      <c r="V10" s="26">
        <f>TRANSICAO!$V$10*CUSTOS!$R$3</f>
        <v>3.5531000000000001</v>
      </c>
      <c r="W10" s="26">
        <f>TRANSICAO!$W$10*CUSTOS!$R$3</f>
        <v>0</v>
      </c>
      <c r="X10" s="26">
        <f>TRANSICAO!$X$10*CUSTOS!$R$3</f>
        <v>0</v>
      </c>
      <c r="Y10" s="26">
        <f>TRANSICAO!$Y$10*CUSTOS!$R$3</f>
        <v>4.4203000000000001</v>
      </c>
      <c r="Z10" s="26">
        <f>TRANSICAO!$Z$10*CUSTOS!$R$3</f>
        <v>0</v>
      </c>
      <c r="AA10" s="26">
        <f>TRANSICAO!$AA$10*CUSTOS!$R$3</f>
        <v>0</v>
      </c>
      <c r="AB10" s="26">
        <f>TRANSICAO!$AB$10*CUSTOS!$R$3</f>
        <v>0</v>
      </c>
      <c r="AC10" s="26">
        <f>TRANSICAO!$AC$10*CUSTOS!$R$3</f>
        <v>8.9125999999999994</v>
      </c>
      <c r="AD10" s="26">
        <f>TRANSICAO!$AD$10*CUSTOS!$R$3</f>
        <v>0</v>
      </c>
      <c r="AE10" s="26">
        <v>0</v>
      </c>
      <c r="AF10" s="26">
        <v>0</v>
      </c>
      <c r="AG10" s="26"/>
      <c r="AH10" s="26">
        <v>0</v>
      </c>
      <c r="AI10" s="26">
        <v>0</v>
      </c>
      <c r="AJ10" s="26">
        <v>0</v>
      </c>
      <c r="AK10" s="26">
        <f t="shared" si="0"/>
        <v>0</v>
      </c>
      <c r="AL10" s="26"/>
      <c r="AM10" s="26"/>
      <c r="AP10" s="26">
        <v>1</v>
      </c>
    </row>
    <row r="11" spans="1:42" ht="11.25" customHeight="1" x14ac:dyDescent="0.25">
      <c r="A11" s="131"/>
      <c r="B11" s="131"/>
      <c r="C11" s="131"/>
      <c r="D11" s="131"/>
      <c r="E11" s="131"/>
      <c r="F11" s="131"/>
      <c r="G11" s="44" t="s">
        <v>77</v>
      </c>
      <c r="H11" s="44" t="s">
        <v>76</v>
      </c>
      <c r="I11" s="44">
        <f>'MERCADO TUSD'!$U$8</f>
        <v>5116.8689999999997</v>
      </c>
      <c r="J11" s="18"/>
      <c r="L11" s="26">
        <f>0.84</f>
        <v>0.84</v>
      </c>
      <c r="M11" s="2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0.4824461864445474</v>
      </c>
      <c r="N11" s="26">
        <f ca="1">(+M11+O11+R11+U11+V11+W11+X11+Y11+Z11+AA11+AC11+AH11+AI11+AJ11+AK11)*CUSTOS!$M$5</f>
        <v>1.1559757461864446E-11</v>
      </c>
      <c r="O11" s="26">
        <v>1</v>
      </c>
      <c r="P11" s="26">
        <v>1</v>
      </c>
      <c r="Q11" s="26">
        <f>0.84</f>
        <v>0.84</v>
      </c>
      <c r="R11" s="26">
        <v>1</v>
      </c>
      <c r="S11" s="26">
        <v>1</v>
      </c>
      <c r="T11" s="26"/>
      <c r="U11" s="26">
        <f>TRANSICAO!$U$11*CUSTOS!$R$3</f>
        <v>84.326400000000007</v>
      </c>
      <c r="V11" s="26">
        <f>TRANSICAO!$V$11*CUSTOS!$R$3</f>
        <v>85.880099999999999</v>
      </c>
      <c r="W11" s="26">
        <f>TRANSICAO!$W$11*CUSTOS!$R$3</f>
        <v>0</v>
      </c>
      <c r="X11" s="26">
        <f>TRANSICAO!$X$11*CUSTOS!$R$3</f>
        <v>0</v>
      </c>
      <c r="Y11" s="26">
        <f>TRANSICAO!$Y$11*CUSTOS!$R$3</f>
        <v>107.8926</v>
      </c>
      <c r="Z11" s="26">
        <f>TRANSICAO!$Z$11*CUSTOS!$R$3</f>
        <v>0</v>
      </c>
      <c r="AA11" s="26">
        <f>TRANSICAO!$AA$11*CUSTOS!$R$3</f>
        <v>0</v>
      </c>
      <c r="AB11" s="26">
        <f>TRANSICAO!$AB$11*CUSTOS!$R$3</f>
        <v>0</v>
      </c>
      <c r="AC11" s="26">
        <f>TRANSICAO!$AC$11*CUSTOS!$R$3</f>
        <v>856.53740000000005</v>
      </c>
      <c r="AD11" s="26">
        <f>TRANSICAO!$AD$11*CUSTOS!$R$3</f>
        <v>0</v>
      </c>
      <c r="AE11" s="26">
        <v>0</v>
      </c>
      <c r="AF11" s="26">
        <v>0</v>
      </c>
      <c r="AG11" s="26"/>
      <c r="AH11" s="26">
        <v>9.4283999999999999</v>
      </c>
      <c r="AI11" s="26">
        <v>9.4283999999999999</v>
      </c>
      <c r="AJ11" s="26">
        <f ca="1">$N$63</f>
        <v>0</v>
      </c>
      <c r="AK11" s="26">
        <f t="shared" ca="1" si="0"/>
        <v>0</v>
      </c>
      <c r="AL11" s="26"/>
      <c r="AM11" s="26"/>
      <c r="AP11" s="26">
        <v>1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44" t="s">
        <v>78</v>
      </c>
      <c r="H12" s="44" t="s">
        <v>76</v>
      </c>
      <c r="I12" s="44">
        <f>'MERCADO TUSD'!$U$9</f>
        <v>80201.053999999989</v>
      </c>
      <c r="J12" s="18"/>
      <c r="L12" s="26">
        <f>0.84</f>
        <v>0.84</v>
      </c>
      <c r="M12" s="2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0.4824461864445474</v>
      </c>
      <c r="N12" s="26">
        <f ca="1">(+M12+O12+R12+U12+V12+W12+X12+Y12+Z12+AA12+AC12+AH12+AI12+AJ12+AK12)*CUSTOS!$M$5</f>
        <v>2.1339246186444549E-13</v>
      </c>
      <c r="O12" s="26">
        <v>1</v>
      </c>
      <c r="P12" s="26">
        <v>1</v>
      </c>
      <c r="Q12" s="26">
        <f>0.84</f>
        <v>0.84</v>
      </c>
      <c r="R12" s="26">
        <v>1</v>
      </c>
      <c r="S12" s="26">
        <v>1</v>
      </c>
      <c r="T12" s="26"/>
      <c r="U12" s="26">
        <f>TRANSICAO!$U$12*CUSTOS!$R$3</f>
        <v>0</v>
      </c>
      <c r="V12" s="26">
        <f>TRANSICAO!$V$12*CUSTOS!$R$3</f>
        <v>0</v>
      </c>
      <c r="W12" s="26">
        <f>TRANSICAO!$W$12*CUSTOS!$R$3</f>
        <v>0</v>
      </c>
      <c r="X12" s="26">
        <f>TRANSICAO!$X$12*CUSTOS!$R$3</f>
        <v>0</v>
      </c>
      <c r="Y12" s="26">
        <f>TRANSICAO!$Y$12*CUSTOS!$R$3</f>
        <v>0</v>
      </c>
      <c r="Z12" s="26">
        <f>TRANSICAO!$Z$12*CUSTOS!$R$3</f>
        <v>0</v>
      </c>
      <c r="AA12" s="26">
        <f>TRANSICAO!$AA$12*CUSTOS!$R$3</f>
        <v>0</v>
      </c>
      <c r="AB12" s="26">
        <f>TRANSICAO!$AB$12*CUSTOS!$R$3</f>
        <v>0</v>
      </c>
      <c r="AC12" s="26">
        <f>TRANSICAO!$AC$12*CUSTOS!$R$3</f>
        <v>0</v>
      </c>
      <c r="AD12" s="26">
        <f>TRANSICAO!$AD$12*CUSTOS!$R$3</f>
        <v>0</v>
      </c>
      <c r="AE12" s="26">
        <v>0</v>
      </c>
      <c r="AF12" s="26">
        <v>0</v>
      </c>
      <c r="AG12" s="26"/>
      <c r="AH12" s="26">
        <v>9.4283999999999999</v>
      </c>
      <c r="AI12" s="26">
        <v>9.4283999999999999</v>
      </c>
      <c r="AJ12" s="26">
        <f ca="1">$N$63</f>
        <v>0</v>
      </c>
      <c r="AK12" s="26">
        <f t="shared" ca="1" si="0"/>
        <v>0</v>
      </c>
      <c r="AL12" s="26"/>
      <c r="AM12" s="26"/>
      <c r="AP12" s="26">
        <v>1</v>
      </c>
    </row>
    <row r="13" spans="1:42" ht="11.25" customHeight="1" x14ac:dyDescent="0.25">
      <c r="A13" s="131"/>
      <c r="B13" s="131"/>
      <c r="C13" s="131"/>
      <c r="D13" s="131"/>
      <c r="E13" s="131" t="s">
        <v>83</v>
      </c>
      <c r="F13" s="131" t="s">
        <v>25</v>
      </c>
      <c r="G13" s="44" t="s">
        <v>77</v>
      </c>
      <c r="H13" s="44" t="s">
        <v>76</v>
      </c>
      <c r="I13" s="44">
        <f>'MERCADO TUSD'!$U$10</f>
        <v>0</v>
      </c>
      <c r="J13" s="18"/>
      <c r="L13" s="26">
        <v>0</v>
      </c>
      <c r="M13" s="2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0.4824461864445474</v>
      </c>
      <c r="N13" s="26">
        <f ca="1">(+M13+O13+R13+U13+V13+W13+X13+Y13+Z13+AA13+AC13+AH13+AI13+AJ13+AK13)*CUSTOS!$M$5</f>
        <v>1.1549757461864447E-11</v>
      </c>
      <c r="O13" s="26">
        <v>1</v>
      </c>
      <c r="P13" s="26">
        <v>0</v>
      </c>
      <c r="Q13" s="26">
        <v>0</v>
      </c>
      <c r="R13" s="26">
        <v>0</v>
      </c>
      <c r="S13" s="26">
        <v>0</v>
      </c>
      <c r="T13" s="26"/>
      <c r="U13" s="26">
        <f>TRANSICAO!$U$13*CUSTOS!$R$3</f>
        <v>84.326400000000007</v>
      </c>
      <c r="V13" s="26">
        <f>TRANSICAO!$V$13*CUSTOS!$R$3</f>
        <v>85.880099999999999</v>
      </c>
      <c r="W13" s="26">
        <f>TRANSICAO!$W$13*CUSTOS!$R$3</f>
        <v>0</v>
      </c>
      <c r="X13" s="26">
        <f>TRANSICAO!$X$13*CUSTOS!$R$3</f>
        <v>0</v>
      </c>
      <c r="Y13" s="26">
        <f>TRANSICAO!$Y$13*CUSTOS!$R$3</f>
        <v>107.8926</v>
      </c>
      <c r="Z13" s="26">
        <f>TRANSICAO!$Z$13*CUSTOS!$R$3</f>
        <v>0</v>
      </c>
      <c r="AA13" s="26">
        <f>TRANSICAO!$AA$13*CUSTOS!$R$3</f>
        <v>0</v>
      </c>
      <c r="AB13" s="26">
        <f>TRANSICAO!$AB$13*CUSTOS!$R$3</f>
        <v>0</v>
      </c>
      <c r="AC13" s="26">
        <f>TRANSICAO!$AC$13*CUSTOS!$R$3</f>
        <v>856.53740000000005</v>
      </c>
      <c r="AD13" s="26">
        <f>TRANSICAO!$AD$13*CUSTOS!$R$3</f>
        <v>0</v>
      </c>
      <c r="AE13" s="26">
        <v>0</v>
      </c>
      <c r="AF13" s="26">
        <v>0</v>
      </c>
      <c r="AG13" s="26"/>
      <c r="AH13" s="26">
        <v>9.4283999999999999</v>
      </c>
      <c r="AI13" s="26">
        <v>9.4283999999999999</v>
      </c>
      <c r="AJ13" s="26">
        <f ca="1">$N$63</f>
        <v>0</v>
      </c>
      <c r="AK13" s="26">
        <f t="shared" ca="1" si="0"/>
        <v>0</v>
      </c>
      <c r="AL13" s="26"/>
      <c r="AM13" s="26"/>
      <c r="AP13" s="26">
        <v>1</v>
      </c>
    </row>
    <row r="14" spans="1:42" ht="11.25" customHeight="1" x14ac:dyDescent="0.25">
      <c r="A14" s="131"/>
      <c r="B14" s="131"/>
      <c r="C14" s="131"/>
      <c r="D14" s="131"/>
      <c r="E14" s="131"/>
      <c r="F14" s="131"/>
      <c r="G14" s="44" t="s">
        <v>78</v>
      </c>
      <c r="H14" s="44" t="s">
        <v>76</v>
      </c>
      <c r="I14" s="44">
        <f>'MERCADO TUSD'!$U$11</f>
        <v>0</v>
      </c>
      <c r="J14" s="18"/>
      <c r="L14" s="26">
        <v>0</v>
      </c>
      <c r="M14" s="2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0.4824461864445474</v>
      </c>
      <c r="N14" s="26">
        <f ca="1">(+M14+O14+R14+U14+V14+W14+X14+Y14+Z14+AA14+AC14+AH14+AI14+AJ14+AK14)*CUSTOS!$M$5</f>
        <v>2.0339246186444548E-13</v>
      </c>
      <c r="O14" s="26">
        <v>1</v>
      </c>
      <c r="P14" s="26">
        <v>0</v>
      </c>
      <c r="Q14" s="26">
        <v>0</v>
      </c>
      <c r="R14" s="26">
        <v>0</v>
      </c>
      <c r="S14" s="26">
        <v>0</v>
      </c>
      <c r="T14" s="26"/>
      <c r="U14" s="26">
        <f>TRANSICAO!$U$14*CUSTOS!$R$3</f>
        <v>0</v>
      </c>
      <c r="V14" s="26">
        <f>TRANSICAO!$V$14*CUSTOS!$R$3</f>
        <v>0</v>
      </c>
      <c r="W14" s="26">
        <f>TRANSICAO!$W$14*CUSTOS!$R$3</f>
        <v>0</v>
      </c>
      <c r="X14" s="26">
        <f>TRANSICAO!$X$14*CUSTOS!$R$3</f>
        <v>0</v>
      </c>
      <c r="Y14" s="26">
        <f>TRANSICAO!$Y$14*CUSTOS!$R$3</f>
        <v>0</v>
      </c>
      <c r="Z14" s="26">
        <f>TRANSICAO!$Z$14*CUSTOS!$R$3</f>
        <v>0</v>
      </c>
      <c r="AA14" s="26">
        <f>TRANSICAO!$AA$14*CUSTOS!$R$3</f>
        <v>0</v>
      </c>
      <c r="AB14" s="26">
        <f>TRANSICAO!$AB$14*CUSTOS!$R$3</f>
        <v>0</v>
      </c>
      <c r="AC14" s="26">
        <f>TRANSICAO!$AC$14*CUSTOS!$R$3</f>
        <v>0</v>
      </c>
      <c r="AD14" s="26">
        <f>TRANSICAO!$AD$14*CUSTOS!$R$3</f>
        <v>0</v>
      </c>
      <c r="AE14" s="26">
        <v>0</v>
      </c>
      <c r="AF14" s="26">
        <v>0</v>
      </c>
      <c r="AG14" s="26"/>
      <c r="AH14" s="26">
        <v>9.4283999999999999</v>
      </c>
      <c r="AI14" s="26">
        <v>9.4283999999999999</v>
      </c>
      <c r="AJ14" s="26">
        <f ca="1">$N$63</f>
        <v>0</v>
      </c>
      <c r="AK14" s="26">
        <f t="shared" ca="1" si="0"/>
        <v>0</v>
      </c>
      <c r="AL14" s="26"/>
      <c r="AM14" s="26"/>
      <c r="AP14" s="26">
        <v>1</v>
      </c>
    </row>
    <row r="15" spans="1:42" ht="11.25" customHeight="1" x14ac:dyDescent="0.25">
      <c r="A15" s="131" t="s">
        <v>85</v>
      </c>
      <c r="B15" s="131" t="s">
        <v>84</v>
      </c>
      <c r="C15" s="131" t="s">
        <v>25</v>
      </c>
      <c r="D15" s="131" t="s">
        <v>25</v>
      </c>
      <c r="E15" s="45" t="s">
        <v>86</v>
      </c>
      <c r="F15" s="45" t="s">
        <v>25</v>
      </c>
      <c r="G15" s="44" t="s">
        <v>9</v>
      </c>
      <c r="H15" s="44" t="s">
        <v>79</v>
      </c>
      <c r="I15" s="44">
        <f>'MERCADO TUSD'!$U$12+0.00000001</f>
        <v>1E-8</v>
      </c>
      <c r="J15" s="18"/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/>
      <c r="U15" s="26">
        <f>TRANSICAO!$U$15*CUSTOS!$T$4</f>
        <v>0</v>
      </c>
      <c r="V15" s="26">
        <f>TRANSICAO!$V$15*CUSTOS!$T$4</f>
        <v>0</v>
      </c>
      <c r="W15" s="26">
        <f>TRANSICAO!$W$15*CUSTOS!$T$4</f>
        <v>0</v>
      </c>
      <c r="X15" s="26">
        <f>TRANSICAO!$X$15*CUSTOS!$T$4</f>
        <v>0</v>
      </c>
      <c r="Y15" s="26">
        <f>TRANSICAO!$Y$15*CUSTOS!$T$4</f>
        <v>0</v>
      </c>
      <c r="Z15" s="26">
        <f>TRANSICAO!$Z$15*CUSTOS!$T$4</f>
        <v>0</v>
      </c>
      <c r="AA15" s="26">
        <f>TRANSICAO!$AA$15*CUSTOS!$T$4</f>
        <v>0</v>
      </c>
      <c r="AB15" s="26">
        <f>TRANSICAO!$AB$15*CUSTOS!$T$4</f>
        <v>0</v>
      </c>
      <c r="AC15" s="26">
        <f>TRANSICAO!$AC$15*CUSTOS!$T$4</f>
        <v>5.1420000000000003</v>
      </c>
      <c r="AD15" s="26">
        <f>TRANSICAO!$AD$15*CUSTOS!$T$4</f>
        <v>0</v>
      </c>
      <c r="AE15" s="26">
        <v>0</v>
      </c>
      <c r="AF15" s="26">
        <v>0</v>
      </c>
      <c r="AG15" s="26"/>
      <c r="AH15" s="26">
        <v>0</v>
      </c>
      <c r="AI15" s="26">
        <v>0</v>
      </c>
      <c r="AJ15" s="26">
        <v>0</v>
      </c>
      <c r="AK15" s="26">
        <f t="shared" si="0"/>
        <v>0</v>
      </c>
      <c r="AL15" s="26"/>
      <c r="AM15" s="26"/>
      <c r="AP15" s="26"/>
    </row>
    <row r="16" spans="1:42" ht="11.25" customHeight="1" x14ac:dyDescent="0.25">
      <c r="A16" s="131"/>
      <c r="B16" s="131"/>
      <c r="C16" s="131"/>
      <c r="D16" s="131"/>
      <c r="E16" s="45" t="s">
        <v>87</v>
      </c>
      <c r="F16" s="45" t="s">
        <v>25</v>
      </c>
      <c r="G16" s="44" t="s">
        <v>9</v>
      </c>
      <c r="H16" s="44" t="s">
        <v>79</v>
      </c>
      <c r="I16" s="44">
        <f>'MERCADO TUSD'!$U$13+0.00000001</f>
        <v>1E-8</v>
      </c>
      <c r="J16" s="18"/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/>
      <c r="U16" s="26">
        <f>TRANSICAO!$U$16*CUSTOS!$T$4</f>
        <v>0</v>
      </c>
      <c r="V16" s="26">
        <f>TRANSICAO!$V$16*CUSTOS!$T$4</f>
        <v>0</v>
      </c>
      <c r="W16" s="26">
        <f>TRANSICAO!$W$16*CUSTOS!$T$4</f>
        <v>0</v>
      </c>
      <c r="X16" s="26">
        <f>TRANSICAO!$X$16*CUSTOS!$T$4</f>
        <v>0</v>
      </c>
      <c r="Y16" s="26">
        <f>TRANSICAO!$Y$16*CUSTOS!$T$4</f>
        <v>0</v>
      </c>
      <c r="Z16" s="26">
        <f>TRANSICAO!$Z$16*CUSTOS!$T$4</f>
        <v>0</v>
      </c>
      <c r="AA16" s="26">
        <f>TRANSICAO!$AA$16*CUSTOS!$T$4</f>
        <v>0</v>
      </c>
      <c r="AB16" s="26">
        <f>TRANSICAO!$AB$16*CUSTOS!$T$4</f>
        <v>0</v>
      </c>
      <c r="AC16" s="26">
        <f>TRANSICAO!$AC$16*CUSTOS!$T$4</f>
        <v>10.4602</v>
      </c>
      <c r="AD16" s="26">
        <f>TRANSICAO!$AD$16*CUSTOS!$T$4</f>
        <v>0</v>
      </c>
      <c r="AE16" s="26">
        <v>0</v>
      </c>
      <c r="AF16" s="26">
        <v>0</v>
      </c>
      <c r="AG16" s="26"/>
      <c r="AH16" s="26">
        <v>0</v>
      </c>
      <c r="AI16" s="26">
        <v>0</v>
      </c>
      <c r="AJ16" s="26">
        <v>0</v>
      </c>
      <c r="AK16" s="26">
        <f t="shared" si="0"/>
        <v>0</v>
      </c>
      <c r="AL16" s="26"/>
      <c r="AM16" s="26"/>
      <c r="AP16" s="26"/>
    </row>
    <row r="17" spans="1:42" ht="11.25" customHeight="1" x14ac:dyDescent="0.25">
      <c r="A17" s="131" t="s">
        <v>22</v>
      </c>
      <c r="B17" s="131" t="s">
        <v>37</v>
      </c>
      <c r="C17" s="131" t="s">
        <v>24</v>
      </c>
      <c r="D17" s="131" t="s">
        <v>24</v>
      </c>
      <c r="E17" s="131" t="s">
        <v>25</v>
      </c>
      <c r="F17" s="131" t="s">
        <v>25</v>
      </c>
      <c r="G17" s="44" t="s">
        <v>77</v>
      </c>
      <c r="H17" s="44" t="s">
        <v>76</v>
      </c>
      <c r="I17" s="44">
        <f>'MERCADO TUSD'!$U$14</f>
        <v>4.6139999999999999</v>
      </c>
      <c r="J17" s="18"/>
      <c r="L17" s="26">
        <f>1</f>
        <v>1</v>
      </c>
      <c r="M17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1.1394661924408793</v>
      </c>
      <c r="N17" s="26">
        <f ca="1">(+M17+O17+R17+U17+V17+W17+X17+Y17+Z17+AA17+AC17+AH17+AI17+AJ17+AK17)*CUSTOS!$M$5</f>
        <v>6.802955661924409E-12</v>
      </c>
      <c r="O17" s="26">
        <v>1</v>
      </c>
      <c r="P17" s="26">
        <v>1</v>
      </c>
      <c r="Q17" s="26">
        <f>1</f>
        <v>1</v>
      </c>
      <c r="R17" s="26">
        <v>1</v>
      </c>
      <c r="S17" s="26">
        <v>1</v>
      </c>
      <c r="T17" s="26"/>
      <c r="U17" s="26">
        <f>TRANSICAO!$U$17*CUSTOS!$T$3</f>
        <v>39.942</v>
      </c>
      <c r="V17" s="26">
        <f>TRANSICAO!$V$17*CUSTOS!$T$3</f>
        <v>40.827800000000003</v>
      </c>
      <c r="W17" s="26">
        <f>TRANSICAO!$W$17*CUSTOS!$T$3</f>
        <v>0</v>
      </c>
      <c r="X17" s="26">
        <f>TRANSICAO!$X$17*CUSTOS!$T$3</f>
        <v>0</v>
      </c>
      <c r="Y17" s="26">
        <f>TRANSICAO!$Y$17*CUSTOS!$T$3</f>
        <v>51.104399999999998</v>
      </c>
      <c r="Z17" s="26">
        <f>TRANSICAO!$Z$17*CUSTOS!$T$3</f>
        <v>0</v>
      </c>
      <c r="AA17" s="26">
        <f>TRANSICAO!$AA$17*CUSTOS!$T$3</f>
        <v>0</v>
      </c>
      <c r="AB17" s="26">
        <f>TRANSICAO!$AB$17*CUSTOS!$T$3</f>
        <v>0</v>
      </c>
      <c r="AC17" s="26">
        <f>TRANSICAO!$AC$17*CUSTOS!$T$3</f>
        <v>502.59190000000001</v>
      </c>
      <c r="AD17" s="26">
        <f>TRANSICAO!$AD$17*CUSTOS!$T$3</f>
        <v>0</v>
      </c>
      <c r="AE17" s="26">
        <v>0</v>
      </c>
      <c r="AF17" s="26">
        <v>0</v>
      </c>
      <c r="AG17" s="26"/>
      <c r="AH17" s="26">
        <v>21.344999999999999</v>
      </c>
      <c r="AI17" s="26">
        <v>21.344999999999999</v>
      </c>
      <c r="AJ17" s="26">
        <f ca="1">$N$64</f>
        <v>0</v>
      </c>
      <c r="AK17" s="26">
        <f t="shared" ca="1" si="0"/>
        <v>0</v>
      </c>
      <c r="AL17" s="26"/>
      <c r="AM17" s="26"/>
      <c r="AP17" s="26">
        <v>1</v>
      </c>
    </row>
    <row r="18" spans="1:42" ht="11.25" customHeight="1" x14ac:dyDescent="0.25">
      <c r="A18" s="131"/>
      <c r="B18" s="131"/>
      <c r="C18" s="131"/>
      <c r="D18" s="131"/>
      <c r="E18" s="131"/>
      <c r="F18" s="131"/>
      <c r="G18" s="44" t="s">
        <v>88</v>
      </c>
      <c r="H18" s="44" t="s">
        <v>76</v>
      </c>
      <c r="I18" s="44">
        <f>'MERCADO TUSD'!$U$15</f>
        <v>7.0189999999999992</v>
      </c>
      <c r="J18" s="18"/>
      <c r="L18" s="26">
        <f>1</f>
        <v>1</v>
      </c>
      <c r="M18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1.1394661924408793</v>
      </c>
      <c r="N18" s="26">
        <f ca="1">(+M18+O18+R18+U18+V18+W18+X18+Y18+Z18+AA18+AC18+AH18+AI18+AJ18+AK18)*CUSTOS!$M$5</f>
        <v>4.2650966619244097E-12</v>
      </c>
      <c r="O18" s="26">
        <v>1</v>
      </c>
      <c r="P18" s="26">
        <v>1</v>
      </c>
      <c r="Q18" s="26">
        <f>1</f>
        <v>1</v>
      </c>
      <c r="R18" s="26">
        <v>1</v>
      </c>
      <c r="S18" s="26">
        <v>1</v>
      </c>
      <c r="T18" s="26"/>
      <c r="U18" s="26">
        <f>TRANSICAO!$U$18*CUSTOS!$T$3</f>
        <v>23.965399999999999</v>
      </c>
      <c r="V18" s="26">
        <f>TRANSICAO!$V$18*CUSTOS!$T$3</f>
        <v>24.4969</v>
      </c>
      <c r="W18" s="26">
        <f>TRANSICAO!$W$18*CUSTOS!$T$3</f>
        <v>0</v>
      </c>
      <c r="X18" s="26">
        <f>TRANSICAO!$X$18*CUSTOS!$T$3</f>
        <v>0</v>
      </c>
      <c r="Y18" s="26">
        <f>TRANSICAO!$Y$18*CUSTOS!$T$3</f>
        <v>30.662800000000001</v>
      </c>
      <c r="Z18" s="26">
        <f>TRANSICAO!$Z$18*CUSTOS!$T$3</f>
        <v>0</v>
      </c>
      <c r="AA18" s="26">
        <f>TRANSICAO!$AA$18*CUSTOS!$T$3</f>
        <v>0</v>
      </c>
      <c r="AB18" s="26">
        <f>TRANSICAO!$AB$18*CUSTOS!$T$3</f>
        <v>0</v>
      </c>
      <c r="AC18" s="26">
        <f>TRANSICAO!$AC$18*CUSTOS!$T$3</f>
        <v>301.55509999999998</v>
      </c>
      <c r="AD18" s="26">
        <f>TRANSICAO!$AD$18*CUSTOS!$T$3</f>
        <v>0</v>
      </c>
      <c r="AE18" s="26">
        <v>0</v>
      </c>
      <c r="AF18" s="26">
        <v>0</v>
      </c>
      <c r="AG18" s="26"/>
      <c r="AH18" s="26">
        <v>21.344999999999999</v>
      </c>
      <c r="AI18" s="26">
        <v>21.344999999999999</v>
      </c>
      <c r="AJ18" s="26">
        <f ca="1">$N$64</f>
        <v>0</v>
      </c>
      <c r="AK18" s="26">
        <f t="shared" ca="1" si="0"/>
        <v>0</v>
      </c>
      <c r="AL18" s="26"/>
      <c r="AM18" s="26"/>
      <c r="AP18" s="26">
        <v>1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44" t="s">
        <v>78</v>
      </c>
      <c r="H19" s="44" t="s">
        <v>76</v>
      </c>
      <c r="I19" s="44">
        <f>'MERCADO TUSD'!$U$16</f>
        <v>29.872</v>
      </c>
      <c r="J19" s="18"/>
      <c r="L19" s="26">
        <f>1</f>
        <v>1</v>
      </c>
      <c r="M19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1.1394661924408793</v>
      </c>
      <c r="N19" s="26">
        <f ca="1">(+M19+O19+R19+U19+V19+W19+X19+Y19+Z19+AA19+AC19+AH19+AI19+AJ19+AK19)*CUSTOS!$M$5</f>
        <v>1.7272276619244087E-12</v>
      </c>
      <c r="O19" s="26">
        <v>1</v>
      </c>
      <c r="P19" s="26">
        <v>1</v>
      </c>
      <c r="Q19" s="26">
        <f>1</f>
        <v>1</v>
      </c>
      <c r="R19" s="26">
        <v>1</v>
      </c>
      <c r="S19" s="26">
        <v>1</v>
      </c>
      <c r="T19" s="26"/>
      <c r="U19" s="26">
        <f>TRANSICAO!$U$19*CUSTOS!$T$3</f>
        <v>7.9885000000000002</v>
      </c>
      <c r="V19" s="26">
        <f>TRANSICAO!$V$19*CUSTOS!$T$3</f>
        <v>8.1654999999999998</v>
      </c>
      <c r="W19" s="26">
        <f>TRANSICAO!$W$19*CUSTOS!$T$3</f>
        <v>0</v>
      </c>
      <c r="X19" s="26">
        <f>TRANSICAO!$X$19*CUSTOS!$T$3</f>
        <v>0</v>
      </c>
      <c r="Y19" s="26">
        <f>TRANSICAO!$Y$19*CUSTOS!$T$3</f>
        <v>10.2209</v>
      </c>
      <c r="Z19" s="26">
        <f>TRANSICAO!$Z$19*CUSTOS!$T$3</f>
        <v>0</v>
      </c>
      <c r="AA19" s="26">
        <f>TRANSICAO!$AA$19*CUSTOS!$T$3</f>
        <v>0</v>
      </c>
      <c r="AB19" s="26">
        <f>TRANSICAO!$AB$19*CUSTOS!$T$3</f>
        <v>0</v>
      </c>
      <c r="AC19" s="26">
        <f>TRANSICAO!$AC$19*CUSTOS!$T$3</f>
        <v>100.5184</v>
      </c>
      <c r="AD19" s="26">
        <f>TRANSICAO!$AD$19*CUSTOS!$T$3</f>
        <v>0</v>
      </c>
      <c r="AE19" s="26">
        <v>0</v>
      </c>
      <c r="AF19" s="26">
        <v>0</v>
      </c>
      <c r="AG19" s="26"/>
      <c r="AH19" s="26">
        <v>21.344999999999999</v>
      </c>
      <c r="AI19" s="26">
        <v>21.344999999999999</v>
      </c>
      <c r="AJ19" s="26">
        <f ca="1">$N$64</f>
        <v>0</v>
      </c>
      <c r="AK19" s="26">
        <f t="shared" ca="1" si="0"/>
        <v>0</v>
      </c>
      <c r="AL19" s="26"/>
      <c r="AM19" s="26"/>
      <c r="AP19" s="26">
        <v>1</v>
      </c>
    </row>
    <row r="20" spans="1:42" ht="11.25" customHeight="1" x14ac:dyDescent="0.25">
      <c r="A20" s="131"/>
      <c r="B20" s="131" t="s">
        <v>23</v>
      </c>
      <c r="C20" s="131" t="s">
        <v>24</v>
      </c>
      <c r="D20" s="45" t="s">
        <v>24</v>
      </c>
      <c r="E20" s="45" t="s">
        <v>25</v>
      </c>
      <c r="F20" s="45" t="s">
        <v>25</v>
      </c>
      <c r="G20" s="44" t="s">
        <v>82</v>
      </c>
      <c r="H20" s="44" t="s">
        <v>76</v>
      </c>
      <c r="I20" s="44">
        <f>'MERCADO TUSD'!$U$17</f>
        <v>25648.588</v>
      </c>
      <c r="J20" s="18"/>
      <c r="L20" s="26">
        <f>1</f>
        <v>1</v>
      </c>
      <c r="M20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1.1394661924408793</v>
      </c>
      <c r="N20" s="26">
        <f ca="1">(+M20+O20+R20+U20+V20+W20+X20+Y20+Z20+AA20+AC20+AH20+AI20+AJ20+AK20)*CUSTOS!$M$5</f>
        <v>2.9961606619244095E-12</v>
      </c>
      <c r="O20" s="26">
        <v>1</v>
      </c>
      <c r="P20" s="26">
        <v>1</v>
      </c>
      <c r="Q20" s="26">
        <f>1</f>
        <v>1</v>
      </c>
      <c r="R20" s="26">
        <v>1</v>
      </c>
      <c r="S20" s="26">
        <v>1</v>
      </c>
      <c r="T20" s="26"/>
      <c r="U20" s="26">
        <f>TRANSICAO!$U$20*CUSTOS!$T$3</f>
        <v>15.976900000000001</v>
      </c>
      <c r="V20" s="26">
        <f>TRANSICAO!$V$20*CUSTOS!$T$3</f>
        <v>16.331299999999999</v>
      </c>
      <c r="W20" s="26">
        <f>TRANSICAO!$W$20*CUSTOS!$T$3</f>
        <v>0</v>
      </c>
      <c r="X20" s="26">
        <f>TRANSICAO!$X$20*CUSTOS!$T$3</f>
        <v>0</v>
      </c>
      <c r="Y20" s="26">
        <f>TRANSICAO!$Y$20*CUSTOS!$T$3</f>
        <v>20.441800000000001</v>
      </c>
      <c r="Z20" s="26">
        <f>TRANSICAO!$Z$20*CUSTOS!$T$3</f>
        <v>0</v>
      </c>
      <c r="AA20" s="26">
        <f>TRANSICAO!$AA$20*CUSTOS!$T$3</f>
        <v>0</v>
      </c>
      <c r="AB20" s="26">
        <f>TRANSICAO!$AB$20*CUSTOS!$T$3</f>
        <v>0</v>
      </c>
      <c r="AC20" s="26">
        <f>TRANSICAO!$AC$20*CUSTOS!$T$3</f>
        <v>201.03659999999999</v>
      </c>
      <c r="AD20" s="26">
        <f>TRANSICAO!$AD$20*CUSTOS!$T$3</f>
        <v>0</v>
      </c>
      <c r="AE20" s="26">
        <v>0</v>
      </c>
      <c r="AF20" s="26">
        <v>0</v>
      </c>
      <c r="AG20" s="26"/>
      <c r="AH20" s="26">
        <v>21.344999999999999</v>
      </c>
      <c r="AI20" s="26">
        <v>21.344999999999999</v>
      </c>
      <c r="AJ20" s="26">
        <f ca="1">$N$64</f>
        <v>0</v>
      </c>
      <c r="AK20" s="26">
        <f t="shared" ca="1" si="0"/>
        <v>0</v>
      </c>
      <c r="AL20" s="26"/>
      <c r="AM20" s="26"/>
      <c r="AP20" s="26">
        <v>1</v>
      </c>
    </row>
    <row r="21" spans="1:42" ht="11.25" customHeight="1" x14ac:dyDescent="0.25">
      <c r="A21" s="131"/>
      <c r="B21" s="131"/>
      <c r="C21" s="131"/>
      <c r="D21" s="45" t="s">
        <v>29</v>
      </c>
      <c r="E21" s="45" t="s">
        <v>25</v>
      </c>
      <c r="F21" s="45" t="s">
        <v>25</v>
      </c>
      <c r="G21" s="44" t="s">
        <v>82</v>
      </c>
      <c r="H21" s="44" t="s">
        <v>76</v>
      </c>
      <c r="I21" s="44">
        <f>'MERCADO TUSD'!$U$18</f>
        <v>203.58</v>
      </c>
      <c r="J21" s="18"/>
      <c r="L21" s="26">
        <v>0</v>
      </c>
      <c r="M21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1.1394661924408793</v>
      </c>
      <c r="N21" s="26">
        <f ca="1">(+M21+O21+R21+U21+V21+W21+X21+Y21+Z21+AA21+AC21+AH21+AI21+AJ21+AK21)*CUSTOS!$M$5</f>
        <v>2.9861606619244094E-12</v>
      </c>
      <c r="O21" s="26">
        <f>1 - CUSTOS!$M$24</f>
        <v>1</v>
      </c>
      <c r="P21" s="26">
        <v>0</v>
      </c>
      <c r="Q21" s="26">
        <v>0</v>
      </c>
      <c r="R21" s="26">
        <v>0</v>
      </c>
      <c r="S21" s="26">
        <f>1 - CUSTOS!$M$24</f>
        <v>1</v>
      </c>
      <c r="T21" s="26"/>
      <c r="U21" s="26">
        <f>TRANSICAO!$U$21*CUSTOS!$T$3</f>
        <v>15.976900000000001</v>
      </c>
      <c r="V21" s="26">
        <f>TRANSICAO!$V$21*CUSTOS!$T$3</f>
        <v>16.331299999999999</v>
      </c>
      <c r="W21" s="26">
        <f>TRANSICAO!$W$21*CUSTOS!$T$3</f>
        <v>0</v>
      </c>
      <c r="X21" s="26">
        <f>TRANSICAO!$X$21*CUSTOS!$T$3</f>
        <v>0</v>
      </c>
      <c r="Y21" s="26">
        <f>TRANSICAO!$Y$21*CUSTOS!$T$3</f>
        <v>20.441800000000001</v>
      </c>
      <c r="Z21" s="26">
        <f>TRANSICAO!$Z$21*CUSTOS!$T$3</f>
        <v>0</v>
      </c>
      <c r="AA21" s="26">
        <f>TRANSICAO!$AA$21*CUSTOS!$T$3</f>
        <v>0</v>
      </c>
      <c r="AB21" s="26">
        <f>TRANSICAO!$AB$21*CUSTOS!$T$3</f>
        <v>0</v>
      </c>
      <c r="AC21" s="26">
        <f>TRANSICAO!$AC$21*CUSTOS!$T$3</f>
        <v>201.03659999999999</v>
      </c>
      <c r="AD21" s="26">
        <f>TRANSICAO!$AD$21*CUSTOS!$T$3</f>
        <v>0</v>
      </c>
      <c r="AE21" s="26">
        <v>0</v>
      </c>
      <c r="AF21" s="26">
        <v>0</v>
      </c>
      <c r="AG21" s="26"/>
      <c r="AH21" s="26">
        <f>(1 - CUSTOS!$M$24)*21.345</f>
        <v>21.344999999999999</v>
      </c>
      <c r="AI21" s="26">
        <f>(1 - CUSTOS!$M$24)*21.345</f>
        <v>21.344999999999999</v>
      </c>
      <c r="AJ21" s="26">
        <f ca="1">$N$64*(1-CUSTOS!$M$24)</f>
        <v>0</v>
      </c>
      <c r="AK21" s="26">
        <f t="shared" ca="1" si="0"/>
        <v>0</v>
      </c>
      <c r="AL21" s="26"/>
      <c r="AM21" s="26"/>
      <c r="AP21" s="26">
        <f>IF((1 - CUSTOS!$M$24)&lt;&gt;0,1/(1 - CUSTOS!$M$24),1)</f>
        <v>1</v>
      </c>
    </row>
    <row r="22" spans="1:42" ht="11.25" customHeight="1" x14ac:dyDescent="0.25">
      <c r="A22" s="131"/>
      <c r="B22" s="131"/>
      <c r="C22" s="131"/>
      <c r="D22" s="45" t="s">
        <v>30</v>
      </c>
      <c r="E22" s="45" t="s">
        <v>25</v>
      </c>
      <c r="F22" s="45" t="s">
        <v>25</v>
      </c>
      <c r="G22" s="44" t="s">
        <v>82</v>
      </c>
      <c r="H22" s="44" t="s">
        <v>76</v>
      </c>
      <c r="I22" s="44">
        <f>'MERCADO TUSD'!$U$19</f>
        <v>441.75700000000001</v>
      </c>
      <c r="J22" s="18"/>
      <c r="L22" s="26">
        <v>0</v>
      </c>
      <c r="M22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1.1394661924408793</v>
      </c>
      <c r="N22" s="26">
        <f ca="1">(+M22+O22+R22+U22+V22+W22+X22+Y22+Z22+AA22+AC22+AH22+AI22+AJ22+AK22)*CUSTOS!$M$5</f>
        <v>2.9861606619244094E-12</v>
      </c>
      <c r="O22" s="26">
        <f>1 - CUSTOS!$M$25</f>
        <v>1</v>
      </c>
      <c r="P22" s="26">
        <v>0</v>
      </c>
      <c r="Q22" s="26">
        <v>0</v>
      </c>
      <c r="R22" s="26">
        <v>0</v>
      </c>
      <c r="S22" s="26">
        <f>1 - CUSTOS!$M$25</f>
        <v>1</v>
      </c>
      <c r="T22" s="26"/>
      <c r="U22" s="26">
        <f>TRANSICAO!$U$22*CUSTOS!$T$3</f>
        <v>15.976900000000001</v>
      </c>
      <c r="V22" s="26">
        <f>TRANSICAO!$V$22*CUSTOS!$T$3</f>
        <v>16.331299999999999</v>
      </c>
      <c r="W22" s="26">
        <f>TRANSICAO!$W$22*CUSTOS!$T$3</f>
        <v>0</v>
      </c>
      <c r="X22" s="26">
        <f>TRANSICAO!$X$22*CUSTOS!$T$3</f>
        <v>0</v>
      </c>
      <c r="Y22" s="26">
        <f>TRANSICAO!$Y$22*CUSTOS!$T$3</f>
        <v>20.441800000000001</v>
      </c>
      <c r="Z22" s="26">
        <f>TRANSICAO!$Z$22*CUSTOS!$T$3</f>
        <v>0</v>
      </c>
      <c r="AA22" s="26">
        <f>TRANSICAO!$AA$22*CUSTOS!$T$3</f>
        <v>0</v>
      </c>
      <c r="AB22" s="26">
        <f>TRANSICAO!$AB$22*CUSTOS!$T$3</f>
        <v>0</v>
      </c>
      <c r="AC22" s="26">
        <f>TRANSICAO!$AC$22*CUSTOS!$T$3</f>
        <v>201.03659999999999</v>
      </c>
      <c r="AD22" s="26">
        <f>TRANSICAO!$AD$22*CUSTOS!$T$3</f>
        <v>0</v>
      </c>
      <c r="AE22" s="26">
        <v>0</v>
      </c>
      <c r="AF22" s="26">
        <v>0</v>
      </c>
      <c r="AG22" s="26"/>
      <c r="AH22" s="26">
        <f>(1 - CUSTOS!$M$25)*21.345</f>
        <v>21.344999999999999</v>
      </c>
      <c r="AI22" s="26">
        <f>(1 - CUSTOS!$M$25)*21.345</f>
        <v>21.344999999999999</v>
      </c>
      <c r="AJ22" s="26">
        <f ca="1">$N$64*(1-CUSTOS!$M$25)</f>
        <v>0</v>
      </c>
      <c r="AK22" s="26">
        <f t="shared" ca="1" si="0"/>
        <v>0</v>
      </c>
      <c r="AL22" s="26"/>
      <c r="AM22" s="26"/>
      <c r="AP22" s="26">
        <f>IF((1 - CUSTOS!$M$25)&lt;&gt;0,1/(1 - CUSTOS!$M$25),1)</f>
        <v>1</v>
      </c>
    </row>
    <row r="23" spans="1:42" ht="11.25" customHeight="1" x14ac:dyDescent="0.25">
      <c r="A23" s="131"/>
      <c r="B23" s="131"/>
      <c r="C23" s="131"/>
      <c r="D23" s="45" t="s">
        <v>31</v>
      </c>
      <c r="E23" s="45" t="s">
        <v>25</v>
      </c>
      <c r="F23" s="45" t="s">
        <v>25</v>
      </c>
      <c r="G23" s="44" t="s">
        <v>82</v>
      </c>
      <c r="H23" s="44" t="s">
        <v>76</v>
      </c>
      <c r="I23" s="44">
        <f>'MERCADO TUSD'!$U$20</f>
        <v>380.55199999999996</v>
      </c>
      <c r="J23" s="18"/>
      <c r="L23" s="26">
        <v>0</v>
      </c>
      <c r="M23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1.1394661924408793</v>
      </c>
      <c r="N23" s="26">
        <f ca="1">(+M23+O23+R23+U23+V23+W23+X23+Y23+Z23+AA23+AC23+AH23+AI23+AJ23+AK23)*CUSTOS!$M$5</f>
        <v>2.9861606619244094E-12</v>
      </c>
      <c r="O23" s="26">
        <f>1 - CUSTOS!$M$26</f>
        <v>1</v>
      </c>
      <c r="P23" s="26">
        <v>0</v>
      </c>
      <c r="Q23" s="26">
        <v>0</v>
      </c>
      <c r="R23" s="26">
        <v>0</v>
      </c>
      <c r="S23" s="26">
        <f>1 - CUSTOS!$M$26</f>
        <v>1</v>
      </c>
      <c r="T23" s="26"/>
      <c r="U23" s="26">
        <f>TRANSICAO!$U$23*CUSTOS!$T$3</f>
        <v>15.976900000000001</v>
      </c>
      <c r="V23" s="26">
        <f>TRANSICAO!$V$23*CUSTOS!$T$3</f>
        <v>16.331299999999999</v>
      </c>
      <c r="W23" s="26">
        <f>TRANSICAO!$W$23*CUSTOS!$T$3</f>
        <v>0</v>
      </c>
      <c r="X23" s="26">
        <f>TRANSICAO!$X$23*CUSTOS!$T$3</f>
        <v>0</v>
      </c>
      <c r="Y23" s="26">
        <f>TRANSICAO!$Y$23*CUSTOS!$T$3</f>
        <v>20.441800000000001</v>
      </c>
      <c r="Z23" s="26">
        <f>TRANSICAO!$Z$23*CUSTOS!$T$3</f>
        <v>0</v>
      </c>
      <c r="AA23" s="26">
        <f>TRANSICAO!$AA$23*CUSTOS!$T$3</f>
        <v>0</v>
      </c>
      <c r="AB23" s="26">
        <f>TRANSICAO!$AB$23*CUSTOS!$T$3</f>
        <v>0</v>
      </c>
      <c r="AC23" s="26">
        <f>TRANSICAO!$AC$23*CUSTOS!$T$3</f>
        <v>201.03659999999999</v>
      </c>
      <c r="AD23" s="26">
        <f>TRANSICAO!$AD$23*CUSTOS!$T$3</f>
        <v>0</v>
      </c>
      <c r="AE23" s="26">
        <v>0</v>
      </c>
      <c r="AF23" s="26">
        <v>0</v>
      </c>
      <c r="AG23" s="26"/>
      <c r="AH23" s="26">
        <f>(1 - CUSTOS!$M$26)*21.345</f>
        <v>21.344999999999999</v>
      </c>
      <c r="AI23" s="26">
        <f>(1 - CUSTOS!$M$26)*21.345</f>
        <v>21.344999999999999</v>
      </c>
      <c r="AJ23" s="26">
        <f ca="1">$N$64*(1-CUSTOS!$M$26)</f>
        <v>0</v>
      </c>
      <c r="AK23" s="26">
        <f t="shared" ca="1" si="0"/>
        <v>0</v>
      </c>
      <c r="AL23" s="26"/>
      <c r="AM23" s="26"/>
      <c r="AP23" s="26">
        <f>IF((1 - CUSTOS!$M$26)&lt;&gt;0,1/(1 - CUSTOS!$M$26),1)</f>
        <v>1</v>
      </c>
    </row>
    <row r="24" spans="1:42" ht="11.25" customHeight="1" x14ac:dyDescent="0.25">
      <c r="A24" s="131"/>
      <c r="B24" s="131"/>
      <c r="C24" s="131"/>
      <c r="D24" s="45" t="s">
        <v>32</v>
      </c>
      <c r="E24" s="45" t="s">
        <v>25</v>
      </c>
      <c r="F24" s="45" t="s">
        <v>25</v>
      </c>
      <c r="G24" s="44" t="s">
        <v>82</v>
      </c>
      <c r="H24" s="44" t="s">
        <v>76</v>
      </c>
      <c r="I24" s="44">
        <f>'MERCADO TUSD'!$U$21</f>
        <v>85.721000000000004</v>
      </c>
      <c r="J24" s="18"/>
      <c r="L24" s="26">
        <v>0</v>
      </c>
      <c r="M24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1.1394661924408793</v>
      </c>
      <c r="N24" s="26">
        <f ca="1">(+M24+O24+R24+U24+V24+W24+X24+Y24+Z24+AA24+AC24+AH24+AI24+AJ24+AK24)*CUSTOS!$M$5</f>
        <v>2.9861606619244094E-12</v>
      </c>
      <c r="O24" s="26">
        <f>1 - CUSTOS!$M$27</f>
        <v>1</v>
      </c>
      <c r="P24" s="26">
        <v>0</v>
      </c>
      <c r="Q24" s="26">
        <v>0</v>
      </c>
      <c r="R24" s="26">
        <v>0</v>
      </c>
      <c r="S24" s="26">
        <f>1 - CUSTOS!$M$27</f>
        <v>1</v>
      </c>
      <c r="T24" s="26"/>
      <c r="U24" s="26">
        <f>TRANSICAO!$U$24*CUSTOS!$T$3</f>
        <v>15.976900000000001</v>
      </c>
      <c r="V24" s="26">
        <f>TRANSICAO!$V$24*CUSTOS!$T$3</f>
        <v>16.331299999999999</v>
      </c>
      <c r="W24" s="26">
        <f>TRANSICAO!$W$24*CUSTOS!$T$3</f>
        <v>0</v>
      </c>
      <c r="X24" s="26">
        <f>TRANSICAO!$X$24*CUSTOS!$T$3</f>
        <v>0</v>
      </c>
      <c r="Y24" s="26">
        <f>TRANSICAO!$Y$24*CUSTOS!$T$3</f>
        <v>20.441800000000001</v>
      </c>
      <c r="Z24" s="26">
        <f>TRANSICAO!$Z$24*CUSTOS!$T$3</f>
        <v>0</v>
      </c>
      <c r="AA24" s="26">
        <f>TRANSICAO!$AA$24*CUSTOS!$T$3</f>
        <v>0</v>
      </c>
      <c r="AB24" s="26">
        <f>TRANSICAO!$AB$24*CUSTOS!$T$3</f>
        <v>0</v>
      </c>
      <c r="AC24" s="26">
        <f>TRANSICAO!$AC$24*CUSTOS!$T$3</f>
        <v>201.03659999999999</v>
      </c>
      <c r="AD24" s="26">
        <f>TRANSICAO!$AD$24*CUSTOS!$T$3</f>
        <v>0</v>
      </c>
      <c r="AE24" s="26">
        <v>0</v>
      </c>
      <c r="AF24" s="26">
        <v>0</v>
      </c>
      <c r="AG24" s="26"/>
      <c r="AH24" s="26">
        <f>(1 - CUSTOS!$M$27)*21.345</f>
        <v>21.344999999999999</v>
      </c>
      <c r="AI24" s="26">
        <f>(1 - CUSTOS!$M$27)*21.345</f>
        <v>21.344999999999999</v>
      </c>
      <c r="AJ24" s="26">
        <f ca="1">$N$64*(1-CUSTOS!$M$27)</f>
        <v>0</v>
      </c>
      <c r="AK24" s="26">
        <f t="shared" ca="1" si="0"/>
        <v>0</v>
      </c>
      <c r="AL24" s="26"/>
      <c r="AM24" s="26"/>
      <c r="AP24" s="26">
        <f>IF((1 - CUSTOS!$M$27)&lt;&gt;0,1/(1 - CUSTOS!$M$27),1)</f>
        <v>1</v>
      </c>
    </row>
    <row r="25" spans="1:42" ht="11.25" customHeight="1" x14ac:dyDescent="0.25">
      <c r="A25" s="131"/>
      <c r="B25" s="131" t="s">
        <v>91</v>
      </c>
      <c r="C25" s="131" t="s">
        <v>24</v>
      </c>
      <c r="D25" s="45" t="s">
        <v>24</v>
      </c>
      <c r="E25" s="45" t="s">
        <v>25</v>
      </c>
      <c r="F25" s="45" t="s">
        <v>25</v>
      </c>
      <c r="G25" s="44" t="s">
        <v>82</v>
      </c>
      <c r="H25" s="44" t="s">
        <v>76</v>
      </c>
      <c r="I25" s="44">
        <f>'MERCADO TUSD'!$U$22</f>
        <v>0</v>
      </c>
      <c r="J25" s="18"/>
      <c r="L25" s="26">
        <f>1</f>
        <v>1</v>
      </c>
      <c r="M25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1.1394661924408793</v>
      </c>
      <c r="N25" s="26">
        <f ca="1">(+M25+O25+R25+U25+V25+W25+X25+Y25+Z25+AA25+AC25+AH25+AI25+AJ25+AK25)*CUSTOS!$M$5</f>
        <v>2.9961606619244095E-12</v>
      </c>
      <c r="O25" s="26">
        <v>1</v>
      </c>
      <c r="P25" s="26">
        <v>1</v>
      </c>
      <c r="Q25" s="26">
        <f>1</f>
        <v>1</v>
      </c>
      <c r="R25" s="26">
        <v>1</v>
      </c>
      <c r="S25" s="26">
        <v>1</v>
      </c>
      <c r="T25" s="26"/>
      <c r="U25" s="26">
        <f>TRANSICAO!$U$25*CUSTOS!$T$3</f>
        <v>15.976900000000001</v>
      </c>
      <c r="V25" s="26">
        <f>TRANSICAO!$V$25*CUSTOS!$T$3</f>
        <v>16.331299999999999</v>
      </c>
      <c r="W25" s="26">
        <f>TRANSICAO!$W$25*CUSTOS!$T$3</f>
        <v>0</v>
      </c>
      <c r="X25" s="26">
        <f>TRANSICAO!$X$25*CUSTOS!$T$3</f>
        <v>0</v>
      </c>
      <c r="Y25" s="26">
        <f>TRANSICAO!$Y$25*CUSTOS!$T$3</f>
        <v>20.441800000000001</v>
      </c>
      <c r="Z25" s="26">
        <f>TRANSICAO!$Z$25*CUSTOS!$T$3</f>
        <v>0</v>
      </c>
      <c r="AA25" s="26">
        <f>TRANSICAO!$AA$25*CUSTOS!$T$3</f>
        <v>0</v>
      </c>
      <c r="AB25" s="26">
        <f>TRANSICAO!$AB$25*CUSTOS!$T$3</f>
        <v>0</v>
      </c>
      <c r="AC25" s="26">
        <f>TRANSICAO!$AC$25*CUSTOS!$T$3</f>
        <v>201.03659999999999</v>
      </c>
      <c r="AD25" s="26">
        <f>TRANSICAO!$AD$25*CUSTOS!$T$3</f>
        <v>0</v>
      </c>
      <c r="AE25" s="26">
        <v>0</v>
      </c>
      <c r="AF25" s="26">
        <v>0</v>
      </c>
      <c r="AG25" s="26"/>
      <c r="AH25" s="26">
        <v>21.344999999999999</v>
      </c>
      <c r="AI25" s="26">
        <v>21.344999999999999</v>
      </c>
      <c r="AJ25" s="26">
        <f ca="1">$N$64</f>
        <v>0</v>
      </c>
      <c r="AK25" s="26">
        <f t="shared" ca="1" si="0"/>
        <v>0</v>
      </c>
      <c r="AL25" s="26"/>
      <c r="AM25" s="26"/>
      <c r="AP25" s="26">
        <v>1</v>
      </c>
    </row>
    <row r="26" spans="1:42" ht="11.25" customHeight="1" x14ac:dyDescent="0.25">
      <c r="A26" s="131"/>
      <c r="B26" s="131"/>
      <c r="C26" s="131"/>
      <c r="D26" s="45" t="s">
        <v>29</v>
      </c>
      <c r="E26" s="45" t="s">
        <v>25</v>
      </c>
      <c r="F26" s="45" t="s">
        <v>25</v>
      </c>
      <c r="G26" s="44" t="s">
        <v>82</v>
      </c>
      <c r="H26" s="44" t="s">
        <v>76</v>
      </c>
      <c r="I26" s="44">
        <f>'MERCADO TUSD'!$U$23</f>
        <v>0</v>
      </c>
      <c r="J26" s="18"/>
      <c r="L26" s="26">
        <v>0</v>
      </c>
      <c r="M26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1.1394661924408793</v>
      </c>
      <c r="N26" s="26">
        <f ca="1">(+M26+O26+R26+U26+V26+W26+X26+Y26+Z26+AA26+AC26+AH26+AI26+AJ26+AK26)*CUSTOS!$M$5</f>
        <v>2.9861606619244094E-12</v>
      </c>
      <c r="O26" s="26">
        <f>1 - CUSTOS!$M$24</f>
        <v>1</v>
      </c>
      <c r="P26" s="26">
        <v>0</v>
      </c>
      <c r="Q26" s="26">
        <v>0</v>
      </c>
      <c r="R26" s="26">
        <v>0</v>
      </c>
      <c r="S26" s="26">
        <f>1 - CUSTOS!$M$24</f>
        <v>1</v>
      </c>
      <c r="T26" s="26"/>
      <c r="U26" s="26">
        <f>TRANSICAO!$U$26*CUSTOS!$T$3</f>
        <v>15.976900000000001</v>
      </c>
      <c r="V26" s="26">
        <f>TRANSICAO!$V$26*CUSTOS!$T$3</f>
        <v>16.331299999999999</v>
      </c>
      <c r="W26" s="26">
        <f>TRANSICAO!$W$26*CUSTOS!$T$3</f>
        <v>0</v>
      </c>
      <c r="X26" s="26">
        <f>TRANSICAO!$X$26*CUSTOS!$T$3</f>
        <v>0</v>
      </c>
      <c r="Y26" s="26">
        <f>TRANSICAO!$Y$26*CUSTOS!$T$3</f>
        <v>20.441800000000001</v>
      </c>
      <c r="Z26" s="26">
        <f>TRANSICAO!$Z$26*CUSTOS!$T$3</f>
        <v>0</v>
      </c>
      <c r="AA26" s="26">
        <f>TRANSICAO!$AA$26*CUSTOS!$T$3</f>
        <v>0</v>
      </c>
      <c r="AB26" s="26">
        <f>TRANSICAO!$AB$26*CUSTOS!$T$3</f>
        <v>0</v>
      </c>
      <c r="AC26" s="26">
        <f>TRANSICAO!$AC$26*CUSTOS!$T$3</f>
        <v>201.03659999999999</v>
      </c>
      <c r="AD26" s="26">
        <f>TRANSICAO!$AD$26*CUSTOS!$T$3</f>
        <v>0</v>
      </c>
      <c r="AE26" s="26">
        <v>0</v>
      </c>
      <c r="AF26" s="26">
        <v>0</v>
      </c>
      <c r="AG26" s="26"/>
      <c r="AH26" s="26">
        <f>(1 - CUSTOS!$M$24)*21.345</f>
        <v>21.344999999999999</v>
      </c>
      <c r="AI26" s="26">
        <f>(1 - CUSTOS!$M$24)*21.345</f>
        <v>21.344999999999999</v>
      </c>
      <c r="AJ26" s="26">
        <f ca="1">$N$64*(1-CUSTOS!$M$24)</f>
        <v>0</v>
      </c>
      <c r="AK26" s="26">
        <f t="shared" ca="1" si="0"/>
        <v>0</v>
      </c>
      <c r="AL26" s="26"/>
      <c r="AM26" s="26"/>
      <c r="AP26" s="26">
        <f>IF((1 - CUSTOS!$M$24)&lt;&gt;0,1/(1 - CUSTOS!$M$24),1)</f>
        <v>1</v>
      </c>
    </row>
    <row r="27" spans="1:42" ht="11.25" customHeight="1" x14ac:dyDescent="0.25">
      <c r="A27" s="131"/>
      <c r="B27" s="131"/>
      <c r="C27" s="131"/>
      <c r="D27" s="45" t="s">
        <v>30</v>
      </c>
      <c r="E27" s="45" t="s">
        <v>25</v>
      </c>
      <c r="F27" s="45" t="s">
        <v>25</v>
      </c>
      <c r="G27" s="44" t="s">
        <v>82</v>
      </c>
      <c r="H27" s="44" t="s">
        <v>76</v>
      </c>
      <c r="I27" s="44">
        <f>'MERCADO TUSD'!$U$24</f>
        <v>0</v>
      </c>
      <c r="J27" s="18"/>
      <c r="L27" s="26">
        <v>0</v>
      </c>
      <c r="M27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1.1394661924408793</v>
      </c>
      <c r="N27" s="26">
        <f ca="1">(+M27+O27+R27+U27+V27+W27+X27+Y27+Z27+AA27+AC27+AH27+AI27+AJ27+AK27)*CUSTOS!$M$5</f>
        <v>2.9861606619244094E-12</v>
      </c>
      <c r="O27" s="26">
        <f>1 - CUSTOS!$M$25</f>
        <v>1</v>
      </c>
      <c r="P27" s="26">
        <v>0</v>
      </c>
      <c r="Q27" s="26">
        <v>0</v>
      </c>
      <c r="R27" s="26">
        <v>0</v>
      </c>
      <c r="S27" s="26">
        <f>1 - CUSTOS!$M$25</f>
        <v>1</v>
      </c>
      <c r="T27" s="26"/>
      <c r="U27" s="26">
        <f>TRANSICAO!$U$27*CUSTOS!$T$3</f>
        <v>15.976900000000001</v>
      </c>
      <c r="V27" s="26">
        <f>TRANSICAO!$V$27*CUSTOS!$T$3</f>
        <v>16.331299999999999</v>
      </c>
      <c r="W27" s="26">
        <f>TRANSICAO!$W$27*CUSTOS!$T$3</f>
        <v>0</v>
      </c>
      <c r="X27" s="26">
        <f>TRANSICAO!$X$27*CUSTOS!$T$3</f>
        <v>0</v>
      </c>
      <c r="Y27" s="26">
        <f>TRANSICAO!$Y$27*CUSTOS!$T$3</f>
        <v>20.441800000000001</v>
      </c>
      <c r="Z27" s="26">
        <f>TRANSICAO!$Z$27*CUSTOS!$T$3</f>
        <v>0</v>
      </c>
      <c r="AA27" s="26">
        <f>TRANSICAO!$AA$27*CUSTOS!$T$3</f>
        <v>0</v>
      </c>
      <c r="AB27" s="26">
        <f>TRANSICAO!$AB$27*CUSTOS!$T$3</f>
        <v>0</v>
      </c>
      <c r="AC27" s="26">
        <f>TRANSICAO!$AC$27*CUSTOS!$T$3</f>
        <v>201.03659999999999</v>
      </c>
      <c r="AD27" s="26">
        <f>TRANSICAO!$AD$27*CUSTOS!$T$3</f>
        <v>0</v>
      </c>
      <c r="AE27" s="26">
        <v>0</v>
      </c>
      <c r="AF27" s="26">
        <v>0</v>
      </c>
      <c r="AG27" s="26"/>
      <c r="AH27" s="26">
        <f>(1 - CUSTOS!$M$25)*21.345</f>
        <v>21.344999999999999</v>
      </c>
      <c r="AI27" s="26">
        <f>(1 - CUSTOS!$M$25)*21.345</f>
        <v>21.344999999999999</v>
      </c>
      <c r="AJ27" s="26">
        <f ca="1">$N$64*(1-CUSTOS!$M$25)</f>
        <v>0</v>
      </c>
      <c r="AK27" s="26">
        <f t="shared" ca="1" si="0"/>
        <v>0</v>
      </c>
      <c r="AL27" s="26"/>
      <c r="AM27" s="26"/>
      <c r="AP27" s="26">
        <f>IF((1 - CUSTOS!$M$25)&lt;&gt;0,1/(1 - CUSTOS!$M$25),1)</f>
        <v>1</v>
      </c>
    </row>
    <row r="28" spans="1:42" ht="11.25" customHeight="1" x14ac:dyDescent="0.25">
      <c r="A28" s="131"/>
      <c r="B28" s="131"/>
      <c r="C28" s="131"/>
      <c r="D28" s="45" t="s">
        <v>31</v>
      </c>
      <c r="E28" s="45" t="s">
        <v>25</v>
      </c>
      <c r="F28" s="45" t="s">
        <v>25</v>
      </c>
      <c r="G28" s="44" t="s">
        <v>82</v>
      </c>
      <c r="H28" s="44" t="s">
        <v>76</v>
      </c>
      <c r="I28" s="44">
        <f>'MERCADO TUSD'!$U$25</f>
        <v>0</v>
      </c>
      <c r="J28" s="18"/>
      <c r="L28" s="26">
        <v>0</v>
      </c>
      <c r="M28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1.1394661924408793</v>
      </c>
      <c r="N28" s="26">
        <f ca="1">(+M28+O28+R28+U28+V28+W28+X28+Y28+Z28+AA28+AC28+AH28+AI28+AJ28+AK28)*CUSTOS!$M$5</f>
        <v>2.9861606619244094E-12</v>
      </c>
      <c r="O28" s="26">
        <f>1 - CUSTOS!$M$26</f>
        <v>1</v>
      </c>
      <c r="P28" s="26">
        <v>0</v>
      </c>
      <c r="Q28" s="26">
        <v>0</v>
      </c>
      <c r="R28" s="26">
        <v>0</v>
      </c>
      <c r="S28" s="26">
        <f>1 - CUSTOS!$M$26</f>
        <v>1</v>
      </c>
      <c r="T28" s="26"/>
      <c r="U28" s="26">
        <f>TRANSICAO!$U$28*CUSTOS!$T$3</f>
        <v>15.976900000000001</v>
      </c>
      <c r="V28" s="26">
        <f>TRANSICAO!$V$28*CUSTOS!$T$3</f>
        <v>16.331299999999999</v>
      </c>
      <c r="W28" s="26">
        <f>TRANSICAO!$W$28*CUSTOS!$T$3</f>
        <v>0</v>
      </c>
      <c r="X28" s="26">
        <f>TRANSICAO!$X$28*CUSTOS!$T$3</f>
        <v>0</v>
      </c>
      <c r="Y28" s="26">
        <f>TRANSICAO!$Y$28*CUSTOS!$T$3</f>
        <v>20.441800000000001</v>
      </c>
      <c r="Z28" s="26">
        <f>TRANSICAO!$Z$28*CUSTOS!$T$3</f>
        <v>0</v>
      </c>
      <c r="AA28" s="26">
        <f>TRANSICAO!$AA$28*CUSTOS!$T$3</f>
        <v>0</v>
      </c>
      <c r="AB28" s="26">
        <f>TRANSICAO!$AB$28*CUSTOS!$T$3</f>
        <v>0</v>
      </c>
      <c r="AC28" s="26">
        <f>TRANSICAO!$AC$28*CUSTOS!$T$3</f>
        <v>201.03659999999999</v>
      </c>
      <c r="AD28" s="26">
        <f>TRANSICAO!$AD$28*CUSTOS!$T$3</f>
        <v>0</v>
      </c>
      <c r="AE28" s="26">
        <v>0</v>
      </c>
      <c r="AF28" s="26">
        <v>0</v>
      </c>
      <c r="AG28" s="26"/>
      <c r="AH28" s="26">
        <f>(1 - CUSTOS!$M$26)*21.345</f>
        <v>21.344999999999999</v>
      </c>
      <c r="AI28" s="26">
        <f>(1 - CUSTOS!$M$26)*21.345</f>
        <v>21.344999999999999</v>
      </c>
      <c r="AJ28" s="26">
        <f ca="1">$N$64*(1-CUSTOS!$M$26)</f>
        <v>0</v>
      </c>
      <c r="AK28" s="26">
        <f t="shared" ca="1" si="0"/>
        <v>0</v>
      </c>
      <c r="AL28" s="26"/>
      <c r="AM28" s="26"/>
      <c r="AP28" s="26">
        <f>IF((1 - CUSTOS!$M$26)&lt;&gt;0,1/(1 - CUSTOS!$M$26),1)</f>
        <v>1</v>
      </c>
    </row>
    <row r="29" spans="1:42" ht="11.25" customHeight="1" x14ac:dyDescent="0.25">
      <c r="A29" s="131"/>
      <c r="B29" s="131"/>
      <c r="C29" s="131"/>
      <c r="D29" s="45" t="s">
        <v>32</v>
      </c>
      <c r="E29" s="45" t="s">
        <v>25</v>
      </c>
      <c r="F29" s="45" t="s">
        <v>25</v>
      </c>
      <c r="G29" s="44" t="s">
        <v>82</v>
      </c>
      <c r="H29" s="44" t="s">
        <v>76</v>
      </c>
      <c r="I29" s="44">
        <f>'MERCADO TUSD'!$U$26</f>
        <v>0</v>
      </c>
      <c r="J29" s="18"/>
      <c r="L29" s="26">
        <v>0</v>
      </c>
      <c r="M29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1.1394661924408793</v>
      </c>
      <c r="N29" s="26">
        <f ca="1">(+M29+O29+R29+U29+V29+W29+X29+Y29+Z29+AA29+AC29+AH29+AI29+AJ29+AK29)*CUSTOS!$M$5</f>
        <v>2.9861606619244094E-12</v>
      </c>
      <c r="O29" s="26">
        <f>1 - CUSTOS!$M$27</f>
        <v>1</v>
      </c>
      <c r="P29" s="26">
        <v>0</v>
      </c>
      <c r="Q29" s="26">
        <v>0</v>
      </c>
      <c r="R29" s="26">
        <v>0</v>
      </c>
      <c r="S29" s="26">
        <f>1 - CUSTOS!$M$27</f>
        <v>1</v>
      </c>
      <c r="T29" s="26"/>
      <c r="U29" s="26">
        <f>TRANSICAO!$U$29*CUSTOS!$T$3</f>
        <v>15.976900000000001</v>
      </c>
      <c r="V29" s="26">
        <f>TRANSICAO!$V$29*CUSTOS!$T$3</f>
        <v>16.331299999999999</v>
      </c>
      <c r="W29" s="26">
        <f>TRANSICAO!$W$29*CUSTOS!$T$3</f>
        <v>0</v>
      </c>
      <c r="X29" s="26">
        <f>TRANSICAO!$X$29*CUSTOS!$T$3</f>
        <v>0</v>
      </c>
      <c r="Y29" s="26">
        <f>TRANSICAO!$Y$29*CUSTOS!$T$3</f>
        <v>20.441800000000001</v>
      </c>
      <c r="Z29" s="26">
        <f>TRANSICAO!$Z$29*CUSTOS!$T$3</f>
        <v>0</v>
      </c>
      <c r="AA29" s="26">
        <f>TRANSICAO!$AA$29*CUSTOS!$T$3</f>
        <v>0</v>
      </c>
      <c r="AB29" s="26">
        <f>TRANSICAO!$AB$29*CUSTOS!$T$3</f>
        <v>0</v>
      </c>
      <c r="AC29" s="26">
        <f>TRANSICAO!$AC$29*CUSTOS!$T$3</f>
        <v>201.03659999999999</v>
      </c>
      <c r="AD29" s="26">
        <f>TRANSICAO!$AD$29*CUSTOS!$T$3</f>
        <v>0</v>
      </c>
      <c r="AE29" s="26">
        <v>0</v>
      </c>
      <c r="AF29" s="26">
        <v>0</v>
      </c>
      <c r="AG29" s="26"/>
      <c r="AH29" s="26">
        <f>(1 - CUSTOS!$M$27)*21.345</f>
        <v>21.344999999999999</v>
      </c>
      <c r="AI29" s="26">
        <f>(1 - CUSTOS!$M$27)*21.345</f>
        <v>21.344999999999999</v>
      </c>
      <c r="AJ29" s="26">
        <f ca="1">$N$64*(1-CUSTOS!$M$27)</f>
        <v>0</v>
      </c>
      <c r="AK29" s="26">
        <f t="shared" ca="1" si="0"/>
        <v>0</v>
      </c>
      <c r="AL29" s="26"/>
      <c r="AM29" s="26"/>
      <c r="AP29" s="26">
        <f>IF((1 - CUSTOS!$M$27)&lt;&gt;0,1/(1 - CUSTOS!$M$27),1)</f>
        <v>1</v>
      </c>
    </row>
    <row r="30" spans="1:42" ht="11.25" customHeight="1" x14ac:dyDescent="0.25">
      <c r="A30" s="131" t="s">
        <v>43</v>
      </c>
      <c r="B30" s="131" t="s">
        <v>37</v>
      </c>
      <c r="C30" s="131" t="s">
        <v>44</v>
      </c>
      <c r="D30" s="131" t="s">
        <v>25</v>
      </c>
      <c r="E30" s="131" t="s">
        <v>25</v>
      </c>
      <c r="F30" s="131" t="s">
        <v>25</v>
      </c>
      <c r="G30" s="44" t="s">
        <v>77</v>
      </c>
      <c r="H30" s="44" t="s">
        <v>76</v>
      </c>
      <c r="I30" s="44">
        <f>'MERCADO TUSD'!$U$27</f>
        <v>0.78900000000000003</v>
      </c>
      <c r="J30" s="18"/>
      <c r="L30" s="26">
        <f>1*(1 - CUSTOS!$M$28)</f>
        <v>1</v>
      </c>
      <c r="M30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1.1394661924408793</v>
      </c>
      <c r="N30" s="26">
        <f ca="1">(+M30+O30+R30+U30+V30+W30+X30+Y30+Z30+AA30+AC30+AH30+AI30+AJ30+AK30)*CUSTOS!$M$5</f>
        <v>7.4374286619244089E-12</v>
      </c>
      <c r="O30" s="26">
        <f>1 - CUSTOS!$M$28</f>
        <v>1</v>
      </c>
      <c r="P30" s="26">
        <f>1 - CUSTOS!$M$28</f>
        <v>1</v>
      </c>
      <c r="Q30" s="26">
        <f>1*(1 - CUSTOS!$M$28)</f>
        <v>1</v>
      </c>
      <c r="R30" s="26">
        <f>1 - CUSTOS!$M$28</f>
        <v>1</v>
      </c>
      <c r="S30" s="26">
        <f>1 - CUSTOS!$M$28</f>
        <v>1</v>
      </c>
      <c r="T30" s="26"/>
      <c r="U30" s="26">
        <f>TRANSICAO!$U$30*CUSTOS!$T$3</f>
        <v>43.936399999999999</v>
      </c>
      <c r="V30" s="26">
        <f>TRANSICAO!$V$30*CUSTOS!$T$3</f>
        <v>44.910899999999998</v>
      </c>
      <c r="W30" s="26">
        <f>TRANSICAO!$W$30*CUSTOS!$T$3</f>
        <v>0</v>
      </c>
      <c r="X30" s="26">
        <f>TRANSICAO!$X$30*CUSTOS!$T$3</f>
        <v>0</v>
      </c>
      <c r="Y30" s="26">
        <f>TRANSICAO!$Y$30*CUSTOS!$T$3</f>
        <v>56.215000000000003</v>
      </c>
      <c r="Z30" s="26">
        <f>TRANSICAO!$Z$30*CUSTOS!$T$3</f>
        <v>0</v>
      </c>
      <c r="AA30" s="26">
        <f>TRANSICAO!$AA$30*CUSTOS!$T$3</f>
        <v>0</v>
      </c>
      <c r="AB30" s="26">
        <f>TRANSICAO!$AB$30*CUSTOS!$T$3</f>
        <v>0</v>
      </c>
      <c r="AC30" s="26">
        <f>TRANSICAO!$AC$30*CUSTOS!$T$3</f>
        <v>552.85109999999997</v>
      </c>
      <c r="AD30" s="26">
        <f>TRANSICAO!$AD$30*CUSTOS!$T$3</f>
        <v>0</v>
      </c>
      <c r="AE30" s="26">
        <v>0</v>
      </c>
      <c r="AF30" s="26">
        <v>0</v>
      </c>
      <c r="AG30" s="26"/>
      <c r="AH30" s="26">
        <f>(1 - CUSTOS!$M$28)*21.345</f>
        <v>21.344999999999999</v>
      </c>
      <c r="AI30" s="26">
        <f>(1 - CUSTOS!$M$28)*21.345</f>
        <v>21.344999999999999</v>
      </c>
      <c r="AJ30" s="26">
        <f ca="1">$N$64*(1-CUSTOS!$M$28)</f>
        <v>0</v>
      </c>
      <c r="AK30" s="26">
        <f t="shared" ca="1" si="0"/>
        <v>0</v>
      </c>
      <c r="AL30" s="26"/>
      <c r="AM30" s="26"/>
      <c r="AP30" s="26">
        <f>IF((1 - CUSTOS!$M$28)&lt;&gt;0,1/(1 - CUSTOS!$M$28),1)</f>
        <v>1</v>
      </c>
    </row>
    <row r="31" spans="1:42" ht="11.25" customHeight="1" x14ac:dyDescent="0.25">
      <c r="A31" s="131"/>
      <c r="B31" s="131"/>
      <c r="C31" s="131"/>
      <c r="D31" s="131"/>
      <c r="E31" s="131"/>
      <c r="F31" s="131"/>
      <c r="G31" s="44" t="s">
        <v>88</v>
      </c>
      <c r="H31" s="44" t="s">
        <v>76</v>
      </c>
      <c r="I31" s="44">
        <f>'MERCADO TUSD'!$U$28</f>
        <v>0.57700000000000018</v>
      </c>
      <c r="J31" s="18"/>
      <c r="L31" s="26">
        <f>1*(1 - CUSTOS!$M$28)</f>
        <v>1</v>
      </c>
      <c r="M31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1.1394661924408793</v>
      </c>
      <c r="N31" s="26">
        <f ca="1">(+M31+O31+R31+U31+V31+W31+X31+Y31+Z31+AA31+AC31+AH31+AI31+AJ31+AK31)*CUSTOS!$M$5</f>
        <v>4.6457736619244091E-12</v>
      </c>
      <c r="O31" s="26">
        <f>1 - CUSTOS!$M$28</f>
        <v>1</v>
      </c>
      <c r="P31" s="26">
        <f>1 - CUSTOS!$M$28</f>
        <v>1</v>
      </c>
      <c r="Q31" s="26">
        <f>1*(1 - CUSTOS!$M$28)</f>
        <v>1</v>
      </c>
      <c r="R31" s="26">
        <f>1 - CUSTOS!$M$28</f>
        <v>1</v>
      </c>
      <c r="S31" s="26">
        <f>1 - CUSTOS!$M$28</f>
        <v>1</v>
      </c>
      <c r="T31" s="26"/>
      <c r="U31" s="26">
        <f>TRANSICAO!$U$31*CUSTOS!$T$3</f>
        <v>26.361899999999999</v>
      </c>
      <c r="V31" s="26">
        <f>TRANSICAO!$V$31*CUSTOS!$T$3</f>
        <v>26.946400000000001</v>
      </c>
      <c r="W31" s="26">
        <f>TRANSICAO!$W$31*CUSTOS!$T$3</f>
        <v>0</v>
      </c>
      <c r="X31" s="26">
        <f>TRANSICAO!$X$31*CUSTOS!$T$3</f>
        <v>0</v>
      </c>
      <c r="Y31" s="26">
        <f>TRANSICAO!$Y$31*CUSTOS!$T$3</f>
        <v>33.728999999999999</v>
      </c>
      <c r="Z31" s="26">
        <f>TRANSICAO!$Z$31*CUSTOS!$T$3</f>
        <v>0</v>
      </c>
      <c r="AA31" s="26">
        <f>TRANSICAO!$AA$31*CUSTOS!$T$3</f>
        <v>0</v>
      </c>
      <c r="AB31" s="26">
        <f>TRANSICAO!$AB$31*CUSTOS!$T$3</f>
        <v>0</v>
      </c>
      <c r="AC31" s="26">
        <f>TRANSICAO!$AC$31*CUSTOS!$T$3</f>
        <v>331.7106</v>
      </c>
      <c r="AD31" s="26">
        <f>TRANSICAO!$AD$31*CUSTOS!$T$3</f>
        <v>0</v>
      </c>
      <c r="AE31" s="26">
        <v>0</v>
      </c>
      <c r="AF31" s="26">
        <v>0</v>
      </c>
      <c r="AG31" s="26"/>
      <c r="AH31" s="26">
        <f>(1 - CUSTOS!$M$28)*21.345</f>
        <v>21.344999999999999</v>
      </c>
      <c r="AI31" s="26">
        <f>(1 - CUSTOS!$M$28)*21.345</f>
        <v>21.344999999999999</v>
      </c>
      <c r="AJ31" s="26">
        <f ca="1">$N$64*(1-CUSTOS!$M$28)</f>
        <v>0</v>
      </c>
      <c r="AK31" s="26">
        <f t="shared" ca="1" si="0"/>
        <v>0</v>
      </c>
      <c r="AL31" s="26"/>
      <c r="AM31" s="26"/>
      <c r="AP31" s="26">
        <f>IF((1 - CUSTOS!$M$28)&lt;&gt;0,1/(1 - CUSTOS!$M$28),1)</f>
        <v>1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44" t="s">
        <v>78</v>
      </c>
      <c r="H32" s="44" t="s">
        <v>76</v>
      </c>
      <c r="I32" s="44">
        <f>'MERCADO TUSD'!$U$29</f>
        <v>5.0960000000000001</v>
      </c>
      <c r="J32" s="18"/>
      <c r="L32" s="26">
        <f>1*(1 - CUSTOS!$M$28)</f>
        <v>1</v>
      </c>
      <c r="M32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1.1394661924408793</v>
      </c>
      <c r="N32" s="26">
        <f ca="1">(+M32+O32+R32+U32+V32+W32+X32+Y32+Z32+AA32+AC32+AH32+AI32+AJ32+AK32)*CUSTOS!$M$5</f>
        <v>1.8541206619244089E-12</v>
      </c>
      <c r="O32" s="26">
        <f>1 - CUSTOS!$M$28</f>
        <v>1</v>
      </c>
      <c r="P32" s="26">
        <f>1 - CUSTOS!$M$28</f>
        <v>1</v>
      </c>
      <c r="Q32" s="26">
        <f>1*(1 - CUSTOS!$M$28)</f>
        <v>1</v>
      </c>
      <c r="R32" s="26">
        <f>1 - CUSTOS!$M$28</f>
        <v>1</v>
      </c>
      <c r="S32" s="26">
        <f>1 - CUSTOS!$M$28</f>
        <v>1</v>
      </c>
      <c r="T32" s="26"/>
      <c r="U32" s="26">
        <f>TRANSICAO!$U$32*CUSTOS!$T$3</f>
        <v>8.7873000000000001</v>
      </c>
      <c r="V32" s="26">
        <f>TRANSICAO!$V$32*CUSTOS!$T$3</f>
        <v>8.9821000000000009</v>
      </c>
      <c r="W32" s="26">
        <f>TRANSICAO!$W$32*CUSTOS!$T$3</f>
        <v>0</v>
      </c>
      <c r="X32" s="26">
        <f>TRANSICAO!$X$32*CUSTOS!$T$3</f>
        <v>0</v>
      </c>
      <c r="Y32" s="26">
        <f>TRANSICAO!$Y$32*CUSTOS!$T$3</f>
        <v>11.243</v>
      </c>
      <c r="Z32" s="26">
        <f>TRANSICAO!$Z$32*CUSTOS!$T$3</f>
        <v>0</v>
      </c>
      <c r="AA32" s="26">
        <f>TRANSICAO!$AA$32*CUSTOS!$T$3</f>
        <v>0</v>
      </c>
      <c r="AB32" s="26">
        <f>TRANSICAO!$AB$32*CUSTOS!$T$3</f>
        <v>0</v>
      </c>
      <c r="AC32" s="26">
        <f>TRANSICAO!$AC$32*CUSTOS!$T$3</f>
        <v>110.5702</v>
      </c>
      <c r="AD32" s="26">
        <f>TRANSICAO!$AD$32*CUSTOS!$T$3</f>
        <v>0</v>
      </c>
      <c r="AE32" s="26">
        <v>0</v>
      </c>
      <c r="AF32" s="26">
        <v>0</v>
      </c>
      <c r="AG32" s="26"/>
      <c r="AH32" s="26">
        <f>(1 - CUSTOS!$M$28)*21.345</f>
        <v>21.344999999999999</v>
      </c>
      <c r="AI32" s="26">
        <f>(1 - CUSTOS!$M$28)*21.345</f>
        <v>21.344999999999999</v>
      </c>
      <c r="AJ32" s="26">
        <f ca="1">$N$64*(1-CUSTOS!$M$28)</f>
        <v>0</v>
      </c>
      <c r="AK32" s="26">
        <f t="shared" ca="1" si="0"/>
        <v>0</v>
      </c>
      <c r="AL32" s="26"/>
      <c r="AM32" s="26"/>
      <c r="AP32" s="26">
        <f>IF((1 - CUSTOS!$M$28)&lt;&gt;0,1/(1 - CUSTOS!$M$28),1)</f>
        <v>1</v>
      </c>
    </row>
    <row r="33" spans="1:42" ht="11.25" customHeight="1" x14ac:dyDescent="0.25">
      <c r="A33" s="131"/>
      <c r="B33" s="45" t="s">
        <v>23</v>
      </c>
      <c r="C33" s="45" t="s">
        <v>44</v>
      </c>
      <c r="D33" s="45" t="s">
        <v>25</v>
      </c>
      <c r="E33" s="45" t="s">
        <v>25</v>
      </c>
      <c r="F33" s="45" t="s">
        <v>25</v>
      </c>
      <c r="G33" s="44" t="s">
        <v>82</v>
      </c>
      <c r="H33" s="44" t="s">
        <v>76</v>
      </c>
      <c r="I33" s="44">
        <f>'MERCADO TUSD'!$U$30</f>
        <v>36373.667999999998</v>
      </c>
      <c r="J33" s="18"/>
      <c r="L33" s="26">
        <f>1*(1 - CUSTOS!$M$28)</f>
        <v>1</v>
      </c>
      <c r="M33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1.1394661924408793</v>
      </c>
      <c r="N33" s="26">
        <f ca="1">(+M33+O33+R33+U33+V33+W33+X33+Y33+Z33+AA33+AC33+AH33+AI33+AJ33+AK33)*CUSTOS!$M$5</f>
        <v>2.9961606619244095E-12</v>
      </c>
      <c r="O33" s="26">
        <f>1 - CUSTOS!$M$28</f>
        <v>1</v>
      </c>
      <c r="P33" s="26">
        <f>1 - CUSTOS!$M$28</f>
        <v>1</v>
      </c>
      <c r="Q33" s="26">
        <f>1*(1 - CUSTOS!$M$28)</f>
        <v>1</v>
      </c>
      <c r="R33" s="26">
        <f>1 - CUSTOS!$M$28</f>
        <v>1</v>
      </c>
      <c r="S33" s="26">
        <f>1 - CUSTOS!$M$28</f>
        <v>1</v>
      </c>
      <c r="T33" s="26"/>
      <c r="U33" s="26">
        <f>TRANSICAO!$U$33*CUSTOS!$T$3</f>
        <v>15.976900000000001</v>
      </c>
      <c r="V33" s="26">
        <f>TRANSICAO!$V$33*CUSTOS!$T$3</f>
        <v>16.331299999999999</v>
      </c>
      <c r="W33" s="26">
        <f>TRANSICAO!$W$33*CUSTOS!$T$3</f>
        <v>0</v>
      </c>
      <c r="X33" s="26">
        <f>TRANSICAO!$X$33*CUSTOS!$T$3</f>
        <v>0</v>
      </c>
      <c r="Y33" s="26">
        <f>TRANSICAO!$Y$33*CUSTOS!$T$3</f>
        <v>20.441800000000001</v>
      </c>
      <c r="Z33" s="26">
        <f>TRANSICAO!$Z$33*CUSTOS!$T$3</f>
        <v>0</v>
      </c>
      <c r="AA33" s="26">
        <f>TRANSICAO!$AA$33*CUSTOS!$T$3</f>
        <v>0</v>
      </c>
      <c r="AB33" s="26">
        <f>TRANSICAO!$AB$33*CUSTOS!$T$3</f>
        <v>0</v>
      </c>
      <c r="AC33" s="26">
        <f>TRANSICAO!$AC$33*CUSTOS!$T$3</f>
        <v>201.03659999999999</v>
      </c>
      <c r="AD33" s="26">
        <f>TRANSICAO!$AD$33*CUSTOS!$T$3</f>
        <v>0</v>
      </c>
      <c r="AE33" s="26">
        <v>0</v>
      </c>
      <c r="AF33" s="26">
        <v>0</v>
      </c>
      <c r="AG33" s="26"/>
      <c r="AH33" s="26">
        <f>(1 - CUSTOS!$M$28)*21.345</f>
        <v>21.344999999999999</v>
      </c>
      <c r="AI33" s="26">
        <f>(1 - CUSTOS!$M$28)*21.345</f>
        <v>21.344999999999999</v>
      </c>
      <c r="AJ33" s="26">
        <f ca="1">$N$64*(1-CUSTOS!$M$28)</f>
        <v>0</v>
      </c>
      <c r="AK33" s="26">
        <f t="shared" ca="1" si="0"/>
        <v>0</v>
      </c>
      <c r="AL33" s="26"/>
      <c r="AM33" s="26"/>
      <c r="AP33" s="26">
        <f>IF((1 - CUSTOS!$M$28)&lt;&gt;0,1/(1 - CUSTOS!$M$28),1)</f>
        <v>1</v>
      </c>
    </row>
    <row r="34" spans="1:42" ht="11.25" customHeight="1" x14ac:dyDescent="0.25">
      <c r="A34" s="131"/>
      <c r="B34" s="131" t="s">
        <v>37</v>
      </c>
      <c r="C34" s="131" t="s">
        <v>44</v>
      </c>
      <c r="D34" s="131" t="s">
        <v>92</v>
      </c>
      <c r="E34" s="131" t="s">
        <v>25</v>
      </c>
      <c r="F34" s="131" t="s">
        <v>25</v>
      </c>
      <c r="G34" s="44" t="s">
        <v>77</v>
      </c>
      <c r="H34" s="44" t="s">
        <v>76</v>
      </c>
      <c r="I34" s="44">
        <f>'MERCADO TUSD'!$U$31</f>
        <v>0</v>
      </c>
      <c r="J34" s="18"/>
      <c r="L34" s="26">
        <f>1*(1 - CUSTOS!$M$29)</f>
        <v>1</v>
      </c>
      <c r="M34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1.1394661924408793</v>
      </c>
      <c r="N34" s="26">
        <f ca="1">(+M34+O34+R34+U34+V34+W34+X34+Y34+Z34+AA34+AC34+AH34+AI34+AJ34+AK34)*CUSTOS!$M$5</f>
        <v>7.4374286619244089E-12</v>
      </c>
      <c r="O34" s="26">
        <f>1 - CUSTOS!$M$29</f>
        <v>1</v>
      </c>
      <c r="P34" s="26">
        <f>1 - CUSTOS!$M$29</f>
        <v>1</v>
      </c>
      <c r="Q34" s="26">
        <f>1*(1 - CUSTOS!$M$29)</f>
        <v>1</v>
      </c>
      <c r="R34" s="26">
        <f>1 - CUSTOS!$M$29</f>
        <v>1</v>
      </c>
      <c r="S34" s="26">
        <f>1 - CUSTOS!$M$29</f>
        <v>1</v>
      </c>
      <c r="T34" s="26"/>
      <c r="U34" s="26">
        <f>TRANSICAO!$U$34*CUSTOS!$T$3</f>
        <v>43.936399999999999</v>
      </c>
      <c r="V34" s="26">
        <f>TRANSICAO!$V$34*CUSTOS!$T$3</f>
        <v>44.910899999999998</v>
      </c>
      <c r="W34" s="26">
        <f>TRANSICAO!$W$34*CUSTOS!$T$3</f>
        <v>0</v>
      </c>
      <c r="X34" s="26">
        <f>TRANSICAO!$X$34*CUSTOS!$T$3</f>
        <v>0</v>
      </c>
      <c r="Y34" s="26">
        <f>TRANSICAO!$Y$34*CUSTOS!$T$3</f>
        <v>56.215000000000003</v>
      </c>
      <c r="Z34" s="26">
        <f>TRANSICAO!$Z$34*CUSTOS!$T$3</f>
        <v>0</v>
      </c>
      <c r="AA34" s="26">
        <f>TRANSICAO!$AA$34*CUSTOS!$T$3</f>
        <v>0</v>
      </c>
      <c r="AB34" s="26">
        <f>TRANSICAO!$AB$34*CUSTOS!$T$3</f>
        <v>0</v>
      </c>
      <c r="AC34" s="26">
        <f>TRANSICAO!$AC$34*CUSTOS!$T$3</f>
        <v>552.85109999999997</v>
      </c>
      <c r="AD34" s="26">
        <f>TRANSICAO!$AD$34*CUSTOS!$T$3</f>
        <v>0</v>
      </c>
      <c r="AE34" s="26">
        <v>0</v>
      </c>
      <c r="AF34" s="26">
        <v>0</v>
      </c>
      <c r="AG34" s="26"/>
      <c r="AH34" s="26">
        <f>(1 - CUSTOS!$M$29)*21.345</f>
        <v>21.344999999999999</v>
      </c>
      <c r="AI34" s="26">
        <f>(1 - CUSTOS!$M$29)*21.345</f>
        <v>21.344999999999999</v>
      </c>
      <c r="AJ34" s="26">
        <f ca="1">$N$64*(1-CUSTOS!$M$29)</f>
        <v>0</v>
      </c>
      <c r="AK34" s="26">
        <f t="shared" ca="1" si="0"/>
        <v>0</v>
      </c>
      <c r="AL34" s="26"/>
      <c r="AM34" s="26"/>
      <c r="AP34" s="26">
        <f>IF((1 - CUSTOS!$M$29)&lt;&gt;0,1/(1 - CUSTOS!$M$29),1)</f>
        <v>1</v>
      </c>
    </row>
    <row r="35" spans="1:42" ht="11.25" customHeight="1" x14ac:dyDescent="0.25">
      <c r="A35" s="131"/>
      <c r="B35" s="131"/>
      <c r="C35" s="131"/>
      <c r="D35" s="131"/>
      <c r="E35" s="131"/>
      <c r="F35" s="131"/>
      <c r="G35" s="44" t="s">
        <v>88</v>
      </c>
      <c r="H35" s="44" t="s">
        <v>76</v>
      </c>
      <c r="I35" s="44">
        <f>'MERCADO TUSD'!$U$32</f>
        <v>0</v>
      </c>
      <c r="J35" s="18"/>
      <c r="L35" s="26">
        <f>1*(1 - CUSTOS!$M$29)</f>
        <v>1</v>
      </c>
      <c r="M35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1.1394661924408793</v>
      </c>
      <c r="N35" s="26">
        <f ca="1">(+M35+O35+R35+U35+V35+W35+X35+Y35+Z35+AA35+AC35+AH35+AI35+AJ35+AK35)*CUSTOS!$M$5</f>
        <v>4.6457736619244091E-12</v>
      </c>
      <c r="O35" s="26">
        <f>1 - CUSTOS!$M$29</f>
        <v>1</v>
      </c>
      <c r="P35" s="26">
        <f>1 - CUSTOS!$M$29</f>
        <v>1</v>
      </c>
      <c r="Q35" s="26">
        <f>1*(1 - CUSTOS!$M$29)</f>
        <v>1</v>
      </c>
      <c r="R35" s="26">
        <f>1 - CUSTOS!$M$29</f>
        <v>1</v>
      </c>
      <c r="S35" s="26">
        <f>1 - CUSTOS!$M$29</f>
        <v>1</v>
      </c>
      <c r="T35" s="26"/>
      <c r="U35" s="26">
        <f>TRANSICAO!$U$35*CUSTOS!$T$3</f>
        <v>26.361899999999999</v>
      </c>
      <c r="V35" s="26">
        <f>TRANSICAO!$V$35*CUSTOS!$T$3</f>
        <v>26.946400000000001</v>
      </c>
      <c r="W35" s="26">
        <f>TRANSICAO!$W$35*CUSTOS!$T$3</f>
        <v>0</v>
      </c>
      <c r="X35" s="26">
        <f>TRANSICAO!$X$35*CUSTOS!$T$3</f>
        <v>0</v>
      </c>
      <c r="Y35" s="26">
        <f>TRANSICAO!$Y$35*CUSTOS!$T$3</f>
        <v>33.728999999999999</v>
      </c>
      <c r="Z35" s="26">
        <f>TRANSICAO!$Z$35*CUSTOS!$T$3</f>
        <v>0</v>
      </c>
      <c r="AA35" s="26">
        <f>TRANSICAO!$AA$35*CUSTOS!$T$3</f>
        <v>0</v>
      </c>
      <c r="AB35" s="26">
        <f>TRANSICAO!$AB$35*CUSTOS!$T$3</f>
        <v>0</v>
      </c>
      <c r="AC35" s="26">
        <f>TRANSICAO!$AC$35*CUSTOS!$T$3</f>
        <v>331.7106</v>
      </c>
      <c r="AD35" s="26">
        <f>TRANSICAO!$AD$35*CUSTOS!$T$3</f>
        <v>0</v>
      </c>
      <c r="AE35" s="26">
        <v>0</v>
      </c>
      <c r="AF35" s="26">
        <v>0</v>
      </c>
      <c r="AG35" s="26"/>
      <c r="AH35" s="26">
        <f>(1 - CUSTOS!$M$29)*21.345</f>
        <v>21.344999999999999</v>
      </c>
      <c r="AI35" s="26">
        <f>(1 - CUSTOS!$M$29)*21.345</f>
        <v>21.344999999999999</v>
      </c>
      <c r="AJ35" s="26">
        <f ca="1">$N$64*(1-CUSTOS!$M$29)</f>
        <v>0</v>
      </c>
      <c r="AK35" s="26">
        <f t="shared" ca="1" si="0"/>
        <v>0</v>
      </c>
      <c r="AL35" s="26"/>
      <c r="AM35" s="26"/>
      <c r="AP35" s="26">
        <f>IF((1 - CUSTOS!$M$29)&lt;&gt;0,1/(1 - CUSTOS!$M$29),1)</f>
        <v>1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44" t="s">
        <v>78</v>
      </c>
      <c r="H36" s="44" t="s">
        <v>76</v>
      </c>
      <c r="I36" s="44">
        <f>'MERCADO TUSD'!$U$33</f>
        <v>0</v>
      </c>
      <c r="J36" s="18"/>
      <c r="L36" s="26">
        <f>1*(1 - CUSTOS!$M$29)</f>
        <v>1</v>
      </c>
      <c r="M36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1.1394661924408793</v>
      </c>
      <c r="N36" s="26">
        <f ca="1">(+M36+O36+R36+U36+V36+W36+X36+Y36+Z36+AA36+AC36+AH36+AI36+AJ36+AK36)*CUSTOS!$M$5</f>
        <v>1.8541206619244089E-12</v>
      </c>
      <c r="O36" s="26">
        <f>1 - CUSTOS!$M$29</f>
        <v>1</v>
      </c>
      <c r="P36" s="26">
        <f>1 - CUSTOS!$M$29</f>
        <v>1</v>
      </c>
      <c r="Q36" s="26">
        <f>1*(1 - CUSTOS!$M$29)</f>
        <v>1</v>
      </c>
      <c r="R36" s="26">
        <f>1 - CUSTOS!$M$29</f>
        <v>1</v>
      </c>
      <c r="S36" s="26">
        <f>1 - CUSTOS!$M$29</f>
        <v>1</v>
      </c>
      <c r="T36" s="26"/>
      <c r="U36" s="26">
        <f>TRANSICAO!$U$36*CUSTOS!$T$3</f>
        <v>8.7873000000000001</v>
      </c>
      <c r="V36" s="26">
        <f>TRANSICAO!$V$36*CUSTOS!$T$3</f>
        <v>8.9821000000000009</v>
      </c>
      <c r="W36" s="26">
        <f>TRANSICAO!$W$36*CUSTOS!$T$3</f>
        <v>0</v>
      </c>
      <c r="X36" s="26">
        <f>TRANSICAO!$X$36*CUSTOS!$T$3</f>
        <v>0</v>
      </c>
      <c r="Y36" s="26">
        <f>TRANSICAO!$Y$36*CUSTOS!$T$3</f>
        <v>11.243</v>
      </c>
      <c r="Z36" s="26">
        <f>TRANSICAO!$Z$36*CUSTOS!$T$3</f>
        <v>0</v>
      </c>
      <c r="AA36" s="26">
        <f>TRANSICAO!$AA$36*CUSTOS!$T$3</f>
        <v>0</v>
      </c>
      <c r="AB36" s="26">
        <f>TRANSICAO!$AB$36*CUSTOS!$T$3</f>
        <v>0</v>
      </c>
      <c r="AC36" s="26">
        <f>TRANSICAO!$AC$36*CUSTOS!$T$3</f>
        <v>110.5702</v>
      </c>
      <c r="AD36" s="26">
        <f>TRANSICAO!$AD$36*CUSTOS!$T$3</f>
        <v>0</v>
      </c>
      <c r="AE36" s="26">
        <v>0</v>
      </c>
      <c r="AF36" s="26">
        <v>0</v>
      </c>
      <c r="AG36" s="26"/>
      <c r="AH36" s="26">
        <f>(1 - CUSTOS!$M$29)*21.345</f>
        <v>21.344999999999999</v>
      </c>
      <c r="AI36" s="26">
        <f>(1 - CUSTOS!$M$29)*21.345</f>
        <v>21.344999999999999</v>
      </c>
      <c r="AJ36" s="26">
        <f ca="1">$N$64*(1-CUSTOS!$M$29)</f>
        <v>0</v>
      </c>
      <c r="AK36" s="26">
        <f t="shared" ca="1" si="0"/>
        <v>0</v>
      </c>
      <c r="AL36" s="26"/>
      <c r="AM36" s="26"/>
      <c r="AP36" s="26">
        <f>IF((1 - CUSTOS!$M$29)&lt;&gt;0,1/(1 - CUSTOS!$M$29),1)</f>
        <v>1</v>
      </c>
    </row>
    <row r="37" spans="1:42" ht="11.25" customHeight="1" x14ac:dyDescent="0.25">
      <c r="A37" s="131"/>
      <c r="B37" s="45" t="s">
        <v>23</v>
      </c>
      <c r="C37" s="45" t="s">
        <v>44</v>
      </c>
      <c r="D37" s="45" t="s">
        <v>92</v>
      </c>
      <c r="E37" s="45" t="s">
        <v>25</v>
      </c>
      <c r="F37" s="45" t="s">
        <v>25</v>
      </c>
      <c r="G37" s="44" t="s">
        <v>82</v>
      </c>
      <c r="H37" s="44" t="s">
        <v>76</v>
      </c>
      <c r="I37" s="44">
        <f>'MERCADO TUSD'!$U$34</f>
        <v>0</v>
      </c>
      <c r="J37" s="18"/>
      <c r="L37" s="26">
        <f>1*(1 - CUSTOS!$M$29)</f>
        <v>1</v>
      </c>
      <c r="M37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1.1394661924408793</v>
      </c>
      <c r="N37" s="26">
        <f ca="1">(+M37+O37+R37+U37+V37+W37+X37+Y37+Z37+AA37+AC37+AH37+AI37+AJ37+AK37)*CUSTOS!$M$5</f>
        <v>2.9961606619244095E-12</v>
      </c>
      <c r="O37" s="26">
        <f>1 - CUSTOS!$M$29</f>
        <v>1</v>
      </c>
      <c r="P37" s="26">
        <f>1 - CUSTOS!$M$29</f>
        <v>1</v>
      </c>
      <c r="Q37" s="26">
        <f>1*(1 - CUSTOS!$M$29)</f>
        <v>1</v>
      </c>
      <c r="R37" s="26">
        <f>1 - CUSTOS!$M$29</f>
        <v>1</v>
      </c>
      <c r="S37" s="26">
        <f>1 - CUSTOS!$M$29</f>
        <v>1</v>
      </c>
      <c r="T37" s="26"/>
      <c r="U37" s="26">
        <f>TRANSICAO!$U$37*CUSTOS!$T$3</f>
        <v>15.976900000000001</v>
      </c>
      <c r="V37" s="26">
        <f>TRANSICAO!$V$37*CUSTOS!$T$3</f>
        <v>16.331299999999999</v>
      </c>
      <c r="W37" s="26">
        <f>TRANSICAO!$W$37*CUSTOS!$T$3</f>
        <v>0</v>
      </c>
      <c r="X37" s="26">
        <f>TRANSICAO!$X$37*CUSTOS!$T$3</f>
        <v>0</v>
      </c>
      <c r="Y37" s="26">
        <f>TRANSICAO!$Y$37*CUSTOS!$T$3</f>
        <v>20.441800000000001</v>
      </c>
      <c r="Z37" s="26">
        <f>TRANSICAO!$Z$37*CUSTOS!$T$3</f>
        <v>0</v>
      </c>
      <c r="AA37" s="26">
        <f>TRANSICAO!$AA$37*CUSTOS!$T$3</f>
        <v>0</v>
      </c>
      <c r="AB37" s="26">
        <f>TRANSICAO!$AB$37*CUSTOS!$T$3</f>
        <v>0</v>
      </c>
      <c r="AC37" s="26">
        <f>TRANSICAO!$AC$37*CUSTOS!$T$3</f>
        <v>201.03659999999999</v>
      </c>
      <c r="AD37" s="26">
        <f>TRANSICAO!$AD$37*CUSTOS!$T$3</f>
        <v>0</v>
      </c>
      <c r="AE37" s="26">
        <v>0</v>
      </c>
      <c r="AF37" s="26">
        <v>0</v>
      </c>
      <c r="AG37" s="26"/>
      <c r="AH37" s="26">
        <f>(1 - CUSTOS!$M$29)*21.345</f>
        <v>21.344999999999999</v>
      </c>
      <c r="AI37" s="26">
        <f>(1 - CUSTOS!$M$29)*21.345</f>
        <v>21.344999999999999</v>
      </c>
      <c r="AJ37" s="26">
        <f ca="1">$N$64*(1-CUSTOS!$M$29)</f>
        <v>0</v>
      </c>
      <c r="AK37" s="26">
        <f t="shared" ca="1" si="0"/>
        <v>0</v>
      </c>
      <c r="AL37" s="26"/>
      <c r="AM37" s="26"/>
      <c r="AP37" s="26">
        <f>IF((1 - CUSTOS!$M$29)&lt;&gt;0,1/(1 - CUSTOS!$M$29),1)</f>
        <v>1</v>
      </c>
    </row>
    <row r="38" spans="1:42" ht="11.25" customHeight="1" x14ac:dyDescent="0.25">
      <c r="A38" s="131"/>
      <c r="B38" s="131" t="s">
        <v>37</v>
      </c>
      <c r="C38" s="131" t="s">
        <v>44</v>
      </c>
      <c r="D38" s="131" t="s">
        <v>93</v>
      </c>
      <c r="E38" s="131" t="s">
        <v>25</v>
      </c>
      <c r="F38" s="131" t="s">
        <v>25</v>
      </c>
      <c r="G38" s="44" t="s">
        <v>77</v>
      </c>
      <c r="H38" s="44" t="s">
        <v>76</v>
      </c>
      <c r="I38" s="44">
        <f>'MERCADO TUSD'!$U$35</f>
        <v>0</v>
      </c>
      <c r="J38" s="18"/>
      <c r="L38" s="26">
        <f>1*(1 - CUSTOS!$M$30)</f>
        <v>1</v>
      </c>
      <c r="M38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1.1394661924408793</v>
      </c>
      <c r="N38" s="26">
        <f ca="1">(+M38+O38+R38+U38+V38+W38+X38+Y38+Z38+AA38+AC38+AH38+AI38+AJ38+AK38)*CUSTOS!$M$5</f>
        <v>7.4374286619244089E-12</v>
      </c>
      <c r="O38" s="26">
        <f>1 - CUSTOS!$M$30</f>
        <v>1</v>
      </c>
      <c r="P38" s="26">
        <f>1 - CUSTOS!$M$30</f>
        <v>1</v>
      </c>
      <c r="Q38" s="26">
        <f>1*(1 - CUSTOS!$M$30)</f>
        <v>1</v>
      </c>
      <c r="R38" s="26">
        <f>1 - CUSTOS!$M$30</f>
        <v>1</v>
      </c>
      <c r="S38" s="26">
        <f>1 - CUSTOS!$M$30</f>
        <v>1</v>
      </c>
      <c r="T38" s="26"/>
      <c r="U38" s="26">
        <f>TRANSICAO!$U$38*CUSTOS!$T$3</f>
        <v>43.936399999999999</v>
      </c>
      <c r="V38" s="26">
        <f>TRANSICAO!$V$38*CUSTOS!$T$3</f>
        <v>44.910899999999998</v>
      </c>
      <c r="W38" s="26">
        <f>TRANSICAO!$W$38*CUSTOS!$T$3</f>
        <v>0</v>
      </c>
      <c r="X38" s="26">
        <f>TRANSICAO!$X$38*CUSTOS!$T$3</f>
        <v>0</v>
      </c>
      <c r="Y38" s="26">
        <f>TRANSICAO!$Y$38*CUSTOS!$T$3</f>
        <v>56.215000000000003</v>
      </c>
      <c r="Z38" s="26">
        <f>TRANSICAO!$Z$38*CUSTOS!$T$3</f>
        <v>0</v>
      </c>
      <c r="AA38" s="26">
        <f>TRANSICAO!$AA$38*CUSTOS!$T$3</f>
        <v>0</v>
      </c>
      <c r="AB38" s="26">
        <f>TRANSICAO!$AB$38*CUSTOS!$T$3</f>
        <v>0</v>
      </c>
      <c r="AC38" s="26">
        <f>TRANSICAO!$AC$38*CUSTOS!$T$3</f>
        <v>552.85109999999997</v>
      </c>
      <c r="AD38" s="26">
        <f>TRANSICAO!$AD$38*CUSTOS!$T$3</f>
        <v>0</v>
      </c>
      <c r="AE38" s="26">
        <v>0</v>
      </c>
      <c r="AF38" s="26">
        <v>0</v>
      </c>
      <c r="AG38" s="26"/>
      <c r="AH38" s="26">
        <f>(1 - CUSTOS!$M$30)*21.345</f>
        <v>21.344999999999999</v>
      </c>
      <c r="AI38" s="26">
        <f>(1 - CUSTOS!$M$30)*21.345</f>
        <v>21.344999999999999</v>
      </c>
      <c r="AJ38" s="26">
        <f ca="1">$N$64*(1-CUSTOS!$M$30)</f>
        <v>0</v>
      </c>
      <c r="AK38" s="26">
        <f t="shared" ca="1" si="0"/>
        <v>0</v>
      </c>
      <c r="AL38" s="26"/>
      <c r="AM38" s="26"/>
      <c r="AP38" s="26">
        <f>IF((1 - CUSTOS!$M$30)&lt;&gt;0,1/(1 - CUSTOS!$M$30),1)</f>
        <v>1</v>
      </c>
    </row>
    <row r="39" spans="1:42" ht="11.25" customHeight="1" x14ac:dyDescent="0.25">
      <c r="A39" s="131"/>
      <c r="B39" s="131"/>
      <c r="C39" s="131"/>
      <c r="D39" s="131"/>
      <c r="E39" s="131"/>
      <c r="F39" s="131"/>
      <c r="G39" s="44" t="s">
        <v>88</v>
      </c>
      <c r="H39" s="44" t="s">
        <v>76</v>
      </c>
      <c r="I39" s="44">
        <f>'MERCADO TUSD'!$U$36</f>
        <v>0</v>
      </c>
      <c r="J39" s="18"/>
      <c r="L39" s="26">
        <f>1*(1 - CUSTOS!$M$30)</f>
        <v>1</v>
      </c>
      <c r="M39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1.1394661924408793</v>
      </c>
      <c r="N39" s="26">
        <f ca="1">(+M39+O39+R39+U39+V39+W39+X39+Y39+Z39+AA39+AC39+AH39+AI39+AJ39+AK39)*CUSTOS!$M$5</f>
        <v>4.6457736619244091E-12</v>
      </c>
      <c r="O39" s="26">
        <f>1 - CUSTOS!$M$30</f>
        <v>1</v>
      </c>
      <c r="P39" s="26">
        <f>1 - CUSTOS!$M$30</f>
        <v>1</v>
      </c>
      <c r="Q39" s="26">
        <f>1*(1 - CUSTOS!$M$30)</f>
        <v>1</v>
      </c>
      <c r="R39" s="26">
        <f>1 - CUSTOS!$M$30</f>
        <v>1</v>
      </c>
      <c r="S39" s="26">
        <f>1 - CUSTOS!$M$30</f>
        <v>1</v>
      </c>
      <c r="T39" s="26"/>
      <c r="U39" s="26">
        <f>TRANSICAO!$U$39*CUSTOS!$T$3</f>
        <v>26.361899999999999</v>
      </c>
      <c r="V39" s="26">
        <f>TRANSICAO!$V$39*CUSTOS!$T$3</f>
        <v>26.946400000000001</v>
      </c>
      <c r="W39" s="26">
        <f>TRANSICAO!$W$39*CUSTOS!$T$3</f>
        <v>0</v>
      </c>
      <c r="X39" s="26">
        <f>TRANSICAO!$X$39*CUSTOS!$T$3</f>
        <v>0</v>
      </c>
      <c r="Y39" s="26">
        <f>TRANSICAO!$Y$39*CUSTOS!$T$3</f>
        <v>33.728999999999999</v>
      </c>
      <c r="Z39" s="26">
        <f>TRANSICAO!$Z$39*CUSTOS!$T$3</f>
        <v>0</v>
      </c>
      <c r="AA39" s="26">
        <f>TRANSICAO!$AA$39*CUSTOS!$T$3</f>
        <v>0</v>
      </c>
      <c r="AB39" s="26">
        <f>TRANSICAO!$AB$39*CUSTOS!$T$3</f>
        <v>0</v>
      </c>
      <c r="AC39" s="26">
        <f>TRANSICAO!$AC$39*CUSTOS!$T$3</f>
        <v>331.7106</v>
      </c>
      <c r="AD39" s="26">
        <f>TRANSICAO!$AD$39*CUSTOS!$T$3</f>
        <v>0</v>
      </c>
      <c r="AE39" s="26">
        <v>0</v>
      </c>
      <c r="AF39" s="26">
        <v>0</v>
      </c>
      <c r="AG39" s="26"/>
      <c r="AH39" s="26">
        <f>(1 - CUSTOS!$M$30)*21.345</f>
        <v>21.344999999999999</v>
      </c>
      <c r="AI39" s="26">
        <f>(1 - CUSTOS!$M$30)*21.345</f>
        <v>21.344999999999999</v>
      </c>
      <c r="AJ39" s="26">
        <f ca="1">$N$64*(1-CUSTOS!$M$30)</f>
        <v>0</v>
      </c>
      <c r="AK39" s="26">
        <f t="shared" ca="1" si="0"/>
        <v>0</v>
      </c>
      <c r="AL39" s="26"/>
      <c r="AM39" s="26"/>
      <c r="AP39" s="26">
        <f>IF((1 - CUSTOS!$M$30)&lt;&gt;0,1/(1 - CUSTOS!$M$30),1)</f>
        <v>1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44" t="s">
        <v>78</v>
      </c>
      <c r="H40" s="44" t="s">
        <v>76</v>
      </c>
      <c r="I40" s="44">
        <f>'MERCADO TUSD'!$U$37</f>
        <v>0</v>
      </c>
      <c r="J40" s="18"/>
      <c r="L40" s="26">
        <f>1*(1 - CUSTOS!$M$30)</f>
        <v>1</v>
      </c>
      <c r="M40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1.1394661924408793</v>
      </c>
      <c r="N40" s="26">
        <f ca="1">(+M40+O40+R40+U40+V40+W40+X40+Y40+Z40+AA40+AC40+AH40+AI40+AJ40+AK40)*CUSTOS!$M$5</f>
        <v>1.8541206619244089E-12</v>
      </c>
      <c r="O40" s="26">
        <f>1 - CUSTOS!$M$30</f>
        <v>1</v>
      </c>
      <c r="P40" s="26">
        <f>1 - CUSTOS!$M$30</f>
        <v>1</v>
      </c>
      <c r="Q40" s="26">
        <f>1*(1 - CUSTOS!$M$30)</f>
        <v>1</v>
      </c>
      <c r="R40" s="26">
        <f>1 - CUSTOS!$M$30</f>
        <v>1</v>
      </c>
      <c r="S40" s="26">
        <f>1 - CUSTOS!$M$30</f>
        <v>1</v>
      </c>
      <c r="T40" s="26"/>
      <c r="U40" s="26">
        <f>TRANSICAO!$U$40*CUSTOS!$T$3</f>
        <v>8.7873000000000001</v>
      </c>
      <c r="V40" s="26">
        <f>TRANSICAO!$V$40*CUSTOS!$T$3</f>
        <v>8.9821000000000009</v>
      </c>
      <c r="W40" s="26">
        <f>TRANSICAO!$W$40*CUSTOS!$T$3</f>
        <v>0</v>
      </c>
      <c r="X40" s="26">
        <f>TRANSICAO!$X$40*CUSTOS!$T$3</f>
        <v>0</v>
      </c>
      <c r="Y40" s="26">
        <f>TRANSICAO!$Y$40*CUSTOS!$T$3</f>
        <v>11.243</v>
      </c>
      <c r="Z40" s="26">
        <f>TRANSICAO!$Z$40*CUSTOS!$T$3</f>
        <v>0</v>
      </c>
      <c r="AA40" s="26">
        <f>TRANSICAO!$AA$40*CUSTOS!$T$3</f>
        <v>0</v>
      </c>
      <c r="AB40" s="26">
        <f>TRANSICAO!$AB$40*CUSTOS!$T$3</f>
        <v>0</v>
      </c>
      <c r="AC40" s="26">
        <f>TRANSICAO!$AC$40*CUSTOS!$T$3</f>
        <v>110.5702</v>
      </c>
      <c r="AD40" s="26">
        <f>TRANSICAO!$AD$40*CUSTOS!$T$3</f>
        <v>0</v>
      </c>
      <c r="AE40" s="26">
        <v>0</v>
      </c>
      <c r="AF40" s="26">
        <v>0</v>
      </c>
      <c r="AG40" s="26"/>
      <c r="AH40" s="26">
        <f>(1 - CUSTOS!$M$30)*21.345</f>
        <v>21.344999999999999</v>
      </c>
      <c r="AI40" s="26">
        <f>(1 - CUSTOS!$M$30)*21.345</f>
        <v>21.344999999999999</v>
      </c>
      <c r="AJ40" s="26">
        <f ca="1">$N$64*(1-CUSTOS!$M$30)</f>
        <v>0</v>
      </c>
      <c r="AK40" s="26">
        <f t="shared" ca="1" si="0"/>
        <v>0</v>
      </c>
      <c r="AL40" s="26"/>
      <c r="AM40" s="26"/>
      <c r="AP40" s="26">
        <f>IF((1 - CUSTOS!$M$30)&lt;&gt;0,1/(1 - CUSTOS!$M$30),1)</f>
        <v>1</v>
      </c>
    </row>
    <row r="41" spans="1:42" ht="11.25" customHeight="1" x14ac:dyDescent="0.25">
      <c r="A41" s="131"/>
      <c r="B41" s="45" t="s">
        <v>23</v>
      </c>
      <c r="C41" s="45" t="s">
        <v>44</v>
      </c>
      <c r="D41" s="45" t="s">
        <v>93</v>
      </c>
      <c r="E41" s="45" t="s">
        <v>25</v>
      </c>
      <c r="F41" s="45" t="s">
        <v>25</v>
      </c>
      <c r="G41" s="44" t="s">
        <v>82</v>
      </c>
      <c r="H41" s="44" t="s">
        <v>76</v>
      </c>
      <c r="I41" s="44">
        <f>'MERCADO TUSD'!$U$38</f>
        <v>0</v>
      </c>
      <c r="J41" s="18"/>
      <c r="L41" s="26">
        <f>1*(1 - CUSTOS!$M$30)</f>
        <v>1</v>
      </c>
      <c r="M41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1.1394661924408793</v>
      </c>
      <c r="N41" s="26">
        <f ca="1">(+M41+O41+R41+U41+V41+W41+X41+Y41+Z41+AA41+AC41+AH41+AI41+AJ41+AK41)*CUSTOS!$M$5</f>
        <v>2.9961606619244095E-12</v>
      </c>
      <c r="O41" s="26">
        <f>1 - CUSTOS!$M$30</f>
        <v>1</v>
      </c>
      <c r="P41" s="26">
        <f>1 - CUSTOS!$M$30</f>
        <v>1</v>
      </c>
      <c r="Q41" s="26">
        <f>1*(1 - CUSTOS!$M$30)</f>
        <v>1</v>
      </c>
      <c r="R41" s="26">
        <f>1 - CUSTOS!$M$30</f>
        <v>1</v>
      </c>
      <c r="S41" s="26">
        <f>1 - CUSTOS!$M$30</f>
        <v>1</v>
      </c>
      <c r="T41" s="26"/>
      <c r="U41" s="26">
        <f>TRANSICAO!$U$41*CUSTOS!$T$3</f>
        <v>15.976900000000001</v>
      </c>
      <c r="V41" s="26">
        <f>TRANSICAO!$V$41*CUSTOS!$T$3</f>
        <v>16.331299999999999</v>
      </c>
      <c r="W41" s="26">
        <f>TRANSICAO!$W$41*CUSTOS!$T$3</f>
        <v>0</v>
      </c>
      <c r="X41" s="26">
        <f>TRANSICAO!$X$41*CUSTOS!$T$3</f>
        <v>0</v>
      </c>
      <c r="Y41" s="26">
        <f>TRANSICAO!$Y$41*CUSTOS!$T$3</f>
        <v>20.441800000000001</v>
      </c>
      <c r="Z41" s="26">
        <f>TRANSICAO!$Z$41*CUSTOS!$T$3</f>
        <v>0</v>
      </c>
      <c r="AA41" s="26">
        <f>TRANSICAO!$AA$41*CUSTOS!$T$3</f>
        <v>0</v>
      </c>
      <c r="AB41" s="26">
        <f>TRANSICAO!$AB$41*CUSTOS!$T$3</f>
        <v>0</v>
      </c>
      <c r="AC41" s="26">
        <f>TRANSICAO!$AC$41*CUSTOS!$T$3</f>
        <v>201.03659999999999</v>
      </c>
      <c r="AD41" s="26">
        <f>TRANSICAO!$AD$41*CUSTOS!$T$3</f>
        <v>0</v>
      </c>
      <c r="AE41" s="26">
        <v>0</v>
      </c>
      <c r="AF41" s="26">
        <v>0</v>
      </c>
      <c r="AG41" s="26"/>
      <c r="AH41" s="26">
        <f>(1 - CUSTOS!$M$30)*21.345</f>
        <v>21.344999999999999</v>
      </c>
      <c r="AI41" s="26">
        <f>(1 - CUSTOS!$M$30)*21.345</f>
        <v>21.344999999999999</v>
      </c>
      <c r="AJ41" s="26">
        <f ca="1">$N$64*(1-CUSTOS!$M$30)</f>
        <v>0</v>
      </c>
      <c r="AK41" s="26">
        <f t="shared" ca="1" si="0"/>
        <v>0</v>
      </c>
      <c r="AL41" s="26"/>
      <c r="AM41" s="26"/>
      <c r="AP41" s="26">
        <f>IF((1 - CUSTOS!$M$30)&lt;&gt;0,1/(1 - CUSTOS!$M$30),1)</f>
        <v>1</v>
      </c>
    </row>
    <row r="42" spans="1:42" ht="11.25" customHeight="1" x14ac:dyDescent="0.25">
      <c r="A42" s="131"/>
      <c r="B42" s="131" t="s">
        <v>91</v>
      </c>
      <c r="C42" s="131" t="s">
        <v>44</v>
      </c>
      <c r="D42" s="45" t="s">
        <v>25</v>
      </c>
      <c r="E42" s="45" t="s">
        <v>25</v>
      </c>
      <c r="F42" s="45" t="s">
        <v>25</v>
      </c>
      <c r="G42" s="44" t="s">
        <v>82</v>
      </c>
      <c r="H42" s="44" t="s">
        <v>76</v>
      </c>
      <c r="I42" s="44">
        <f>'MERCADO TUSD'!$U$39</f>
        <v>0</v>
      </c>
      <c r="J42" s="18"/>
      <c r="L42" s="26">
        <f>1*(1 - CUSTOS!$M$28)</f>
        <v>1</v>
      </c>
      <c r="M42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1.1394661924408793</v>
      </c>
      <c r="N42" s="26">
        <f ca="1">(+M42+O42+R42+U42+V42+W42+X42+Y42+Z42+AA42+AC42+AH42+AI42+AJ42+AK42)*CUSTOS!$M$5</f>
        <v>2.9961606619244095E-12</v>
      </c>
      <c r="O42" s="26">
        <f>1 - CUSTOS!$M$28</f>
        <v>1</v>
      </c>
      <c r="P42" s="26">
        <f>1 - CUSTOS!$M$28</f>
        <v>1</v>
      </c>
      <c r="Q42" s="26">
        <f>1*(1 - CUSTOS!$M$28)</f>
        <v>1</v>
      </c>
      <c r="R42" s="26">
        <f>1 - CUSTOS!$M$28</f>
        <v>1</v>
      </c>
      <c r="S42" s="26">
        <f>1 - CUSTOS!$M$28</f>
        <v>1</v>
      </c>
      <c r="T42" s="26"/>
      <c r="U42" s="26">
        <f>TRANSICAO!$U$42*CUSTOS!$T$3</f>
        <v>15.976900000000001</v>
      </c>
      <c r="V42" s="26">
        <f>TRANSICAO!$V$42*CUSTOS!$T$3</f>
        <v>16.331299999999999</v>
      </c>
      <c r="W42" s="26">
        <f>TRANSICAO!$W$42*CUSTOS!$T$3</f>
        <v>0</v>
      </c>
      <c r="X42" s="26">
        <f>TRANSICAO!$X$42*CUSTOS!$T$3</f>
        <v>0</v>
      </c>
      <c r="Y42" s="26">
        <f>TRANSICAO!$Y$42*CUSTOS!$T$3</f>
        <v>20.441800000000001</v>
      </c>
      <c r="Z42" s="26">
        <f>TRANSICAO!$Z$42*CUSTOS!$T$3</f>
        <v>0</v>
      </c>
      <c r="AA42" s="26">
        <f>TRANSICAO!$AA$42*CUSTOS!$T$3</f>
        <v>0</v>
      </c>
      <c r="AB42" s="26">
        <f>TRANSICAO!$AB$42*CUSTOS!$T$3</f>
        <v>0</v>
      </c>
      <c r="AC42" s="26">
        <f>TRANSICAO!$AC$42*CUSTOS!$T$3</f>
        <v>201.03659999999999</v>
      </c>
      <c r="AD42" s="26">
        <f>TRANSICAO!$AD$42*CUSTOS!$T$3</f>
        <v>0</v>
      </c>
      <c r="AE42" s="26">
        <v>0</v>
      </c>
      <c r="AF42" s="26">
        <v>0</v>
      </c>
      <c r="AG42" s="26"/>
      <c r="AH42" s="26">
        <f>(1 - CUSTOS!$M$28)*21.345</f>
        <v>21.344999999999999</v>
      </c>
      <c r="AI42" s="26">
        <f>(1 - CUSTOS!$M$28)*21.345</f>
        <v>21.344999999999999</v>
      </c>
      <c r="AJ42" s="26">
        <f ca="1">$N$64*(1-CUSTOS!$M$28)</f>
        <v>0</v>
      </c>
      <c r="AK42" s="26">
        <f t="shared" ca="1" si="0"/>
        <v>0</v>
      </c>
      <c r="AL42" s="26"/>
      <c r="AM42" s="26"/>
      <c r="AP42" s="26">
        <f>IF((1 - CUSTOS!$M$28)&lt;&gt;0,1/(1 - CUSTOS!$M$28),1)</f>
        <v>1</v>
      </c>
    </row>
    <row r="43" spans="1:42" ht="11.25" customHeight="1" x14ac:dyDescent="0.25">
      <c r="A43" s="131"/>
      <c r="B43" s="131"/>
      <c r="C43" s="131"/>
      <c r="D43" s="45" t="s">
        <v>92</v>
      </c>
      <c r="E43" s="45" t="s">
        <v>25</v>
      </c>
      <c r="F43" s="45" t="s">
        <v>25</v>
      </c>
      <c r="G43" s="44" t="s">
        <v>82</v>
      </c>
      <c r="H43" s="44" t="s">
        <v>76</v>
      </c>
      <c r="I43" s="44">
        <f>'MERCADO TUSD'!$U$40</f>
        <v>0</v>
      </c>
      <c r="J43" s="18"/>
      <c r="L43" s="26">
        <f>1*(1 - CUSTOS!$M$29)</f>
        <v>1</v>
      </c>
      <c r="M43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1.1394661924408793</v>
      </c>
      <c r="N43" s="26">
        <f ca="1">(+M43+O43+R43+U43+V43+W43+X43+Y43+Z43+AA43+AC43+AH43+AI43+AJ43+AK43)*CUSTOS!$M$5</f>
        <v>2.9961606619244095E-12</v>
      </c>
      <c r="O43" s="26">
        <f>1 - CUSTOS!$M$29</f>
        <v>1</v>
      </c>
      <c r="P43" s="26">
        <f>1 - CUSTOS!$M$29</f>
        <v>1</v>
      </c>
      <c r="Q43" s="26">
        <f>1*(1 - CUSTOS!$M$29)</f>
        <v>1</v>
      </c>
      <c r="R43" s="26">
        <f>1 - CUSTOS!$M$29</f>
        <v>1</v>
      </c>
      <c r="S43" s="26">
        <f>1 - CUSTOS!$M$29</f>
        <v>1</v>
      </c>
      <c r="T43" s="26"/>
      <c r="U43" s="26">
        <f>TRANSICAO!$U$43*CUSTOS!$T$3</f>
        <v>15.976900000000001</v>
      </c>
      <c r="V43" s="26">
        <f>TRANSICAO!$V$43*CUSTOS!$T$3</f>
        <v>16.331299999999999</v>
      </c>
      <c r="W43" s="26">
        <f>TRANSICAO!$W$43*CUSTOS!$T$3</f>
        <v>0</v>
      </c>
      <c r="X43" s="26">
        <f>TRANSICAO!$X$43*CUSTOS!$T$3</f>
        <v>0</v>
      </c>
      <c r="Y43" s="26">
        <f>TRANSICAO!$Y$43*CUSTOS!$T$3</f>
        <v>20.441800000000001</v>
      </c>
      <c r="Z43" s="26">
        <f>TRANSICAO!$Z$43*CUSTOS!$T$3</f>
        <v>0</v>
      </c>
      <c r="AA43" s="26">
        <f>TRANSICAO!$AA$43*CUSTOS!$T$3</f>
        <v>0</v>
      </c>
      <c r="AB43" s="26">
        <f>TRANSICAO!$AB$43*CUSTOS!$T$3</f>
        <v>0</v>
      </c>
      <c r="AC43" s="26">
        <f>TRANSICAO!$AC$43*CUSTOS!$T$3</f>
        <v>201.03659999999999</v>
      </c>
      <c r="AD43" s="26">
        <f>TRANSICAO!$AD$43*CUSTOS!$T$3</f>
        <v>0</v>
      </c>
      <c r="AE43" s="26">
        <v>0</v>
      </c>
      <c r="AF43" s="26">
        <v>0</v>
      </c>
      <c r="AG43" s="26"/>
      <c r="AH43" s="26">
        <f>(1 - CUSTOS!$M$29)*21.345</f>
        <v>21.344999999999999</v>
      </c>
      <c r="AI43" s="26">
        <f>(1 - CUSTOS!$M$29)*21.345</f>
        <v>21.344999999999999</v>
      </c>
      <c r="AJ43" s="26">
        <f ca="1">$N$64*(1-CUSTOS!$M$29)</f>
        <v>0</v>
      </c>
      <c r="AK43" s="26">
        <f t="shared" ca="1" si="0"/>
        <v>0</v>
      </c>
      <c r="AL43" s="26"/>
      <c r="AM43" s="26"/>
      <c r="AP43" s="26">
        <f>IF((1 - CUSTOS!$M$29)&lt;&gt;0,1/(1 - CUSTOS!$M$29),1)</f>
        <v>1</v>
      </c>
    </row>
    <row r="44" spans="1:42" ht="11.25" customHeight="1" x14ac:dyDescent="0.25">
      <c r="A44" s="131"/>
      <c r="B44" s="131"/>
      <c r="C44" s="131"/>
      <c r="D44" s="45" t="s">
        <v>93</v>
      </c>
      <c r="E44" s="45" t="s">
        <v>25</v>
      </c>
      <c r="F44" s="45" t="s">
        <v>25</v>
      </c>
      <c r="G44" s="44" t="s">
        <v>82</v>
      </c>
      <c r="H44" s="44" t="s">
        <v>76</v>
      </c>
      <c r="I44" s="44">
        <f>'MERCADO TUSD'!$U$41</f>
        <v>0</v>
      </c>
      <c r="J44" s="18"/>
      <c r="L44" s="26">
        <f>1*(1 - CUSTOS!$M$30)</f>
        <v>1</v>
      </c>
      <c r="M44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1.1394661924408793</v>
      </c>
      <c r="N44" s="26">
        <f ca="1">(+M44+O44+R44+U44+V44+W44+X44+Y44+Z44+AA44+AC44+AH44+AI44+AJ44+AK44)*CUSTOS!$M$5</f>
        <v>2.9961606619244095E-12</v>
      </c>
      <c r="O44" s="26">
        <f>1 - CUSTOS!$M$30</f>
        <v>1</v>
      </c>
      <c r="P44" s="26">
        <f>1 - CUSTOS!$M$30</f>
        <v>1</v>
      </c>
      <c r="Q44" s="26">
        <f>1*(1 - CUSTOS!$M$30)</f>
        <v>1</v>
      </c>
      <c r="R44" s="26">
        <f>1 - CUSTOS!$M$30</f>
        <v>1</v>
      </c>
      <c r="S44" s="26">
        <f>1 - CUSTOS!$M$30</f>
        <v>1</v>
      </c>
      <c r="T44" s="26"/>
      <c r="U44" s="26">
        <f>TRANSICAO!$U$44*CUSTOS!$T$3</f>
        <v>15.976900000000001</v>
      </c>
      <c r="V44" s="26">
        <f>TRANSICAO!$V$44*CUSTOS!$T$3</f>
        <v>16.331299999999999</v>
      </c>
      <c r="W44" s="26">
        <f>TRANSICAO!$W$44*CUSTOS!$T$3</f>
        <v>0</v>
      </c>
      <c r="X44" s="26">
        <f>TRANSICAO!$X$44*CUSTOS!$T$3</f>
        <v>0</v>
      </c>
      <c r="Y44" s="26">
        <f>TRANSICAO!$Y$44*CUSTOS!$T$3</f>
        <v>20.441800000000001</v>
      </c>
      <c r="Z44" s="26">
        <f>TRANSICAO!$Z$44*CUSTOS!$T$3</f>
        <v>0</v>
      </c>
      <c r="AA44" s="26">
        <f>TRANSICAO!$AA$44*CUSTOS!$T$3</f>
        <v>0</v>
      </c>
      <c r="AB44" s="26">
        <f>TRANSICAO!$AB$44*CUSTOS!$T$3</f>
        <v>0</v>
      </c>
      <c r="AC44" s="26">
        <f>TRANSICAO!$AC$44*CUSTOS!$T$3</f>
        <v>201.03659999999999</v>
      </c>
      <c r="AD44" s="26">
        <f>TRANSICAO!$AD$44*CUSTOS!$T$3</f>
        <v>0</v>
      </c>
      <c r="AE44" s="26">
        <v>0</v>
      </c>
      <c r="AF44" s="26">
        <v>0</v>
      </c>
      <c r="AG44" s="26"/>
      <c r="AH44" s="26">
        <f>(1 - CUSTOS!$M$30)*21.345</f>
        <v>21.344999999999999</v>
      </c>
      <c r="AI44" s="26">
        <f>(1 - CUSTOS!$M$30)*21.345</f>
        <v>21.344999999999999</v>
      </c>
      <c r="AJ44" s="26">
        <f ca="1">$N$64*(1-CUSTOS!$M$30)</f>
        <v>0</v>
      </c>
      <c r="AK44" s="26">
        <f t="shared" ca="1" si="0"/>
        <v>0</v>
      </c>
      <c r="AL44" s="26"/>
      <c r="AM44" s="26"/>
      <c r="AP44" s="26">
        <f>IF((1 - CUSTOS!$M$30)&lt;&gt;0,1/(1 - CUSTOS!$M$30),1)</f>
        <v>1</v>
      </c>
    </row>
    <row r="45" spans="1:42" ht="11.25" customHeight="1" x14ac:dyDescent="0.25">
      <c r="A45" s="131" t="s">
        <v>39</v>
      </c>
      <c r="B45" s="131" t="s">
        <v>37</v>
      </c>
      <c r="C45" s="131" t="s">
        <v>25</v>
      </c>
      <c r="D45" s="131" t="s">
        <v>25</v>
      </c>
      <c r="E45" s="131" t="s">
        <v>25</v>
      </c>
      <c r="F45" s="131" t="s">
        <v>25</v>
      </c>
      <c r="G45" s="44" t="s">
        <v>77</v>
      </c>
      <c r="H45" s="44" t="s">
        <v>76</v>
      </c>
      <c r="I45" s="44">
        <f>'MERCADO TUSD'!$U$42</f>
        <v>0.80500000000000171</v>
      </c>
      <c r="J45" s="18"/>
      <c r="L45" s="26">
        <f>1*(1 - CUSTOS!$M$31)</f>
        <v>1</v>
      </c>
      <c r="M45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1.1394661924408793</v>
      </c>
      <c r="N45" s="26">
        <f ca="1">(+M45+O45+R45+U45+V45+W45+X45+Y45+Z45+AA45+AC45+AH45+AI45+AJ45+AK45)*CUSTOS!$M$5</f>
        <v>8.3256796619244103E-12</v>
      </c>
      <c r="O45" s="26">
        <f>1 - CUSTOS!$M$31</f>
        <v>1</v>
      </c>
      <c r="P45" s="26">
        <f>1 - CUSTOS!$M$31</f>
        <v>1</v>
      </c>
      <c r="Q45" s="26">
        <f>1*(1 - CUSTOS!$M$31)</f>
        <v>1</v>
      </c>
      <c r="R45" s="26">
        <f>1 - CUSTOS!$M$31</f>
        <v>1</v>
      </c>
      <c r="S45" s="26">
        <f>1 - CUSTOS!$M$31</f>
        <v>1</v>
      </c>
      <c r="T45" s="26"/>
      <c r="U45" s="26">
        <f>TRANSICAO!$U$45*CUSTOS!$T$3</f>
        <v>49.528199999999998</v>
      </c>
      <c r="V45" s="26">
        <f>TRANSICAO!$V$45*CUSTOS!$T$3</f>
        <v>50.626800000000003</v>
      </c>
      <c r="W45" s="26">
        <f>TRANSICAO!$W$45*CUSTOS!$T$3</f>
        <v>0</v>
      </c>
      <c r="X45" s="26">
        <f>TRANSICAO!$X$45*CUSTOS!$T$3</f>
        <v>0</v>
      </c>
      <c r="Y45" s="26">
        <f>TRANSICAO!$Y$45*CUSTOS!$T$3</f>
        <v>63.369599999999998</v>
      </c>
      <c r="Z45" s="26">
        <f>TRANSICAO!$Z$45*CUSTOS!$T$3</f>
        <v>0</v>
      </c>
      <c r="AA45" s="26">
        <f>TRANSICAO!$AA$45*CUSTOS!$T$3</f>
        <v>0</v>
      </c>
      <c r="AB45" s="26">
        <f>TRANSICAO!$AB$45*CUSTOS!$T$3</f>
        <v>0</v>
      </c>
      <c r="AC45" s="26">
        <f>TRANSICAO!$AC$45*CUSTOS!$T$3</f>
        <v>623.21389999999997</v>
      </c>
      <c r="AD45" s="26">
        <f>TRANSICAO!$AD$45*CUSTOS!$T$3</f>
        <v>0</v>
      </c>
      <c r="AE45" s="26">
        <v>0</v>
      </c>
      <c r="AF45" s="26">
        <v>0</v>
      </c>
      <c r="AG45" s="26"/>
      <c r="AH45" s="26">
        <f>(1 - CUSTOS!$M$31)*21.345</f>
        <v>21.344999999999999</v>
      </c>
      <c r="AI45" s="26">
        <f>(1 - CUSTOS!$M$31)*21.345</f>
        <v>21.344999999999999</v>
      </c>
      <c r="AJ45" s="26">
        <f ca="1">$N$64*(1-CUSTOS!$M$31)</f>
        <v>0</v>
      </c>
      <c r="AK45" s="26">
        <f t="shared" ca="1" si="0"/>
        <v>0</v>
      </c>
      <c r="AL45" s="26"/>
      <c r="AM45" s="26"/>
      <c r="AP45" s="26">
        <f>IF((1 - CUSTOS!$M$31)&lt;&gt;0,1/(1 - CUSTOS!$M$31),1)</f>
        <v>1</v>
      </c>
    </row>
    <row r="46" spans="1:42" ht="11.25" customHeight="1" x14ac:dyDescent="0.25">
      <c r="A46" s="131"/>
      <c r="B46" s="131"/>
      <c r="C46" s="131"/>
      <c r="D46" s="131"/>
      <c r="E46" s="131"/>
      <c r="F46" s="131"/>
      <c r="G46" s="44" t="s">
        <v>88</v>
      </c>
      <c r="H46" s="44" t="s">
        <v>76</v>
      </c>
      <c r="I46" s="44">
        <f>'MERCADO TUSD'!$U$43</f>
        <v>1.23</v>
      </c>
      <c r="J46" s="18"/>
      <c r="L46" s="26">
        <f>1*(1 - CUSTOS!$M$31)</f>
        <v>1</v>
      </c>
      <c r="M46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1.1394661924408793</v>
      </c>
      <c r="N46" s="26">
        <f ca="1">(+M46+O46+R46+U46+V46+W46+X46+Y46+Z46+AA46+AC46+AH46+AI46+AJ46+AK46)*CUSTOS!$M$5</f>
        <v>5.1787236619244096E-12</v>
      </c>
      <c r="O46" s="26">
        <f>1 - CUSTOS!$M$31</f>
        <v>1</v>
      </c>
      <c r="P46" s="26">
        <f>1 - CUSTOS!$M$31</f>
        <v>1</v>
      </c>
      <c r="Q46" s="26">
        <f>1*(1 - CUSTOS!$M$31)</f>
        <v>1</v>
      </c>
      <c r="R46" s="26">
        <f>1 - CUSTOS!$M$31</f>
        <v>1</v>
      </c>
      <c r="S46" s="26">
        <f>1 - CUSTOS!$M$31</f>
        <v>1</v>
      </c>
      <c r="T46" s="26"/>
      <c r="U46" s="26">
        <f>TRANSICAO!$U$46*CUSTOS!$T$3</f>
        <v>29.716999999999999</v>
      </c>
      <c r="V46" s="26">
        <f>TRANSICAO!$V$46*CUSTOS!$T$3</f>
        <v>30.375900000000001</v>
      </c>
      <c r="W46" s="26">
        <f>TRANSICAO!$W$46*CUSTOS!$T$3</f>
        <v>0</v>
      </c>
      <c r="X46" s="26">
        <f>TRANSICAO!$X$46*CUSTOS!$T$3</f>
        <v>0</v>
      </c>
      <c r="Y46" s="26">
        <f>TRANSICAO!$Y$46*CUSTOS!$T$3</f>
        <v>38.021799999999999</v>
      </c>
      <c r="Z46" s="26">
        <f>TRANSICAO!$Z$46*CUSTOS!$T$3</f>
        <v>0</v>
      </c>
      <c r="AA46" s="26">
        <f>TRANSICAO!$AA$46*CUSTOS!$T$3</f>
        <v>0</v>
      </c>
      <c r="AB46" s="26">
        <f>TRANSICAO!$AB$46*CUSTOS!$T$3</f>
        <v>0</v>
      </c>
      <c r="AC46" s="26">
        <f>TRANSICAO!$AC$46*CUSTOS!$T$3</f>
        <v>373.9282</v>
      </c>
      <c r="AD46" s="26">
        <f>TRANSICAO!$AD$46*CUSTOS!$T$3</f>
        <v>0</v>
      </c>
      <c r="AE46" s="26">
        <v>0</v>
      </c>
      <c r="AF46" s="26">
        <v>0</v>
      </c>
      <c r="AG46" s="26"/>
      <c r="AH46" s="26">
        <f>(1 - CUSTOS!$M$31)*21.345</f>
        <v>21.344999999999999</v>
      </c>
      <c r="AI46" s="26">
        <f>(1 - CUSTOS!$M$31)*21.345</f>
        <v>21.344999999999999</v>
      </c>
      <c r="AJ46" s="26">
        <f ca="1">$N$64*(1-CUSTOS!$M$31)</f>
        <v>0</v>
      </c>
      <c r="AK46" s="26">
        <f t="shared" ca="1" si="0"/>
        <v>0</v>
      </c>
      <c r="AL46" s="26"/>
      <c r="AM46" s="26"/>
      <c r="AP46" s="26">
        <f>IF((1 - CUSTOS!$M$31)&lt;&gt;0,1/(1 - CUSTOS!$M$31),1)</f>
        <v>1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44" t="s">
        <v>78</v>
      </c>
      <c r="H47" s="44" t="s">
        <v>76</v>
      </c>
      <c r="I47" s="44">
        <f>'MERCADO TUSD'!$U$44</f>
        <v>18.96</v>
      </c>
      <c r="J47" s="18"/>
      <c r="L47" s="26">
        <f>1*(1 - CUSTOS!$M$31)</f>
        <v>1</v>
      </c>
      <c r="M47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1.1394661924408793</v>
      </c>
      <c r="N47" s="26">
        <f ca="1">(+M47+O47+R47+U47+V47+W47+X47+Y47+Z47+AA47+AC47+AH47+AI47+AJ47+AK47)*CUSTOS!$M$5</f>
        <v>2.0317686619244087E-12</v>
      </c>
      <c r="O47" s="26">
        <f>1 - CUSTOS!$M$31</f>
        <v>1</v>
      </c>
      <c r="P47" s="26">
        <f>1 - CUSTOS!$M$31</f>
        <v>1</v>
      </c>
      <c r="Q47" s="26">
        <f>1*(1 - CUSTOS!$M$31)</f>
        <v>1</v>
      </c>
      <c r="R47" s="26">
        <f>1 - CUSTOS!$M$31</f>
        <v>1</v>
      </c>
      <c r="S47" s="26">
        <f>1 - CUSTOS!$M$31</f>
        <v>1</v>
      </c>
      <c r="T47" s="26"/>
      <c r="U47" s="26">
        <f>TRANSICAO!$U$47*CUSTOS!$T$3</f>
        <v>9.9055999999999997</v>
      </c>
      <c r="V47" s="26">
        <f>TRANSICAO!$V$47*CUSTOS!$T$3</f>
        <v>10.1251</v>
      </c>
      <c r="W47" s="26">
        <f>TRANSICAO!$W$47*CUSTOS!$T$3</f>
        <v>0</v>
      </c>
      <c r="X47" s="26">
        <f>TRANSICAO!$X$47*CUSTOS!$T$3</f>
        <v>0</v>
      </c>
      <c r="Y47" s="26">
        <f>TRANSICAO!$Y$47*CUSTOS!$T$3</f>
        <v>12.673999999999999</v>
      </c>
      <c r="Z47" s="26">
        <f>TRANSICAO!$Z$47*CUSTOS!$T$3</f>
        <v>0</v>
      </c>
      <c r="AA47" s="26">
        <f>TRANSICAO!$AA$47*CUSTOS!$T$3</f>
        <v>0</v>
      </c>
      <c r="AB47" s="26">
        <f>TRANSICAO!$AB$47*CUSTOS!$T$3</f>
        <v>0</v>
      </c>
      <c r="AC47" s="26">
        <f>TRANSICAO!$AC$47*CUSTOS!$T$3</f>
        <v>124.6427</v>
      </c>
      <c r="AD47" s="26">
        <f>TRANSICAO!$AD$47*CUSTOS!$T$3</f>
        <v>0</v>
      </c>
      <c r="AE47" s="26">
        <v>0</v>
      </c>
      <c r="AF47" s="26">
        <v>0</v>
      </c>
      <c r="AG47" s="26"/>
      <c r="AH47" s="26">
        <f>(1 - CUSTOS!$M$31)*21.345</f>
        <v>21.344999999999999</v>
      </c>
      <c r="AI47" s="26">
        <f>(1 - CUSTOS!$M$31)*21.345</f>
        <v>21.344999999999999</v>
      </c>
      <c r="AJ47" s="26">
        <f ca="1">$N$64*(1-CUSTOS!$M$31)</f>
        <v>0</v>
      </c>
      <c r="AK47" s="26">
        <f t="shared" ca="1" si="0"/>
        <v>0</v>
      </c>
      <c r="AL47" s="26"/>
      <c r="AM47" s="26"/>
      <c r="AP47" s="26">
        <f>IF((1 - CUSTOS!$M$31)&lt;&gt;0,1/(1 - CUSTOS!$M$31),1)</f>
        <v>1</v>
      </c>
    </row>
    <row r="48" spans="1:42" ht="11.25" customHeight="1" x14ac:dyDescent="0.25">
      <c r="A48" s="131"/>
      <c r="B48" s="45" t="s">
        <v>23</v>
      </c>
      <c r="C48" s="45" t="s">
        <v>25</v>
      </c>
      <c r="D48" s="45" t="s">
        <v>25</v>
      </c>
      <c r="E48" s="45" t="s">
        <v>25</v>
      </c>
      <c r="F48" s="45" t="s">
        <v>25</v>
      </c>
      <c r="G48" s="44" t="s">
        <v>82</v>
      </c>
      <c r="H48" s="44" t="s">
        <v>76</v>
      </c>
      <c r="I48" s="44">
        <f>'MERCADO TUSD'!$U$45</f>
        <v>17010.552</v>
      </c>
      <c r="J48" s="18"/>
      <c r="L48" s="26">
        <f>1*(1 - CUSTOS!$M$31)</f>
        <v>1</v>
      </c>
      <c r="M48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1.1394661924408793</v>
      </c>
      <c r="N48" s="26">
        <f ca="1">(+M48+O48+R48+U48+V48+W48+X48+Y48+Z48+AA48+AC48+AH48+AI48+AJ48+AK48)*CUSTOS!$M$5</f>
        <v>2.9961606619244095E-12</v>
      </c>
      <c r="O48" s="26">
        <f>1 - CUSTOS!$M$31</f>
        <v>1</v>
      </c>
      <c r="P48" s="26">
        <f>1 - CUSTOS!$M$31</f>
        <v>1</v>
      </c>
      <c r="Q48" s="26">
        <f>1*(1 - CUSTOS!$M$31)</f>
        <v>1</v>
      </c>
      <c r="R48" s="26">
        <f>1 - CUSTOS!$M$31</f>
        <v>1</v>
      </c>
      <c r="S48" s="26">
        <f>1 - CUSTOS!$M$31</f>
        <v>1</v>
      </c>
      <c r="T48" s="26"/>
      <c r="U48" s="26">
        <f>TRANSICAO!$U$48*CUSTOS!$T$3</f>
        <v>15.976900000000001</v>
      </c>
      <c r="V48" s="26">
        <f>TRANSICAO!$V$48*CUSTOS!$T$3</f>
        <v>16.331299999999999</v>
      </c>
      <c r="W48" s="26">
        <f>TRANSICAO!$W$48*CUSTOS!$T$3</f>
        <v>0</v>
      </c>
      <c r="X48" s="26">
        <f>TRANSICAO!$X$48*CUSTOS!$T$3</f>
        <v>0</v>
      </c>
      <c r="Y48" s="26">
        <f>TRANSICAO!$Y$48*CUSTOS!$T$3</f>
        <v>20.441800000000001</v>
      </c>
      <c r="Z48" s="26">
        <f>TRANSICAO!$Z$48*CUSTOS!$T$3</f>
        <v>0</v>
      </c>
      <c r="AA48" s="26">
        <f>TRANSICAO!$AA$48*CUSTOS!$T$3</f>
        <v>0</v>
      </c>
      <c r="AB48" s="26">
        <f>TRANSICAO!$AB$48*CUSTOS!$T$3</f>
        <v>0</v>
      </c>
      <c r="AC48" s="26">
        <f>TRANSICAO!$AC$48*CUSTOS!$T$3</f>
        <v>201.03659999999999</v>
      </c>
      <c r="AD48" s="26">
        <f>TRANSICAO!$AD$48*CUSTOS!$T$3</f>
        <v>0</v>
      </c>
      <c r="AE48" s="26">
        <v>0</v>
      </c>
      <c r="AF48" s="26">
        <v>0</v>
      </c>
      <c r="AG48" s="26"/>
      <c r="AH48" s="26">
        <f>(1 - CUSTOS!$M$31)*21.345</f>
        <v>21.344999999999999</v>
      </c>
      <c r="AI48" s="26">
        <f>(1 - CUSTOS!$M$31)*21.345</f>
        <v>21.344999999999999</v>
      </c>
      <c r="AJ48" s="26">
        <f ca="1">$N$64*(1-CUSTOS!$M$31)</f>
        <v>0</v>
      </c>
      <c r="AK48" s="26">
        <f t="shared" ca="1" si="0"/>
        <v>0</v>
      </c>
      <c r="AL48" s="26"/>
      <c r="AM48" s="26"/>
      <c r="AP48" s="26">
        <f>IF((1 - CUSTOS!$M$31)&lt;&gt;0,1/(1 - CUSTOS!$M$31),1)</f>
        <v>1</v>
      </c>
    </row>
    <row r="49" spans="1:42" ht="11.25" customHeight="1" x14ac:dyDescent="0.25">
      <c r="A49" s="131"/>
      <c r="B49" s="45" t="s">
        <v>91</v>
      </c>
      <c r="C49" s="45" t="s">
        <v>25</v>
      </c>
      <c r="D49" s="45" t="s">
        <v>25</v>
      </c>
      <c r="E49" s="45" t="s">
        <v>25</v>
      </c>
      <c r="F49" s="45" t="s">
        <v>25</v>
      </c>
      <c r="G49" s="44" t="s">
        <v>82</v>
      </c>
      <c r="H49" s="44" t="s">
        <v>76</v>
      </c>
      <c r="I49" s="44">
        <f>'MERCADO TUSD'!$U$46</f>
        <v>0</v>
      </c>
      <c r="J49" s="18"/>
      <c r="L49" s="26">
        <f>1*(1 - CUSTOS!$M$31)</f>
        <v>1</v>
      </c>
      <c r="M49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1.1394661924408793</v>
      </c>
      <c r="N49" s="26">
        <f ca="1">(+M49+O49+R49+U49+V49+W49+X49+Y49+Z49+AA49+AC49+AH49+AI49+AJ49+AK49)*CUSTOS!$M$5</f>
        <v>2.9961606619244095E-12</v>
      </c>
      <c r="O49" s="26">
        <f>1 - CUSTOS!$M$31</f>
        <v>1</v>
      </c>
      <c r="P49" s="26">
        <f>1 - CUSTOS!$M$31</f>
        <v>1</v>
      </c>
      <c r="Q49" s="26">
        <f>1*(1 - CUSTOS!$M$31)</f>
        <v>1</v>
      </c>
      <c r="R49" s="26">
        <f>1 - CUSTOS!$M$31</f>
        <v>1</v>
      </c>
      <c r="S49" s="26">
        <f>1 - CUSTOS!$M$31</f>
        <v>1</v>
      </c>
      <c r="T49" s="26"/>
      <c r="U49" s="26">
        <f>TRANSICAO!$U$49*CUSTOS!$T$3</f>
        <v>15.976900000000001</v>
      </c>
      <c r="V49" s="26">
        <f>TRANSICAO!$V$49*CUSTOS!$T$3</f>
        <v>16.331299999999999</v>
      </c>
      <c r="W49" s="26">
        <f>TRANSICAO!$W$49*CUSTOS!$T$3</f>
        <v>0</v>
      </c>
      <c r="X49" s="26">
        <f>TRANSICAO!$X$49*CUSTOS!$T$3</f>
        <v>0</v>
      </c>
      <c r="Y49" s="26">
        <f>TRANSICAO!$Y$49*CUSTOS!$T$3</f>
        <v>20.441800000000001</v>
      </c>
      <c r="Z49" s="26">
        <f>TRANSICAO!$Z$49*CUSTOS!$T$3</f>
        <v>0</v>
      </c>
      <c r="AA49" s="26">
        <f>TRANSICAO!$AA$49*CUSTOS!$T$3</f>
        <v>0</v>
      </c>
      <c r="AB49" s="26">
        <f>TRANSICAO!$AB$49*CUSTOS!$T$3</f>
        <v>0</v>
      </c>
      <c r="AC49" s="26">
        <f>TRANSICAO!$AC$49*CUSTOS!$T$3</f>
        <v>201.03659999999999</v>
      </c>
      <c r="AD49" s="26">
        <f>TRANSICAO!$AD$49*CUSTOS!$T$3</f>
        <v>0</v>
      </c>
      <c r="AE49" s="26">
        <v>0</v>
      </c>
      <c r="AF49" s="26">
        <v>0</v>
      </c>
      <c r="AG49" s="26"/>
      <c r="AH49" s="26">
        <f>(1 - CUSTOS!$M$31)*21.345</f>
        <v>21.344999999999999</v>
      </c>
      <c r="AI49" s="26">
        <f>(1 - CUSTOS!$M$31)*21.345</f>
        <v>21.344999999999999</v>
      </c>
      <c r="AJ49" s="26">
        <f ca="1">$N$64*(1-CUSTOS!$M$31)</f>
        <v>0</v>
      </c>
      <c r="AK49" s="26">
        <f t="shared" ca="1" si="0"/>
        <v>0</v>
      </c>
      <c r="AL49" s="26"/>
      <c r="AM49" s="26"/>
      <c r="AP49" s="26">
        <f>IF((1 - CUSTOS!$M$31)&lt;&gt;0,1/(1 - CUSTOS!$M$31),1)</f>
        <v>1</v>
      </c>
    </row>
    <row r="50" spans="1:42" ht="11.25" customHeight="1" x14ac:dyDescent="0.25">
      <c r="A50" s="131" t="s">
        <v>46</v>
      </c>
      <c r="B50" s="131" t="s">
        <v>23</v>
      </c>
      <c r="C50" s="131" t="s">
        <v>47</v>
      </c>
      <c r="D50" s="45" t="s">
        <v>48</v>
      </c>
      <c r="E50" s="45" t="s">
        <v>25</v>
      </c>
      <c r="F50" s="45" t="s">
        <v>25</v>
      </c>
      <c r="G50" s="44" t="s">
        <v>82</v>
      </c>
      <c r="H50" s="44" t="s">
        <v>76</v>
      </c>
      <c r="I50" s="44">
        <f>'MERCADO TUSD'!$U$47</f>
        <v>3708.9960000000001</v>
      </c>
      <c r="J50" s="18"/>
      <c r="L50" s="26">
        <f>1*(1 - CUSTOS!$M$32)</f>
        <v>0.55000000000000004</v>
      </c>
      <c r="M50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0.62670640584248372</v>
      </c>
      <c r="N50" s="26">
        <f ca="1">(+M50+O50+R50+U50+V50+W50+X50+Y50+Z50+AA50+AC50+AH50+AI50+AJ50+AK50)*CUSTOS!$M$5</f>
        <v>1.6478883640584253E-12</v>
      </c>
      <c r="O50" s="26">
        <f>1 - CUSTOS!$M$32</f>
        <v>0.55000000000000004</v>
      </c>
      <c r="P50" s="26">
        <f>1 - CUSTOS!$M$32</f>
        <v>0.55000000000000004</v>
      </c>
      <c r="Q50" s="26">
        <f>1*(1 - CUSTOS!$M$32)</f>
        <v>0.55000000000000004</v>
      </c>
      <c r="R50" s="26">
        <f>1 - CUSTOS!$M$32</f>
        <v>0.55000000000000004</v>
      </c>
      <c r="S50" s="26">
        <f>1 - CUSTOS!$M$32</f>
        <v>0.55000000000000004</v>
      </c>
      <c r="T50" s="26"/>
      <c r="U50" s="26">
        <f>TRANSICAO!$U$50*CUSTOS!$T$3</f>
        <v>8.7872950000000003</v>
      </c>
      <c r="V50" s="26">
        <f>TRANSICAO!$V$50*CUSTOS!$T$3</f>
        <v>8.9822150000000001</v>
      </c>
      <c r="W50" s="26">
        <f>TRANSICAO!$W$50*CUSTOS!$T$3</f>
        <v>0</v>
      </c>
      <c r="X50" s="26">
        <f>TRANSICAO!$X$50*CUSTOS!$T$3</f>
        <v>0</v>
      </c>
      <c r="Y50" s="26">
        <f>TRANSICAO!$Y$50*CUSTOS!$T$3</f>
        <v>11.242990000000001</v>
      </c>
      <c r="Z50" s="26">
        <f>TRANSICAO!$Z$50*CUSTOS!$T$3</f>
        <v>0</v>
      </c>
      <c r="AA50" s="26">
        <f>TRANSICAO!$AA$50*CUSTOS!$T$3</f>
        <v>0</v>
      </c>
      <c r="AB50" s="26">
        <f>TRANSICAO!$AB$50*CUSTOS!$T$3</f>
        <v>0</v>
      </c>
      <c r="AC50" s="26">
        <f>TRANSICAO!$AC$50*CUSTOS!$T$3</f>
        <v>110.57013000000001</v>
      </c>
      <c r="AD50" s="26">
        <f>TRANSICAO!$AD$50*CUSTOS!$T$3</f>
        <v>0</v>
      </c>
      <c r="AE50" s="26">
        <v>0</v>
      </c>
      <c r="AF50" s="26">
        <v>0</v>
      </c>
      <c r="AG50" s="26"/>
      <c r="AH50" s="26">
        <f>(1 - CUSTOS!$M$32)*21.345</f>
        <v>11.739750000000001</v>
      </c>
      <c r="AI50" s="26">
        <f>(1 - CUSTOS!$M$32)*21.345</f>
        <v>11.739750000000001</v>
      </c>
      <c r="AJ50" s="26">
        <f ca="1">$N$64*(1-CUSTOS!$M$32)</f>
        <v>0</v>
      </c>
      <c r="AK50" s="26">
        <f t="shared" ca="1" si="0"/>
        <v>0</v>
      </c>
      <c r="AL50" s="26"/>
      <c r="AM50" s="26"/>
      <c r="AP50" s="26">
        <f>IF((1 - CUSTOS!$M$32)&lt;&gt;0,1/(1 - CUSTOS!$M$32),1)</f>
        <v>1.8181818181818181</v>
      </c>
    </row>
    <row r="51" spans="1:42" ht="11.25" customHeight="1" x14ac:dyDescent="0.25">
      <c r="A51" s="131"/>
      <c r="B51" s="131"/>
      <c r="C51" s="131"/>
      <c r="D51" s="44" t="s">
        <v>49</v>
      </c>
      <c r="E51" s="44" t="s">
        <v>25</v>
      </c>
      <c r="F51" s="44" t="s">
        <v>25</v>
      </c>
      <c r="G51" s="44" t="s">
        <v>82</v>
      </c>
      <c r="H51" s="44" t="s">
        <v>76</v>
      </c>
      <c r="I51" s="44">
        <f>'MERCADO TUSD'!$U$48</f>
        <v>336.95</v>
      </c>
      <c r="J51" s="18"/>
      <c r="L51" s="26">
        <f>1*(1 - CUSTOS!$M$33)</f>
        <v>0.6</v>
      </c>
      <c r="M51" s="2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0.68367971546452755</v>
      </c>
      <c r="N51" s="26">
        <f ca="1">(+M51+O51+R51+U51+V51+W51+X51+Y51+Z51+AA51+AC51+AH51+AI51+AJ51+AK51)*CUSTOS!$M$5</f>
        <v>1.7976963971546447E-12</v>
      </c>
      <c r="O51" s="26">
        <f>1 - CUSTOS!$M$33</f>
        <v>0.6</v>
      </c>
      <c r="P51" s="26">
        <f>1 - CUSTOS!$M$33</f>
        <v>0.6</v>
      </c>
      <c r="Q51" s="26">
        <f>1*(1 - CUSTOS!$M$33)</f>
        <v>0.6</v>
      </c>
      <c r="R51" s="26">
        <f>1 - CUSTOS!$M$33</f>
        <v>0.6</v>
      </c>
      <c r="S51" s="26">
        <f>1 - CUSTOS!$M$33</f>
        <v>0.6</v>
      </c>
      <c r="T51" s="26"/>
      <c r="U51" s="26">
        <f>TRANSICAO!$U$51*CUSTOS!$T$3</f>
        <v>9.5861400000000003</v>
      </c>
      <c r="V51" s="26">
        <f>TRANSICAO!$V$51*CUSTOS!$T$3</f>
        <v>9.7987799999999989</v>
      </c>
      <c r="W51" s="26">
        <f>TRANSICAO!$W$51*CUSTOS!$T$3</f>
        <v>0</v>
      </c>
      <c r="X51" s="26">
        <f>TRANSICAO!$X$51*CUSTOS!$T$3</f>
        <v>0</v>
      </c>
      <c r="Y51" s="26">
        <f>TRANSICAO!$Y$51*CUSTOS!$T$3</f>
        <v>12.265079999999999</v>
      </c>
      <c r="Z51" s="26">
        <f>TRANSICAO!$Z$51*CUSTOS!$T$3</f>
        <v>0</v>
      </c>
      <c r="AA51" s="26">
        <f>TRANSICAO!$AA$51*CUSTOS!$T$3</f>
        <v>0</v>
      </c>
      <c r="AB51" s="26">
        <f>TRANSICAO!$AB$51*CUSTOS!$T$3</f>
        <v>0</v>
      </c>
      <c r="AC51" s="26">
        <f>TRANSICAO!$AC$51*CUSTOS!$T$3</f>
        <v>120.62195999999999</v>
      </c>
      <c r="AD51" s="26">
        <f>TRANSICAO!$AD$51*CUSTOS!$T$3</f>
        <v>0</v>
      </c>
      <c r="AE51" s="26">
        <v>0</v>
      </c>
      <c r="AF51" s="26">
        <v>0</v>
      </c>
      <c r="AG51" s="26"/>
      <c r="AH51" s="26">
        <f>(1 - CUSTOS!$M$33)*21.345</f>
        <v>12.806999999999999</v>
      </c>
      <c r="AI51" s="26">
        <f>(1 - CUSTOS!$M$33)*21.345</f>
        <v>12.806999999999999</v>
      </c>
      <c r="AJ51" s="26">
        <f ca="1">$N$64*(1-CUSTOS!$M$33)</f>
        <v>0</v>
      </c>
      <c r="AK51" s="26">
        <f t="shared" ca="1" si="0"/>
        <v>0</v>
      </c>
      <c r="AL51" s="26"/>
      <c r="AM51" s="26"/>
      <c r="AP51" s="26">
        <f>IF((1 - CUSTOS!$M$33)&lt;&gt;0,1/(1 - CUSTOS!$M$33),1)</f>
        <v>1.6666666666666667</v>
      </c>
    </row>
    <row r="53" spans="1:42" ht="11.25" customHeight="1" x14ac:dyDescent="0.25">
      <c r="K53" s="40" t="s">
        <v>720</v>
      </c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</row>
    <row r="54" spans="1:42" ht="11.25" customHeight="1" x14ac:dyDescent="0.25">
      <c r="K54" s="40" t="s">
        <v>721</v>
      </c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</row>
    <row r="55" spans="1:42" ht="11.25" customHeight="1" x14ac:dyDescent="0.25">
      <c r="K55" s="40" t="s">
        <v>722</v>
      </c>
      <c r="L55" s="26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153573.43651999999</v>
      </c>
      <c r="M55" s="26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135439.62156276262</v>
      </c>
      <c r="N55" s="26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3.2342165453188739E-7</v>
      </c>
      <c r="O55" s="26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168443.0558</v>
      </c>
      <c r="P55" s="26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167331.44579999999</v>
      </c>
      <c r="Q55" s="26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153573.43651999999</v>
      </c>
      <c r="R55" s="26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167331.44579999999</v>
      </c>
      <c r="S55" s="26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168443.0558</v>
      </c>
      <c r="T55" s="26"/>
      <c r="U55" s="26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2864526.7354709203</v>
      </c>
      <c r="V55" s="26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2933335.2320252401</v>
      </c>
      <c r="W55" s="26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0</v>
      </c>
      <c r="X55" s="26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26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3665014.7192834397</v>
      </c>
      <c r="Z55" s="26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26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26"/>
      <c r="AC55" s="26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23892946.460370131</v>
      </c>
      <c r="AD55" s="26"/>
      <c r="AE55" s="26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26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26"/>
      <c r="AH55" s="26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2570737.6923881993</v>
      </c>
      <c r="AI55" s="26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2570737.6923881993</v>
      </c>
      <c r="AJ55" s="26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0</v>
      </c>
      <c r="AK55" s="26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0</v>
      </c>
      <c r="AL55" s="26"/>
      <c r="AM55" s="26"/>
    </row>
    <row r="56" spans="1:42" ht="11.25" customHeight="1" x14ac:dyDescent="0.25">
      <c r="K56" s="40" t="s">
        <v>658</v>
      </c>
      <c r="L56" s="26">
        <f>CUSTOS!$D$2</f>
        <v>0</v>
      </c>
      <c r="M56" s="26">
        <f>CUSTOS!$D$3</f>
        <v>137495.02281363407</v>
      </c>
      <c r="N56" s="26">
        <f>CUSTOS!$D$4</f>
        <v>0</v>
      </c>
      <c r="O56" s="26">
        <f>CUSTOS!$D$5</f>
        <v>0</v>
      </c>
      <c r="P56" s="26">
        <f>CUSTOS!$D$6</f>
        <v>0</v>
      </c>
      <c r="Q56" s="26">
        <f>CUSTOS!$D$7</f>
        <v>13883474.528079998</v>
      </c>
      <c r="R56" s="26">
        <f>CUSTOS!$D$8</f>
        <v>2389881.4216200002</v>
      </c>
      <c r="S56" s="26">
        <f>CUSTOS!$D$9</f>
        <v>0</v>
      </c>
      <c r="T56" s="26">
        <f>CUSTOS!$D$10</f>
        <v>16410850.972513633</v>
      </c>
      <c r="U56" s="26">
        <f>CUSTOS!$D$11</f>
        <v>2865872</v>
      </c>
      <c r="V56" s="26">
        <f>IF(SUM(V53:V55)&lt;&gt;0,CUSTOS!$D$12+CUSTOS!$D$16+CUSTOS!$D$17-'TR TUSD'!$Z$54-'TR TUSD'!$AA$54,0)</f>
        <v>2266000.7999999998</v>
      </c>
      <c r="W56" s="26">
        <f>CUSTOS!$D$13</f>
        <v>0</v>
      </c>
      <c r="X56" s="26">
        <f>CUSTOS!$D$14</f>
        <v>0</v>
      </c>
      <c r="Y56" s="26">
        <f>IF(SUM(V53:V55)=0,CUSTOS!$D$15+CUSTOS!$D$16+CUSTOS!$D$17-'TR TUSD'!$Z$54-'TR TUSD'!$AA$54,CUSTOS!$D$15)</f>
        <v>3624914.5317399995</v>
      </c>
      <c r="Z56" s="26">
        <f>Z54</f>
        <v>0</v>
      </c>
      <c r="AA56" s="26">
        <f>AA54</f>
        <v>0</v>
      </c>
      <c r="AB56" s="26">
        <f>CUSTOS!$D$18</f>
        <v>8756787.3317399994</v>
      </c>
      <c r="AC56" s="26">
        <f>CUSTOS!$D$19</f>
        <v>27172167.598823659</v>
      </c>
      <c r="AD56" s="26">
        <f>CUSTOS!$D$20</f>
        <v>27172167.598823659</v>
      </c>
      <c r="AE56" s="26">
        <f>CUSTOS!$D$21</f>
        <v>0</v>
      </c>
      <c r="AF56" s="26">
        <f>CUSTOS!$D$22</f>
        <v>0</v>
      </c>
      <c r="AG56" s="26">
        <f>CUSTOS!$D$23</f>
        <v>0</v>
      </c>
      <c r="AH56" s="26">
        <f>CUSTOS!$D$24</f>
        <v>1798253.1148419045</v>
      </c>
      <c r="AI56" s="26">
        <f>CUSTOS!$D$25</f>
        <v>13772.865593633205</v>
      </c>
      <c r="AJ56" s="26">
        <f>CUSTOS!$D$26</f>
        <v>0</v>
      </c>
      <c r="AK56" s="26">
        <f>CUSTOS!$D$27</f>
        <v>0</v>
      </c>
      <c r="AL56" s="26">
        <f>CUSTOS!$D$28</f>
        <v>1812025.9804355376</v>
      </c>
      <c r="AM56" s="26">
        <f>CUSTOS!$D$29</f>
        <v>54151831.883512825</v>
      </c>
    </row>
    <row r="57" spans="1:42" ht="11.25" customHeight="1" x14ac:dyDescent="0.25">
      <c r="K57" s="40" t="s">
        <v>659</v>
      </c>
      <c r="L57" s="26">
        <f>CUSTOS!$E$2</f>
        <v>0</v>
      </c>
      <c r="M57" s="26">
        <f>CUSTOS!$E$3</f>
        <v>2351.5564917225506</v>
      </c>
      <c r="N57" s="26">
        <f>CUSTOS!$E$4</f>
        <v>0</v>
      </c>
      <c r="O57" s="26">
        <f>CUSTOS!$E$5</f>
        <v>0</v>
      </c>
      <c r="P57" s="26">
        <f>CUSTOS!$E$6</f>
        <v>0</v>
      </c>
      <c r="Q57" s="26">
        <f>CUSTOS!$E$7</f>
        <v>285752.56803565449</v>
      </c>
      <c r="R57" s="26">
        <f>CUSTOS!$E$8</f>
        <v>50072.856508614503</v>
      </c>
      <c r="S57" s="26">
        <f>CUSTOS!$E$9</f>
        <v>0</v>
      </c>
      <c r="T57" s="26">
        <f>CUSTOS!$E$10</f>
        <v>338176.98103599151</v>
      </c>
      <c r="U57" s="26">
        <f>CUSTOS!$E$11</f>
        <v>-264180.63454462652</v>
      </c>
      <c r="V57" s="26">
        <f>CUSTOS!$E$12</f>
        <v>-208883.55419315005</v>
      </c>
      <c r="W57" s="26">
        <f>CUSTOS!$E$13</f>
        <v>0</v>
      </c>
      <c r="X57" s="26">
        <f>CUSTOS!$E$14</f>
        <v>0</v>
      </c>
      <c r="Y57" s="26">
        <f>CUSTOS!$E$15</f>
        <v>107304.24743100881</v>
      </c>
      <c r="Z57" s="26">
        <f>CUSTOS!$E$16</f>
        <v>0</v>
      </c>
      <c r="AA57" s="26">
        <f>CUSTOS!$E$17</f>
        <v>0</v>
      </c>
      <c r="AB57" s="26">
        <f>CUSTOS!$E$18</f>
        <v>-365759.94130676775</v>
      </c>
      <c r="AC57" s="26">
        <f>CUSTOS!$E$19</f>
        <v>-9615460.4931933079</v>
      </c>
      <c r="AD57" s="26">
        <f>CUSTOS!$E$20</f>
        <v>-9615460.4931933079</v>
      </c>
      <c r="AE57" s="26">
        <f>CUSTOS!$E$21</f>
        <v>0</v>
      </c>
      <c r="AF57" s="26">
        <f>CUSTOS!$E$22</f>
        <v>0</v>
      </c>
      <c r="AG57" s="26">
        <f>CUSTOS!$E$23</f>
        <v>0</v>
      </c>
      <c r="AH57" s="26">
        <f>CUSTOS!$E$24</f>
        <v>302956.989624632</v>
      </c>
      <c r="AI57" s="26">
        <f>CUSTOS!$E$25</f>
        <v>2320.3551626371705</v>
      </c>
      <c r="AJ57" s="26">
        <f>CUSTOS!$E$26</f>
        <v>0</v>
      </c>
      <c r="AK57" s="26">
        <f>CUSTOS!$E$27</f>
        <v>0</v>
      </c>
      <c r="AL57" s="26">
        <f>CUSTOS!$E$28</f>
        <v>305277.34478726919</v>
      </c>
      <c r="AM57" s="26">
        <f>CUSTOS!$E$29</f>
        <v>-9337766.1086768135</v>
      </c>
    </row>
    <row r="58" spans="1:42" ht="11.25" customHeight="1" x14ac:dyDescent="0.25">
      <c r="K58" s="40" t="s">
        <v>660</v>
      </c>
      <c r="L58" s="26">
        <f>CUSTOS!$F$2</f>
        <v>0</v>
      </c>
      <c r="M58" s="26">
        <f>CUSTOS!$F$3</f>
        <v>0</v>
      </c>
      <c r="N58" s="26">
        <f>CUSTOS!$F$4</f>
        <v>0</v>
      </c>
      <c r="O58" s="26">
        <f>CUSTOS!$F$5</f>
        <v>0</v>
      </c>
      <c r="P58" s="26">
        <f>CUSTOS!$F$6</f>
        <v>0</v>
      </c>
      <c r="Q58" s="26">
        <f>CUSTOS!$F$7</f>
        <v>0</v>
      </c>
      <c r="R58" s="26">
        <f>CUSTOS!$F$8</f>
        <v>0</v>
      </c>
      <c r="S58" s="26">
        <f>CUSTOS!$F$9</f>
        <v>0</v>
      </c>
      <c r="T58" s="26">
        <f>CUSTOS!$F$10</f>
        <v>0</v>
      </c>
      <c r="U58" s="26">
        <f>CUSTOS!$F$11</f>
        <v>0</v>
      </c>
      <c r="V58" s="26">
        <f>CUSTOS!$F$12</f>
        <v>0</v>
      </c>
      <c r="W58" s="26">
        <f>CUSTOS!$F$13</f>
        <v>0</v>
      </c>
      <c r="X58" s="26">
        <f>CUSTOS!$F$14</f>
        <v>0</v>
      </c>
      <c r="Y58" s="26">
        <f>CUSTOS!$F$15</f>
        <v>0</v>
      </c>
      <c r="Z58" s="26">
        <f>CUSTOS!$F$16</f>
        <v>0</v>
      </c>
      <c r="AA58" s="26">
        <f>CUSTOS!$F$17</f>
        <v>0</v>
      </c>
      <c r="AB58" s="26">
        <f>CUSTOS!$F$18</f>
        <v>0</v>
      </c>
      <c r="AC58" s="26">
        <f>CUSTOS!$F$19</f>
        <v>0</v>
      </c>
      <c r="AD58" s="26">
        <f>CUSTOS!$F$20</f>
        <v>0</v>
      </c>
      <c r="AE58" s="26">
        <f>CUSTOS!$F$21</f>
        <v>0</v>
      </c>
      <c r="AF58" s="26">
        <f>CUSTOS!$F$22</f>
        <v>0</v>
      </c>
      <c r="AG58" s="26">
        <f>CUSTOS!$F$23</f>
        <v>0</v>
      </c>
      <c r="AH58" s="26">
        <f>CUSTOS!$F$24</f>
        <v>0</v>
      </c>
      <c r="AI58" s="26">
        <f>CUSTOS!$F$25</f>
        <v>0</v>
      </c>
      <c r="AJ58" s="26">
        <f>CUSTOS!$F$26</f>
        <v>0</v>
      </c>
      <c r="AK58" s="26">
        <f>CUSTOS!$F$27</f>
        <v>0</v>
      </c>
      <c r="AL58" s="26">
        <f>CUSTOS!$F$28</f>
        <v>0</v>
      </c>
      <c r="AM58" s="26">
        <f>CUSTOS!$F$29</f>
        <v>0</v>
      </c>
    </row>
    <row r="59" spans="1:42" ht="11.25" customHeight="1" x14ac:dyDescent="0.25">
      <c r="K59" s="40" t="s">
        <v>723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/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/>
      <c r="AC59" s="26">
        <v>0</v>
      </c>
      <c r="AD59" s="26"/>
      <c r="AE59" s="26">
        <v>0</v>
      </c>
      <c r="AF59" s="26">
        <v>0</v>
      </c>
      <c r="AG59" s="26"/>
      <c r="AH59" s="26">
        <v>0</v>
      </c>
      <c r="AI59" s="26">
        <v>0</v>
      </c>
      <c r="AJ59" s="26">
        <v>0</v>
      </c>
      <c r="AK59" s="26">
        <v>0</v>
      </c>
      <c r="AL59" s="26"/>
      <c r="AM59" s="26"/>
    </row>
    <row r="60" spans="1:42" ht="11.25" customHeight="1" x14ac:dyDescent="0.25">
      <c r="K60" s="40" t="s">
        <v>724</v>
      </c>
      <c r="L60" s="26">
        <f t="shared" ref="L60:S60" si="1">IF((L55+L53)&lt;&gt;0,(L56-L54-L59)/(L55+L53),0)</f>
        <v>0</v>
      </c>
      <c r="M60" s="26">
        <f t="shared" si="1"/>
        <v>1.0151757752063637</v>
      </c>
      <c r="N60" s="26">
        <f t="shared" ca="1" si="1"/>
        <v>0</v>
      </c>
      <c r="O60" s="26">
        <f t="shared" si="1"/>
        <v>0</v>
      </c>
      <c r="P60" s="26">
        <f t="shared" si="1"/>
        <v>0</v>
      </c>
      <c r="Q60" s="26">
        <f t="shared" si="1"/>
        <v>90.402838164476066</v>
      </c>
      <c r="R60" s="26">
        <f t="shared" si="1"/>
        <v>14.282320995878232</v>
      </c>
      <c r="S60" s="26">
        <f t="shared" si="1"/>
        <v>0</v>
      </c>
      <c r="T60" s="26"/>
      <c r="U60" s="26">
        <f>IF(U55&lt;&gt;0,(U56-U54-U53-U59)/U55,0)</f>
        <v>1.0004696288962576</v>
      </c>
      <c r="V60" s="26">
        <f>IF(V55&lt;&gt;0,(V56-V54-V53-V59)/V55,0)</f>
        <v>0.77249977270259096</v>
      </c>
      <c r="W60" s="26">
        <f>IF(W55&lt;&gt;0,(W56-W54-W53-W59)/W55,0)</f>
        <v>0</v>
      </c>
      <c r="X60" s="26">
        <f>IF(X55&lt;&gt;0,(X56-X54-X53-X59)/X55,0)</f>
        <v>0</v>
      </c>
      <c r="Y60" s="26">
        <f>IF(Y55&lt;&gt;0,(Y56-Y54-Y53-Y59)/Y55,0)</f>
        <v>0.98905865579953789</v>
      </c>
      <c r="Z60" s="26"/>
      <c r="AA60" s="26"/>
      <c r="AB60" s="26"/>
      <c r="AC60" s="26">
        <f>IF(AC55&lt;&gt;0,(AC56-AC54-AC53-AC59)/AC55,0)</f>
        <v>1.1372464105208868</v>
      </c>
      <c r="AD60" s="26"/>
      <c r="AE60" s="26">
        <f>IF((AE55+AE53)&lt;&gt;0,(AE56-AE54-AE59)/(AE55+AE53),0)</f>
        <v>0</v>
      </c>
      <c r="AF60" s="26">
        <f>IF((AF55+AF53)&lt;&gt;0,(AF56-AF54-AF59)/(AF55+AF53),0)</f>
        <v>0</v>
      </c>
      <c r="AG60" s="26"/>
      <c r="AH60" s="26">
        <f>IF(AH55&lt;&gt;0,(AH56-AH54-AH53-AH59)/AH55,0)</f>
        <v>0.69950859637154916</v>
      </c>
      <c r="AI60" s="26">
        <f>IF(AI55&lt;&gt;0,(AI56-AI54-AI53-AI59)/AI55,0)</f>
        <v>5.3575538392788332E-3</v>
      </c>
      <c r="AJ60" s="26">
        <f ca="1">IF((AJ55+AJ53)&lt;&gt;0,(AJ56-AJ54-AJ59)/(AJ55+AJ53),0)</f>
        <v>0</v>
      </c>
      <c r="AK60" s="26">
        <f ca="1">IF((AK55+AK53)&lt;&gt;0,(AK56-AK54-AK59)/(AK55+AK53),0)</f>
        <v>0</v>
      </c>
      <c r="AL60" s="26"/>
      <c r="AM60" s="26"/>
    </row>
    <row r="62" spans="1:42" ht="11.25" customHeight="1" x14ac:dyDescent="0.25">
      <c r="K62" s="49" t="s">
        <v>1229</v>
      </c>
      <c r="L62" s="49" t="s">
        <v>1230</v>
      </c>
      <c r="M62" s="49" t="s">
        <v>1231</v>
      </c>
      <c r="N62" s="49" t="s">
        <v>1232</v>
      </c>
      <c r="O62" s="49" t="s">
        <v>1233</v>
      </c>
      <c r="P62" s="49" t="s">
        <v>1234</v>
      </c>
    </row>
    <row r="63" spans="1:42" ht="11.25" customHeight="1" x14ac:dyDescent="0.25">
      <c r="K63" s="44" t="s">
        <v>33</v>
      </c>
      <c r="L63" s="44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21426016.076492161</v>
      </c>
      <c r="M63" s="44">
        <f>+'TUSD BE'!$I$7+'TUSD BE'!$I$8+'TUSD BE'!$I$11+'TUSD BE'!$I$12+'TUSD BE'!$I$13+'TUSD BE'!$I$14</f>
        <v>85987.55799999999</v>
      </c>
      <c r="N63" s="44">
        <f ca="1">IF(AND($L$70&lt;&gt;0,M63&lt;&gt;0),(L63/$L$70*$AJ$56)/M63,0)</f>
        <v>0</v>
      </c>
      <c r="O63" s="44"/>
      <c r="P63" s="44"/>
    </row>
    <row r="64" spans="1:42" ht="11.25" customHeight="1" x14ac:dyDescent="0.25">
      <c r="K64" s="44" t="s">
        <v>85</v>
      </c>
      <c r="L64" s="44">
        <f ca="1">+$L$65+$L$66+$L$67+$L$68+$L$69</f>
        <v>32725815.807020493</v>
      </c>
      <c r="M64" s="44">
        <f>+$M$65+$M$66+$M$67+$M$68+$M$69</f>
        <v>84259.326000000001</v>
      </c>
      <c r="N64" s="44">
        <f ca="1">IF(AND($L$70&lt;&gt;0,M64&lt;&gt;0),(L64/$L$70*$AJ$56)/M64,0)</f>
        <v>0</v>
      </c>
      <c r="O64" s="44"/>
      <c r="P64" s="44"/>
    </row>
    <row r="65" spans="11:16" ht="11.25" customHeight="1" x14ac:dyDescent="0.25">
      <c r="K65" s="44" t="s">
        <v>85</v>
      </c>
      <c r="L65" s="44"/>
      <c r="M65" s="44"/>
      <c r="N65" s="44">
        <f ca="1">IF(AND($L$70&lt;&gt;0,M65&lt;&gt;0),(L65/$L$70*$AJ$56)/M65,0)</f>
        <v>0</v>
      </c>
      <c r="O65" s="44"/>
      <c r="P65" s="44"/>
    </row>
    <row r="66" spans="11:16" ht="11.25" customHeight="1" x14ac:dyDescent="0.25">
      <c r="K66" s="44" t="s">
        <v>22</v>
      </c>
      <c r="L66" s="44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10558407.922573915</v>
      </c>
      <c r="M66" s="44">
        <f>+'TUSD BE'!$I$17+'TUSD BE'!$I$18+'TUSD BE'!$I$19+'TUSD BE'!$I$20+'TUSD BE'!$I$21+'TUSD BE'!$I$22+'TUSD BE'!$I$23+'TUSD BE'!$I$24+'TUSD BE'!$I$25+'TUSD BE'!$I$26+'TUSD BE'!$I$27+'TUSD BE'!$I$28+'TUSD BE'!$I$29</f>
        <v>26801.703000000005</v>
      </c>
      <c r="N66" s="44"/>
      <c r="O66" s="44"/>
      <c r="P66" s="44"/>
    </row>
    <row r="67" spans="11:16" ht="11.25" customHeight="1" x14ac:dyDescent="0.25">
      <c r="K67" s="44" t="s">
        <v>43</v>
      </c>
      <c r="L67" s="44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14491290.159755547</v>
      </c>
      <c r="M67" s="44">
        <f>+'TUSD BE'!$I$30+'TUSD BE'!$I$31+'TUSD BE'!$I$32+'TUSD BE'!$I$33+'TUSD BE'!$I$34+'TUSD BE'!$I$35+'TUSD BE'!$I$36+'TUSD BE'!$I$37+'TUSD BE'!$I$38+'TUSD BE'!$I$39+'TUSD BE'!$I$40+'TUSD BE'!$I$41+'TUSD BE'!$I$42+'TUSD BE'!$I$43+'TUSD BE'!$I$44</f>
        <v>36380.129999999997</v>
      </c>
      <c r="N67" s="44"/>
      <c r="O67" s="44"/>
      <c r="P67" s="44"/>
    </row>
    <row r="68" spans="11:16" ht="11.25" customHeight="1" x14ac:dyDescent="0.25">
      <c r="K68" s="44" t="s">
        <v>39</v>
      </c>
      <c r="L68" s="44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6783006.1852135519</v>
      </c>
      <c r="M68" s="44">
        <f>+'TUSD BE'!$I$45+'TUSD BE'!$I$46+'TUSD BE'!$I$47+'TUSD BE'!$I$48+'TUSD BE'!$I$49</f>
        <v>17031.546999999999</v>
      </c>
      <c r="N68" s="44"/>
      <c r="O68" s="44"/>
      <c r="P68" s="44"/>
    </row>
    <row r="69" spans="11:16" ht="11.25" customHeight="1" x14ac:dyDescent="0.25">
      <c r="K69" s="44" t="s">
        <v>46</v>
      </c>
      <c r="L69" s="44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893111.53947748162</v>
      </c>
      <c r="M69" s="44">
        <f>+'TUSD BE'!$I$50+'TUSD BE'!$I$51</f>
        <v>4045.9459999999999</v>
      </c>
      <c r="N69" s="44"/>
      <c r="O69" s="44"/>
      <c r="P69" s="44"/>
    </row>
    <row r="70" spans="11:16" ht="11.25" customHeight="1" x14ac:dyDescent="0.25">
      <c r="K70" s="44"/>
      <c r="L70" s="44">
        <f ca="1">SUM($L$63:$L$69,-$L$64)</f>
        <v>54151831.883512653</v>
      </c>
      <c r="M70" s="44">
        <f>SUM($M$63:$M$69,-$M$64)</f>
        <v>170246.88399999999</v>
      </c>
      <c r="N70" s="44"/>
      <c r="O70" s="44"/>
      <c r="P70" s="44"/>
    </row>
  </sheetData>
  <mergeCells count="73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1C4E8-EB4C-4504-91D2-F3B1B997DA23}">
  <dimension ref="A1:AP58"/>
  <sheetViews>
    <sheetView showGridLines="0" topLeftCell="AA28" workbookViewId="0">
      <selection activeCell="AM53" sqref="AM5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2" width="10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2" t="s">
        <v>66</v>
      </c>
      <c r="B1" s="132" t="s">
        <v>67</v>
      </c>
      <c r="C1" s="132" t="s">
        <v>68</v>
      </c>
      <c r="D1" s="132" t="s">
        <v>69</v>
      </c>
      <c r="E1" s="132" t="s">
        <v>70</v>
      </c>
      <c r="F1" s="132" t="s">
        <v>15</v>
      </c>
      <c r="G1" s="132" t="s">
        <v>72</v>
      </c>
      <c r="H1" s="132" t="s">
        <v>73</v>
      </c>
      <c r="I1" s="132" t="s">
        <v>717</v>
      </c>
      <c r="J1" s="126"/>
      <c r="L1" s="133" t="s">
        <v>725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719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6"/>
      <c r="L2" s="133" t="s">
        <v>617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4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6"/>
      <c r="L3" s="133" t="s">
        <v>618</v>
      </c>
      <c r="M3" s="133"/>
      <c r="N3" s="133"/>
      <c r="O3" s="133"/>
      <c r="P3" s="133"/>
      <c r="Q3" s="133"/>
      <c r="R3" s="133"/>
      <c r="S3" s="133"/>
      <c r="T3" s="133"/>
      <c r="U3" s="133" t="s">
        <v>627</v>
      </c>
      <c r="V3" s="133"/>
      <c r="W3" s="133"/>
      <c r="X3" s="133"/>
      <c r="Y3" s="133"/>
      <c r="Z3" s="133"/>
      <c r="AA3" s="133"/>
      <c r="AB3" s="133"/>
      <c r="AC3" s="133" t="s">
        <v>635</v>
      </c>
      <c r="AD3" s="133"/>
      <c r="AE3" s="133" t="s">
        <v>637</v>
      </c>
      <c r="AF3" s="133"/>
      <c r="AG3" s="133"/>
      <c r="AH3" s="133" t="s">
        <v>640</v>
      </c>
      <c r="AI3" s="133"/>
      <c r="AJ3" s="133"/>
      <c r="AK3" s="133"/>
      <c r="AL3" s="133"/>
      <c r="AM3" s="133" t="s">
        <v>626</v>
      </c>
      <c r="AP3" s="134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6"/>
      <c r="L4" s="43" t="s">
        <v>702</v>
      </c>
      <c r="M4" s="43" t="s">
        <v>619</v>
      </c>
      <c r="N4" s="43" t="s">
        <v>620</v>
      </c>
      <c r="O4" s="43" t="s">
        <v>621</v>
      </c>
      <c r="P4" s="43" t="s">
        <v>622</v>
      </c>
      <c r="Q4" s="43" t="s">
        <v>623</v>
      </c>
      <c r="R4" s="43" t="s">
        <v>624</v>
      </c>
      <c r="S4" s="43" t="s">
        <v>625</v>
      </c>
      <c r="T4" s="43" t="s">
        <v>626</v>
      </c>
      <c r="U4" s="43" t="s">
        <v>628</v>
      </c>
      <c r="V4" s="43" t="s">
        <v>629</v>
      </c>
      <c r="W4" s="43" t="s">
        <v>630</v>
      </c>
      <c r="X4" s="43" t="s">
        <v>631</v>
      </c>
      <c r="Y4" s="43" t="s">
        <v>632</v>
      </c>
      <c r="Z4" s="43" t="s">
        <v>633</v>
      </c>
      <c r="AA4" s="43" t="s">
        <v>634</v>
      </c>
      <c r="AB4" s="43" t="s">
        <v>626</v>
      </c>
      <c r="AC4" s="43" t="s">
        <v>636</v>
      </c>
      <c r="AD4" s="43" t="s">
        <v>626</v>
      </c>
      <c r="AE4" s="43" t="s">
        <v>638</v>
      </c>
      <c r="AF4" s="43" t="s">
        <v>639</v>
      </c>
      <c r="AG4" s="43" t="s">
        <v>626</v>
      </c>
      <c r="AH4" s="43" t="s">
        <v>641</v>
      </c>
      <c r="AI4" s="43" t="s">
        <v>642</v>
      </c>
      <c r="AJ4" s="43" t="s">
        <v>643</v>
      </c>
      <c r="AK4" s="43" t="s">
        <v>644</v>
      </c>
      <c r="AL4" s="43" t="s">
        <v>626</v>
      </c>
      <c r="AM4" s="135"/>
      <c r="AP4" s="134"/>
    </row>
    <row r="5" spans="1:42" ht="11.25" customHeight="1" x14ac:dyDescent="0.25">
      <c r="A5" s="131" t="s">
        <v>33</v>
      </c>
      <c r="B5" s="131" t="s">
        <v>41</v>
      </c>
      <c r="C5" s="131" t="s">
        <v>25</v>
      </c>
      <c r="D5" s="131" t="s">
        <v>25</v>
      </c>
      <c r="E5" s="131" t="s">
        <v>25</v>
      </c>
      <c r="F5" s="131" t="s">
        <v>25</v>
      </c>
      <c r="G5" s="44" t="s">
        <v>80</v>
      </c>
      <c r="H5" s="44" t="s">
        <v>79</v>
      </c>
      <c r="I5" s="44">
        <f>'MERCADO TUSD'!$U$2</f>
        <v>2147</v>
      </c>
      <c r="J5" s="18"/>
      <c r="L5" s="26">
        <f>'TR TUSD'!$L$5*'TR TUSD'!$L$60</f>
        <v>0</v>
      </c>
      <c r="M5" s="26">
        <f>'TR TUSD'!$M$5*'TR TUSD'!$M$60</f>
        <v>0</v>
      </c>
      <c r="N5" s="26">
        <f ca="1">'TR TUSD'!$N$5*'TR TUSD'!$N$60</f>
        <v>0</v>
      </c>
      <c r="O5" s="26">
        <f>'TR TUSD'!$O$5*'TR TUSD'!$O$60</f>
        <v>0</v>
      </c>
      <c r="P5" s="26">
        <f>'TR TUSD'!$P$5*'TR TUSD'!$P$60</f>
        <v>0</v>
      </c>
      <c r="Q5" s="26">
        <f>'TR TUSD'!$Q$5*'TR TUSD'!$Q$60</f>
        <v>0</v>
      </c>
      <c r="R5" s="26">
        <f>'TR TUSD'!$R$5*'TR TUSD'!$R$60</f>
        <v>0</v>
      </c>
      <c r="S5" s="26">
        <f>'TR TUSD'!$S$5*'TR TUSD'!$S$60</f>
        <v>0</v>
      </c>
      <c r="T5" s="26">
        <f ca="1">SUM($L$5:$S$5)</f>
        <v>0</v>
      </c>
      <c r="U5" s="26">
        <f>'TR TUSD'!$U$5*'TR TUSD'!$U$60</f>
        <v>3.5079466597989479</v>
      </c>
      <c r="V5" s="26">
        <f>'TR TUSD'!$V$5*'TR TUSD'!$V$60</f>
        <v>2.7584421883664119</v>
      </c>
      <c r="W5" s="26">
        <f>'TR TUSD'!$W$5*'TR TUSD'!$W$60</f>
        <v>0</v>
      </c>
      <c r="X5" s="26">
        <f>'TR TUSD'!$X$5*'TR TUSD'!$X$60</f>
        <v>0</v>
      </c>
      <c r="Y5" s="26">
        <f>'TR TUSD'!$Y$5*'TR TUSD'!$Y$60</f>
        <v>4.437114941647887</v>
      </c>
      <c r="Z5" s="26">
        <f>'TR TUSD'!$Z$5</f>
        <v>0</v>
      </c>
      <c r="AA5" s="26">
        <f>'TR TUSD'!$AA$5</f>
        <v>0</v>
      </c>
      <c r="AB5" s="26">
        <f>SUM($U$5:$AA$5)</f>
        <v>10.703503789813247</v>
      </c>
      <c r="AC5" s="26">
        <f>'TR TUSD'!$AC$5*'TR TUSD'!$AC$60</f>
        <v>40.50291718606033</v>
      </c>
      <c r="AD5" s="26">
        <f>SUM($AC$5:$AC$5)</f>
        <v>40.50291718606033</v>
      </c>
      <c r="AE5" s="26">
        <v>0</v>
      </c>
      <c r="AF5" s="26">
        <v>0</v>
      </c>
      <c r="AG5" s="26">
        <f>SUM($AE$5:$AF$5)</f>
        <v>0</v>
      </c>
      <c r="AH5" s="26">
        <f>'TR TUSD'!$AH$5*'TR TUSD'!$AH$60</f>
        <v>0</v>
      </c>
      <c r="AI5" s="26">
        <f>'TR TUSD'!$AI$5*'TR TUSD'!$AI$60</f>
        <v>0</v>
      </c>
      <c r="AJ5" s="26">
        <f ca="1">'TR TUSD'!$AJ$5*'TR TUSD'!$AJ$60</f>
        <v>0</v>
      </c>
      <c r="AK5" s="26">
        <f ca="1">'TR TUSD'!$AK$5*'TR TUSD'!$AK$60</f>
        <v>0</v>
      </c>
      <c r="AL5" s="26">
        <f ca="1">SUM($AH$5:$AK$5)</f>
        <v>0</v>
      </c>
      <c r="AM5" s="26">
        <f ca="1">SUMIF($L$4:$AL$4,"SUBTOTAL",$L$5:$AL$5)</f>
        <v>51.206420975873577</v>
      </c>
      <c r="AP5" s="26">
        <v>1</v>
      </c>
    </row>
    <row r="6" spans="1:42" ht="11.25" customHeight="1" x14ac:dyDescent="0.25">
      <c r="A6" s="131"/>
      <c r="B6" s="131"/>
      <c r="C6" s="131"/>
      <c r="D6" s="131"/>
      <c r="E6" s="131"/>
      <c r="F6" s="131"/>
      <c r="G6" s="44" t="s">
        <v>81</v>
      </c>
      <c r="H6" s="44" t="s">
        <v>79</v>
      </c>
      <c r="I6" s="44">
        <f>'MERCADO TUSD'!$U$3</f>
        <v>2668</v>
      </c>
      <c r="J6" s="18"/>
      <c r="L6" s="26">
        <f>'TR TUSD'!$L$6*'TR TUSD'!$L$60</f>
        <v>0</v>
      </c>
      <c r="M6" s="26">
        <f>'TR TUSD'!$M$6*'TR TUSD'!$M$60</f>
        <v>0</v>
      </c>
      <c r="N6" s="26">
        <f ca="1">'TR TUSD'!$N$6*'TR TUSD'!$N$60</f>
        <v>0</v>
      </c>
      <c r="O6" s="26">
        <f>'TR TUSD'!$O$6*'TR TUSD'!$O$60</f>
        <v>0</v>
      </c>
      <c r="P6" s="26">
        <f>'TR TUSD'!$P$6*'TR TUSD'!$P$60</f>
        <v>0</v>
      </c>
      <c r="Q6" s="26">
        <f>'TR TUSD'!$Q$6*'TR TUSD'!$Q$60</f>
        <v>0</v>
      </c>
      <c r="R6" s="26">
        <f>'TR TUSD'!$R$6*'TR TUSD'!$R$60</f>
        <v>0</v>
      </c>
      <c r="S6" s="26">
        <f>'TR TUSD'!$S$6*'TR TUSD'!$S$60</f>
        <v>0</v>
      </c>
      <c r="T6" s="26">
        <f ca="1">SUM($L$6:$S$6)</f>
        <v>0</v>
      </c>
      <c r="U6" s="26">
        <f>'TR TUSD'!$U$6*'TR TUSD'!$U$60</f>
        <v>3.4565225208736803</v>
      </c>
      <c r="V6" s="26">
        <f>'TR TUSD'!$V$6*'TR TUSD'!$V$60</f>
        <v>2.7447689423895762</v>
      </c>
      <c r="W6" s="26">
        <f>'TR TUSD'!$W$6*'TR TUSD'!$W$60</f>
        <v>0</v>
      </c>
      <c r="X6" s="26">
        <f>'TR TUSD'!$X$6*'TR TUSD'!$X$60</f>
        <v>0</v>
      </c>
      <c r="Y6" s="26">
        <f>'TR TUSD'!$Y$6*'TR TUSD'!$Y$60</f>
        <v>4.3719359762306977</v>
      </c>
      <c r="Z6" s="26">
        <f>'TR TUSD'!$Z$6</f>
        <v>0</v>
      </c>
      <c r="AA6" s="26">
        <f>'TR TUSD'!$AA$6</f>
        <v>0</v>
      </c>
      <c r="AB6" s="26">
        <f>SUM($U$6:$AA$6)</f>
        <v>10.573227439493955</v>
      </c>
      <c r="AC6" s="26">
        <f>'TR TUSD'!$AC$6*'TR TUSD'!$AC$60</f>
        <v>10.135822358408456</v>
      </c>
      <c r="AD6" s="26">
        <f>SUM($AC$6:$AC$6)</f>
        <v>10.135822358408456</v>
      </c>
      <c r="AE6" s="26">
        <v>0</v>
      </c>
      <c r="AF6" s="26">
        <v>0</v>
      </c>
      <c r="AG6" s="26">
        <f>SUM($AE$6:$AF$6)</f>
        <v>0</v>
      </c>
      <c r="AH6" s="26">
        <f>'TR TUSD'!$AH$6*'TR TUSD'!$AH$60</f>
        <v>0</v>
      </c>
      <c r="AI6" s="26">
        <f>'TR TUSD'!$AI$6*'TR TUSD'!$AI$60</f>
        <v>0</v>
      </c>
      <c r="AJ6" s="26">
        <f ca="1">'TR TUSD'!$AJ$6*'TR TUSD'!$AJ$60</f>
        <v>0</v>
      </c>
      <c r="AK6" s="26">
        <f ca="1">'TR TUSD'!$AK$6*'TR TUSD'!$AK$60</f>
        <v>0</v>
      </c>
      <c r="AL6" s="26">
        <f ca="1">SUM($AH$6:$AK$6)</f>
        <v>0</v>
      </c>
      <c r="AM6" s="26">
        <f ca="1">SUMIF($L$4:$AL$4,"SUBTOTAL",$L$6:$AL$6)</f>
        <v>20.709049797902409</v>
      </c>
      <c r="AP6" s="26">
        <v>1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44" t="s">
        <v>82</v>
      </c>
      <c r="H7" s="44" t="s">
        <v>76</v>
      </c>
      <c r="I7" s="44">
        <f>'MERCADO TUSD'!$U$4</f>
        <v>669.6350000000001</v>
      </c>
      <c r="J7" s="18"/>
      <c r="L7" s="26">
        <f>'TR TUSD'!$L$7*'TR TUSD'!$L$60</f>
        <v>0</v>
      </c>
      <c r="M7" s="26">
        <f>'TR TUSD'!$M$7*'TR TUSD'!$M$60</f>
        <v>0.48976768131919729</v>
      </c>
      <c r="N7" s="26">
        <f ca="1">'TR TUSD'!$N$7*'TR TUSD'!$N$60</f>
        <v>0</v>
      </c>
      <c r="O7" s="26">
        <f>'TR TUSD'!$O$7*'TR TUSD'!$O$60</f>
        <v>0</v>
      </c>
      <c r="P7" s="26">
        <f>'TR TUSD'!$P$7*'TR TUSD'!$P$60</f>
        <v>0</v>
      </c>
      <c r="Q7" s="26">
        <f>'TR TUSD'!$Q$7*'TR TUSD'!$Q$60</f>
        <v>75.938384058159897</v>
      </c>
      <c r="R7" s="26">
        <f>'TR TUSD'!$R$7*'TR TUSD'!$R$60</f>
        <v>14.282320995878232</v>
      </c>
      <c r="S7" s="26">
        <f>'TR TUSD'!$S$7*'TR TUSD'!$S$60</f>
        <v>0</v>
      </c>
      <c r="T7" s="26">
        <f ca="1">SUM($L$7:$S$7)</f>
        <v>90.710472735357328</v>
      </c>
      <c r="U7" s="26">
        <f>'TR TUSD'!$U$7*'TR TUSD'!$U$60</f>
        <v>0</v>
      </c>
      <c r="V7" s="26">
        <f>'TR TUSD'!$V$7*'TR TUSD'!$V$60</f>
        <v>0</v>
      </c>
      <c r="W7" s="26">
        <f>'TR TUSD'!$W$7*'TR TUSD'!$W$60</f>
        <v>0</v>
      </c>
      <c r="X7" s="26">
        <f>'TR TUSD'!$X$7*'TR TUSD'!$X$60</f>
        <v>0</v>
      </c>
      <c r="Y7" s="26">
        <f>'TR TUSD'!$Y$7*'TR TUSD'!$Y$60</f>
        <v>0</v>
      </c>
      <c r="Z7" s="26">
        <f>'TR TUSD'!$Z$7</f>
        <v>0</v>
      </c>
      <c r="AA7" s="26">
        <f>'TR TUSD'!$AA$7</f>
        <v>0</v>
      </c>
      <c r="AB7" s="26">
        <f>SUM($U$7:$AA$7)</f>
        <v>0</v>
      </c>
      <c r="AC7" s="26">
        <f>'TR TUSD'!$AC$7*'TR TUSD'!$AC$60</f>
        <v>0</v>
      </c>
      <c r="AD7" s="26">
        <f>SUM($AC$7:$AC$7)</f>
        <v>0</v>
      </c>
      <c r="AE7" s="26">
        <v>0</v>
      </c>
      <c r="AF7" s="26">
        <v>0</v>
      </c>
      <c r="AG7" s="26">
        <f>SUM($AE$7:$AF$7)</f>
        <v>0</v>
      </c>
      <c r="AH7" s="26">
        <f>'TR TUSD'!$AH$7*'TR TUSD'!$AH$60</f>
        <v>6.5952468500295138</v>
      </c>
      <c r="AI7" s="26">
        <f>'TR TUSD'!$AI$7*'TR TUSD'!$AI$60</f>
        <v>5.0513160618256552E-2</v>
      </c>
      <c r="AJ7" s="26">
        <f ca="1">'TR TUSD'!$AJ$7*'TR TUSD'!$AJ$60</f>
        <v>0</v>
      </c>
      <c r="AK7" s="26">
        <f ca="1">'TR TUSD'!$AK$7*'TR TUSD'!$AK$60</f>
        <v>0</v>
      </c>
      <c r="AL7" s="26">
        <f ca="1">SUM($AH$7:$AK$7)</f>
        <v>6.6457600106477708</v>
      </c>
      <c r="AM7" s="26">
        <f ca="1">SUMIF($L$4:$AL$4,"SUBTOTAL",$L$7:$AL$7)</f>
        <v>97.356232746005105</v>
      </c>
      <c r="AP7" s="26">
        <v>1</v>
      </c>
    </row>
    <row r="8" spans="1:42" ht="11.25" customHeight="1" x14ac:dyDescent="0.25">
      <c r="A8" s="131"/>
      <c r="B8" s="131"/>
      <c r="C8" s="131"/>
      <c r="D8" s="131"/>
      <c r="E8" s="45" t="s">
        <v>83</v>
      </c>
      <c r="F8" s="45" t="s">
        <v>25</v>
      </c>
      <c r="G8" s="44" t="s">
        <v>82</v>
      </c>
      <c r="H8" s="44" t="s">
        <v>76</v>
      </c>
      <c r="I8" s="44">
        <f>'MERCADO TUSD'!$U$5</f>
        <v>0</v>
      </c>
      <c r="J8" s="18"/>
      <c r="L8" s="26">
        <f>'TR TUSD'!$L$8*'TR TUSD'!$L$60</f>
        <v>0</v>
      </c>
      <c r="M8" s="26">
        <f>'TR TUSD'!$M$8*'TR TUSD'!$M$60</f>
        <v>0.48976768131919729</v>
      </c>
      <c r="N8" s="26">
        <f ca="1">'TR TUSD'!$N$8*'TR TUSD'!$N$60</f>
        <v>0</v>
      </c>
      <c r="O8" s="26">
        <f>'TR TUSD'!$O$8*'TR TUSD'!$O$60</f>
        <v>0</v>
      </c>
      <c r="P8" s="26">
        <f>'TR TUSD'!$P$8*'TR TUSD'!$P$60</f>
        <v>0</v>
      </c>
      <c r="Q8" s="26">
        <f>'TR TUSD'!$Q$8*'TR TUSD'!$Q$60</f>
        <v>0</v>
      </c>
      <c r="R8" s="26">
        <f>'TR TUSD'!$R$8*'TR TUSD'!$R$60</f>
        <v>0</v>
      </c>
      <c r="S8" s="26">
        <f>'TR TUSD'!$S$8*'TR TUSD'!$S$60</f>
        <v>0</v>
      </c>
      <c r="T8" s="26">
        <f ca="1">SUM($L$8:$S$8)</f>
        <v>0.48976768131919729</v>
      </c>
      <c r="U8" s="26">
        <f>'TR TUSD'!$U$8*'TR TUSD'!$U$60</f>
        <v>0</v>
      </c>
      <c r="V8" s="26">
        <f>'TR TUSD'!$V$8*'TR TUSD'!$V$60</f>
        <v>0</v>
      </c>
      <c r="W8" s="26">
        <f>'TR TUSD'!$W$8*'TR TUSD'!$W$60</f>
        <v>0</v>
      </c>
      <c r="X8" s="26">
        <f>'TR TUSD'!$X$8*'TR TUSD'!$X$60</f>
        <v>0</v>
      </c>
      <c r="Y8" s="26">
        <f>'TR TUSD'!$Y$8*'TR TUSD'!$Y$60</f>
        <v>0</v>
      </c>
      <c r="Z8" s="26">
        <f>'TR TUSD'!$Z$8</f>
        <v>0</v>
      </c>
      <c r="AA8" s="26">
        <f>'TR TUSD'!$AA$8</f>
        <v>0</v>
      </c>
      <c r="AB8" s="26">
        <f>SUM($U$8:$AA$8)</f>
        <v>0</v>
      </c>
      <c r="AC8" s="26">
        <f>'TR TUSD'!$AC$8*'TR TUSD'!$AC$60</f>
        <v>0</v>
      </c>
      <c r="AD8" s="26">
        <f>SUM($AC$8:$AC$8)</f>
        <v>0</v>
      </c>
      <c r="AE8" s="26">
        <v>0</v>
      </c>
      <c r="AF8" s="26">
        <v>0</v>
      </c>
      <c r="AG8" s="26">
        <f>SUM($AE$8:$AF$8)</f>
        <v>0</v>
      </c>
      <c r="AH8" s="26">
        <f>'TR TUSD'!$AH$8*'TR TUSD'!$AH$60</f>
        <v>6.5952468500295138</v>
      </c>
      <c r="AI8" s="26">
        <f>'TR TUSD'!$AI$8*'TR TUSD'!$AI$60</f>
        <v>5.0513160618256552E-2</v>
      </c>
      <c r="AJ8" s="26">
        <f ca="1">'TR TUSD'!$AJ$8*'TR TUSD'!$AJ$60</f>
        <v>0</v>
      </c>
      <c r="AK8" s="26">
        <f ca="1">'TR TUSD'!$AK$8*'TR TUSD'!$AK$60</f>
        <v>0</v>
      </c>
      <c r="AL8" s="26">
        <f ca="1">SUM($AH$8:$AK$8)</f>
        <v>6.6457600106477708</v>
      </c>
      <c r="AM8" s="26">
        <f ca="1">SUMIF($L$4:$AL$4,"SUBTOTAL",$L$8:$AL$8)</f>
        <v>7.1355276919669679</v>
      </c>
      <c r="AP8" s="26">
        <v>1</v>
      </c>
    </row>
    <row r="9" spans="1:42" ht="11.25" customHeight="1" x14ac:dyDescent="0.25">
      <c r="A9" s="131"/>
      <c r="B9" s="45" t="s">
        <v>84</v>
      </c>
      <c r="C9" s="45" t="s">
        <v>25</v>
      </c>
      <c r="D9" s="45" t="s">
        <v>25</v>
      </c>
      <c r="E9" s="45" t="s">
        <v>25</v>
      </c>
      <c r="F9" s="45" t="s">
        <v>25</v>
      </c>
      <c r="G9" s="44" t="s">
        <v>9</v>
      </c>
      <c r="H9" s="44" t="s">
        <v>79</v>
      </c>
      <c r="I9" s="44">
        <f>'MERCADO TUSD'!$U$6</f>
        <v>0</v>
      </c>
      <c r="J9" s="18"/>
      <c r="L9" s="26">
        <f>'TR TUSD'!$L$9*'TR TUSD'!$L$60</f>
        <v>0</v>
      </c>
      <c r="M9" s="26">
        <f>'TR TUSD'!$M$9*'TR TUSD'!$M$60</f>
        <v>0</v>
      </c>
      <c r="N9" s="26">
        <f ca="1">'TR TUSD'!$N$9*'TR TUSD'!$N$60</f>
        <v>0</v>
      </c>
      <c r="O9" s="26">
        <f>'TR TUSD'!$O$9*'TR TUSD'!$O$60</f>
        <v>0</v>
      </c>
      <c r="P9" s="26">
        <f>'TR TUSD'!$P$9*'TR TUSD'!$P$60</f>
        <v>0</v>
      </c>
      <c r="Q9" s="26">
        <f>'TR TUSD'!$Q$9*'TR TUSD'!$Q$60</f>
        <v>0</v>
      </c>
      <c r="R9" s="26">
        <f>'TR TUSD'!$R$9*'TR TUSD'!$R$60</f>
        <v>0</v>
      </c>
      <c r="S9" s="26">
        <f>'TR TUSD'!$S$9*'TR TUSD'!$S$60</f>
        <v>0</v>
      </c>
      <c r="T9" s="26">
        <f ca="1">SUM($L$9:$S$9)</f>
        <v>0</v>
      </c>
      <c r="U9" s="26">
        <f>'TR TUSD'!$U$9*'TR TUSD'!$U$60</f>
        <v>0</v>
      </c>
      <c r="V9" s="26">
        <f>'TR TUSD'!$V$9*'TR TUSD'!$V$60</f>
        <v>0</v>
      </c>
      <c r="W9" s="26">
        <f>'TR TUSD'!$W$9*'TR TUSD'!$W$60</f>
        <v>0</v>
      </c>
      <c r="X9" s="26">
        <f>'TR TUSD'!$X$9*'TR TUSD'!$X$60</f>
        <v>0</v>
      </c>
      <c r="Y9" s="26">
        <f>'TR TUSD'!$Y$9*'TR TUSD'!$Y$60</f>
        <v>0</v>
      </c>
      <c r="Z9" s="26">
        <f>'TR TUSD'!$Z$9*'TR TUSD'!$Z$60</f>
        <v>0</v>
      </c>
      <c r="AA9" s="26">
        <f>'TR TUSD'!$AA$9*'TR TUSD'!$AA$60</f>
        <v>0</v>
      </c>
      <c r="AB9" s="26">
        <f>SUM($U$9:$AA$9)</f>
        <v>0</v>
      </c>
      <c r="AC9" s="26">
        <f>'TR TUSD'!$AC$9*'TR TUSD'!$AC$60</f>
        <v>5.2359961986792145</v>
      </c>
      <c r="AD9" s="26">
        <f>SUM($AC$9:$AC$9)</f>
        <v>5.2359961986792145</v>
      </c>
      <c r="AE9" s="26">
        <v>0</v>
      </c>
      <c r="AF9" s="26">
        <v>0</v>
      </c>
      <c r="AG9" s="26">
        <f>SUM($AE$9:$AF$9)</f>
        <v>0</v>
      </c>
      <c r="AH9" s="26">
        <f>'TR TUSD'!$AH$9*'TR TUSD'!$AH$60</f>
        <v>0</v>
      </c>
      <c r="AI9" s="26">
        <f>'TR TUSD'!$AI$9*'TR TUSD'!$AI$60</f>
        <v>0</v>
      </c>
      <c r="AJ9" s="26">
        <f ca="1">'TR TUSD'!$AJ$9*'TR TUSD'!$AJ$60</f>
        <v>0</v>
      </c>
      <c r="AK9" s="26">
        <f ca="1">'TR TUSD'!$AK$9*'TR TUSD'!$AK$60</f>
        <v>0</v>
      </c>
      <c r="AL9" s="26">
        <f ca="1">SUM($AH$9:$AK$9)</f>
        <v>0</v>
      </c>
      <c r="AM9" s="26">
        <f ca="1">SUMIF($L$4:$AL$4,"SUBTOTAL",$L$9:$AL$9)</f>
        <v>5.2359961986792145</v>
      </c>
      <c r="AP9" s="26"/>
    </row>
    <row r="10" spans="1:42" ht="11.25" customHeight="1" x14ac:dyDescent="0.25">
      <c r="A10" s="131"/>
      <c r="B10" s="131" t="s">
        <v>34</v>
      </c>
      <c r="C10" s="131" t="s">
        <v>25</v>
      </c>
      <c r="D10" s="131" t="s">
        <v>25</v>
      </c>
      <c r="E10" s="131" t="s">
        <v>25</v>
      </c>
      <c r="F10" s="131" t="s">
        <v>25</v>
      </c>
      <c r="G10" s="44" t="s">
        <v>9</v>
      </c>
      <c r="H10" s="44" t="s">
        <v>79</v>
      </c>
      <c r="I10" s="44">
        <f>'MERCADO TUSD'!$U$7</f>
        <v>318117</v>
      </c>
      <c r="J10" s="18"/>
      <c r="L10" s="26">
        <f>'TR TUSD'!$L$10*'TR TUSD'!$L$60</f>
        <v>0</v>
      </c>
      <c r="M10" s="26">
        <f>'TR TUSD'!$M$10*'TR TUSD'!$M$60</f>
        <v>0</v>
      </c>
      <c r="N10" s="26">
        <f ca="1">'TR TUSD'!$N$10*'TR TUSD'!$N$60</f>
        <v>0</v>
      </c>
      <c r="O10" s="26">
        <f>'TR TUSD'!$O$10*'TR TUSD'!$O$60</f>
        <v>0</v>
      </c>
      <c r="P10" s="26">
        <f>'TR TUSD'!$P$10*'TR TUSD'!$P$60</f>
        <v>0</v>
      </c>
      <c r="Q10" s="26">
        <f>'TR TUSD'!$Q$10*'TR TUSD'!$Q$60</f>
        <v>0</v>
      </c>
      <c r="R10" s="26">
        <f>'TR TUSD'!$R$10*'TR TUSD'!$R$60</f>
        <v>0</v>
      </c>
      <c r="S10" s="26">
        <f>'TR TUSD'!$S$10*'TR TUSD'!$S$60</f>
        <v>0</v>
      </c>
      <c r="T10" s="26">
        <f ca="1">SUM($L$10:$S$10)</f>
        <v>0</v>
      </c>
      <c r="U10" s="26">
        <f>'TR TUSD'!$U$10*'TR TUSD'!$U$60</f>
        <v>3.4565225208736803</v>
      </c>
      <c r="V10" s="26">
        <f>'TR TUSD'!$V$10*'TR TUSD'!$V$60</f>
        <v>2.7447689423895762</v>
      </c>
      <c r="W10" s="26">
        <f>'TR TUSD'!$W$10*'TR TUSD'!$W$60</f>
        <v>0</v>
      </c>
      <c r="X10" s="26">
        <f>'TR TUSD'!$X$10*'TR TUSD'!$X$60</f>
        <v>0</v>
      </c>
      <c r="Y10" s="26">
        <f>'TR TUSD'!$Y$10*'TR TUSD'!$Y$60</f>
        <v>4.3719359762306977</v>
      </c>
      <c r="Z10" s="26">
        <f>'TR TUSD'!$Z$10</f>
        <v>0</v>
      </c>
      <c r="AA10" s="26">
        <f>'TR TUSD'!$AA$10</f>
        <v>0</v>
      </c>
      <c r="AB10" s="26">
        <f>SUM($U$10:$AA$10)</f>
        <v>10.573227439493955</v>
      </c>
      <c r="AC10" s="26">
        <f>'TR TUSD'!$AC$10*'TR TUSD'!$AC$60</f>
        <v>10.135822358408456</v>
      </c>
      <c r="AD10" s="26">
        <f>SUM($AC$10:$AC$10)</f>
        <v>10.135822358408456</v>
      </c>
      <c r="AE10" s="26">
        <v>0</v>
      </c>
      <c r="AF10" s="26">
        <v>0</v>
      </c>
      <c r="AG10" s="26">
        <f>SUM($AE$10:$AF$10)</f>
        <v>0</v>
      </c>
      <c r="AH10" s="26">
        <f>'TR TUSD'!$AH$10*'TR TUSD'!$AH$60</f>
        <v>0</v>
      </c>
      <c r="AI10" s="26">
        <f>'TR TUSD'!$AI$10*'TR TUSD'!$AI$60</f>
        <v>0</v>
      </c>
      <c r="AJ10" s="26">
        <f ca="1">'TR TUSD'!$AJ$10*'TR TUSD'!$AJ$60</f>
        <v>0</v>
      </c>
      <c r="AK10" s="26">
        <f ca="1">'TR TUSD'!$AK$10*'TR TUSD'!$AK$60</f>
        <v>0</v>
      </c>
      <c r="AL10" s="26">
        <f ca="1">SUM($AH$10:$AK$10)</f>
        <v>0</v>
      </c>
      <c r="AM10" s="26">
        <f ca="1">SUMIF($L$4:$AL$4,"SUBTOTAL",$L$10:$AL$10)</f>
        <v>20.709049797902409</v>
      </c>
      <c r="AP10" s="26">
        <v>1</v>
      </c>
    </row>
    <row r="11" spans="1:42" ht="11.25" customHeight="1" x14ac:dyDescent="0.25">
      <c r="A11" s="131"/>
      <c r="B11" s="131"/>
      <c r="C11" s="131"/>
      <c r="D11" s="131"/>
      <c r="E11" s="131"/>
      <c r="F11" s="131"/>
      <c r="G11" s="44" t="s">
        <v>77</v>
      </c>
      <c r="H11" s="44" t="s">
        <v>76</v>
      </c>
      <c r="I11" s="44">
        <f>'MERCADO TUSD'!$U$8</f>
        <v>5116.8689999999997</v>
      </c>
      <c r="J11" s="18"/>
      <c r="L11" s="26">
        <f>'TR TUSD'!$L$11*'TR TUSD'!$L$60</f>
        <v>0</v>
      </c>
      <c r="M11" s="26">
        <f>'TR TUSD'!$M$11*'TR TUSD'!$M$60</f>
        <v>0.48976768131919729</v>
      </c>
      <c r="N11" s="26">
        <f ca="1">'TR TUSD'!$N$11*'TR TUSD'!$N$60</f>
        <v>0</v>
      </c>
      <c r="O11" s="26">
        <f>'TR TUSD'!$O$11*'TR TUSD'!$O$60</f>
        <v>0</v>
      </c>
      <c r="P11" s="26">
        <f>'TR TUSD'!$P$11*'TR TUSD'!$P$60</f>
        <v>0</v>
      </c>
      <c r="Q11" s="26">
        <f>'TR TUSD'!$Q$11*'TR TUSD'!$Q$60</f>
        <v>75.938384058159897</v>
      </c>
      <c r="R11" s="26">
        <f>'TR TUSD'!$R$11*'TR TUSD'!$R$60</f>
        <v>14.282320995878232</v>
      </c>
      <c r="S11" s="26">
        <f>'TR TUSD'!$S$11*'TR TUSD'!$S$60</f>
        <v>0</v>
      </c>
      <c r="T11" s="26">
        <f ca="1">SUM($L$11:$S$11)</f>
        <v>90.710472735357328</v>
      </c>
      <c r="U11" s="26">
        <f>'TR TUSD'!$U$11*'TR TUSD'!$U$60</f>
        <v>84.366002114157382</v>
      </c>
      <c r="V11" s="26">
        <f>'TR TUSD'!$V$11*'TR TUSD'!$V$60</f>
        <v>66.342357729675783</v>
      </c>
      <c r="W11" s="26">
        <f>'TR TUSD'!$W$11*'TR TUSD'!$W$60</f>
        <v>0</v>
      </c>
      <c r="X11" s="26">
        <f>'TR TUSD'!$X$11*'TR TUSD'!$X$60</f>
        <v>0</v>
      </c>
      <c r="Y11" s="26">
        <f>'TR TUSD'!$Y$11*'TR TUSD'!$Y$60</f>
        <v>106.71210992671722</v>
      </c>
      <c r="Z11" s="26">
        <f>'TR TUSD'!$Z$11</f>
        <v>0</v>
      </c>
      <c r="AA11" s="26">
        <f>'TR TUSD'!$AA$11</f>
        <v>0</v>
      </c>
      <c r="AB11" s="26">
        <f>SUM($U$11:$AA$11)</f>
        <v>257.42046977055037</v>
      </c>
      <c r="AC11" s="26">
        <f>'TR TUSD'!$AC$11*'TR TUSD'!$AC$60</f>
        <v>974.09408362689305</v>
      </c>
      <c r="AD11" s="26">
        <f>SUM($AC$11:$AC$11)</f>
        <v>974.09408362689305</v>
      </c>
      <c r="AE11" s="26">
        <v>0</v>
      </c>
      <c r="AF11" s="26">
        <v>0</v>
      </c>
      <c r="AG11" s="26">
        <f>SUM($AE$11:$AF$11)</f>
        <v>0</v>
      </c>
      <c r="AH11" s="26">
        <f>'TR TUSD'!$AH$11*'TR TUSD'!$AH$60</f>
        <v>6.5952468500295138</v>
      </c>
      <c r="AI11" s="26">
        <f>'TR TUSD'!$AI$11*'TR TUSD'!$AI$60</f>
        <v>5.0513160618256552E-2</v>
      </c>
      <c r="AJ11" s="26">
        <f ca="1">'TR TUSD'!$AJ$11*'TR TUSD'!$AJ$60</f>
        <v>0</v>
      </c>
      <c r="AK11" s="26">
        <f ca="1">'TR TUSD'!$AK$11*'TR TUSD'!$AK$60</f>
        <v>0</v>
      </c>
      <c r="AL11" s="26">
        <f ca="1">SUM($AH$11:$AK$11)</f>
        <v>6.6457600106477708</v>
      </c>
      <c r="AM11" s="26">
        <f ca="1">SUMIF($L$4:$AL$4,"SUBTOTAL",$L$11:$AL$11)</f>
        <v>1328.8707861434486</v>
      </c>
      <c r="AP11" s="26">
        <v>1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44" t="s">
        <v>78</v>
      </c>
      <c r="H12" s="44" t="s">
        <v>76</v>
      </c>
      <c r="I12" s="44">
        <f>'MERCADO TUSD'!$U$9</f>
        <v>80201.053999999989</v>
      </c>
      <c r="J12" s="18"/>
      <c r="L12" s="26">
        <f>'TR TUSD'!$L$12*'TR TUSD'!$L$60</f>
        <v>0</v>
      </c>
      <c r="M12" s="26">
        <f>'TR TUSD'!$M$12*'TR TUSD'!$M$60</f>
        <v>0.48976768131919729</v>
      </c>
      <c r="N12" s="26">
        <f ca="1">'TR TUSD'!$N$12*'TR TUSD'!$N$60</f>
        <v>0</v>
      </c>
      <c r="O12" s="26">
        <f>'TR TUSD'!$O$12*'TR TUSD'!$O$60</f>
        <v>0</v>
      </c>
      <c r="P12" s="26">
        <f>'TR TUSD'!$P$12*'TR TUSD'!$P$60</f>
        <v>0</v>
      </c>
      <c r="Q12" s="26">
        <f>'TR TUSD'!$Q$12*'TR TUSD'!$Q$60</f>
        <v>75.938384058159897</v>
      </c>
      <c r="R12" s="26">
        <f>'TR TUSD'!$R$12*'TR TUSD'!$R$60</f>
        <v>14.282320995878232</v>
      </c>
      <c r="S12" s="26">
        <f>'TR TUSD'!$S$12*'TR TUSD'!$S$60</f>
        <v>0</v>
      </c>
      <c r="T12" s="26">
        <f ca="1">SUM($L$12:$S$12)</f>
        <v>90.710472735357328</v>
      </c>
      <c r="U12" s="26">
        <f>'TR TUSD'!$U$12*'TR TUSD'!$U$60</f>
        <v>0</v>
      </c>
      <c r="V12" s="26">
        <f>'TR TUSD'!$V$12*'TR TUSD'!$V$60</f>
        <v>0</v>
      </c>
      <c r="W12" s="26">
        <f>'TR TUSD'!$W$12*'TR TUSD'!$W$60</f>
        <v>0</v>
      </c>
      <c r="X12" s="26">
        <f>'TR TUSD'!$X$12*'TR TUSD'!$X$60</f>
        <v>0</v>
      </c>
      <c r="Y12" s="26">
        <f>'TR TUSD'!$Y$12*'TR TUSD'!$Y$60</f>
        <v>0</v>
      </c>
      <c r="Z12" s="26">
        <f>'TR TUSD'!$Z$12</f>
        <v>0</v>
      </c>
      <c r="AA12" s="26">
        <f>'TR TUSD'!$AA$12</f>
        <v>0</v>
      </c>
      <c r="AB12" s="26">
        <f>SUM($U$12:$AA$12)</f>
        <v>0</v>
      </c>
      <c r="AC12" s="26">
        <f>'TR TUSD'!$AC$12*'TR TUSD'!$AC$60</f>
        <v>0</v>
      </c>
      <c r="AD12" s="26">
        <f>SUM($AC$12:$AC$12)</f>
        <v>0</v>
      </c>
      <c r="AE12" s="26">
        <v>0</v>
      </c>
      <c r="AF12" s="26">
        <v>0</v>
      </c>
      <c r="AG12" s="26">
        <f>SUM($AE$12:$AF$12)</f>
        <v>0</v>
      </c>
      <c r="AH12" s="26">
        <f>'TR TUSD'!$AH$12*'TR TUSD'!$AH$60</f>
        <v>6.5952468500295138</v>
      </c>
      <c r="AI12" s="26">
        <f>'TR TUSD'!$AI$12*'TR TUSD'!$AI$60</f>
        <v>5.0513160618256552E-2</v>
      </c>
      <c r="AJ12" s="26">
        <f ca="1">'TR TUSD'!$AJ$12*'TR TUSD'!$AJ$60</f>
        <v>0</v>
      </c>
      <c r="AK12" s="26">
        <f ca="1">'TR TUSD'!$AK$12*'TR TUSD'!$AK$60</f>
        <v>0</v>
      </c>
      <c r="AL12" s="26">
        <f ca="1">SUM($AH$12:$AK$12)</f>
        <v>6.6457600106477708</v>
      </c>
      <c r="AM12" s="26">
        <f ca="1">SUMIF($L$4:$AL$4,"SUBTOTAL",$L$12:$AL$12)</f>
        <v>97.356232746005105</v>
      </c>
      <c r="AP12" s="26">
        <v>1</v>
      </c>
    </row>
    <row r="13" spans="1:42" ht="11.25" customHeight="1" x14ac:dyDescent="0.25">
      <c r="A13" s="131"/>
      <c r="B13" s="131"/>
      <c r="C13" s="131"/>
      <c r="D13" s="131"/>
      <c r="E13" s="131" t="s">
        <v>83</v>
      </c>
      <c r="F13" s="131" t="s">
        <v>25</v>
      </c>
      <c r="G13" s="44" t="s">
        <v>77</v>
      </c>
      <c r="H13" s="44" t="s">
        <v>76</v>
      </c>
      <c r="I13" s="44">
        <f>'MERCADO TUSD'!$U$10</f>
        <v>0</v>
      </c>
      <c r="J13" s="18"/>
      <c r="L13" s="26">
        <f>'TR TUSD'!$L$13*'TR TUSD'!$L$60</f>
        <v>0</v>
      </c>
      <c r="M13" s="26">
        <f>'TR TUSD'!$M$13*'TR TUSD'!$M$60</f>
        <v>0.48976768131919729</v>
      </c>
      <c r="N13" s="26">
        <f ca="1">'TR TUSD'!$N$13*'TR TUSD'!$N$60</f>
        <v>0</v>
      </c>
      <c r="O13" s="26">
        <f>'TR TUSD'!$O$13*'TR TUSD'!$O$60</f>
        <v>0</v>
      </c>
      <c r="P13" s="26">
        <f>'TR TUSD'!$P$13*'TR TUSD'!$P$60</f>
        <v>0</v>
      </c>
      <c r="Q13" s="26">
        <f>'TR TUSD'!$Q$13*'TR TUSD'!$Q$60</f>
        <v>0</v>
      </c>
      <c r="R13" s="26">
        <f>'TR TUSD'!$R$13*'TR TUSD'!$R$60</f>
        <v>0</v>
      </c>
      <c r="S13" s="26">
        <f>'TR TUSD'!$S$13*'TR TUSD'!$S$60</f>
        <v>0</v>
      </c>
      <c r="T13" s="26">
        <f ca="1">SUM($L$13:$S$13)</f>
        <v>0.48976768131919729</v>
      </c>
      <c r="U13" s="26">
        <f>'TR TUSD'!$U$13*'TR TUSD'!$U$60</f>
        <v>84.366002114157382</v>
      </c>
      <c r="V13" s="26">
        <f>'TR TUSD'!$V$13*'TR TUSD'!$V$60</f>
        <v>66.342357729675783</v>
      </c>
      <c r="W13" s="26">
        <f>'TR TUSD'!$W$13*'TR TUSD'!$W$60</f>
        <v>0</v>
      </c>
      <c r="X13" s="26">
        <f>'TR TUSD'!$X$13*'TR TUSD'!$X$60</f>
        <v>0</v>
      </c>
      <c r="Y13" s="26">
        <f>'TR TUSD'!$Y$13*'TR TUSD'!$Y$60</f>
        <v>106.71210992671722</v>
      </c>
      <c r="Z13" s="26">
        <f>'TR TUSD'!$Z$13</f>
        <v>0</v>
      </c>
      <c r="AA13" s="26">
        <f>'TR TUSD'!$AA$13</f>
        <v>0</v>
      </c>
      <c r="AB13" s="26">
        <f>SUM($U$13:$AA$13)</f>
        <v>257.42046977055037</v>
      </c>
      <c r="AC13" s="26">
        <f>'TR TUSD'!$AC$13*'TR TUSD'!$AC$60</f>
        <v>974.09408362689305</v>
      </c>
      <c r="AD13" s="26">
        <f>SUM($AC$13:$AC$13)</f>
        <v>974.09408362689305</v>
      </c>
      <c r="AE13" s="26">
        <v>0</v>
      </c>
      <c r="AF13" s="26">
        <v>0</v>
      </c>
      <c r="AG13" s="26">
        <f>SUM($AE$13:$AF$13)</f>
        <v>0</v>
      </c>
      <c r="AH13" s="26">
        <f>'TR TUSD'!$AH$13*'TR TUSD'!$AH$60</f>
        <v>6.5952468500295138</v>
      </c>
      <c r="AI13" s="26">
        <f>'TR TUSD'!$AI$13*'TR TUSD'!$AI$60</f>
        <v>5.0513160618256552E-2</v>
      </c>
      <c r="AJ13" s="26">
        <f ca="1">'TR TUSD'!$AJ$13*'TR TUSD'!$AJ$60</f>
        <v>0</v>
      </c>
      <c r="AK13" s="26">
        <f ca="1">'TR TUSD'!$AK$13*'TR TUSD'!$AK$60</f>
        <v>0</v>
      </c>
      <c r="AL13" s="26">
        <f ca="1">SUM($AH$13:$AK$13)</f>
        <v>6.6457600106477708</v>
      </c>
      <c r="AM13" s="26">
        <f ca="1">SUMIF($L$4:$AL$4,"SUBTOTAL",$L$13:$AL$13)</f>
        <v>1238.6500810894104</v>
      </c>
      <c r="AP13" s="26">
        <v>1</v>
      </c>
    </row>
    <row r="14" spans="1:42" ht="11.25" customHeight="1" x14ac:dyDescent="0.25">
      <c r="A14" s="131"/>
      <c r="B14" s="131"/>
      <c r="C14" s="131"/>
      <c r="D14" s="131"/>
      <c r="E14" s="131"/>
      <c r="F14" s="131"/>
      <c r="G14" s="44" t="s">
        <v>78</v>
      </c>
      <c r="H14" s="44" t="s">
        <v>76</v>
      </c>
      <c r="I14" s="44">
        <f>'MERCADO TUSD'!$U$11</f>
        <v>0</v>
      </c>
      <c r="J14" s="18"/>
      <c r="L14" s="26">
        <f>'TR TUSD'!$L$14*'TR TUSD'!$L$60</f>
        <v>0</v>
      </c>
      <c r="M14" s="26">
        <f>'TR TUSD'!$M$14*'TR TUSD'!$M$60</f>
        <v>0.48976768131919729</v>
      </c>
      <c r="N14" s="26">
        <f ca="1">'TR TUSD'!$N$14*'TR TUSD'!$N$60</f>
        <v>0</v>
      </c>
      <c r="O14" s="26">
        <f>'TR TUSD'!$O$14*'TR TUSD'!$O$60</f>
        <v>0</v>
      </c>
      <c r="P14" s="26">
        <f>'TR TUSD'!$P$14*'TR TUSD'!$P$60</f>
        <v>0</v>
      </c>
      <c r="Q14" s="26">
        <f>'TR TUSD'!$Q$14*'TR TUSD'!$Q$60</f>
        <v>0</v>
      </c>
      <c r="R14" s="26">
        <f>'TR TUSD'!$R$14*'TR TUSD'!$R$60</f>
        <v>0</v>
      </c>
      <c r="S14" s="26">
        <f>'TR TUSD'!$S$14*'TR TUSD'!$S$60</f>
        <v>0</v>
      </c>
      <c r="T14" s="26">
        <f ca="1">SUM($L$14:$S$14)</f>
        <v>0.48976768131919729</v>
      </c>
      <c r="U14" s="26">
        <f>'TR TUSD'!$U$14*'TR TUSD'!$U$60</f>
        <v>0</v>
      </c>
      <c r="V14" s="26">
        <f>'TR TUSD'!$V$14*'TR TUSD'!$V$60</f>
        <v>0</v>
      </c>
      <c r="W14" s="26">
        <f>'TR TUSD'!$W$14*'TR TUSD'!$W$60</f>
        <v>0</v>
      </c>
      <c r="X14" s="26">
        <f>'TR TUSD'!$X$14*'TR TUSD'!$X$60</f>
        <v>0</v>
      </c>
      <c r="Y14" s="26">
        <f>'TR TUSD'!$Y$14*'TR TUSD'!$Y$60</f>
        <v>0</v>
      </c>
      <c r="Z14" s="26">
        <f>'TR TUSD'!$Z$14</f>
        <v>0</v>
      </c>
      <c r="AA14" s="26">
        <f>'TR TUSD'!$AA$14</f>
        <v>0</v>
      </c>
      <c r="AB14" s="26">
        <f>SUM($U$14:$AA$14)</f>
        <v>0</v>
      </c>
      <c r="AC14" s="26">
        <f>'TR TUSD'!$AC$14*'TR TUSD'!$AC$60</f>
        <v>0</v>
      </c>
      <c r="AD14" s="26">
        <f>SUM($AC$14:$AC$14)</f>
        <v>0</v>
      </c>
      <c r="AE14" s="26">
        <v>0</v>
      </c>
      <c r="AF14" s="26">
        <v>0</v>
      </c>
      <c r="AG14" s="26">
        <f>SUM($AE$14:$AF$14)</f>
        <v>0</v>
      </c>
      <c r="AH14" s="26">
        <f>'TR TUSD'!$AH$14*'TR TUSD'!$AH$60</f>
        <v>6.5952468500295138</v>
      </c>
      <c r="AI14" s="26">
        <f>'TR TUSD'!$AI$14*'TR TUSD'!$AI$60</f>
        <v>5.0513160618256552E-2</v>
      </c>
      <c r="AJ14" s="26">
        <f ca="1">'TR TUSD'!$AJ$14*'TR TUSD'!$AJ$60</f>
        <v>0</v>
      </c>
      <c r="AK14" s="26">
        <f ca="1">'TR TUSD'!$AK$14*'TR TUSD'!$AK$60</f>
        <v>0</v>
      </c>
      <c r="AL14" s="26">
        <f ca="1">SUM($AH$14:$AK$14)</f>
        <v>6.6457600106477708</v>
      </c>
      <c r="AM14" s="26">
        <f ca="1">SUMIF($L$4:$AL$4,"SUBTOTAL",$L$14:$AL$14)</f>
        <v>7.1355276919669679</v>
      </c>
      <c r="AP14" s="26">
        <v>1</v>
      </c>
    </row>
    <row r="15" spans="1:42" ht="11.25" customHeight="1" x14ac:dyDescent="0.25">
      <c r="A15" s="131" t="s">
        <v>85</v>
      </c>
      <c r="B15" s="131" t="s">
        <v>84</v>
      </c>
      <c r="C15" s="131" t="s">
        <v>25</v>
      </c>
      <c r="D15" s="131" t="s">
        <v>25</v>
      </c>
      <c r="E15" s="45" t="s">
        <v>86</v>
      </c>
      <c r="F15" s="45" t="s">
        <v>25</v>
      </c>
      <c r="G15" s="44" t="s">
        <v>9</v>
      </c>
      <c r="H15" s="44" t="s">
        <v>79</v>
      </c>
      <c r="I15" s="44">
        <f>'MERCADO TUSD'!$U$12+0.00000001</f>
        <v>1E-8</v>
      </c>
      <c r="J15" s="18"/>
      <c r="L15" s="26">
        <f>'TR TUSD'!$L$15*'TR TUSD'!$L$60</f>
        <v>0</v>
      </c>
      <c r="M15" s="26">
        <f>'TR TUSD'!$M$15*'TR TUSD'!$M$60</f>
        <v>0</v>
      </c>
      <c r="N15" s="26">
        <f ca="1">'TR TUSD'!$N$15*'TR TUSD'!$N$60</f>
        <v>0</v>
      </c>
      <c r="O15" s="26">
        <f>'TR TUSD'!$O$15*'TR TUSD'!$O$60</f>
        <v>0</v>
      </c>
      <c r="P15" s="26">
        <f>'TR TUSD'!$P$15*'TR TUSD'!$P$60</f>
        <v>0</v>
      </c>
      <c r="Q15" s="26">
        <f>'TR TUSD'!$Q$15*'TR TUSD'!$Q$60</f>
        <v>0</v>
      </c>
      <c r="R15" s="26">
        <f>'TR TUSD'!$R$15*'TR TUSD'!$R$60</f>
        <v>0</v>
      </c>
      <c r="S15" s="26">
        <f>'TR TUSD'!$S$15*'TR TUSD'!$S$60</f>
        <v>0</v>
      </c>
      <c r="T15" s="26">
        <f ca="1">SUM($L$15:$S$15)</f>
        <v>0</v>
      </c>
      <c r="U15" s="26">
        <f>'TR TUSD'!$U$15*'TR TUSD'!$U$60</f>
        <v>0</v>
      </c>
      <c r="V15" s="26">
        <f>'TR TUSD'!$V$15*'TR TUSD'!$V$60</f>
        <v>0</v>
      </c>
      <c r="W15" s="26">
        <f>'TR TUSD'!$W$15*'TR TUSD'!$W$60</f>
        <v>0</v>
      </c>
      <c r="X15" s="26">
        <f>'TR TUSD'!$X$15*'TR TUSD'!$X$60</f>
        <v>0</v>
      </c>
      <c r="Y15" s="26">
        <f>'TR TUSD'!$Y$15*'TR TUSD'!$Y$60</f>
        <v>0</v>
      </c>
      <c r="Z15" s="26">
        <f>'TR TUSD'!$Z$15*'TR TUSD'!$Z$60</f>
        <v>0</v>
      </c>
      <c r="AA15" s="26">
        <f>'TR TUSD'!$AA$15*'TR TUSD'!$AA$60</f>
        <v>0</v>
      </c>
      <c r="AB15" s="26">
        <f>SUM($U$15:$AA$15)</f>
        <v>0</v>
      </c>
      <c r="AC15" s="26">
        <f>'TR TUSD'!$AC$15*'TR TUSD'!$AC$60</f>
        <v>5.8477210428984003</v>
      </c>
      <c r="AD15" s="26">
        <f>SUM($AC$15:$AC$15)</f>
        <v>5.8477210428984003</v>
      </c>
      <c r="AE15" s="26">
        <v>0</v>
      </c>
      <c r="AF15" s="26">
        <v>0</v>
      </c>
      <c r="AG15" s="26">
        <f>SUM($AE$15:$AF$15)</f>
        <v>0</v>
      </c>
      <c r="AH15" s="26">
        <f>'TR TUSD'!$AH$15*'TR TUSD'!$AH$60</f>
        <v>0</v>
      </c>
      <c r="AI15" s="26">
        <f>'TR TUSD'!$AI$15*'TR TUSD'!$AI$60</f>
        <v>0</v>
      </c>
      <c r="AJ15" s="26">
        <f ca="1">'TR TUSD'!$AJ$15*'TR TUSD'!$AJ$60</f>
        <v>0</v>
      </c>
      <c r="AK15" s="26">
        <f ca="1">'TR TUSD'!$AK$15*'TR TUSD'!$AK$60</f>
        <v>0</v>
      </c>
      <c r="AL15" s="26">
        <f ca="1">SUM($AH$15:$AK$15)</f>
        <v>0</v>
      </c>
      <c r="AM15" s="26">
        <f ca="1">SUMIF($L$4:$AL$4,"SUBTOTAL",$L$15:$AL$15)</f>
        <v>5.8477210428984003</v>
      </c>
      <c r="AP15" s="26"/>
    </row>
    <row r="16" spans="1:42" ht="11.25" customHeight="1" x14ac:dyDescent="0.25">
      <c r="A16" s="131"/>
      <c r="B16" s="131"/>
      <c r="C16" s="131"/>
      <c r="D16" s="131"/>
      <c r="E16" s="45" t="s">
        <v>87</v>
      </c>
      <c r="F16" s="45" t="s">
        <v>25</v>
      </c>
      <c r="G16" s="44" t="s">
        <v>9</v>
      </c>
      <c r="H16" s="44" t="s">
        <v>79</v>
      </c>
      <c r="I16" s="44">
        <f>'MERCADO TUSD'!$U$13+0.00000001</f>
        <v>1E-8</v>
      </c>
      <c r="J16" s="18"/>
      <c r="L16" s="26">
        <f>'TR TUSD'!$L$16*'TR TUSD'!$L$60</f>
        <v>0</v>
      </c>
      <c r="M16" s="26">
        <f>'TR TUSD'!$M$16*'TR TUSD'!$M$60</f>
        <v>0</v>
      </c>
      <c r="N16" s="26">
        <f ca="1">'TR TUSD'!$N$16*'TR TUSD'!$N$60</f>
        <v>0</v>
      </c>
      <c r="O16" s="26">
        <f>'TR TUSD'!$O$16*'TR TUSD'!$O$60</f>
        <v>0</v>
      </c>
      <c r="P16" s="26">
        <f>'TR TUSD'!$P$16*'TR TUSD'!$P$60</f>
        <v>0</v>
      </c>
      <c r="Q16" s="26">
        <f>'TR TUSD'!$Q$16*'TR TUSD'!$Q$60</f>
        <v>0</v>
      </c>
      <c r="R16" s="26">
        <f>'TR TUSD'!$R$16*'TR TUSD'!$R$60</f>
        <v>0</v>
      </c>
      <c r="S16" s="26">
        <f>'TR TUSD'!$S$16*'TR TUSD'!$S$60</f>
        <v>0</v>
      </c>
      <c r="T16" s="26">
        <f ca="1">SUM($L$16:$S$16)</f>
        <v>0</v>
      </c>
      <c r="U16" s="26">
        <f>'TR TUSD'!$U$16*'TR TUSD'!$U$60</f>
        <v>0</v>
      </c>
      <c r="V16" s="26">
        <f>'TR TUSD'!$V$16*'TR TUSD'!$V$60</f>
        <v>0</v>
      </c>
      <c r="W16" s="26">
        <f>'TR TUSD'!$W$16*'TR TUSD'!$W$60</f>
        <v>0</v>
      </c>
      <c r="X16" s="26">
        <f>'TR TUSD'!$X$16*'TR TUSD'!$X$60</f>
        <v>0</v>
      </c>
      <c r="Y16" s="26">
        <f>'TR TUSD'!$Y$16*'TR TUSD'!$Y$60</f>
        <v>0</v>
      </c>
      <c r="Z16" s="26">
        <f>'TR TUSD'!$Z$16*'TR TUSD'!$Z$60</f>
        <v>0</v>
      </c>
      <c r="AA16" s="26">
        <f>'TR TUSD'!$AA$16*'TR TUSD'!$AA$60</f>
        <v>0</v>
      </c>
      <c r="AB16" s="26">
        <f>SUM($U$16:$AA$16)</f>
        <v>0</v>
      </c>
      <c r="AC16" s="26">
        <f>'TR TUSD'!$AC$16*'TR TUSD'!$AC$60</f>
        <v>11.895824903330581</v>
      </c>
      <c r="AD16" s="26">
        <f>SUM($AC$16:$AC$16)</f>
        <v>11.895824903330581</v>
      </c>
      <c r="AE16" s="26">
        <v>0</v>
      </c>
      <c r="AF16" s="26">
        <v>0</v>
      </c>
      <c r="AG16" s="26">
        <f>SUM($AE$16:$AF$16)</f>
        <v>0</v>
      </c>
      <c r="AH16" s="26">
        <f>'TR TUSD'!$AH$16*'TR TUSD'!$AH$60</f>
        <v>0</v>
      </c>
      <c r="AI16" s="26">
        <f>'TR TUSD'!$AI$16*'TR TUSD'!$AI$60</f>
        <v>0</v>
      </c>
      <c r="AJ16" s="26">
        <f ca="1">'TR TUSD'!$AJ$16*'TR TUSD'!$AJ$60</f>
        <v>0</v>
      </c>
      <c r="AK16" s="26">
        <f ca="1">'TR TUSD'!$AK$16*'TR TUSD'!$AK$60</f>
        <v>0</v>
      </c>
      <c r="AL16" s="26">
        <f ca="1">SUM($AH$16:$AK$16)</f>
        <v>0</v>
      </c>
      <c r="AM16" s="26">
        <f ca="1">SUMIF($L$4:$AL$4,"SUBTOTAL",$L$16:$AL$16)</f>
        <v>11.895824903330581</v>
      </c>
      <c r="AP16" s="26"/>
    </row>
    <row r="17" spans="1:42" ht="11.25" customHeight="1" x14ac:dyDescent="0.25">
      <c r="A17" s="131" t="s">
        <v>22</v>
      </c>
      <c r="B17" s="131" t="s">
        <v>37</v>
      </c>
      <c r="C17" s="131" t="s">
        <v>24</v>
      </c>
      <c r="D17" s="131" t="s">
        <v>24</v>
      </c>
      <c r="E17" s="131" t="s">
        <v>25</v>
      </c>
      <c r="F17" s="131" t="s">
        <v>25</v>
      </c>
      <c r="G17" s="44" t="s">
        <v>77</v>
      </c>
      <c r="H17" s="44" t="s">
        <v>76</v>
      </c>
      <c r="I17" s="44">
        <f>'MERCADO TUSD'!$U$14</f>
        <v>4.6139999999999999</v>
      </c>
      <c r="J17" s="18"/>
      <c r="L17" s="26">
        <f>'TR TUSD'!$L$17*'TR TUSD'!$L$60</f>
        <v>0</v>
      </c>
      <c r="M17" s="26">
        <f>'TR TUSD'!$M$17*'TR TUSD'!$M$60</f>
        <v>1.1567584752326132</v>
      </c>
      <c r="N17" s="26">
        <f ca="1">'TR TUSD'!$N$17*'TR TUSD'!$N$60</f>
        <v>0</v>
      </c>
      <c r="O17" s="26">
        <f>'TR TUSD'!$O$17*'TR TUSD'!$O$60</f>
        <v>0</v>
      </c>
      <c r="P17" s="26">
        <f>'TR TUSD'!$P$17*'TR TUSD'!$P$60</f>
        <v>0</v>
      </c>
      <c r="Q17" s="26">
        <f>'TR TUSD'!$Q$17*'TR TUSD'!$Q$60</f>
        <v>90.402838164476066</v>
      </c>
      <c r="R17" s="26">
        <f>'TR TUSD'!$R$17*'TR TUSD'!$R$60</f>
        <v>14.282320995878232</v>
      </c>
      <c r="S17" s="26">
        <f>'TR TUSD'!$S$17*'TR TUSD'!$S$60</f>
        <v>0</v>
      </c>
      <c r="T17" s="26">
        <f ca="1">SUM($L$17:$S$17)</f>
        <v>105.84191763558691</v>
      </c>
      <c r="U17" s="26">
        <f>'TR TUSD'!$U$17*'TR TUSD'!$U$60</f>
        <v>39.960757917374323</v>
      </c>
      <c r="V17" s="26">
        <f>'TR TUSD'!$V$17*'TR TUSD'!$V$60</f>
        <v>31.539466219946846</v>
      </c>
      <c r="W17" s="26">
        <f>'TR TUSD'!$W$17*'TR TUSD'!$W$60</f>
        <v>0</v>
      </c>
      <c r="X17" s="26">
        <f>'TR TUSD'!$X$17*'TR TUSD'!$X$60</f>
        <v>0</v>
      </c>
      <c r="Y17" s="26">
        <f>'TR TUSD'!$Y$17*'TR TUSD'!$Y$60</f>
        <v>50.545249169441902</v>
      </c>
      <c r="Z17" s="26">
        <f>'TR TUSD'!$Z$17</f>
        <v>0</v>
      </c>
      <c r="AA17" s="26">
        <f>'TR TUSD'!$AA$17</f>
        <v>0</v>
      </c>
      <c r="AB17" s="26">
        <f>SUM($U$17:$AA$17)</f>
        <v>122.04547330676307</v>
      </c>
      <c r="AC17" s="26">
        <f>'TR TUSD'!$AC$17*'TR TUSD'!$AC$60</f>
        <v>571.57083423187248</v>
      </c>
      <c r="AD17" s="26">
        <f>SUM($AC$17:$AC$17)</f>
        <v>571.57083423187248</v>
      </c>
      <c r="AE17" s="26">
        <v>0</v>
      </c>
      <c r="AF17" s="26">
        <v>0</v>
      </c>
      <c r="AG17" s="26">
        <f>SUM($AE$17:$AF$17)</f>
        <v>0</v>
      </c>
      <c r="AH17" s="26">
        <f>'TR TUSD'!$AH$17*'TR TUSD'!$AH$60</f>
        <v>14.931010989550716</v>
      </c>
      <c r="AI17" s="26">
        <f>'TR TUSD'!$AI$17*'TR TUSD'!$AI$60</f>
        <v>0.11435698669940669</v>
      </c>
      <c r="AJ17" s="26">
        <f ca="1">'TR TUSD'!$AJ$17*'TR TUSD'!$AJ$60</f>
        <v>0</v>
      </c>
      <c r="AK17" s="26">
        <f ca="1">'TR TUSD'!$AK$17*'TR TUSD'!$AK$60</f>
        <v>0</v>
      </c>
      <c r="AL17" s="26">
        <f ca="1">SUM($AH$17:$AK$17)</f>
        <v>15.045367976250123</v>
      </c>
      <c r="AM17" s="26">
        <f ca="1">SUMIF($L$4:$AL$4,"SUBTOTAL",$L$17:$AL$17)</f>
        <v>814.50359315047251</v>
      </c>
      <c r="AP17" s="26">
        <v>1</v>
      </c>
    </row>
    <row r="18" spans="1:42" ht="11.25" customHeight="1" x14ac:dyDescent="0.25">
      <c r="A18" s="131"/>
      <c r="B18" s="131"/>
      <c r="C18" s="131"/>
      <c r="D18" s="131"/>
      <c r="E18" s="131"/>
      <c r="F18" s="131"/>
      <c r="G18" s="44" t="s">
        <v>88</v>
      </c>
      <c r="H18" s="44" t="s">
        <v>76</v>
      </c>
      <c r="I18" s="44">
        <f>'MERCADO TUSD'!$U$15</f>
        <v>7.0189999999999992</v>
      </c>
      <c r="J18" s="18"/>
      <c r="L18" s="26">
        <f>'TR TUSD'!$L$18*'TR TUSD'!$L$60</f>
        <v>0</v>
      </c>
      <c r="M18" s="26">
        <f>'TR TUSD'!$M$18*'TR TUSD'!$M$60</f>
        <v>1.1567584752326132</v>
      </c>
      <c r="N18" s="26">
        <f ca="1">'TR TUSD'!$N$18*'TR TUSD'!$N$60</f>
        <v>0</v>
      </c>
      <c r="O18" s="26">
        <f>'TR TUSD'!$O$18*'TR TUSD'!$O$60</f>
        <v>0</v>
      </c>
      <c r="P18" s="26">
        <f>'TR TUSD'!$P$18*'TR TUSD'!$P$60</f>
        <v>0</v>
      </c>
      <c r="Q18" s="26">
        <f>'TR TUSD'!$Q$18*'TR TUSD'!$Q$60</f>
        <v>90.402838164476066</v>
      </c>
      <c r="R18" s="26">
        <f>'TR TUSD'!$R$18*'TR TUSD'!$R$60</f>
        <v>14.282320995878232</v>
      </c>
      <c r="S18" s="26">
        <f>'TR TUSD'!$S$18*'TR TUSD'!$S$60</f>
        <v>0</v>
      </c>
      <c r="T18" s="26">
        <f ca="1">SUM($L$18:$S$18)</f>
        <v>105.84191763558691</v>
      </c>
      <c r="U18" s="26">
        <f>'TR TUSD'!$U$18*'TR TUSD'!$U$60</f>
        <v>23.976654844350371</v>
      </c>
      <c r="V18" s="26">
        <f>'TR TUSD'!$V$18*'TR TUSD'!$V$60</f>
        <v>18.923849681918099</v>
      </c>
      <c r="W18" s="26">
        <f>'TR TUSD'!$W$18*'TR TUSD'!$W$60</f>
        <v>0</v>
      </c>
      <c r="X18" s="26">
        <f>'TR TUSD'!$X$18*'TR TUSD'!$X$60</f>
        <v>0</v>
      </c>
      <c r="Y18" s="26">
        <f>'TR TUSD'!$Y$18*'TR TUSD'!$Y$60</f>
        <v>30.327307751050071</v>
      </c>
      <c r="Z18" s="26">
        <f>'TR TUSD'!$Z$18</f>
        <v>0</v>
      </c>
      <c r="AA18" s="26">
        <f>'TR TUSD'!$AA$18</f>
        <v>0</v>
      </c>
      <c r="AB18" s="26">
        <f>SUM($U$18:$AA$18)</f>
        <v>73.227812277318549</v>
      </c>
      <c r="AC18" s="26">
        <f>'TR TUSD'!$AC$18*'TR TUSD'!$AC$60</f>
        <v>342.94245504926704</v>
      </c>
      <c r="AD18" s="26">
        <f>SUM($AC$18:$AC$18)</f>
        <v>342.94245504926704</v>
      </c>
      <c r="AE18" s="26">
        <v>0</v>
      </c>
      <c r="AF18" s="26">
        <v>0</v>
      </c>
      <c r="AG18" s="26">
        <f>SUM($AE$18:$AF$18)</f>
        <v>0</v>
      </c>
      <c r="AH18" s="26">
        <f>'TR TUSD'!$AH$18*'TR TUSD'!$AH$60</f>
        <v>14.931010989550716</v>
      </c>
      <c r="AI18" s="26">
        <f>'TR TUSD'!$AI$18*'TR TUSD'!$AI$60</f>
        <v>0.11435698669940669</v>
      </c>
      <c r="AJ18" s="26">
        <f ca="1">'TR TUSD'!$AJ$18*'TR TUSD'!$AJ$60</f>
        <v>0</v>
      </c>
      <c r="AK18" s="26">
        <f ca="1">'TR TUSD'!$AK$18*'TR TUSD'!$AK$60</f>
        <v>0</v>
      </c>
      <c r="AL18" s="26">
        <f ca="1">SUM($AH$18:$AK$18)</f>
        <v>15.045367976250123</v>
      </c>
      <c r="AM18" s="26">
        <f ca="1">SUMIF($L$4:$AL$4,"SUBTOTAL",$L$18:$AL$18)</f>
        <v>537.05755293842265</v>
      </c>
      <c r="AP18" s="26">
        <v>1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44" t="s">
        <v>78</v>
      </c>
      <c r="H19" s="44" t="s">
        <v>76</v>
      </c>
      <c r="I19" s="44">
        <f>'MERCADO TUSD'!$U$16</f>
        <v>29.872</v>
      </c>
      <c r="J19" s="18"/>
      <c r="L19" s="26">
        <f>'TR TUSD'!$L$19*'TR TUSD'!$L$60</f>
        <v>0</v>
      </c>
      <c r="M19" s="26">
        <f>'TR TUSD'!$M$19*'TR TUSD'!$M$60</f>
        <v>1.1567584752326132</v>
      </c>
      <c r="N19" s="26">
        <f ca="1">'TR TUSD'!$N$19*'TR TUSD'!$N$60</f>
        <v>0</v>
      </c>
      <c r="O19" s="26">
        <f>'TR TUSD'!$O$19*'TR TUSD'!$O$60</f>
        <v>0</v>
      </c>
      <c r="P19" s="26">
        <f>'TR TUSD'!$P$19*'TR TUSD'!$P$60</f>
        <v>0</v>
      </c>
      <c r="Q19" s="26">
        <f>'TR TUSD'!$Q$19*'TR TUSD'!$Q$60</f>
        <v>90.402838164476066</v>
      </c>
      <c r="R19" s="26">
        <f>'TR TUSD'!$R$19*'TR TUSD'!$R$60</f>
        <v>14.282320995878232</v>
      </c>
      <c r="S19" s="26">
        <f>'TR TUSD'!$S$19*'TR TUSD'!$S$60</f>
        <v>0</v>
      </c>
      <c r="T19" s="26">
        <f ca="1">SUM($L$19:$S$19)</f>
        <v>105.84191763558691</v>
      </c>
      <c r="U19" s="26">
        <f>'TR TUSD'!$U$19*'TR TUSD'!$U$60</f>
        <v>7.992251630437754</v>
      </c>
      <c r="V19" s="26">
        <f>'TR TUSD'!$V$19*'TR TUSD'!$V$60</f>
        <v>6.3078468940030064</v>
      </c>
      <c r="W19" s="26">
        <f>'TR TUSD'!$W$19*'TR TUSD'!$W$60</f>
        <v>0</v>
      </c>
      <c r="X19" s="26">
        <f>'TR TUSD'!$X$19*'TR TUSD'!$X$60</f>
        <v>0</v>
      </c>
      <c r="Y19" s="26">
        <f>'TR TUSD'!$Y$19*'TR TUSD'!$Y$60</f>
        <v>10.109069615061497</v>
      </c>
      <c r="Z19" s="26">
        <f>'TR TUSD'!$Z$19</f>
        <v>0</v>
      </c>
      <c r="AA19" s="26">
        <f>'TR TUSD'!$AA$19</f>
        <v>0</v>
      </c>
      <c r="AB19" s="26">
        <f>SUM($U$19:$AA$19)</f>
        <v>24.409168139502256</v>
      </c>
      <c r="AC19" s="26">
        <f>'TR TUSD'!$AC$19*'TR TUSD'!$AC$60</f>
        <v>114.31418959130271</v>
      </c>
      <c r="AD19" s="26">
        <f>SUM($AC$19:$AC$19)</f>
        <v>114.31418959130271</v>
      </c>
      <c r="AE19" s="26">
        <v>0</v>
      </c>
      <c r="AF19" s="26">
        <v>0</v>
      </c>
      <c r="AG19" s="26">
        <f>SUM($AE$19:$AF$19)</f>
        <v>0</v>
      </c>
      <c r="AH19" s="26">
        <f>'TR TUSD'!$AH$19*'TR TUSD'!$AH$60</f>
        <v>14.931010989550716</v>
      </c>
      <c r="AI19" s="26">
        <f>'TR TUSD'!$AI$19*'TR TUSD'!$AI$60</f>
        <v>0.11435698669940669</v>
      </c>
      <c r="AJ19" s="26">
        <f ca="1">'TR TUSD'!$AJ$19*'TR TUSD'!$AJ$60</f>
        <v>0</v>
      </c>
      <c r="AK19" s="26">
        <f ca="1">'TR TUSD'!$AK$19*'TR TUSD'!$AK$60</f>
        <v>0</v>
      </c>
      <c r="AL19" s="26">
        <f ca="1">SUM($AH$19:$AK$19)</f>
        <v>15.045367976250123</v>
      </c>
      <c r="AM19" s="26">
        <f ca="1">SUMIF($L$4:$AL$4,"SUBTOTAL",$L$19:$AL$19)</f>
        <v>259.61064334264199</v>
      </c>
      <c r="AP19" s="26">
        <v>1</v>
      </c>
    </row>
    <row r="20" spans="1:42" ht="11.25" customHeight="1" x14ac:dyDescent="0.25">
      <c r="A20" s="131"/>
      <c r="B20" s="131" t="s">
        <v>23</v>
      </c>
      <c r="C20" s="131" t="s">
        <v>24</v>
      </c>
      <c r="D20" s="45" t="s">
        <v>24</v>
      </c>
      <c r="E20" s="45" t="s">
        <v>25</v>
      </c>
      <c r="F20" s="45" t="s">
        <v>25</v>
      </c>
      <c r="G20" s="44" t="s">
        <v>82</v>
      </c>
      <c r="H20" s="44" t="s">
        <v>76</v>
      </c>
      <c r="I20" s="44">
        <f>'MERCADO TUSD'!$U$17</f>
        <v>25648.588</v>
      </c>
      <c r="J20" s="18"/>
      <c r="L20" s="26">
        <f>'TR TUSD'!$L$20*'TR TUSD'!$L$60</f>
        <v>0</v>
      </c>
      <c r="M20" s="26">
        <f>'TR TUSD'!$M$20*'TR TUSD'!$M$60</f>
        <v>1.1567584752326132</v>
      </c>
      <c r="N20" s="26">
        <f ca="1">'TR TUSD'!$N$20*'TR TUSD'!$N$60</f>
        <v>0</v>
      </c>
      <c r="O20" s="26">
        <f>'TR TUSD'!$O$20*'TR TUSD'!$O$60</f>
        <v>0</v>
      </c>
      <c r="P20" s="26">
        <f>'TR TUSD'!$P$20*'TR TUSD'!$P$60</f>
        <v>0</v>
      </c>
      <c r="Q20" s="26">
        <f>'TR TUSD'!$Q$20*'TR TUSD'!$Q$60</f>
        <v>90.402838164476066</v>
      </c>
      <c r="R20" s="26">
        <f>'TR TUSD'!$R$20*'TR TUSD'!$R$60</f>
        <v>14.282320995878232</v>
      </c>
      <c r="S20" s="26">
        <f>'TR TUSD'!$S$20*'TR TUSD'!$S$60</f>
        <v>0</v>
      </c>
      <c r="T20" s="26">
        <f ca="1">SUM($L$20:$S$20)</f>
        <v>105.84191763558691</v>
      </c>
      <c r="U20" s="26">
        <f>'TR TUSD'!$U$20*'TR TUSD'!$U$60</f>
        <v>15.984403213912618</v>
      </c>
      <c r="V20" s="26">
        <f>'TR TUSD'!$V$20*'TR TUSD'!$V$60</f>
        <v>12.615925537937823</v>
      </c>
      <c r="W20" s="26">
        <f>'TR TUSD'!$W$20*'TR TUSD'!$W$60</f>
        <v>0</v>
      </c>
      <c r="X20" s="26">
        <f>'TR TUSD'!$X$20*'TR TUSD'!$X$60</f>
        <v>0</v>
      </c>
      <c r="Y20" s="26">
        <f>'TR TUSD'!$Y$20*'TR TUSD'!$Y$60</f>
        <v>20.218139230122993</v>
      </c>
      <c r="Z20" s="26">
        <f>'TR TUSD'!$Z$20</f>
        <v>0</v>
      </c>
      <c r="AA20" s="26">
        <f>'TR TUSD'!$AA$20</f>
        <v>0</v>
      </c>
      <c r="AB20" s="26">
        <f>SUM($U$20:$AA$20)</f>
        <v>48.818467981973434</v>
      </c>
      <c r="AC20" s="26">
        <f>'TR TUSD'!$AC$20*'TR TUSD'!$AC$60</f>
        <v>228.62815173332331</v>
      </c>
      <c r="AD20" s="26">
        <f>SUM($AC$20:$AC$20)</f>
        <v>228.62815173332331</v>
      </c>
      <c r="AE20" s="26">
        <v>0</v>
      </c>
      <c r="AF20" s="26">
        <v>0</v>
      </c>
      <c r="AG20" s="26">
        <f>SUM($AE$20:$AF$20)</f>
        <v>0</v>
      </c>
      <c r="AH20" s="26">
        <f>'TR TUSD'!$AH$20*'TR TUSD'!$AH$60</f>
        <v>14.931010989550716</v>
      </c>
      <c r="AI20" s="26">
        <f>'TR TUSD'!$AI$20*'TR TUSD'!$AI$60</f>
        <v>0.11435698669940669</v>
      </c>
      <c r="AJ20" s="26">
        <f ca="1">'TR TUSD'!$AJ$20*'TR TUSD'!$AJ$60</f>
        <v>0</v>
      </c>
      <c r="AK20" s="26">
        <f ca="1">'TR TUSD'!$AK$20*'TR TUSD'!$AK$60</f>
        <v>0</v>
      </c>
      <c r="AL20" s="26">
        <f ca="1">SUM($AH$20:$AK$20)</f>
        <v>15.045367976250123</v>
      </c>
      <c r="AM20" s="26">
        <f ca="1">SUMIF($L$4:$AL$4,"SUBTOTAL",$L$20:$AL$20)</f>
        <v>398.33390532713378</v>
      </c>
      <c r="AP20" s="26">
        <v>1</v>
      </c>
    </row>
    <row r="21" spans="1:42" ht="11.25" customHeight="1" x14ac:dyDescent="0.25">
      <c r="A21" s="131"/>
      <c r="B21" s="131"/>
      <c r="C21" s="131"/>
      <c r="D21" s="45" t="s">
        <v>29</v>
      </c>
      <c r="E21" s="45" t="s">
        <v>25</v>
      </c>
      <c r="F21" s="45" t="s">
        <v>25</v>
      </c>
      <c r="G21" s="44" t="s">
        <v>82</v>
      </c>
      <c r="H21" s="44" t="s">
        <v>76</v>
      </c>
      <c r="I21" s="44">
        <f>'MERCADO TUSD'!$U$18</f>
        <v>203.58</v>
      </c>
      <c r="J21" s="18"/>
      <c r="L21" s="26">
        <f>'TR TUSD'!$L$21*'TR TUSD'!$L$60</f>
        <v>0</v>
      </c>
      <c r="M21" s="26">
        <f>'TR TUSD'!$M$21*'TR TUSD'!$M$60</f>
        <v>1.1567584752326132</v>
      </c>
      <c r="N21" s="26">
        <f ca="1">'TR TUSD'!$N$21*'TR TUSD'!$N$60</f>
        <v>0</v>
      </c>
      <c r="O21" s="26">
        <f>'TR TUSD'!$O$21*'TR TUSD'!$O$60</f>
        <v>0</v>
      </c>
      <c r="P21" s="26">
        <f>'TR TUSD'!$P$21*'TR TUSD'!$P$60</f>
        <v>0</v>
      </c>
      <c r="Q21" s="26">
        <f>'TR TUSD'!$Q$21*'TR TUSD'!$Q$60</f>
        <v>0</v>
      </c>
      <c r="R21" s="26">
        <f>'TR TUSD'!$R$21*'TR TUSD'!$R$60</f>
        <v>0</v>
      </c>
      <c r="S21" s="26">
        <f>'TR TUSD'!$S$21*'TR TUSD'!$S$60</f>
        <v>0</v>
      </c>
      <c r="T21" s="26">
        <f ca="1">SUM($L$21:$S$21)</f>
        <v>1.1567584752326132</v>
      </c>
      <c r="U21" s="26">
        <f>'TR TUSD'!$U$21*'TR TUSD'!$U$60</f>
        <v>15.984403213912618</v>
      </c>
      <c r="V21" s="26">
        <f>'TR TUSD'!$V$21*'TR TUSD'!$V$60</f>
        <v>12.615925537937823</v>
      </c>
      <c r="W21" s="26">
        <f>'TR TUSD'!$W$21*'TR TUSD'!$W$60</f>
        <v>0</v>
      </c>
      <c r="X21" s="26">
        <f>'TR TUSD'!$X$21*'TR TUSD'!$X$60</f>
        <v>0</v>
      </c>
      <c r="Y21" s="26">
        <f>'TR TUSD'!$Y$21*'TR TUSD'!$Y$60</f>
        <v>20.218139230122993</v>
      </c>
      <c r="Z21" s="26">
        <f>'TR TUSD'!$Z$21</f>
        <v>0</v>
      </c>
      <c r="AA21" s="26">
        <f>'TR TUSD'!$AA$21</f>
        <v>0</v>
      </c>
      <c r="AB21" s="26">
        <f>SUM($U$21:$AA$21)</f>
        <v>48.818467981973434</v>
      </c>
      <c r="AC21" s="26">
        <f>'TR TUSD'!$AC$21*'TR TUSD'!$AC$60</f>
        <v>228.62815173332331</v>
      </c>
      <c r="AD21" s="26">
        <f>SUM($AC$21:$AC$21)</f>
        <v>228.62815173332331</v>
      </c>
      <c r="AE21" s="26">
        <v>0</v>
      </c>
      <c r="AF21" s="26">
        <v>0</v>
      </c>
      <c r="AG21" s="26">
        <f>SUM($AE$21:$AF$21)</f>
        <v>0</v>
      </c>
      <c r="AH21" s="26">
        <f>'TR TUSD'!$AH$21*'TR TUSD'!$AH$60</f>
        <v>14.931010989550716</v>
      </c>
      <c r="AI21" s="26">
        <f>'TR TUSD'!$AI$21*'TR TUSD'!$AI$60</f>
        <v>0.11435698669940669</v>
      </c>
      <c r="AJ21" s="26">
        <f ca="1">'TR TUSD'!$AJ$21*'TR TUSD'!$AJ$60</f>
        <v>0</v>
      </c>
      <c r="AK21" s="26">
        <f ca="1">'TR TUSD'!$AK$21*'TR TUSD'!$AK$60</f>
        <v>0</v>
      </c>
      <c r="AL21" s="26">
        <f ca="1">SUM($AH$21:$AK$21)</f>
        <v>15.045367976250123</v>
      </c>
      <c r="AM21" s="26">
        <f ca="1">SUMIF($L$4:$AL$4,"SUBTOTAL",$L$21:$AL$21)</f>
        <v>293.64874616677952</v>
      </c>
      <c r="AP21" s="26">
        <f>IF((1 - CUSTOS!$M$24)&lt;&gt;0,1/(1 - CUSTOS!$M$24),1)</f>
        <v>1</v>
      </c>
    </row>
    <row r="22" spans="1:42" ht="11.25" customHeight="1" x14ac:dyDescent="0.25">
      <c r="A22" s="131"/>
      <c r="B22" s="131"/>
      <c r="C22" s="131"/>
      <c r="D22" s="45" t="s">
        <v>30</v>
      </c>
      <c r="E22" s="45" t="s">
        <v>25</v>
      </c>
      <c r="F22" s="45" t="s">
        <v>25</v>
      </c>
      <c r="G22" s="44" t="s">
        <v>82</v>
      </c>
      <c r="H22" s="44" t="s">
        <v>76</v>
      </c>
      <c r="I22" s="44">
        <f>'MERCADO TUSD'!$U$19</f>
        <v>441.75700000000001</v>
      </c>
      <c r="J22" s="18"/>
      <c r="L22" s="26">
        <f>'TR TUSD'!$L$22*'TR TUSD'!$L$60</f>
        <v>0</v>
      </c>
      <c r="M22" s="26">
        <f>'TR TUSD'!$M$22*'TR TUSD'!$M$60</f>
        <v>1.1567584752326132</v>
      </c>
      <c r="N22" s="26">
        <f ca="1">'TR TUSD'!$N$22*'TR TUSD'!$N$60</f>
        <v>0</v>
      </c>
      <c r="O22" s="26">
        <f>'TR TUSD'!$O$22*'TR TUSD'!$O$60</f>
        <v>0</v>
      </c>
      <c r="P22" s="26">
        <f>'TR TUSD'!$P$22*'TR TUSD'!$P$60</f>
        <v>0</v>
      </c>
      <c r="Q22" s="26">
        <f>'TR TUSD'!$Q$22*'TR TUSD'!$Q$60</f>
        <v>0</v>
      </c>
      <c r="R22" s="26">
        <f>'TR TUSD'!$R$22*'TR TUSD'!$R$60</f>
        <v>0</v>
      </c>
      <c r="S22" s="26">
        <f>'TR TUSD'!$S$22*'TR TUSD'!$S$60</f>
        <v>0</v>
      </c>
      <c r="T22" s="26">
        <f ca="1">SUM($L$22:$S$22)</f>
        <v>1.1567584752326132</v>
      </c>
      <c r="U22" s="26">
        <f>'TR TUSD'!$U$22*'TR TUSD'!$U$60</f>
        <v>15.984403213912618</v>
      </c>
      <c r="V22" s="26">
        <f>'TR TUSD'!$V$22*'TR TUSD'!$V$60</f>
        <v>12.615925537937823</v>
      </c>
      <c r="W22" s="26">
        <f>'TR TUSD'!$W$22*'TR TUSD'!$W$60</f>
        <v>0</v>
      </c>
      <c r="X22" s="26">
        <f>'TR TUSD'!$X$22*'TR TUSD'!$X$60</f>
        <v>0</v>
      </c>
      <c r="Y22" s="26">
        <f>'TR TUSD'!$Y$22*'TR TUSD'!$Y$60</f>
        <v>20.218139230122993</v>
      </c>
      <c r="Z22" s="26">
        <f>'TR TUSD'!$Z$22</f>
        <v>0</v>
      </c>
      <c r="AA22" s="26">
        <f>'TR TUSD'!$AA$22</f>
        <v>0</v>
      </c>
      <c r="AB22" s="26">
        <f>SUM($U$22:$AA$22)</f>
        <v>48.818467981973434</v>
      </c>
      <c r="AC22" s="26">
        <f>'TR TUSD'!$AC$22*'TR TUSD'!$AC$60</f>
        <v>228.62815173332331</v>
      </c>
      <c r="AD22" s="26">
        <f>SUM($AC$22:$AC$22)</f>
        <v>228.62815173332331</v>
      </c>
      <c r="AE22" s="26">
        <v>0</v>
      </c>
      <c r="AF22" s="26">
        <v>0</v>
      </c>
      <c r="AG22" s="26">
        <f>SUM($AE$22:$AF$22)</f>
        <v>0</v>
      </c>
      <c r="AH22" s="26">
        <f>'TR TUSD'!$AH$22*'TR TUSD'!$AH$60</f>
        <v>14.931010989550716</v>
      </c>
      <c r="AI22" s="26">
        <f>'TR TUSD'!$AI$22*'TR TUSD'!$AI$60</f>
        <v>0.11435698669940669</v>
      </c>
      <c r="AJ22" s="26">
        <f ca="1">'TR TUSD'!$AJ$22*'TR TUSD'!$AJ$60</f>
        <v>0</v>
      </c>
      <c r="AK22" s="26">
        <f ca="1">'TR TUSD'!$AK$22*'TR TUSD'!$AK$60</f>
        <v>0</v>
      </c>
      <c r="AL22" s="26">
        <f ca="1">SUM($AH$22:$AK$22)</f>
        <v>15.045367976250123</v>
      </c>
      <c r="AM22" s="26">
        <f ca="1">SUMIF($L$4:$AL$4,"SUBTOTAL",$L$22:$AL$22)</f>
        <v>293.64874616677952</v>
      </c>
      <c r="AP22" s="26">
        <f>IF((1 - CUSTOS!$M$25)&lt;&gt;0,1/(1 - CUSTOS!$M$25),1)</f>
        <v>1</v>
      </c>
    </row>
    <row r="23" spans="1:42" ht="11.25" customHeight="1" x14ac:dyDescent="0.25">
      <c r="A23" s="131"/>
      <c r="B23" s="131"/>
      <c r="C23" s="131"/>
      <c r="D23" s="45" t="s">
        <v>31</v>
      </c>
      <c r="E23" s="45" t="s">
        <v>25</v>
      </c>
      <c r="F23" s="45" t="s">
        <v>25</v>
      </c>
      <c r="G23" s="44" t="s">
        <v>82</v>
      </c>
      <c r="H23" s="44" t="s">
        <v>76</v>
      </c>
      <c r="I23" s="44">
        <f>'MERCADO TUSD'!$U$20</f>
        <v>380.55199999999996</v>
      </c>
      <c r="J23" s="18"/>
      <c r="L23" s="26">
        <f>'TR TUSD'!$L$23*'TR TUSD'!$L$60</f>
        <v>0</v>
      </c>
      <c r="M23" s="26">
        <f>'TR TUSD'!$M$23*'TR TUSD'!$M$60</f>
        <v>1.1567584752326132</v>
      </c>
      <c r="N23" s="26">
        <f ca="1">'TR TUSD'!$N$23*'TR TUSD'!$N$60</f>
        <v>0</v>
      </c>
      <c r="O23" s="26">
        <f>'TR TUSD'!$O$23*'TR TUSD'!$O$60</f>
        <v>0</v>
      </c>
      <c r="P23" s="26">
        <f>'TR TUSD'!$P$23*'TR TUSD'!$P$60</f>
        <v>0</v>
      </c>
      <c r="Q23" s="26">
        <f>'TR TUSD'!$Q$23*'TR TUSD'!$Q$60</f>
        <v>0</v>
      </c>
      <c r="R23" s="26">
        <f>'TR TUSD'!$R$23*'TR TUSD'!$R$60</f>
        <v>0</v>
      </c>
      <c r="S23" s="26">
        <f>'TR TUSD'!$S$23*'TR TUSD'!$S$60</f>
        <v>0</v>
      </c>
      <c r="T23" s="26">
        <f ca="1">SUM($L$23:$S$23)</f>
        <v>1.1567584752326132</v>
      </c>
      <c r="U23" s="26">
        <f>'TR TUSD'!$U$23*'TR TUSD'!$U$60</f>
        <v>15.984403213912618</v>
      </c>
      <c r="V23" s="26">
        <f>'TR TUSD'!$V$23*'TR TUSD'!$V$60</f>
        <v>12.615925537937823</v>
      </c>
      <c r="W23" s="26">
        <f>'TR TUSD'!$W$23*'TR TUSD'!$W$60</f>
        <v>0</v>
      </c>
      <c r="X23" s="26">
        <f>'TR TUSD'!$X$23*'TR TUSD'!$X$60</f>
        <v>0</v>
      </c>
      <c r="Y23" s="26">
        <f>'TR TUSD'!$Y$23*'TR TUSD'!$Y$60</f>
        <v>20.218139230122993</v>
      </c>
      <c r="Z23" s="26">
        <f>'TR TUSD'!$Z$23</f>
        <v>0</v>
      </c>
      <c r="AA23" s="26">
        <f>'TR TUSD'!$AA$23</f>
        <v>0</v>
      </c>
      <c r="AB23" s="26">
        <f>SUM($U$23:$AA$23)</f>
        <v>48.818467981973434</v>
      </c>
      <c r="AC23" s="26">
        <f>'TR TUSD'!$AC$23*'TR TUSD'!$AC$60</f>
        <v>228.62815173332331</v>
      </c>
      <c r="AD23" s="26">
        <f>SUM($AC$23:$AC$23)</f>
        <v>228.62815173332331</v>
      </c>
      <c r="AE23" s="26">
        <v>0</v>
      </c>
      <c r="AF23" s="26">
        <v>0</v>
      </c>
      <c r="AG23" s="26">
        <f>SUM($AE$23:$AF$23)</f>
        <v>0</v>
      </c>
      <c r="AH23" s="26">
        <f>'TR TUSD'!$AH$23*'TR TUSD'!$AH$60</f>
        <v>14.931010989550716</v>
      </c>
      <c r="AI23" s="26">
        <f>'TR TUSD'!$AI$23*'TR TUSD'!$AI$60</f>
        <v>0.11435698669940669</v>
      </c>
      <c r="AJ23" s="26">
        <f ca="1">'TR TUSD'!$AJ$23*'TR TUSD'!$AJ$60</f>
        <v>0</v>
      </c>
      <c r="AK23" s="26">
        <f ca="1">'TR TUSD'!$AK$23*'TR TUSD'!$AK$60</f>
        <v>0</v>
      </c>
      <c r="AL23" s="26">
        <f ca="1">SUM($AH$23:$AK$23)</f>
        <v>15.045367976250123</v>
      </c>
      <c r="AM23" s="26">
        <f ca="1">SUMIF($L$4:$AL$4,"SUBTOTAL",$L$23:$AL$23)</f>
        <v>293.64874616677952</v>
      </c>
      <c r="AP23" s="26">
        <f>IF((1 - CUSTOS!$M$26)&lt;&gt;0,1/(1 - CUSTOS!$M$26),1)</f>
        <v>1</v>
      </c>
    </row>
    <row r="24" spans="1:42" ht="11.25" customHeight="1" x14ac:dyDescent="0.25">
      <c r="A24" s="131"/>
      <c r="B24" s="131"/>
      <c r="C24" s="131"/>
      <c r="D24" s="45" t="s">
        <v>32</v>
      </c>
      <c r="E24" s="45" t="s">
        <v>25</v>
      </c>
      <c r="F24" s="45" t="s">
        <v>25</v>
      </c>
      <c r="G24" s="44" t="s">
        <v>82</v>
      </c>
      <c r="H24" s="44" t="s">
        <v>76</v>
      </c>
      <c r="I24" s="44">
        <f>'MERCADO TUSD'!$U$21</f>
        <v>85.721000000000004</v>
      </c>
      <c r="J24" s="18"/>
      <c r="L24" s="26">
        <f>'TR TUSD'!$L$24*'TR TUSD'!$L$60</f>
        <v>0</v>
      </c>
      <c r="M24" s="26">
        <f>'TR TUSD'!$M$24*'TR TUSD'!$M$60</f>
        <v>1.1567584752326132</v>
      </c>
      <c r="N24" s="26">
        <f ca="1">'TR TUSD'!$N$24*'TR TUSD'!$N$60</f>
        <v>0</v>
      </c>
      <c r="O24" s="26">
        <f>'TR TUSD'!$O$24*'TR TUSD'!$O$60</f>
        <v>0</v>
      </c>
      <c r="P24" s="26">
        <f>'TR TUSD'!$P$24*'TR TUSD'!$P$60</f>
        <v>0</v>
      </c>
      <c r="Q24" s="26">
        <f>'TR TUSD'!$Q$24*'TR TUSD'!$Q$60</f>
        <v>0</v>
      </c>
      <c r="R24" s="26">
        <f>'TR TUSD'!$R$24*'TR TUSD'!$R$60</f>
        <v>0</v>
      </c>
      <c r="S24" s="26">
        <f>'TR TUSD'!$S$24*'TR TUSD'!$S$60</f>
        <v>0</v>
      </c>
      <c r="T24" s="26">
        <f ca="1">SUM($L$24:$S$24)</f>
        <v>1.1567584752326132</v>
      </c>
      <c r="U24" s="26">
        <f>'TR TUSD'!$U$24*'TR TUSD'!$U$60</f>
        <v>15.984403213912618</v>
      </c>
      <c r="V24" s="26">
        <f>'TR TUSD'!$V$24*'TR TUSD'!$V$60</f>
        <v>12.615925537937823</v>
      </c>
      <c r="W24" s="26">
        <f>'TR TUSD'!$W$24*'TR TUSD'!$W$60</f>
        <v>0</v>
      </c>
      <c r="X24" s="26">
        <f>'TR TUSD'!$X$24*'TR TUSD'!$X$60</f>
        <v>0</v>
      </c>
      <c r="Y24" s="26">
        <f>'TR TUSD'!$Y$24*'TR TUSD'!$Y$60</f>
        <v>20.218139230122993</v>
      </c>
      <c r="Z24" s="26">
        <f>'TR TUSD'!$Z$24</f>
        <v>0</v>
      </c>
      <c r="AA24" s="26">
        <f>'TR TUSD'!$AA$24</f>
        <v>0</v>
      </c>
      <c r="AB24" s="26">
        <f>SUM($U$24:$AA$24)</f>
        <v>48.818467981973434</v>
      </c>
      <c r="AC24" s="26">
        <f>'TR TUSD'!$AC$24*'TR TUSD'!$AC$60</f>
        <v>228.62815173332331</v>
      </c>
      <c r="AD24" s="26">
        <f>SUM($AC$24:$AC$24)</f>
        <v>228.62815173332331</v>
      </c>
      <c r="AE24" s="26">
        <v>0</v>
      </c>
      <c r="AF24" s="26">
        <v>0</v>
      </c>
      <c r="AG24" s="26">
        <f>SUM($AE$24:$AF$24)</f>
        <v>0</v>
      </c>
      <c r="AH24" s="26">
        <f>'TR TUSD'!$AH$24*'TR TUSD'!$AH$60</f>
        <v>14.931010989550716</v>
      </c>
      <c r="AI24" s="26">
        <f>'TR TUSD'!$AI$24*'TR TUSD'!$AI$60</f>
        <v>0.11435698669940669</v>
      </c>
      <c r="AJ24" s="26">
        <f ca="1">'TR TUSD'!$AJ$24*'TR TUSD'!$AJ$60</f>
        <v>0</v>
      </c>
      <c r="AK24" s="26">
        <f ca="1">'TR TUSD'!$AK$24*'TR TUSD'!$AK$60</f>
        <v>0</v>
      </c>
      <c r="AL24" s="26">
        <f ca="1">SUM($AH$24:$AK$24)</f>
        <v>15.045367976250123</v>
      </c>
      <c r="AM24" s="26">
        <f ca="1">SUMIF($L$4:$AL$4,"SUBTOTAL",$L$24:$AL$24)</f>
        <v>293.64874616677952</v>
      </c>
      <c r="AP24" s="26">
        <f>IF((1 - CUSTOS!$M$27)&lt;&gt;0,1/(1 - CUSTOS!$M$27),1)</f>
        <v>1</v>
      </c>
    </row>
    <row r="25" spans="1:42" ht="11.25" customHeight="1" x14ac:dyDescent="0.25">
      <c r="A25" s="131"/>
      <c r="B25" s="131" t="s">
        <v>91</v>
      </c>
      <c r="C25" s="131" t="s">
        <v>24</v>
      </c>
      <c r="D25" s="45" t="s">
        <v>24</v>
      </c>
      <c r="E25" s="45" t="s">
        <v>25</v>
      </c>
      <c r="F25" s="45" t="s">
        <v>25</v>
      </c>
      <c r="G25" s="44" t="s">
        <v>82</v>
      </c>
      <c r="H25" s="44" t="s">
        <v>76</v>
      </c>
      <c r="I25" s="44">
        <f>'MERCADO TUSD'!$U$22</f>
        <v>0</v>
      </c>
      <c r="J25" s="18"/>
      <c r="L25" s="26">
        <f>'TR TUSD'!$L$25*'TR TUSD'!$L$60</f>
        <v>0</v>
      </c>
      <c r="M25" s="26">
        <f>'TR TUSD'!$M$25*'TR TUSD'!$M$60</f>
        <v>1.1567584752326132</v>
      </c>
      <c r="N25" s="26">
        <f ca="1">'TR TUSD'!$N$25*'TR TUSD'!$N$60</f>
        <v>0</v>
      </c>
      <c r="O25" s="26">
        <f>'TR TUSD'!$O$25*'TR TUSD'!$O$60</f>
        <v>0</v>
      </c>
      <c r="P25" s="26">
        <f>'TR TUSD'!$P$25*'TR TUSD'!$P$60</f>
        <v>0</v>
      </c>
      <c r="Q25" s="26">
        <f>'TR TUSD'!$Q$25*'TR TUSD'!$Q$60</f>
        <v>90.402838164476066</v>
      </c>
      <c r="R25" s="26">
        <f>'TR TUSD'!$R$25*'TR TUSD'!$R$60</f>
        <v>14.282320995878232</v>
      </c>
      <c r="S25" s="26">
        <f>'TR TUSD'!$S$25*'TR TUSD'!$S$60</f>
        <v>0</v>
      </c>
      <c r="T25" s="26">
        <f ca="1">SUM($L$25:$S$25)</f>
        <v>105.84191763558691</v>
      </c>
      <c r="U25" s="26">
        <f>'TR TUSD'!$U$25*'TR TUSD'!$U$60</f>
        <v>15.984403213912618</v>
      </c>
      <c r="V25" s="26">
        <f>'TR TUSD'!$V$25*'TR TUSD'!$V$60</f>
        <v>12.615925537937823</v>
      </c>
      <c r="W25" s="26">
        <f>'TR TUSD'!$W$25*'TR TUSD'!$W$60</f>
        <v>0</v>
      </c>
      <c r="X25" s="26">
        <f>'TR TUSD'!$X$25*'TR TUSD'!$X$60</f>
        <v>0</v>
      </c>
      <c r="Y25" s="26">
        <f>'TR TUSD'!$Y$25*'TR TUSD'!$Y$60</f>
        <v>20.218139230122993</v>
      </c>
      <c r="Z25" s="26">
        <f>'TR TUSD'!$Z$25</f>
        <v>0</v>
      </c>
      <c r="AA25" s="26">
        <f>'TR TUSD'!$AA$25</f>
        <v>0</v>
      </c>
      <c r="AB25" s="26">
        <f>SUM($U$25:$AA$25)</f>
        <v>48.818467981973434</v>
      </c>
      <c r="AC25" s="26">
        <f>'TR TUSD'!$AC$25*'TR TUSD'!$AC$60</f>
        <v>228.62815173332331</v>
      </c>
      <c r="AD25" s="26">
        <f>SUM($AC$25:$AC$25)</f>
        <v>228.62815173332331</v>
      </c>
      <c r="AE25" s="26">
        <v>0</v>
      </c>
      <c r="AF25" s="26">
        <v>0</v>
      </c>
      <c r="AG25" s="26">
        <f>SUM($AE$25:$AF$25)</f>
        <v>0</v>
      </c>
      <c r="AH25" s="26">
        <f>'TR TUSD'!$AH$25*'TR TUSD'!$AH$60</f>
        <v>14.931010989550716</v>
      </c>
      <c r="AI25" s="26">
        <f>'TR TUSD'!$AI$25*'TR TUSD'!$AI$60</f>
        <v>0.11435698669940669</v>
      </c>
      <c r="AJ25" s="26">
        <f ca="1">'TR TUSD'!$AJ$25*'TR TUSD'!$AJ$60</f>
        <v>0</v>
      </c>
      <c r="AK25" s="26">
        <f ca="1">'TR TUSD'!$AK$25*'TR TUSD'!$AK$60</f>
        <v>0</v>
      </c>
      <c r="AL25" s="26">
        <f ca="1">SUM($AH$25:$AK$25)</f>
        <v>15.045367976250123</v>
      </c>
      <c r="AM25" s="26">
        <f ca="1">SUMIF($L$4:$AL$4,"SUBTOTAL",$L$25:$AL$25)</f>
        <v>398.33390532713378</v>
      </c>
      <c r="AP25" s="26">
        <v>1</v>
      </c>
    </row>
    <row r="26" spans="1:42" ht="11.25" customHeight="1" x14ac:dyDescent="0.25">
      <c r="A26" s="131"/>
      <c r="B26" s="131"/>
      <c r="C26" s="131"/>
      <c r="D26" s="45" t="s">
        <v>29</v>
      </c>
      <c r="E26" s="45" t="s">
        <v>25</v>
      </c>
      <c r="F26" s="45" t="s">
        <v>25</v>
      </c>
      <c r="G26" s="44" t="s">
        <v>82</v>
      </c>
      <c r="H26" s="44" t="s">
        <v>76</v>
      </c>
      <c r="I26" s="44">
        <f>'MERCADO TUSD'!$U$23</f>
        <v>0</v>
      </c>
      <c r="J26" s="18"/>
      <c r="L26" s="26">
        <f>'TR TUSD'!$L$26*'TR TUSD'!$L$60</f>
        <v>0</v>
      </c>
      <c r="M26" s="26">
        <f>'TR TUSD'!$M$26*'TR TUSD'!$M$60</f>
        <v>1.1567584752326132</v>
      </c>
      <c r="N26" s="26">
        <f ca="1">'TR TUSD'!$N$26*'TR TUSD'!$N$60</f>
        <v>0</v>
      </c>
      <c r="O26" s="26">
        <f>'TR TUSD'!$O$26*'TR TUSD'!$O$60</f>
        <v>0</v>
      </c>
      <c r="P26" s="26">
        <f>'TR TUSD'!$P$26*'TR TUSD'!$P$60</f>
        <v>0</v>
      </c>
      <c r="Q26" s="26">
        <f>'TR TUSD'!$Q$26*'TR TUSD'!$Q$60</f>
        <v>0</v>
      </c>
      <c r="R26" s="26">
        <f>'TR TUSD'!$R$26*'TR TUSD'!$R$60</f>
        <v>0</v>
      </c>
      <c r="S26" s="26">
        <f>'TR TUSD'!$S$26*'TR TUSD'!$S$60</f>
        <v>0</v>
      </c>
      <c r="T26" s="26">
        <f ca="1">SUM($L$26:$S$26)</f>
        <v>1.1567584752326132</v>
      </c>
      <c r="U26" s="26">
        <f>'TR TUSD'!$U$26*'TR TUSD'!$U$60</f>
        <v>15.984403213912618</v>
      </c>
      <c r="V26" s="26">
        <f>'TR TUSD'!$V$26*'TR TUSD'!$V$60</f>
        <v>12.615925537937823</v>
      </c>
      <c r="W26" s="26">
        <f>'TR TUSD'!$W$26*'TR TUSD'!$W$60</f>
        <v>0</v>
      </c>
      <c r="X26" s="26">
        <f>'TR TUSD'!$X$26*'TR TUSD'!$X$60</f>
        <v>0</v>
      </c>
      <c r="Y26" s="26">
        <f>'TR TUSD'!$Y$26*'TR TUSD'!$Y$60</f>
        <v>20.218139230122993</v>
      </c>
      <c r="Z26" s="26">
        <f>'TR TUSD'!$Z$26</f>
        <v>0</v>
      </c>
      <c r="AA26" s="26">
        <f>'TR TUSD'!$AA$26</f>
        <v>0</v>
      </c>
      <c r="AB26" s="26">
        <f>SUM($U$26:$AA$26)</f>
        <v>48.818467981973434</v>
      </c>
      <c r="AC26" s="26">
        <f>'TR TUSD'!$AC$26*'TR TUSD'!$AC$60</f>
        <v>228.62815173332331</v>
      </c>
      <c r="AD26" s="26">
        <f>SUM($AC$26:$AC$26)</f>
        <v>228.62815173332331</v>
      </c>
      <c r="AE26" s="26">
        <v>0</v>
      </c>
      <c r="AF26" s="26">
        <v>0</v>
      </c>
      <c r="AG26" s="26">
        <f>SUM($AE$26:$AF$26)</f>
        <v>0</v>
      </c>
      <c r="AH26" s="26">
        <f>'TR TUSD'!$AH$26*'TR TUSD'!$AH$60</f>
        <v>14.931010989550716</v>
      </c>
      <c r="AI26" s="26">
        <f>'TR TUSD'!$AI$26*'TR TUSD'!$AI$60</f>
        <v>0.11435698669940669</v>
      </c>
      <c r="AJ26" s="26">
        <f ca="1">'TR TUSD'!$AJ$26*'TR TUSD'!$AJ$60</f>
        <v>0</v>
      </c>
      <c r="AK26" s="26">
        <f ca="1">'TR TUSD'!$AK$26*'TR TUSD'!$AK$60</f>
        <v>0</v>
      </c>
      <c r="AL26" s="26">
        <f ca="1">SUM($AH$26:$AK$26)</f>
        <v>15.045367976250123</v>
      </c>
      <c r="AM26" s="26">
        <f ca="1">SUMIF($L$4:$AL$4,"SUBTOTAL",$L$26:$AL$26)</f>
        <v>293.64874616677952</v>
      </c>
      <c r="AP26" s="26">
        <f>IF((1 - CUSTOS!$M$24)&lt;&gt;0,1/(1 - CUSTOS!$M$24),1)</f>
        <v>1</v>
      </c>
    </row>
    <row r="27" spans="1:42" ht="11.25" customHeight="1" x14ac:dyDescent="0.25">
      <c r="A27" s="131"/>
      <c r="B27" s="131"/>
      <c r="C27" s="131"/>
      <c r="D27" s="45" t="s">
        <v>30</v>
      </c>
      <c r="E27" s="45" t="s">
        <v>25</v>
      </c>
      <c r="F27" s="45" t="s">
        <v>25</v>
      </c>
      <c r="G27" s="44" t="s">
        <v>82</v>
      </c>
      <c r="H27" s="44" t="s">
        <v>76</v>
      </c>
      <c r="I27" s="44">
        <f>'MERCADO TUSD'!$U$24</f>
        <v>0</v>
      </c>
      <c r="J27" s="18"/>
      <c r="L27" s="26">
        <f>'TR TUSD'!$L$27*'TR TUSD'!$L$60</f>
        <v>0</v>
      </c>
      <c r="M27" s="26">
        <f>'TR TUSD'!$M$27*'TR TUSD'!$M$60</f>
        <v>1.1567584752326132</v>
      </c>
      <c r="N27" s="26">
        <f ca="1">'TR TUSD'!$N$27*'TR TUSD'!$N$60</f>
        <v>0</v>
      </c>
      <c r="O27" s="26">
        <f>'TR TUSD'!$O$27*'TR TUSD'!$O$60</f>
        <v>0</v>
      </c>
      <c r="P27" s="26">
        <f>'TR TUSD'!$P$27*'TR TUSD'!$P$60</f>
        <v>0</v>
      </c>
      <c r="Q27" s="26">
        <f>'TR TUSD'!$Q$27*'TR TUSD'!$Q$60</f>
        <v>0</v>
      </c>
      <c r="R27" s="26">
        <f>'TR TUSD'!$R$27*'TR TUSD'!$R$60</f>
        <v>0</v>
      </c>
      <c r="S27" s="26">
        <f>'TR TUSD'!$S$27*'TR TUSD'!$S$60</f>
        <v>0</v>
      </c>
      <c r="T27" s="26">
        <f ca="1">SUM($L$27:$S$27)</f>
        <v>1.1567584752326132</v>
      </c>
      <c r="U27" s="26">
        <f>'TR TUSD'!$U$27*'TR TUSD'!$U$60</f>
        <v>15.984403213912618</v>
      </c>
      <c r="V27" s="26">
        <f>'TR TUSD'!$V$27*'TR TUSD'!$V$60</f>
        <v>12.615925537937823</v>
      </c>
      <c r="W27" s="26">
        <f>'TR TUSD'!$W$27*'TR TUSD'!$W$60</f>
        <v>0</v>
      </c>
      <c r="X27" s="26">
        <f>'TR TUSD'!$X$27*'TR TUSD'!$X$60</f>
        <v>0</v>
      </c>
      <c r="Y27" s="26">
        <f>'TR TUSD'!$Y$27*'TR TUSD'!$Y$60</f>
        <v>20.218139230122993</v>
      </c>
      <c r="Z27" s="26">
        <f>'TR TUSD'!$Z$27</f>
        <v>0</v>
      </c>
      <c r="AA27" s="26">
        <f>'TR TUSD'!$AA$27</f>
        <v>0</v>
      </c>
      <c r="AB27" s="26">
        <f>SUM($U$27:$AA$27)</f>
        <v>48.818467981973434</v>
      </c>
      <c r="AC27" s="26">
        <f>'TR TUSD'!$AC$27*'TR TUSD'!$AC$60</f>
        <v>228.62815173332331</v>
      </c>
      <c r="AD27" s="26">
        <f>SUM($AC$27:$AC$27)</f>
        <v>228.62815173332331</v>
      </c>
      <c r="AE27" s="26">
        <v>0</v>
      </c>
      <c r="AF27" s="26">
        <v>0</v>
      </c>
      <c r="AG27" s="26">
        <f>SUM($AE$27:$AF$27)</f>
        <v>0</v>
      </c>
      <c r="AH27" s="26">
        <f>'TR TUSD'!$AH$27*'TR TUSD'!$AH$60</f>
        <v>14.931010989550716</v>
      </c>
      <c r="AI27" s="26">
        <f>'TR TUSD'!$AI$27*'TR TUSD'!$AI$60</f>
        <v>0.11435698669940669</v>
      </c>
      <c r="AJ27" s="26">
        <f ca="1">'TR TUSD'!$AJ$27*'TR TUSD'!$AJ$60</f>
        <v>0</v>
      </c>
      <c r="AK27" s="26">
        <f ca="1">'TR TUSD'!$AK$27*'TR TUSD'!$AK$60</f>
        <v>0</v>
      </c>
      <c r="AL27" s="26">
        <f ca="1">SUM($AH$27:$AK$27)</f>
        <v>15.045367976250123</v>
      </c>
      <c r="AM27" s="26">
        <f ca="1">SUMIF($L$4:$AL$4,"SUBTOTAL",$L$27:$AL$27)</f>
        <v>293.64874616677952</v>
      </c>
      <c r="AP27" s="26">
        <f>IF((1 - CUSTOS!$M$25)&lt;&gt;0,1/(1 - CUSTOS!$M$25),1)</f>
        <v>1</v>
      </c>
    </row>
    <row r="28" spans="1:42" ht="11.25" customHeight="1" x14ac:dyDescent="0.25">
      <c r="A28" s="131"/>
      <c r="B28" s="131"/>
      <c r="C28" s="131"/>
      <c r="D28" s="45" t="s">
        <v>31</v>
      </c>
      <c r="E28" s="45" t="s">
        <v>25</v>
      </c>
      <c r="F28" s="45" t="s">
        <v>25</v>
      </c>
      <c r="G28" s="44" t="s">
        <v>82</v>
      </c>
      <c r="H28" s="44" t="s">
        <v>76</v>
      </c>
      <c r="I28" s="44">
        <f>'MERCADO TUSD'!$U$25</f>
        <v>0</v>
      </c>
      <c r="J28" s="18"/>
      <c r="L28" s="26">
        <f>'TR TUSD'!$L$28*'TR TUSD'!$L$60</f>
        <v>0</v>
      </c>
      <c r="M28" s="26">
        <f>'TR TUSD'!$M$28*'TR TUSD'!$M$60</f>
        <v>1.1567584752326132</v>
      </c>
      <c r="N28" s="26">
        <f ca="1">'TR TUSD'!$N$28*'TR TUSD'!$N$60</f>
        <v>0</v>
      </c>
      <c r="O28" s="26">
        <f>'TR TUSD'!$O$28*'TR TUSD'!$O$60</f>
        <v>0</v>
      </c>
      <c r="P28" s="26">
        <f>'TR TUSD'!$P$28*'TR TUSD'!$P$60</f>
        <v>0</v>
      </c>
      <c r="Q28" s="26">
        <f>'TR TUSD'!$Q$28*'TR TUSD'!$Q$60</f>
        <v>0</v>
      </c>
      <c r="R28" s="26">
        <f>'TR TUSD'!$R$28*'TR TUSD'!$R$60</f>
        <v>0</v>
      </c>
      <c r="S28" s="26">
        <f>'TR TUSD'!$S$28*'TR TUSD'!$S$60</f>
        <v>0</v>
      </c>
      <c r="T28" s="26">
        <f ca="1">SUM($L$28:$S$28)</f>
        <v>1.1567584752326132</v>
      </c>
      <c r="U28" s="26">
        <f>'TR TUSD'!$U$28*'TR TUSD'!$U$60</f>
        <v>15.984403213912618</v>
      </c>
      <c r="V28" s="26">
        <f>'TR TUSD'!$V$28*'TR TUSD'!$V$60</f>
        <v>12.615925537937823</v>
      </c>
      <c r="W28" s="26">
        <f>'TR TUSD'!$W$28*'TR TUSD'!$W$60</f>
        <v>0</v>
      </c>
      <c r="X28" s="26">
        <f>'TR TUSD'!$X$28*'TR TUSD'!$X$60</f>
        <v>0</v>
      </c>
      <c r="Y28" s="26">
        <f>'TR TUSD'!$Y$28*'TR TUSD'!$Y$60</f>
        <v>20.218139230122993</v>
      </c>
      <c r="Z28" s="26">
        <f>'TR TUSD'!$Z$28</f>
        <v>0</v>
      </c>
      <c r="AA28" s="26">
        <f>'TR TUSD'!$AA$28</f>
        <v>0</v>
      </c>
      <c r="AB28" s="26">
        <f>SUM($U$28:$AA$28)</f>
        <v>48.818467981973434</v>
      </c>
      <c r="AC28" s="26">
        <f>'TR TUSD'!$AC$28*'TR TUSD'!$AC$60</f>
        <v>228.62815173332331</v>
      </c>
      <c r="AD28" s="26">
        <f>SUM($AC$28:$AC$28)</f>
        <v>228.62815173332331</v>
      </c>
      <c r="AE28" s="26">
        <v>0</v>
      </c>
      <c r="AF28" s="26">
        <v>0</v>
      </c>
      <c r="AG28" s="26">
        <f>SUM($AE$28:$AF$28)</f>
        <v>0</v>
      </c>
      <c r="AH28" s="26">
        <f>'TR TUSD'!$AH$28*'TR TUSD'!$AH$60</f>
        <v>14.931010989550716</v>
      </c>
      <c r="AI28" s="26">
        <f>'TR TUSD'!$AI$28*'TR TUSD'!$AI$60</f>
        <v>0.11435698669940669</v>
      </c>
      <c r="AJ28" s="26">
        <f ca="1">'TR TUSD'!$AJ$28*'TR TUSD'!$AJ$60</f>
        <v>0</v>
      </c>
      <c r="AK28" s="26">
        <f ca="1">'TR TUSD'!$AK$28*'TR TUSD'!$AK$60</f>
        <v>0</v>
      </c>
      <c r="AL28" s="26">
        <f ca="1">SUM($AH$28:$AK$28)</f>
        <v>15.045367976250123</v>
      </c>
      <c r="AM28" s="26">
        <f ca="1">SUMIF($L$4:$AL$4,"SUBTOTAL",$L$28:$AL$28)</f>
        <v>293.64874616677952</v>
      </c>
      <c r="AP28" s="26">
        <f>IF((1 - CUSTOS!$M$26)&lt;&gt;0,1/(1 - CUSTOS!$M$26),1)</f>
        <v>1</v>
      </c>
    </row>
    <row r="29" spans="1:42" ht="11.25" customHeight="1" x14ac:dyDescent="0.25">
      <c r="A29" s="131"/>
      <c r="B29" s="131"/>
      <c r="C29" s="131"/>
      <c r="D29" s="45" t="s">
        <v>32</v>
      </c>
      <c r="E29" s="45" t="s">
        <v>25</v>
      </c>
      <c r="F29" s="45" t="s">
        <v>25</v>
      </c>
      <c r="G29" s="44" t="s">
        <v>82</v>
      </c>
      <c r="H29" s="44" t="s">
        <v>76</v>
      </c>
      <c r="I29" s="44">
        <f>'MERCADO TUSD'!$U$26</f>
        <v>0</v>
      </c>
      <c r="J29" s="18"/>
      <c r="L29" s="26">
        <f>'TR TUSD'!$L$29*'TR TUSD'!$L$60</f>
        <v>0</v>
      </c>
      <c r="M29" s="26">
        <f>'TR TUSD'!$M$29*'TR TUSD'!$M$60</f>
        <v>1.1567584752326132</v>
      </c>
      <c r="N29" s="26">
        <f ca="1">'TR TUSD'!$N$29*'TR TUSD'!$N$60</f>
        <v>0</v>
      </c>
      <c r="O29" s="26">
        <f>'TR TUSD'!$O$29*'TR TUSD'!$O$60</f>
        <v>0</v>
      </c>
      <c r="P29" s="26">
        <f>'TR TUSD'!$P$29*'TR TUSD'!$P$60</f>
        <v>0</v>
      </c>
      <c r="Q29" s="26">
        <f>'TR TUSD'!$Q$29*'TR TUSD'!$Q$60</f>
        <v>0</v>
      </c>
      <c r="R29" s="26">
        <f>'TR TUSD'!$R$29*'TR TUSD'!$R$60</f>
        <v>0</v>
      </c>
      <c r="S29" s="26">
        <f>'TR TUSD'!$S$29*'TR TUSD'!$S$60</f>
        <v>0</v>
      </c>
      <c r="T29" s="26">
        <f ca="1">SUM($L$29:$S$29)</f>
        <v>1.1567584752326132</v>
      </c>
      <c r="U29" s="26">
        <f>'TR TUSD'!$U$29*'TR TUSD'!$U$60</f>
        <v>15.984403213912618</v>
      </c>
      <c r="V29" s="26">
        <f>'TR TUSD'!$V$29*'TR TUSD'!$V$60</f>
        <v>12.615925537937823</v>
      </c>
      <c r="W29" s="26">
        <f>'TR TUSD'!$W$29*'TR TUSD'!$W$60</f>
        <v>0</v>
      </c>
      <c r="X29" s="26">
        <f>'TR TUSD'!$X$29*'TR TUSD'!$X$60</f>
        <v>0</v>
      </c>
      <c r="Y29" s="26">
        <f>'TR TUSD'!$Y$29*'TR TUSD'!$Y$60</f>
        <v>20.218139230122993</v>
      </c>
      <c r="Z29" s="26">
        <f>'TR TUSD'!$Z$29</f>
        <v>0</v>
      </c>
      <c r="AA29" s="26">
        <f>'TR TUSD'!$AA$29</f>
        <v>0</v>
      </c>
      <c r="AB29" s="26">
        <f>SUM($U$29:$AA$29)</f>
        <v>48.818467981973434</v>
      </c>
      <c r="AC29" s="26">
        <f>'TR TUSD'!$AC$29*'TR TUSD'!$AC$60</f>
        <v>228.62815173332331</v>
      </c>
      <c r="AD29" s="26">
        <f>SUM($AC$29:$AC$29)</f>
        <v>228.62815173332331</v>
      </c>
      <c r="AE29" s="26">
        <v>0</v>
      </c>
      <c r="AF29" s="26">
        <v>0</v>
      </c>
      <c r="AG29" s="26">
        <f>SUM($AE$29:$AF$29)</f>
        <v>0</v>
      </c>
      <c r="AH29" s="26">
        <f>'TR TUSD'!$AH$29*'TR TUSD'!$AH$60</f>
        <v>14.931010989550716</v>
      </c>
      <c r="AI29" s="26">
        <f>'TR TUSD'!$AI$29*'TR TUSD'!$AI$60</f>
        <v>0.11435698669940669</v>
      </c>
      <c r="AJ29" s="26">
        <f ca="1">'TR TUSD'!$AJ$29*'TR TUSD'!$AJ$60</f>
        <v>0</v>
      </c>
      <c r="AK29" s="26">
        <f ca="1">'TR TUSD'!$AK$29*'TR TUSD'!$AK$60</f>
        <v>0</v>
      </c>
      <c r="AL29" s="26">
        <f ca="1">SUM($AH$29:$AK$29)</f>
        <v>15.045367976250123</v>
      </c>
      <c r="AM29" s="26">
        <f ca="1">SUMIF($L$4:$AL$4,"SUBTOTAL",$L$29:$AL$29)</f>
        <v>293.64874616677952</v>
      </c>
      <c r="AP29" s="26">
        <f>IF((1 - CUSTOS!$M$27)&lt;&gt;0,1/(1 - CUSTOS!$M$27),1)</f>
        <v>1</v>
      </c>
    </row>
    <row r="30" spans="1:42" ht="11.25" customHeight="1" x14ac:dyDescent="0.25">
      <c r="A30" s="131" t="s">
        <v>43</v>
      </c>
      <c r="B30" s="131" t="s">
        <v>37</v>
      </c>
      <c r="C30" s="131" t="s">
        <v>44</v>
      </c>
      <c r="D30" s="131" t="s">
        <v>25</v>
      </c>
      <c r="E30" s="131" t="s">
        <v>25</v>
      </c>
      <c r="F30" s="131" t="s">
        <v>25</v>
      </c>
      <c r="G30" s="44" t="s">
        <v>77</v>
      </c>
      <c r="H30" s="44" t="s">
        <v>76</v>
      </c>
      <c r="I30" s="44">
        <f>'MERCADO TUSD'!$U$27</f>
        <v>0.78900000000000003</v>
      </c>
      <c r="J30" s="18"/>
      <c r="L30" s="26">
        <f>'TR TUSD'!$L$30*'TR TUSD'!$L$60</f>
        <v>0</v>
      </c>
      <c r="M30" s="26">
        <f>'TR TUSD'!$M$30*'TR TUSD'!$M$60</f>
        <v>1.1567584752326132</v>
      </c>
      <c r="N30" s="26">
        <f ca="1">'TR TUSD'!$N$30*'TR TUSD'!$N$60</f>
        <v>0</v>
      </c>
      <c r="O30" s="26">
        <f>'TR TUSD'!$O$30*'TR TUSD'!$O$60</f>
        <v>0</v>
      </c>
      <c r="P30" s="26">
        <f>'TR TUSD'!$P$30*'TR TUSD'!$P$60</f>
        <v>0</v>
      </c>
      <c r="Q30" s="26">
        <f>'TR TUSD'!$Q$30*'TR TUSD'!$Q$60</f>
        <v>90.402838164476066</v>
      </c>
      <c r="R30" s="26">
        <f>'TR TUSD'!$R$30*'TR TUSD'!$R$60</f>
        <v>14.282320995878232</v>
      </c>
      <c r="S30" s="26">
        <f>'TR TUSD'!$S$30*'TR TUSD'!$S$60</f>
        <v>0</v>
      </c>
      <c r="T30" s="26">
        <f ca="1">SUM($L$30:$S$30)</f>
        <v>105.84191763558691</v>
      </c>
      <c r="U30" s="26">
        <f>'TR TUSD'!$U$30*'TR TUSD'!$U$60</f>
        <v>43.957033803037532</v>
      </c>
      <c r="V30" s="26">
        <f>'TR TUSD'!$V$30*'TR TUSD'!$V$60</f>
        <v>34.693660041868789</v>
      </c>
      <c r="W30" s="26">
        <f>'TR TUSD'!$W$30*'TR TUSD'!$W$60</f>
        <v>0</v>
      </c>
      <c r="X30" s="26">
        <f>'TR TUSD'!$X$30*'TR TUSD'!$X$60</f>
        <v>0</v>
      </c>
      <c r="Y30" s="26">
        <f>'TR TUSD'!$Y$30*'TR TUSD'!$Y$60</f>
        <v>55.599932335771022</v>
      </c>
      <c r="Z30" s="26">
        <f>'TR TUSD'!$Z$30</f>
        <v>0</v>
      </c>
      <c r="AA30" s="26">
        <f>'TR TUSD'!$AA$30</f>
        <v>0</v>
      </c>
      <c r="AB30" s="26">
        <f>SUM($U$30:$AA$30)</f>
        <v>134.25062618067736</v>
      </c>
      <c r="AC30" s="26">
        <f>'TR TUSD'!$AC$30*'TR TUSD'!$AC$60</f>
        <v>628.72792902752383</v>
      </c>
      <c r="AD30" s="26">
        <f>SUM($AC$30:$AC$30)</f>
        <v>628.72792902752383</v>
      </c>
      <c r="AE30" s="26">
        <v>0</v>
      </c>
      <c r="AF30" s="26">
        <v>0</v>
      </c>
      <c r="AG30" s="26">
        <f>SUM($AE$30:$AF$30)</f>
        <v>0</v>
      </c>
      <c r="AH30" s="26">
        <f>'TR TUSD'!$AH$30*'TR TUSD'!$AH$60</f>
        <v>14.931010989550716</v>
      </c>
      <c r="AI30" s="26">
        <f>'TR TUSD'!$AI$30*'TR TUSD'!$AI$60</f>
        <v>0.11435698669940669</v>
      </c>
      <c r="AJ30" s="26">
        <f ca="1">'TR TUSD'!$AJ$30*'TR TUSD'!$AJ$60</f>
        <v>0</v>
      </c>
      <c r="AK30" s="26">
        <f ca="1">'TR TUSD'!$AK$30*'TR TUSD'!$AK$60</f>
        <v>0</v>
      </c>
      <c r="AL30" s="26">
        <f ca="1">SUM($AH$30:$AK$30)</f>
        <v>15.045367976250123</v>
      </c>
      <c r="AM30" s="26">
        <f ca="1">SUMIF($L$4:$AL$4,"SUBTOTAL",$L$30:$AL$30)</f>
        <v>883.86584082003822</v>
      </c>
      <c r="AP30" s="26">
        <f>IF((1 - CUSTOS!$M$28)&lt;&gt;0,1/(1 - CUSTOS!$M$28),1)</f>
        <v>1</v>
      </c>
    </row>
    <row r="31" spans="1:42" ht="11.25" customHeight="1" x14ac:dyDescent="0.25">
      <c r="A31" s="131"/>
      <c r="B31" s="131"/>
      <c r="C31" s="131"/>
      <c r="D31" s="131"/>
      <c r="E31" s="131"/>
      <c r="F31" s="131"/>
      <c r="G31" s="44" t="s">
        <v>88</v>
      </c>
      <c r="H31" s="44" t="s">
        <v>76</v>
      </c>
      <c r="I31" s="44">
        <f>'MERCADO TUSD'!$U$28</f>
        <v>0.57700000000000018</v>
      </c>
      <c r="J31" s="18"/>
      <c r="L31" s="26">
        <f>'TR TUSD'!$L$31*'TR TUSD'!$L$60</f>
        <v>0</v>
      </c>
      <c r="M31" s="26">
        <f>'TR TUSD'!$M$31*'TR TUSD'!$M$60</f>
        <v>1.1567584752326132</v>
      </c>
      <c r="N31" s="26">
        <f ca="1">'TR TUSD'!$N$31*'TR TUSD'!$N$60</f>
        <v>0</v>
      </c>
      <c r="O31" s="26">
        <f>'TR TUSD'!$O$31*'TR TUSD'!$O$60</f>
        <v>0</v>
      </c>
      <c r="P31" s="26">
        <f>'TR TUSD'!$P$31*'TR TUSD'!$P$60</f>
        <v>0</v>
      </c>
      <c r="Q31" s="26">
        <f>'TR TUSD'!$Q$31*'TR TUSD'!$Q$60</f>
        <v>90.402838164476066</v>
      </c>
      <c r="R31" s="26">
        <f>'TR TUSD'!$R$31*'TR TUSD'!$R$60</f>
        <v>14.282320995878232</v>
      </c>
      <c r="S31" s="26">
        <f>'TR TUSD'!$S$31*'TR TUSD'!$S$60</f>
        <v>0</v>
      </c>
      <c r="T31" s="26">
        <f ca="1">SUM($L$31:$S$31)</f>
        <v>105.84191763558691</v>
      </c>
      <c r="U31" s="26">
        <f>'TR TUSD'!$U$31*'TR TUSD'!$U$60</f>
        <v>26.374280310000252</v>
      </c>
      <c r="V31" s="26">
        <f>'TR TUSD'!$V$31*'TR TUSD'!$V$60</f>
        <v>20.816087875153098</v>
      </c>
      <c r="W31" s="26">
        <f>'TR TUSD'!$W$31*'TR TUSD'!$W$60</f>
        <v>0</v>
      </c>
      <c r="X31" s="26">
        <f>'TR TUSD'!$X$31*'TR TUSD'!$X$60</f>
        <v>0</v>
      </c>
      <c r="Y31" s="26">
        <f>'TR TUSD'!$Y$31*'TR TUSD'!$Y$60</f>
        <v>33.359959401462611</v>
      </c>
      <c r="Z31" s="26">
        <f>'TR TUSD'!$Z$31</f>
        <v>0</v>
      </c>
      <c r="AA31" s="26">
        <f>'TR TUSD'!$AA$31</f>
        <v>0</v>
      </c>
      <c r="AB31" s="26">
        <f>SUM($U$31:$AA$31)</f>
        <v>80.550327586615964</v>
      </c>
      <c r="AC31" s="26">
        <f>'TR TUSD'!$AC$31*'TR TUSD'!$AC$60</f>
        <v>377.23668918172967</v>
      </c>
      <c r="AD31" s="26">
        <f>SUM($AC$31:$AC$31)</f>
        <v>377.23668918172967</v>
      </c>
      <c r="AE31" s="26">
        <v>0</v>
      </c>
      <c r="AF31" s="26">
        <v>0</v>
      </c>
      <c r="AG31" s="26">
        <f>SUM($AE$31:$AF$31)</f>
        <v>0</v>
      </c>
      <c r="AH31" s="26">
        <f>'TR TUSD'!$AH$31*'TR TUSD'!$AH$60</f>
        <v>14.931010989550716</v>
      </c>
      <c r="AI31" s="26">
        <f>'TR TUSD'!$AI$31*'TR TUSD'!$AI$60</f>
        <v>0.11435698669940669</v>
      </c>
      <c r="AJ31" s="26">
        <f ca="1">'TR TUSD'!$AJ$31*'TR TUSD'!$AJ$60</f>
        <v>0</v>
      </c>
      <c r="AK31" s="26">
        <f ca="1">'TR TUSD'!$AK$31*'TR TUSD'!$AK$60</f>
        <v>0</v>
      </c>
      <c r="AL31" s="26">
        <f ca="1">SUM($AH$31:$AK$31)</f>
        <v>15.045367976250123</v>
      </c>
      <c r="AM31" s="26">
        <f ca="1">SUMIF($L$4:$AL$4,"SUBTOTAL",$L$31:$AL$31)</f>
        <v>578.67430238018267</v>
      </c>
      <c r="AP31" s="26">
        <f>IF((1 - CUSTOS!$M$28)&lt;&gt;0,1/(1 - CUSTOS!$M$28),1)</f>
        <v>1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44" t="s">
        <v>78</v>
      </c>
      <c r="H32" s="44" t="s">
        <v>76</v>
      </c>
      <c r="I32" s="44">
        <f>'MERCADO TUSD'!$U$29</f>
        <v>5.0960000000000001</v>
      </c>
      <c r="J32" s="18"/>
      <c r="L32" s="26">
        <f>'TR TUSD'!$L$32*'TR TUSD'!$L$60</f>
        <v>0</v>
      </c>
      <c r="M32" s="26">
        <f>'TR TUSD'!$M$32*'TR TUSD'!$M$60</f>
        <v>1.1567584752326132</v>
      </c>
      <c r="N32" s="26">
        <f ca="1">'TR TUSD'!$N$32*'TR TUSD'!$N$60</f>
        <v>0</v>
      </c>
      <c r="O32" s="26">
        <f>'TR TUSD'!$O$32*'TR TUSD'!$O$60</f>
        <v>0</v>
      </c>
      <c r="P32" s="26">
        <f>'TR TUSD'!$P$32*'TR TUSD'!$P$60</f>
        <v>0</v>
      </c>
      <c r="Q32" s="26">
        <f>'TR TUSD'!$Q$32*'TR TUSD'!$Q$60</f>
        <v>90.402838164476066</v>
      </c>
      <c r="R32" s="26">
        <f>'TR TUSD'!$R$32*'TR TUSD'!$R$60</f>
        <v>14.282320995878232</v>
      </c>
      <c r="S32" s="26">
        <f>'TR TUSD'!$S$32*'TR TUSD'!$S$60</f>
        <v>0</v>
      </c>
      <c r="T32" s="26">
        <f ca="1">SUM($L$32:$S$32)</f>
        <v>105.84191763558691</v>
      </c>
      <c r="U32" s="26">
        <f>'TR TUSD'!$U$32*'TR TUSD'!$U$60</f>
        <v>8.7914267700000845</v>
      </c>
      <c r="V32" s="26">
        <f>'TR TUSD'!$V$32*'TR TUSD'!$V$60</f>
        <v>6.9386702083919429</v>
      </c>
      <c r="W32" s="26">
        <f>'TR TUSD'!$W$32*'TR TUSD'!$W$60</f>
        <v>0</v>
      </c>
      <c r="X32" s="26">
        <f>'TR TUSD'!$X$32*'TR TUSD'!$X$60</f>
        <v>0</v>
      </c>
      <c r="Y32" s="26">
        <f>'TR TUSD'!$Y$32*'TR TUSD'!$Y$60</f>
        <v>11.119986467154204</v>
      </c>
      <c r="Z32" s="26">
        <f>'TR TUSD'!$Z$32</f>
        <v>0</v>
      </c>
      <c r="AA32" s="26">
        <f>'TR TUSD'!$AA$32</f>
        <v>0</v>
      </c>
      <c r="AB32" s="26">
        <f>SUM($U$32:$AA$32)</f>
        <v>26.850083445546232</v>
      </c>
      <c r="AC32" s="26">
        <f>'TR TUSD'!$AC$32*'TR TUSD'!$AC$60</f>
        <v>125.74556306057656</v>
      </c>
      <c r="AD32" s="26">
        <f>SUM($AC$32:$AC$32)</f>
        <v>125.74556306057656</v>
      </c>
      <c r="AE32" s="26">
        <v>0</v>
      </c>
      <c r="AF32" s="26">
        <v>0</v>
      </c>
      <c r="AG32" s="26">
        <f>SUM($AE$32:$AF$32)</f>
        <v>0</v>
      </c>
      <c r="AH32" s="26">
        <f>'TR TUSD'!$AH$32*'TR TUSD'!$AH$60</f>
        <v>14.931010989550716</v>
      </c>
      <c r="AI32" s="26">
        <f>'TR TUSD'!$AI$32*'TR TUSD'!$AI$60</f>
        <v>0.11435698669940669</v>
      </c>
      <c r="AJ32" s="26">
        <f ca="1">'TR TUSD'!$AJ$32*'TR TUSD'!$AJ$60</f>
        <v>0</v>
      </c>
      <c r="AK32" s="26">
        <f ca="1">'TR TUSD'!$AK$32*'TR TUSD'!$AK$60</f>
        <v>0</v>
      </c>
      <c r="AL32" s="26">
        <f ca="1">SUM($AH$32:$AK$32)</f>
        <v>15.045367976250123</v>
      </c>
      <c r="AM32" s="26">
        <f ca="1">SUMIF($L$4:$AL$4,"SUBTOTAL",$L$32:$AL$32)</f>
        <v>273.48293211795982</v>
      </c>
      <c r="AP32" s="26">
        <f>IF((1 - CUSTOS!$M$28)&lt;&gt;0,1/(1 - CUSTOS!$M$28),1)</f>
        <v>1</v>
      </c>
    </row>
    <row r="33" spans="1:42" ht="11.25" customHeight="1" x14ac:dyDescent="0.25">
      <c r="A33" s="131"/>
      <c r="B33" s="45" t="s">
        <v>23</v>
      </c>
      <c r="C33" s="45" t="s">
        <v>44</v>
      </c>
      <c r="D33" s="45" t="s">
        <v>25</v>
      </c>
      <c r="E33" s="45" t="s">
        <v>25</v>
      </c>
      <c r="F33" s="45" t="s">
        <v>25</v>
      </c>
      <c r="G33" s="44" t="s">
        <v>82</v>
      </c>
      <c r="H33" s="44" t="s">
        <v>76</v>
      </c>
      <c r="I33" s="44">
        <f>'MERCADO TUSD'!$U$30</f>
        <v>36373.667999999998</v>
      </c>
      <c r="J33" s="18"/>
      <c r="L33" s="26">
        <f>'TR TUSD'!$L$33*'TR TUSD'!$L$60</f>
        <v>0</v>
      </c>
      <c r="M33" s="26">
        <f>'TR TUSD'!$M$33*'TR TUSD'!$M$60</f>
        <v>1.1567584752326132</v>
      </c>
      <c r="N33" s="26">
        <f ca="1">'TR TUSD'!$N$33*'TR TUSD'!$N$60</f>
        <v>0</v>
      </c>
      <c r="O33" s="26">
        <f>'TR TUSD'!$O$33*'TR TUSD'!$O$60</f>
        <v>0</v>
      </c>
      <c r="P33" s="26">
        <f>'TR TUSD'!$P$33*'TR TUSD'!$P$60</f>
        <v>0</v>
      </c>
      <c r="Q33" s="26">
        <f>'TR TUSD'!$Q$33*'TR TUSD'!$Q$60</f>
        <v>90.402838164476066</v>
      </c>
      <c r="R33" s="26">
        <f>'TR TUSD'!$R$33*'TR TUSD'!$R$60</f>
        <v>14.282320995878232</v>
      </c>
      <c r="S33" s="26">
        <f>'TR TUSD'!$S$33*'TR TUSD'!$S$60</f>
        <v>0</v>
      </c>
      <c r="T33" s="26">
        <f ca="1">SUM($L$33:$S$33)</f>
        <v>105.84191763558691</v>
      </c>
      <c r="U33" s="26">
        <f>'TR TUSD'!$U$33*'TR TUSD'!$U$60</f>
        <v>15.984403213912618</v>
      </c>
      <c r="V33" s="26">
        <f>'TR TUSD'!$V$33*'TR TUSD'!$V$60</f>
        <v>12.615925537937823</v>
      </c>
      <c r="W33" s="26">
        <f>'TR TUSD'!$W$33*'TR TUSD'!$W$60</f>
        <v>0</v>
      </c>
      <c r="X33" s="26">
        <f>'TR TUSD'!$X$33*'TR TUSD'!$X$60</f>
        <v>0</v>
      </c>
      <c r="Y33" s="26">
        <f>'TR TUSD'!$Y$33*'TR TUSD'!$Y$60</f>
        <v>20.218139230122993</v>
      </c>
      <c r="Z33" s="26">
        <f>'TR TUSD'!$Z$33</f>
        <v>0</v>
      </c>
      <c r="AA33" s="26">
        <f>'TR TUSD'!$AA$33</f>
        <v>0</v>
      </c>
      <c r="AB33" s="26">
        <f>SUM($U$33:$AA$33)</f>
        <v>48.818467981973434</v>
      </c>
      <c r="AC33" s="26">
        <f>'TR TUSD'!$AC$33*'TR TUSD'!$AC$60</f>
        <v>228.62815173332331</v>
      </c>
      <c r="AD33" s="26">
        <f>SUM($AC$33:$AC$33)</f>
        <v>228.62815173332331</v>
      </c>
      <c r="AE33" s="26">
        <v>0</v>
      </c>
      <c r="AF33" s="26">
        <v>0</v>
      </c>
      <c r="AG33" s="26">
        <f>SUM($AE$33:$AF$33)</f>
        <v>0</v>
      </c>
      <c r="AH33" s="26">
        <f>'TR TUSD'!$AH$33*'TR TUSD'!$AH$60</f>
        <v>14.931010989550716</v>
      </c>
      <c r="AI33" s="26">
        <f>'TR TUSD'!$AI$33*'TR TUSD'!$AI$60</f>
        <v>0.11435698669940669</v>
      </c>
      <c r="AJ33" s="26">
        <f ca="1">'TR TUSD'!$AJ$33*'TR TUSD'!$AJ$60</f>
        <v>0</v>
      </c>
      <c r="AK33" s="26">
        <f ca="1">'TR TUSD'!$AK$33*'TR TUSD'!$AK$60</f>
        <v>0</v>
      </c>
      <c r="AL33" s="26">
        <f ca="1">SUM($AH$33:$AK$33)</f>
        <v>15.045367976250123</v>
      </c>
      <c r="AM33" s="26">
        <f ca="1">SUMIF($L$4:$AL$4,"SUBTOTAL",$L$33:$AL$33)</f>
        <v>398.33390532713378</v>
      </c>
      <c r="AP33" s="26">
        <f>IF((1 - CUSTOS!$M$28)&lt;&gt;0,1/(1 - CUSTOS!$M$28),1)</f>
        <v>1</v>
      </c>
    </row>
    <row r="34" spans="1:42" ht="11.25" customHeight="1" x14ac:dyDescent="0.25">
      <c r="A34" s="131"/>
      <c r="B34" s="131" t="s">
        <v>37</v>
      </c>
      <c r="C34" s="131" t="s">
        <v>44</v>
      </c>
      <c r="D34" s="131" t="s">
        <v>92</v>
      </c>
      <c r="E34" s="131" t="s">
        <v>25</v>
      </c>
      <c r="F34" s="131" t="s">
        <v>25</v>
      </c>
      <c r="G34" s="44" t="s">
        <v>77</v>
      </c>
      <c r="H34" s="44" t="s">
        <v>76</v>
      </c>
      <c r="I34" s="44">
        <f>'MERCADO TUSD'!$U$31</f>
        <v>0</v>
      </c>
      <c r="J34" s="18"/>
      <c r="L34" s="26">
        <f>'TR TUSD'!$L$34*'TR TUSD'!$L$60</f>
        <v>0</v>
      </c>
      <c r="M34" s="26">
        <f>'TR TUSD'!$M$34*'TR TUSD'!$M$60</f>
        <v>1.1567584752326132</v>
      </c>
      <c r="N34" s="26">
        <f ca="1">'TR TUSD'!$N$34*'TR TUSD'!$N$60</f>
        <v>0</v>
      </c>
      <c r="O34" s="26">
        <f>'TR TUSD'!$O$34*'TR TUSD'!$O$60</f>
        <v>0</v>
      </c>
      <c r="P34" s="26">
        <f>'TR TUSD'!$P$34*'TR TUSD'!$P$60</f>
        <v>0</v>
      </c>
      <c r="Q34" s="26">
        <f>'TR TUSD'!$Q$34*'TR TUSD'!$Q$60</f>
        <v>90.402838164476066</v>
      </c>
      <c r="R34" s="26">
        <f>'TR TUSD'!$R$34*'TR TUSD'!$R$60</f>
        <v>14.282320995878232</v>
      </c>
      <c r="S34" s="26">
        <f>'TR TUSD'!$S$34*'TR TUSD'!$S$60</f>
        <v>0</v>
      </c>
      <c r="T34" s="26">
        <f ca="1">SUM($L$34:$S$34)</f>
        <v>105.84191763558691</v>
      </c>
      <c r="U34" s="26">
        <f>'TR TUSD'!$U$34*'TR TUSD'!$U$60</f>
        <v>43.957033803037532</v>
      </c>
      <c r="V34" s="26">
        <f>'TR TUSD'!$V$34*'TR TUSD'!$V$60</f>
        <v>34.693660041868789</v>
      </c>
      <c r="W34" s="26">
        <f>'TR TUSD'!$W$34*'TR TUSD'!$W$60</f>
        <v>0</v>
      </c>
      <c r="X34" s="26">
        <f>'TR TUSD'!$X$34*'TR TUSD'!$X$60</f>
        <v>0</v>
      </c>
      <c r="Y34" s="26">
        <f>'TR TUSD'!$Y$34*'TR TUSD'!$Y$60</f>
        <v>55.599932335771022</v>
      </c>
      <c r="Z34" s="26">
        <f>'TR TUSD'!$Z$34</f>
        <v>0</v>
      </c>
      <c r="AA34" s="26">
        <f>'TR TUSD'!$AA$34</f>
        <v>0</v>
      </c>
      <c r="AB34" s="26">
        <f>SUM($U$34:$AA$34)</f>
        <v>134.25062618067736</v>
      </c>
      <c r="AC34" s="26">
        <f>'TR TUSD'!$AC$34*'TR TUSD'!$AC$60</f>
        <v>628.72792902752383</v>
      </c>
      <c r="AD34" s="26">
        <f>SUM($AC$34:$AC$34)</f>
        <v>628.72792902752383</v>
      </c>
      <c r="AE34" s="26">
        <v>0</v>
      </c>
      <c r="AF34" s="26">
        <v>0</v>
      </c>
      <c r="AG34" s="26">
        <f>SUM($AE$34:$AF$34)</f>
        <v>0</v>
      </c>
      <c r="AH34" s="26">
        <f>'TR TUSD'!$AH$34*'TR TUSD'!$AH$60</f>
        <v>14.931010989550716</v>
      </c>
      <c r="AI34" s="26">
        <f>'TR TUSD'!$AI$34*'TR TUSD'!$AI$60</f>
        <v>0.11435698669940669</v>
      </c>
      <c r="AJ34" s="26">
        <f ca="1">'TR TUSD'!$AJ$34*'TR TUSD'!$AJ$60</f>
        <v>0</v>
      </c>
      <c r="AK34" s="26">
        <f ca="1">'TR TUSD'!$AK$34*'TR TUSD'!$AK$60</f>
        <v>0</v>
      </c>
      <c r="AL34" s="26">
        <f ca="1">SUM($AH$34:$AK$34)</f>
        <v>15.045367976250123</v>
      </c>
      <c r="AM34" s="26">
        <f ca="1">SUMIF($L$4:$AL$4,"SUBTOTAL",$L$34:$AL$34)</f>
        <v>883.86584082003822</v>
      </c>
      <c r="AP34" s="26">
        <f>IF((1 - CUSTOS!$M$29)&lt;&gt;0,1/(1 - CUSTOS!$M$29),1)</f>
        <v>1</v>
      </c>
    </row>
    <row r="35" spans="1:42" ht="11.25" customHeight="1" x14ac:dyDescent="0.25">
      <c r="A35" s="131"/>
      <c r="B35" s="131"/>
      <c r="C35" s="131"/>
      <c r="D35" s="131"/>
      <c r="E35" s="131"/>
      <c r="F35" s="131"/>
      <c r="G35" s="44" t="s">
        <v>88</v>
      </c>
      <c r="H35" s="44" t="s">
        <v>76</v>
      </c>
      <c r="I35" s="44">
        <f>'MERCADO TUSD'!$U$32</f>
        <v>0</v>
      </c>
      <c r="J35" s="18"/>
      <c r="L35" s="26">
        <f>'TR TUSD'!$L$35*'TR TUSD'!$L$60</f>
        <v>0</v>
      </c>
      <c r="M35" s="26">
        <f>'TR TUSD'!$M$35*'TR TUSD'!$M$60</f>
        <v>1.1567584752326132</v>
      </c>
      <c r="N35" s="26">
        <f ca="1">'TR TUSD'!$N$35*'TR TUSD'!$N$60</f>
        <v>0</v>
      </c>
      <c r="O35" s="26">
        <f>'TR TUSD'!$O$35*'TR TUSD'!$O$60</f>
        <v>0</v>
      </c>
      <c r="P35" s="26">
        <f>'TR TUSD'!$P$35*'TR TUSD'!$P$60</f>
        <v>0</v>
      </c>
      <c r="Q35" s="26">
        <f>'TR TUSD'!$Q$35*'TR TUSD'!$Q$60</f>
        <v>90.402838164476066</v>
      </c>
      <c r="R35" s="26">
        <f>'TR TUSD'!$R$35*'TR TUSD'!$R$60</f>
        <v>14.282320995878232</v>
      </c>
      <c r="S35" s="26">
        <f>'TR TUSD'!$S$35*'TR TUSD'!$S$60</f>
        <v>0</v>
      </c>
      <c r="T35" s="26">
        <f ca="1">SUM($L$35:$S$35)</f>
        <v>105.84191763558691</v>
      </c>
      <c r="U35" s="26">
        <f>'TR TUSD'!$U$35*'TR TUSD'!$U$60</f>
        <v>26.374280310000252</v>
      </c>
      <c r="V35" s="26">
        <f>'TR TUSD'!$V$35*'TR TUSD'!$V$60</f>
        <v>20.816087875153098</v>
      </c>
      <c r="W35" s="26">
        <f>'TR TUSD'!$W$35*'TR TUSD'!$W$60</f>
        <v>0</v>
      </c>
      <c r="X35" s="26">
        <f>'TR TUSD'!$X$35*'TR TUSD'!$X$60</f>
        <v>0</v>
      </c>
      <c r="Y35" s="26">
        <f>'TR TUSD'!$Y$35*'TR TUSD'!$Y$60</f>
        <v>33.359959401462611</v>
      </c>
      <c r="Z35" s="26">
        <f>'TR TUSD'!$Z$35</f>
        <v>0</v>
      </c>
      <c r="AA35" s="26">
        <f>'TR TUSD'!$AA$35</f>
        <v>0</v>
      </c>
      <c r="AB35" s="26">
        <f>SUM($U$35:$AA$35)</f>
        <v>80.550327586615964</v>
      </c>
      <c r="AC35" s="26">
        <f>'TR TUSD'!$AC$35*'TR TUSD'!$AC$60</f>
        <v>377.23668918172967</v>
      </c>
      <c r="AD35" s="26">
        <f>SUM($AC$35:$AC$35)</f>
        <v>377.23668918172967</v>
      </c>
      <c r="AE35" s="26">
        <v>0</v>
      </c>
      <c r="AF35" s="26">
        <v>0</v>
      </c>
      <c r="AG35" s="26">
        <f>SUM($AE$35:$AF$35)</f>
        <v>0</v>
      </c>
      <c r="AH35" s="26">
        <f>'TR TUSD'!$AH$35*'TR TUSD'!$AH$60</f>
        <v>14.931010989550716</v>
      </c>
      <c r="AI35" s="26">
        <f>'TR TUSD'!$AI$35*'TR TUSD'!$AI$60</f>
        <v>0.11435698669940669</v>
      </c>
      <c r="AJ35" s="26">
        <f ca="1">'TR TUSD'!$AJ$35*'TR TUSD'!$AJ$60</f>
        <v>0</v>
      </c>
      <c r="AK35" s="26">
        <f ca="1">'TR TUSD'!$AK$35*'TR TUSD'!$AK$60</f>
        <v>0</v>
      </c>
      <c r="AL35" s="26">
        <f ca="1">SUM($AH$35:$AK$35)</f>
        <v>15.045367976250123</v>
      </c>
      <c r="AM35" s="26">
        <f ca="1">SUMIF($L$4:$AL$4,"SUBTOTAL",$L$35:$AL$35)</f>
        <v>578.67430238018267</v>
      </c>
      <c r="AP35" s="26">
        <f>IF((1 - CUSTOS!$M$29)&lt;&gt;0,1/(1 - CUSTOS!$M$29),1)</f>
        <v>1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44" t="s">
        <v>78</v>
      </c>
      <c r="H36" s="44" t="s">
        <v>76</v>
      </c>
      <c r="I36" s="44">
        <f>'MERCADO TUSD'!$U$33</f>
        <v>0</v>
      </c>
      <c r="J36" s="18"/>
      <c r="L36" s="26">
        <f>'TR TUSD'!$L$36*'TR TUSD'!$L$60</f>
        <v>0</v>
      </c>
      <c r="M36" s="26">
        <f>'TR TUSD'!$M$36*'TR TUSD'!$M$60</f>
        <v>1.1567584752326132</v>
      </c>
      <c r="N36" s="26">
        <f ca="1">'TR TUSD'!$N$36*'TR TUSD'!$N$60</f>
        <v>0</v>
      </c>
      <c r="O36" s="26">
        <f>'TR TUSD'!$O$36*'TR TUSD'!$O$60</f>
        <v>0</v>
      </c>
      <c r="P36" s="26">
        <f>'TR TUSD'!$P$36*'TR TUSD'!$P$60</f>
        <v>0</v>
      </c>
      <c r="Q36" s="26">
        <f>'TR TUSD'!$Q$36*'TR TUSD'!$Q$60</f>
        <v>90.402838164476066</v>
      </c>
      <c r="R36" s="26">
        <f>'TR TUSD'!$R$36*'TR TUSD'!$R$60</f>
        <v>14.282320995878232</v>
      </c>
      <c r="S36" s="26">
        <f>'TR TUSD'!$S$36*'TR TUSD'!$S$60</f>
        <v>0</v>
      </c>
      <c r="T36" s="26">
        <f ca="1">SUM($L$36:$S$36)</f>
        <v>105.84191763558691</v>
      </c>
      <c r="U36" s="26">
        <f>'TR TUSD'!$U$36*'TR TUSD'!$U$60</f>
        <v>8.7914267700000845</v>
      </c>
      <c r="V36" s="26">
        <f>'TR TUSD'!$V$36*'TR TUSD'!$V$60</f>
        <v>6.9386702083919429</v>
      </c>
      <c r="W36" s="26">
        <f>'TR TUSD'!$W$36*'TR TUSD'!$W$60</f>
        <v>0</v>
      </c>
      <c r="X36" s="26">
        <f>'TR TUSD'!$X$36*'TR TUSD'!$X$60</f>
        <v>0</v>
      </c>
      <c r="Y36" s="26">
        <f>'TR TUSD'!$Y$36*'TR TUSD'!$Y$60</f>
        <v>11.119986467154204</v>
      </c>
      <c r="Z36" s="26">
        <f>'TR TUSD'!$Z$36</f>
        <v>0</v>
      </c>
      <c r="AA36" s="26">
        <f>'TR TUSD'!$AA$36</f>
        <v>0</v>
      </c>
      <c r="AB36" s="26">
        <f>SUM($U$36:$AA$36)</f>
        <v>26.850083445546232</v>
      </c>
      <c r="AC36" s="26">
        <f>'TR TUSD'!$AC$36*'TR TUSD'!$AC$60</f>
        <v>125.74556306057656</v>
      </c>
      <c r="AD36" s="26">
        <f>SUM($AC$36:$AC$36)</f>
        <v>125.74556306057656</v>
      </c>
      <c r="AE36" s="26">
        <v>0</v>
      </c>
      <c r="AF36" s="26">
        <v>0</v>
      </c>
      <c r="AG36" s="26">
        <f>SUM($AE$36:$AF$36)</f>
        <v>0</v>
      </c>
      <c r="AH36" s="26">
        <f>'TR TUSD'!$AH$36*'TR TUSD'!$AH$60</f>
        <v>14.931010989550716</v>
      </c>
      <c r="AI36" s="26">
        <f>'TR TUSD'!$AI$36*'TR TUSD'!$AI$60</f>
        <v>0.11435698669940669</v>
      </c>
      <c r="AJ36" s="26">
        <f ca="1">'TR TUSD'!$AJ$36*'TR TUSD'!$AJ$60</f>
        <v>0</v>
      </c>
      <c r="AK36" s="26">
        <f ca="1">'TR TUSD'!$AK$36*'TR TUSD'!$AK$60</f>
        <v>0</v>
      </c>
      <c r="AL36" s="26">
        <f ca="1">SUM($AH$36:$AK$36)</f>
        <v>15.045367976250123</v>
      </c>
      <c r="AM36" s="26">
        <f ca="1">SUMIF($L$4:$AL$4,"SUBTOTAL",$L$36:$AL$36)</f>
        <v>273.48293211795982</v>
      </c>
      <c r="AP36" s="26">
        <f>IF((1 - CUSTOS!$M$29)&lt;&gt;0,1/(1 - CUSTOS!$M$29),1)</f>
        <v>1</v>
      </c>
    </row>
    <row r="37" spans="1:42" ht="11.25" customHeight="1" x14ac:dyDescent="0.25">
      <c r="A37" s="131"/>
      <c r="B37" s="45" t="s">
        <v>23</v>
      </c>
      <c r="C37" s="45" t="s">
        <v>44</v>
      </c>
      <c r="D37" s="45" t="s">
        <v>92</v>
      </c>
      <c r="E37" s="45" t="s">
        <v>25</v>
      </c>
      <c r="F37" s="45" t="s">
        <v>25</v>
      </c>
      <c r="G37" s="44" t="s">
        <v>82</v>
      </c>
      <c r="H37" s="44" t="s">
        <v>76</v>
      </c>
      <c r="I37" s="44">
        <f>'MERCADO TUSD'!$U$34</f>
        <v>0</v>
      </c>
      <c r="J37" s="18"/>
      <c r="L37" s="26">
        <f>'TR TUSD'!$L$37*'TR TUSD'!$L$60</f>
        <v>0</v>
      </c>
      <c r="M37" s="26">
        <f>'TR TUSD'!$M$37*'TR TUSD'!$M$60</f>
        <v>1.1567584752326132</v>
      </c>
      <c r="N37" s="26">
        <f ca="1">'TR TUSD'!$N$37*'TR TUSD'!$N$60</f>
        <v>0</v>
      </c>
      <c r="O37" s="26">
        <f>'TR TUSD'!$O$37*'TR TUSD'!$O$60</f>
        <v>0</v>
      </c>
      <c r="P37" s="26">
        <f>'TR TUSD'!$P$37*'TR TUSD'!$P$60</f>
        <v>0</v>
      </c>
      <c r="Q37" s="26">
        <f>'TR TUSD'!$Q$37*'TR TUSD'!$Q$60</f>
        <v>90.402838164476066</v>
      </c>
      <c r="R37" s="26">
        <f>'TR TUSD'!$R$37*'TR TUSD'!$R$60</f>
        <v>14.282320995878232</v>
      </c>
      <c r="S37" s="26">
        <f>'TR TUSD'!$S$37*'TR TUSD'!$S$60</f>
        <v>0</v>
      </c>
      <c r="T37" s="26">
        <f ca="1">SUM($L$37:$S$37)</f>
        <v>105.84191763558691</v>
      </c>
      <c r="U37" s="26">
        <f>'TR TUSD'!$U$37*'TR TUSD'!$U$60</f>
        <v>15.984403213912618</v>
      </c>
      <c r="V37" s="26">
        <f>'TR TUSD'!$V$37*'TR TUSD'!$V$60</f>
        <v>12.615925537937823</v>
      </c>
      <c r="W37" s="26">
        <f>'TR TUSD'!$W$37*'TR TUSD'!$W$60</f>
        <v>0</v>
      </c>
      <c r="X37" s="26">
        <f>'TR TUSD'!$X$37*'TR TUSD'!$X$60</f>
        <v>0</v>
      </c>
      <c r="Y37" s="26">
        <f>'TR TUSD'!$Y$37*'TR TUSD'!$Y$60</f>
        <v>20.218139230122993</v>
      </c>
      <c r="Z37" s="26">
        <f>'TR TUSD'!$Z$37</f>
        <v>0</v>
      </c>
      <c r="AA37" s="26">
        <f>'TR TUSD'!$AA$37</f>
        <v>0</v>
      </c>
      <c r="AB37" s="26">
        <f>SUM($U$37:$AA$37)</f>
        <v>48.818467981973434</v>
      </c>
      <c r="AC37" s="26">
        <f>'TR TUSD'!$AC$37*'TR TUSD'!$AC$60</f>
        <v>228.62815173332331</v>
      </c>
      <c r="AD37" s="26">
        <f>SUM($AC$37:$AC$37)</f>
        <v>228.62815173332331</v>
      </c>
      <c r="AE37" s="26">
        <v>0</v>
      </c>
      <c r="AF37" s="26">
        <v>0</v>
      </c>
      <c r="AG37" s="26">
        <f>SUM($AE$37:$AF$37)</f>
        <v>0</v>
      </c>
      <c r="AH37" s="26">
        <f>'TR TUSD'!$AH$37*'TR TUSD'!$AH$60</f>
        <v>14.931010989550716</v>
      </c>
      <c r="AI37" s="26">
        <f>'TR TUSD'!$AI$37*'TR TUSD'!$AI$60</f>
        <v>0.11435698669940669</v>
      </c>
      <c r="AJ37" s="26">
        <f ca="1">'TR TUSD'!$AJ$37*'TR TUSD'!$AJ$60</f>
        <v>0</v>
      </c>
      <c r="AK37" s="26">
        <f ca="1">'TR TUSD'!$AK$37*'TR TUSD'!$AK$60</f>
        <v>0</v>
      </c>
      <c r="AL37" s="26">
        <f ca="1">SUM($AH$37:$AK$37)</f>
        <v>15.045367976250123</v>
      </c>
      <c r="AM37" s="26">
        <f ca="1">SUMIF($L$4:$AL$4,"SUBTOTAL",$L$37:$AL$37)</f>
        <v>398.33390532713378</v>
      </c>
      <c r="AP37" s="26">
        <f>IF((1 - CUSTOS!$M$29)&lt;&gt;0,1/(1 - CUSTOS!$M$29),1)</f>
        <v>1</v>
      </c>
    </row>
    <row r="38" spans="1:42" ht="11.25" customHeight="1" x14ac:dyDescent="0.25">
      <c r="A38" s="131"/>
      <c r="B38" s="131" t="s">
        <v>37</v>
      </c>
      <c r="C38" s="131" t="s">
        <v>44</v>
      </c>
      <c r="D38" s="131" t="s">
        <v>93</v>
      </c>
      <c r="E38" s="131" t="s">
        <v>25</v>
      </c>
      <c r="F38" s="131" t="s">
        <v>25</v>
      </c>
      <c r="G38" s="44" t="s">
        <v>77</v>
      </c>
      <c r="H38" s="44" t="s">
        <v>76</v>
      </c>
      <c r="I38" s="44">
        <f>'MERCADO TUSD'!$U$35</f>
        <v>0</v>
      </c>
      <c r="J38" s="18"/>
      <c r="L38" s="26">
        <f>'TR TUSD'!$L$38*'TR TUSD'!$L$60</f>
        <v>0</v>
      </c>
      <c r="M38" s="26">
        <f>'TR TUSD'!$M$38*'TR TUSD'!$M$60</f>
        <v>1.1567584752326132</v>
      </c>
      <c r="N38" s="26">
        <f ca="1">'TR TUSD'!$N$38*'TR TUSD'!$N$60</f>
        <v>0</v>
      </c>
      <c r="O38" s="26">
        <f>'TR TUSD'!$O$38*'TR TUSD'!$O$60</f>
        <v>0</v>
      </c>
      <c r="P38" s="26">
        <f>'TR TUSD'!$P$38*'TR TUSD'!$P$60</f>
        <v>0</v>
      </c>
      <c r="Q38" s="26">
        <f>'TR TUSD'!$Q$38*'TR TUSD'!$Q$60</f>
        <v>90.402838164476066</v>
      </c>
      <c r="R38" s="26">
        <f>'TR TUSD'!$R$38*'TR TUSD'!$R$60</f>
        <v>14.282320995878232</v>
      </c>
      <c r="S38" s="26">
        <f>'TR TUSD'!$S$38*'TR TUSD'!$S$60</f>
        <v>0</v>
      </c>
      <c r="T38" s="26">
        <f ca="1">SUM($L$38:$S$38)</f>
        <v>105.84191763558691</v>
      </c>
      <c r="U38" s="26">
        <f>'TR TUSD'!$U$38*'TR TUSD'!$U$60</f>
        <v>43.957033803037532</v>
      </c>
      <c r="V38" s="26">
        <f>'TR TUSD'!$V$38*'TR TUSD'!$V$60</f>
        <v>34.693660041868789</v>
      </c>
      <c r="W38" s="26">
        <f>'TR TUSD'!$W$38*'TR TUSD'!$W$60</f>
        <v>0</v>
      </c>
      <c r="X38" s="26">
        <f>'TR TUSD'!$X$38*'TR TUSD'!$X$60</f>
        <v>0</v>
      </c>
      <c r="Y38" s="26">
        <f>'TR TUSD'!$Y$38*'TR TUSD'!$Y$60</f>
        <v>55.599932335771022</v>
      </c>
      <c r="Z38" s="26">
        <f>'TR TUSD'!$Z$38</f>
        <v>0</v>
      </c>
      <c r="AA38" s="26">
        <f>'TR TUSD'!$AA$38</f>
        <v>0</v>
      </c>
      <c r="AB38" s="26">
        <f>SUM($U$38:$AA$38)</f>
        <v>134.25062618067736</v>
      </c>
      <c r="AC38" s="26">
        <f>'TR TUSD'!$AC$38*'TR TUSD'!$AC$60</f>
        <v>628.72792902752383</v>
      </c>
      <c r="AD38" s="26">
        <f>SUM($AC$38:$AC$38)</f>
        <v>628.72792902752383</v>
      </c>
      <c r="AE38" s="26">
        <v>0</v>
      </c>
      <c r="AF38" s="26">
        <v>0</v>
      </c>
      <c r="AG38" s="26">
        <f>SUM($AE$38:$AF$38)</f>
        <v>0</v>
      </c>
      <c r="AH38" s="26">
        <f>'TR TUSD'!$AH$38*'TR TUSD'!$AH$60</f>
        <v>14.931010989550716</v>
      </c>
      <c r="AI38" s="26">
        <f>'TR TUSD'!$AI$38*'TR TUSD'!$AI$60</f>
        <v>0.11435698669940669</v>
      </c>
      <c r="AJ38" s="26">
        <f ca="1">'TR TUSD'!$AJ$38*'TR TUSD'!$AJ$60</f>
        <v>0</v>
      </c>
      <c r="AK38" s="26">
        <f ca="1">'TR TUSD'!$AK$38*'TR TUSD'!$AK$60</f>
        <v>0</v>
      </c>
      <c r="AL38" s="26">
        <f ca="1">SUM($AH$38:$AK$38)</f>
        <v>15.045367976250123</v>
      </c>
      <c r="AM38" s="26">
        <f ca="1">SUMIF($L$4:$AL$4,"SUBTOTAL",$L$38:$AL$38)</f>
        <v>883.86584082003822</v>
      </c>
      <c r="AP38" s="26">
        <f>IF((1 - CUSTOS!$M$30)&lt;&gt;0,1/(1 - CUSTOS!$M$30),1)</f>
        <v>1</v>
      </c>
    </row>
    <row r="39" spans="1:42" ht="11.25" customHeight="1" x14ac:dyDescent="0.25">
      <c r="A39" s="131"/>
      <c r="B39" s="131"/>
      <c r="C39" s="131"/>
      <c r="D39" s="131"/>
      <c r="E39" s="131"/>
      <c r="F39" s="131"/>
      <c r="G39" s="44" t="s">
        <v>88</v>
      </c>
      <c r="H39" s="44" t="s">
        <v>76</v>
      </c>
      <c r="I39" s="44">
        <f>'MERCADO TUSD'!$U$36</f>
        <v>0</v>
      </c>
      <c r="J39" s="18"/>
      <c r="L39" s="26">
        <f>'TR TUSD'!$L$39*'TR TUSD'!$L$60</f>
        <v>0</v>
      </c>
      <c r="M39" s="26">
        <f>'TR TUSD'!$M$39*'TR TUSD'!$M$60</f>
        <v>1.1567584752326132</v>
      </c>
      <c r="N39" s="26">
        <f ca="1">'TR TUSD'!$N$39*'TR TUSD'!$N$60</f>
        <v>0</v>
      </c>
      <c r="O39" s="26">
        <f>'TR TUSD'!$O$39*'TR TUSD'!$O$60</f>
        <v>0</v>
      </c>
      <c r="P39" s="26">
        <f>'TR TUSD'!$P$39*'TR TUSD'!$P$60</f>
        <v>0</v>
      </c>
      <c r="Q39" s="26">
        <f>'TR TUSD'!$Q$39*'TR TUSD'!$Q$60</f>
        <v>90.402838164476066</v>
      </c>
      <c r="R39" s="26">
        <f>'TR TUSD'!$R$39*'TR TUSD'!$R$60</f>
        <v>14.282320995878232</v>
      </c>
      <c r="S39" s="26">
        <f>'TR TUSD'!$S$39*'TR TUSD'!$S$60</f>
        <v>0</v>
      </c>
      <c r="T39" s="26">
        <f ca="1">SUM($L$39:$S$39)</f>
        <v>105.84191763558691</v>
      </c>
      <c r="U39" s="26">
        <f>'TR TUSD'!$U$39*'TR TUSD'!$U$60</f>
        <v>26.374280310000252</v>
      </c>
      <c r="V39" s="26">
        <f>'TR TUSD'!$V$39*'TR TUSD'!$V$60</f>
        <v>20.816087875153098</v>
      </c>
      <c r="W39" s="26">
        <f>'TR TUSD'!$W$39*'TR TUSD'!$W$60</f>
        <v>0</v>
      </c>
      <c r="X39" s="26">
        <f>'TR TUSD'!$X$39*'TR TUSD'!$X$60</f>
        <v>0</v>
      </c>
      <c r="Y39" s="26">
        <f>'TR TUSD'!$Y$39*'TR TUSD'!$Y$60</f>
        <v>33.359959401462611</v>
      </c>
      <c r="Z39" s="26">
        <f>'TR TUSD'!$Z$39</f>
        <v>0</v>
      </c>
      <c r="AA39" s="26">
        <f>'TR TUSD'!$AA$39</f>
        <v>0</v>
      </c>
      <c r="AB39" s="26">
        <f>SUM($U$39:$AA$39)</f>
        <v>80.550327586615964</v>
      </c>
      <c r="AC39" s="26">
        <f>'TR TUSD'!$AC$39*'TR TUSD'!$AC$60</f>
        <v>377.23668918172967</v>
      </c>
      <c r="AD39" s="26">
        <f>SUM($AC$39:$AC$39)</f>
        <v>377.23668918172967</v>
      </c>
      <c r="AE39" s="26">
        <v>0</v>
      </c>
      <c r="AF39" s="26">
        <v>0</v>
      </c>
      <c r="AG39" s="26">
        <f>SUM($AE$39:$AF$39)</f>
        <v>0</v>
      </c>
      <c r="AH39" s="26">
        <f>'TR TUSD'!$AH$39*'TR TUSD'!$AH$60</f>
        <v>14.931010989550716</v>
      </c>
      <c r="AI39" s="26">
        <f>'TR TUSD'!$AI$39*'TR TUSD'!$AI$60</f>
        <v>0.11435698669940669</v>
      </c>
      <c r="AJ39" s="26">
        <f ca="1">'TR TUSD'!$AJ$39*'TR TUSD'!$AJ$60</f>
        <v>0</v>
      </c>
      <c r="AK39" s="26">
        <f ca="1">'TR TUSD'!$AK$39*'TR TUSD'!$AK$60</f>
        <v>0</v>
      </c>
      <c r="AL39" s="26">
        <f ca="1">SUM($AH$39:$AK$39)</f>
        <v>15.045367976250123</v>
      </c>
      <c r="AM39" s="26">
        <f ca="1">SUMIF($L$4:$AL$4,"SUBTOTAL",$L$39:$AL$39)</f>
        <v>578.67430238018267</v>
      </c>
      <c r="AP39" s="26">
        <f>IF((1 - CUSTOS!$M$30)&lt;&gt;0,1/(1 - CUSTOS!$M$30),1)</f>
        <v>1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44" t="s">
        <v>78</v>
      </c>
      <c r="H40" s="44" t="s">
        <v>76</v>
      </c>
      <c r="I40" s="44">
        <f>'MERCADO TUSD'!$U$37</f>
        <v>0</v>
      </c>
      <c r="J40" s="18"/>
      <c r="L40" s="26">
        <f>'TR TUSD'!$L$40*'TR TUSD'!$L$60</f>
        <v>0</v>
      </c>
      <c r="M40" s="26">
        <f>'TR TUSD'!$M$40*'TR TUSD'!$M$60</f>
        <v>1.1567584752326132</v>
      </c>
      <c r="N40" s="26">
        <f ca="1">'TR TUSD'!$N$40*'TR TUSD'!$N$60</f>
        <v>0</v>
      </c>
      <c r="O40" s="26">
        <f>'TR TUSD'!$O$40*'TR TUSD'!$O$60</f>
        <v>0</v>
      </c>
      <c r="P40" s="26">
        <f>'TR TUSD'!$P$40*'TR TUSD'!$P$60</f>
        <v>0</v>
      </c>
      <c r="Q40" s="26">
        <f>'TR TUSD'!$Q$40*'TR TUSD'!$Q$60</f>
        <v>90.402838164476066</v>
      </c>
      <c r="R40" s="26">
        <f>'TR TUSD'!$R$40*'TR TUSD'!$R$60</f>
        <v>14.282320995878232</v>
      </c>
      <c r="S40" s="26">
        <f>'TR TUSD'!$S$40*'TR TUSD'!$S$60</f>
        <v>0</v>
      </c>
      <c r="T40" s="26">
        <f ca="1">SUM($L$40:$S$40)</f>
        <v>105.84191763558691</v>
      </c>
      <c r="U40" s="26">
        <f>'TR TUSD'!$U$40*'TR TUSD'!$U$60</f>
        <v>8.7914267700000845</v>
      </c>
      <c r="V40" s="26">
        <f>'TR TUSD'!$V$40*'TR TUSD'!$V$60</f>
        <v>6.9386702083919429</v>
      </c>
      <c r="W40" s="26">
        <f>'TR TUSD'!$W$40*'TR TUSD'!$W$60</f>
        <v>0</v>
      </c>
      <c r="X40" s="26">
        <f>'TR TUSD'!$X$40*'TR TUSD'!$X$60</f>
        <v>0</v>
      </c>
      <c r="Y40" s="26">
        <f>'TR TUSD'!$Y$40*'TR TUSD'!$Y$60</f>
        <v>11.119986467154204</v>
      </c>
      <c r="Z40" s="26">
        <f>'TR TUSD'!$Z$40</f>
        <v>0</v>
      </c>
      <c r="AA40" s="26">
        <f>'TR TUSD'!$AA$40</f>
        <v>0</v>
      </c>
      <c r="AB40" s="26">
        <f>SUM($U$40:$AA$40)</f>
        <v>26.850083445546232</v>
      </c>
      <c r="AC40" s="26">
        <f>'TR TUSD'!$AC$40*'TR TUSD'!$AC$60</f>
        <v>125.74556306057656</v>
      </c>
      <c r="AD40" s="26">
        <f>SUM($AC$40:$AC$40)</f>
        <v>125.74556306057656</v>
      </c>
      <c r="AE40" s="26">
        <v>0</v>
      </c>
      <c r="AF40" s="26">
        <v>0</v>
      </c>
      <c r="AG40" s="26">
        <f>SUM($AE$40:$AF$40)</f>
        <v>0</v>
      </c>
      <c r="AH40" s="26">
        <f>'TR TUSD'!$AH$40*'TR TUSD'!$AH$60</f>
        <v>14.931010989550716</v>
      </c>
      <c r="AI40" s="26">
        <f>'TR TUSD'!$AI$40*'TR TUSD'!$AI$60</f>
        <v>0.11435698669940669</v>
      </c>
      <c r="AJ40" s="26">
        <f ca="1">'TR TUSD'!$AJ$40*'TR TUSD'!$AJ$60</f>
        <v>0</v>
      </c>
      <c r="AK40" s="26">
        <f ca="1">'TR TUSD'!$AK$40*'TR TUSD'!$AK$60</f>
        <v>0</v>
      </c>
      <c r="AL40" s="26">
        <f ca="1">SUM($AH$40:$AK$40)</f>
        <v>15.045367976250123</v>
      </c>
      <c r="AM40" s="26">
        <f ca="1">SUMIF($L$4:$AL$4,"SUBTOTAL",$L$40:$AL$40)</f>
        <v>273.48293211795982</v>
      </c>
      <c r="AP40" s="26">
        <f>IF((1 - CUSTOS!$M$30)&lt;&gt;0,1/(1 - CUSTOS!$M$30),1)</f>
        <v>1</v>
      </c>
    </row>
    <row r="41" spans="1:42" ht="11.25" customHeight="1" x14ac:dyDescent="0.25">
      <c r="A41" s="131"/>
      <c r="B41" s="45" t="s">
        <v>23</v>
      </c>
      <c r="C41" s="45" t="s">
        <v>44</v>
      </c>
      <c r="D41" s="45" t="s">
        <v>93</v>
      </c>
      <c r="E41" s="45" t="s">
        <v>25</v>
      </c>
      <c r="F41" s="45" t="s">
        <v>25</v>
      </c>
      <c r="G41" s="44" t="s">
        <v>82</v>
      </c>
      <c r="H41" s="44" t="s">
        <v>76</v>
      </c>
      <c r="I41" s="44">
        <f>'MERCADO TUSD'!$U$38</f>
        <v>0</v>
      </c>
      <c r="J41" s="18"/>
      <c r="L41" s="26">
        <f>'TR TUSD'!$L$41*'TR TUSD'!$L$60</f>
        <v>0</v>
      </c>
      <c r="M41" s="26">
        <f>'TR TUSD'!$M$41*'TR TUSD'!$M$60</f>
        <v>1.1567584752326132</v>
      </c>
      <c r="N41" s="26">
        <f ca="1">'TR TUSD'!$N$41*'TR TUSD'!$N$60</f>
        <v>0</v>
      </c>
      <c r="O41" s="26">
        <f>'TR TUSD'!$O$41*'TR TUSD'!$O$60</f>
        <v>0</v>
      </c>
      <c r="P41" s="26">
        <f>'TR TUSD'!$P$41*'TR TUSD'!$P$60</f>
        <v>0</v>
      </c>
      <c r="Q41" s="26">
        <f>'TR TUSD'!$Q$41*'TR TUSD'!$Q$60</f>
        <v>90.402838164476066</v>
      </c>
      <c r="R41" s="26">
        <f>'TR TUSD'!$R$41*'TR TUSD'!$R$60</f>
        <v>14.282320995878232</v>
      </c>
      <c r="S41" s="26">
        <f>'TR TUSD'!$S$41*'TR TUSD'!$S$60</f>
        <v>0</v>
      </c>
      <c r="T41" s="26">
        <f ca="1">SUM($L$41:$S$41)</f>
        <v>105.84191763558691</v>
      </c>
      <c r="U41" s="26">
        <f>'TR TUSD'!$U$41*'TR TUSD'!$U$60</f>
        <v>15.984403213912618</v>
      </c>
      <c r="V41" s="26">
        <f>'TR TUSD'!$V$41*'TR TUSD'!$V$60</f>
        <v>12.615925537937823</v>
      </c>
      <c r="W41" s="26">
        <f>'TR TUSD'!$W$41*'TR TUSD'!$W$60</f>
        <v>0</v>
      </c>
      <c r="X41" s="26">
        <f>'TR TUSD'!$X$41*'TR TUSD'!$X$60</f>
        <v>0</v>
      </c>
      <c r="Y41" s="26">
        <f>'TR TUSD'!$Y$41*'TR TUSD'!$Y$60</f>
        <v>20.218139230122993</v>
      </c>
      <c r="Z41" s="26">
        <f>'TR TUSD'!$Z$41</f>
        <v>0</v>
      </c>
      <c r="AA41" s="26">
        <f>'TR TUSD'!$AA$41</f>
        <v>0</v>
      </c>
      <c r="AB41" s="26">
        <f>SUM($U$41:$AA$41)</f>
        <v>48.818467981973434</v>
      </c>
      <c r="AC41" s="26">
        <f>'TR TUSD'!$AC$41*'TR TUSD'!$AC$60</f>
        <v>228.62815173332331</v>
      </c>
      <c r="AD41" s="26">
        <f>SUM($AC$41:$AC$41)</f>
        <v>228.62815173332331</v>
      </c>
      <c r="AE41" s="26">
        <v>0</v>
      </c>
      <c r="AF41" s="26">
        <v>0</v>
      </c>
      <c r="AG41" s="26">
        <f>SUM($AE$41:$AF$41)</f>
        <v>0</v>
      </c>
      <c r="AH41" s="26">
        <f>'TR TUSD'!$AH$41*'TR TUSD'!$AH$60</f>
        <v>14.931010989550716</v>
      </c>
      <c r="AI41" s="26">
        <f>'TR TUSD'!$AI$41*'TR TUSD'!$AI$60</f>
        <v>0.11435698669940669</v>
      </c>
      <c r="AJ41" s="26">
        <f ca="1">'TR TUSD'!$AJ$41*'TR TUSD'!$AJ$60</f>
        <v>0</v>
      </c>
      <c r="AK41" s="26">
        <f ca="1">'TR TUSD'!$AK$41*'TR TUSD'!$AK$60</f>
        <v>0</v>
      </c>
      <c r="AL41" s="26">
        <f ca="1">SUM($AH$41:$AK$41)</f>
        <v>15.045367976250123</v>
      </c>
      <c r="AM41" s="26">
        <f ca="1">SUMIF($L$4:$AL$4,"SUBTOTAL",$L$41:$AL$41)</f>
        <v>398.33390532713378</v>
      </c>
      <c r="AP41" s="26">
        <f>IF((1 - CUSTOS!$M$30)&lt;&gt;0,1/(1 - CUSTOS!$M$30),1)</f>
        <v>1</v>
      </c>
    </row>
    <row r="42" spans="1:42" ht="11.25" customHeight="1" x14ac:dyDescent="0.25">
      <c r="A42" s="131"/>
      <c r="B42" s="131" t="s">
        <v>91</v>
      </c>
      <c r="C42" s="131" t="s">
        <v>44</v>
      </c>
      <c r="D42" s="45" t="s">
        <v>25</v>
      </c>
      <c r="E42" s="45" t="s">
        <v>25</v>
      </c>
      <c r="F42" s="45" t="s">
        <v>25</v>
      </c>
      <c r="G42" s="44" t="s">
        <v>82</v>
      </c>
      <c r="H42" s="44" t="s">
        <v>76</v>
      </c>
      <c r="I42" s="44">
        <f>'MERCADO TUSD'!$U$39</f>
        <v>0</v>
      </c>
      <c r="J42" s="18"/>
      <c r="L42" s="26">
        <f>'TR TUSD'!$L$42*'TR TUSD'!$L$60</f>
        <v>0</v>
      </c>
      <c r="M42" s="26">
        <f>'TR TUSD'!$M$42*'TR TUSD'!$M$60</f>
        <v>1.1567584752326132</v>
      </c>
      <c r="N42" s="26">
        <f ca="1">'TR TUSD'!$N$42*'TR TUSD'!$N$60</f>
        <v>0</v>
      </c>
      <c r="O42" s="26">
        <f>'TR TUSD'!$O$42*'TR TUSD'!$O$60</f>
        <v>0</v>
      </c>
      <c r="P42" s="26">
        <f>'TR TUSD'!$P$42*'TR TUSD'!$P$60</f>
        <v>0</v>
      </c>
      <c r="Q42" s="26">
        <f>'TR TUSD'!$Q$42*'TR TUSD'!$Q$60</f>
        <v>90.402838164476066</v>
      </c>
      <c r="R42" s="26">
        <f>'TR TUSD'!$R$42*'TR TUSD'!$R$60</f>
        <v>14.282320995878232</v>
      </c>
      <c r="S42" s="26">
        <f>'TR TUSD'!$S$42*'TR TUSD'!$S$60</f>
        <v>0</v>
      </c>
      <c r="T42" s="26">
        <f ca="1">SUM($L$42:$S$42)</f>
        <v>105.84191763558691</v>
      </c>
      <c r="U42" s="26">
        <f>'TR TUSD'!$U$42*'TR TUSD'!$U$60</f>
        <v>15.984403213912618</v>
      </c>
      <c r="V42" s="26">
        <f>'TR TUSD'!$V$42*'TR TUSD'!$V$60</f>
        <v>12.615925537937823</v>
      </c>
      <c r="W42" s="26">
        <f>'TR TUSD'!$W$42*'TR TUSD'!$W$60</f>
        <v>0</v>
      </c>
      <c r="X42" s="26">
        <f>'TR TUSD'!$X$42*'TR TUSD'!$X$60</f>
        <v>0</v>
      </c>
      <c r="Y42" s="26">
        <f>'TR TUSD'!$Y$42*'TR TUSD'!$Y$60</f>
        <v>20.218139230122993</v>
      </c>
      <c r="Z42" s="26">
        <f>'TR TUSD'!$Z$42</f>
        <v>0</v>
      </c>
      <c r="AA42" s="26">
        <f>'TR TUSD'!$AA$42</f>
        <v>0</v>
      </c>
      <c r="AB42" s="26">
        <f>SUM($U$42:$AA$42)</f>
        <v>48.818467981973434</v>
      </c>
      <c r="AC42" s="26">
        <f>'TR TUSD'!$AC$42*'TR TUSD'!$AC$60</f>
        <v>228.62815173332331</v>
      </c>
      <c r="AD42" s="26">
        <f>SUM($AC$42:$AC$42)</f>
        <v>228.62815173332331</v>
      </c>
      <c r="AE42" s="26">
        <v>0</v>
      </c>
      <c r="AF42" s="26">
        <v>0</v>
      </c>
      <c r="AG42" s="26">
        <f>SUM($AE$42:$AF$42)</f>
        <v>0</v>
      </c>
      <c r="AH42" s="26">
        <f>'TR TUSD'!$AH$42*'TR TUSD'!$AH$60</f>
        <v>14.931010989550716</v>
      </c>
      <c r="AI42" s="26">
        <f>'TR TUSD'!$AI$42*'TR TUSD'!$AI$60</f>
        <v>0.11435698669940669</v>
      </c>
      <c r="AJ42" s="26">
        <f ca="1">'TR TUSD'!$AJ$42*'TR TUSD'!$AJ$60</f>
        <v>0</v>
      </c>
      <c r="AK42" s="26">
        <f ca="1">'TR TUSD'!$AK$42*'TR TUSD'!$AK$60</f>
        <v>0</v>
      </c>
      <c r="AL42" s="26">
        <f ca="1">SUM($AH$42:$AK$42)</f>
        <v>15.045367976250123</v>
      </c>
      <c r="AM42" s="26">
        <f ca="1">SUMIF($L$4:$AL$4,"SUBTOTAL",$L$42:$AL$42)</f>
        <v>398.33390532713378</v>
      </c>
      <c r="AP42" s="26">
        <f>IF((1 - CUSTOS!$M$28)&lt;&gt;0,1/(1 - CUSTOS!$M$28),1)</f>
        <v>1</v>
      </c>
    </row>
    <row r="43" spans="1:42" ht="11.25" customHeight="1" x14ac:dyDescent="0.25">
      <c r="A43" s="131"/>
      <c r="B43" s="131"/>
      <c r="C43" s="131"/>
      <c r="D43" s="45" t="s">
        <v>92</v>
      </c>
      <c r="E43" s="45" t="s">
        <v>25</v>
      </c>
      <c r="F43" s="45" t="s">
        <v>25</v>
      </c>
      <c r="G43" s="44" t="s">
        <v>82</v>
      </c>
      <c r="H43" s="44" t="s">
        <v>76</v>
      </c>
      <c r="I43" s="44">
        <f>'MERCADO TUSD'!$U$40</f>
        <v>0</v>
      </c>
      <c r="J43" s="18"/>
      <c r="L43" s="26">
        <f>'TR TUSD'!$L$43*'TR TUSD'!$L$60</f>
        <v>0</v>
      </c>
      <c r="M43" s="26">
        <f>'TR TUSD'!$M$43*'TR TUSD'!$M$60</f>
        <v>1.1567584752326132</v>
      </c>
      <c r="N43" s="26">
        <f ca="1">'TR TUSD'!$N$43*'TR TUSD'!$N$60</f>
        <v>0</v>
      </c>
      <c r="O43" s="26">
        <f>'TR TUSD'!$O$43*'TR TUSD'!$O$60</f>
        <v>0</v>
      </c>
      <c r="P43" s="26">
        <f>'TR TUSD'!$P$43*'TR TUSD'!$P$60</f>
        <v>0</v>
      </c>
      <c r="Q43" s="26">
        <f>'TR TUSD'!$Q$43*'TR TUSD'!$Q$60</f>
        <v>90.402838164476066</v>
      </c>
      <c r="R43" s="26">
        <f>'TR TUSD'!$R$43*'TR TUSD'!$R$60</f>
        <v>14.282320995878232</v>
      </c>
      <c r="S43" s="26">
        <f>'TR TUSD'!$S$43*'TR TUSD'!$S$60</f>
        <v>0</v>
      </c>
      <c r="T43" s="26">
        <f ca="1">SUM($L$43:$S$43)</f>
        <v>105.84191763558691</v>
      </c>
      <c r="U43" s="26">
        <f>'TR TUSD'!$U$43*'TR TUSD'!$U$60</f>
        <v>15.984403213912618</v>
      </c>
      <c r="V43" s="26">
        <f>'TR TUSD'!$V$43*'TR TUSD'!$V$60</f>
        <v>12.615925537937823</v>
      </c>
      <c r="W43" s="26">
        <f>'TR TUSD'!$W$43*'TR TUSD'!$W$60</f>
        <v>0</v>
      </c>
      <c r="X43" s="26">
        <f>'TR TUSD'!$X$43*'TR TUSD'!$X$60</f>
        <v>0</v>
      </c>
      <c r="Y43" s="26">
        <f>'TR TUSD'!$Y$43*'TR TUSD'!$Y$60</f>
        <v>20.218139230122993</v>
      </c>
      <c r="Z43" s="26">
        <f>'TR TUSD'!$Z$43</f>
        <v>0</v>
      </c>
      <c r="AA43" s="26">
        <f>'TR TUSD'!$AA$43</f>
        <v>0</v>
      </c>
      <c r="AB43" s="26">
        <f>SUM($U$43:$AA$43)</f>
        <v>48.818467981973434</v>
      </c>
      <c r="AC43" s="26">
        <f>'TR TUSD'!$AC$43*'TR TUSD'!$AC$60</f>
        <v>228.62815173332331</v>
      </c>
      <c r="AD43" s="26">
        <f>SUM($AC$43:$AC$43)</f>
        <v>228.62815173332331</v>
      </c>
      <c r="AE43" s="26">
        <v>0</v>
      </c>
      <c r="AF43" s="26">
        <v>0</v>
      </c>
      <c r="AG43" s="26">
        <f>SUM($AE$43:$AF$43)</f>
        <v>0</v>
      </c>
      <c r="AH43" s="26">
        <f>'TR TUSD'!$AH$43*'TR TUSD'!$AH$60</f>
        <v>14.931010989550716</v>
      </c>
      <c r="AI43" s="26">
        <f>'TR TUSD'!$AI$43*'TR TUSD'!$AI$60</f>
        <v>0.11435698669940669</v>
      </c>
      <c r="AJ43" s="26">
        <f ca="1">'TR TUSD'!$AJ$43*'TR TUSD'!$AJ$60</f>
        <v>0</v>
      </c>
      <c r="AK43" s="26">
        <f ca="1">'TR TUSD'!$AK$43*'TR TUSD'!$AK$60</f>
        <v>0</v>
      </c>
      <c r="AL43" s="26">
        <f ca="1">SUM($AH$43:$AK$43)</f>
        <v>15.045367976250123</v>
      </c>
      <c r="AM43" s="26">
        <f ca="1">SUMIF($L$4:$AL$4,"SUBTOTAL",$L$43:$AL$43)</f>
        <v>398.33390532713378</v>
      </c>
      <c r="AP43" s="26">
        <f>IF((1 - CUSTOS!$M$29)&lt;&gt;0,1/(1 - CUSTOS!$M$29),1)</f>
        <v>1</v>
      </c>
    </row>
    <row r="44" spans="1:42" ht="11.25" customHeight="1" x14ac:dyDescent="0.25">
      <c r="A44" s="131"/>
      <c r="B44" s="131"/>
      <c r="C44" s="131"/>
      <c r="D44" s="45" t="s">
        <v>93</v>
      </c>
      <c r="E44" s="45" t="s">
        <v>25</v>
      </c>
      <c r="F44" s="45" t="s">
        <v>25</v>
      </c>
      <c r="G44" s="44" t="s">
        <v>82</v>
      </c>
      <c r="H44" s="44" t="s">
        <v>76</v>
      </c>
      <c r="I44" s="44">
        <f>'MERCADO TUSD'!$U$41</f>
        <v>0</v>
      </c>
      <c r="J44" s="18"/>
      <c r="L44" s="26">
        <f>'TR TUSD'!$L$44*'TR TUSD'!$L$60</f>
        <v>0</v>
      </c>
      <c r="M44" s="26">
        <f>'TR TUSD'!$M$44*'TR TUSD'!$M$60</f>
        <v>1.1567584752326132</v>
      </c>
      <c r="N44" s="26">
        <f ca="1">'TR TUSD'!$N$44*'TR TUSD'!$N$60</f>
        <v>0</v>
      </c>
      <c r="O44" s="26">
        <f>'TR TUSD'!$O$44*'TR TUSD'!$O$60</f>
        <v>0</v>
      </c>
      <c r="P44" s="26">
        <f>'TR TUSD'!$P$44*'TR TUSD'!$P$60</f>
        <v>0</v>
      </c>
      <c r="Q44" s="26">
        <f>'TR TUSD'!$Q$44*'TR TUSD'!$Q$60</f>
        <v>90.402838164476066</v>
      </c>
      <c r="R44" s="26">
        <f>'TR TUSD'!$R$44*'TR TUSD'!$R$60</f>
        <v>14.282320995878232</v>
      </c>
      <c r="S44" s="26">
        <f>'TR TUSD'!$S$44*'TR TUSD'!$S$60</f>
        <v>0</v>
      </c>
      <c r="T44" s="26">
        <f ca="1">SUM($L$44:$S$44)</f>
        <v>105.84191763558691</v>
      </c>
      <c r="U44" s="26">
        <f>'TR TUSD'!$U$44*'TR TUSD'!$U$60</f>
        <v>15.984403213912618</v>
      </c>
      <c r="V44" s="26">
        <f>'TR TUSD'!$V$44*'TR TUSD'!$V$60</f>
        <v>12.615925537937823</v>
      </c>
      <c r="W44" s="26">
        <f>'TR TUSD'!$W$44*'TR TUSD'!$W$60</f>
        <v>0</v>
      </c>
      <c r="X44" s="26">
        <f>'TR TUSD'!$X$44*'TR TUSD'!$X$60</f>
        <v>0</v>
      </c>
      <c r="Y44" s="26">
        <f>'TR TUSD'!$Y$44*'TR TUSD'!$Y$60</f>
        <v>20.218139230122993</v>
      </c>
      <c r="Z44" s="26">
        <f>'TR TUSD'!$Z$44</f>
        <v>0</v>
      </c>
      <c r="AA44" s="26">
        <f>'TR TUSD'!$AA$44</f>
        <v>0</v>
      </c>
      <c r="AB44" s="26">
        <f>SUM($U$44:$AA$44)</f>
        <v>48.818467981973434</v>
      </c>
      <c r="AC44" s="26">
        <f>'TR TUSD'!$AC$44*'TR TUSD'!$AC$60</f>
        <v>228.62815173332331</v>
      </c>
      <c r="AD44" s="26">
        <f>SUM($AC$44:$AC$44)</f>
        <v>228.62815173332331</v>
      </c>
      <c r="AE44" s="26">
        <v>0</v>
      </c>
      <c r="AF44" s="26">
        <v>0</v>
      </c>
      <c r="AG44" s="26">
        <f>SUM($AE$44:$AF$44)</f>
        <v>0</v>
      </c>
      <c r="AH44" s="26">
        <f>'TR TUSD'!$AH$44*'TR TUSD'!$AH$60</f>
        <v>14.931010989550716</v>
      </c>
      <c r="AI44" s="26">
        <f>'TR TUSD'!$AI$44*'TR TUSD'!$AI$60</f>
        <v>0.11435698669940669</v>
      </c>
      <c r="AJ44" s="26">
        <f ca="1">'TR TUSD'!$AJ$44*'TR TUSD'!$AJ$60</f>
        <v>0</v>
      </c>
      <c r="AK44" s="26">
        <f ca="1">'TR TUSD'!$AK$44*'TR TUSD'!$AK$60</f>
        <v>0</v>
      </c>
      <c r="AL44" s="26">
        <f ca="1">SUM($AH$44:$AK$44)</f>
        <v>15.045367976250123</v>
      </c>
      <c r="AM44" s="26">
        <f ca="1">SUMIF($L$4:$AL$4,"SUBTOTAL",$L$44:$AL$44)</f>
        <v>398.33390532713378</v>
      </c>
      <c r="AP44" s="26">
        <f>IF((1 - CUSTOS!$M$30)&lt;&gt;0,1/(1 - CUSTOS!$M$30),1)</f>
        <v>1</v>
      </c>
    </row>
    <row r="45" spans="1:42" ht="11.25" customHeight="1" x14ac:dyDescent="0.25">
      <c r="A45" s="131" t="s">
        <v>39</v>
      </c>
      <c r="B45" s="131" t="s">
        <v>37</v>
      </c>
      <c r="C45" s="131" t="s">
        <v>25</v>
      </c>
      <c r="D45" s="131" t="s">
        <v>25</v>
      </c>
      <c r="E45" s="131" t="s">
        <v>25</v>
      </c>
      <c r="F45" s="131" t="s">
        <v>25</v>
      </c>
      <c r="G45" s="44" t="s">
        <v>77</v>
      </c>
      <c r="H45" s="44" t="s">
        <v>76</v>
      </c>
      <c r="I45" s="44">
        <f>'MERCADO TUSD'!$U$42</f>
        <v>0.80500000000000171</v>
      </c>
      <c r="J45" s="18"/>
      <c r="L45" s="26">
        <f>'TR TUSD'!$L$45*'TR TUSD'!$L$60</f>
        <v>0</v>
      </c>
      <c r="M45" s="26">
        <f>'TR TUSD'!$M$45*'TR TUSD'!$M$60</f>
        <v>1.1567584752326132</v>
      </c>
      <c r="N45" s="26">
        <f ca="1">'TR TUSD'!$N$45*'TR TUSD'!$N$60</f>
        <v>0</v>
      </c>
      <c r="O45" s="26">
        <f>'TR TUSD'!$O$45*'TR TUSD'!$O$60</f>
        <v>0</v>
      </c>
      <c r="P45" s="26">
        <f>'TR TUSD'!$P$45*'TR TUSD'!$P$60</f>
        <v>0</v>
      </c>
      <c r="Q45" s="26">
        <f>'TR TUSD'!$Q$45*'TR TUSD'!$Q$60</f>
        <v>90.402838164476066</v>
      </c>
      <c r="R45" s="26">
        <f>'TR TUSD'!$R$45*'TR TUSD'!$R$60</f>
        <v>14.282320995878232</v>
      </c>
      <c r="S45" s="26">
        <f>'TR TUSD'!$S$45*'TR TUSD'!$S$60</f>
        <v>0</v>
      </c>
      <c r="T45" s="26">
        <f ca="1">SUM($L$45:$S$45)</f>
        <v>105.84191763558691</v>
      </c>
      <c r="U45" s="26">
        <f>'TR TUSD'!$U$45*'TR TUSD'!$U$60</f>
        <v>49.551459873899624</v>
      </c>
      <c r="V45" s="26">
        <f>'TR TUSD'!$V$45*'TR TUSD'!$V$60</f>
        <v>39.109191492659534</v>
      </c>
      <c r="W45" s="26">
        <f>'TR TUSD'!$W$45*'TR TUSD'!$W$60</f>
        <v>0</v>
      </c>
      <c r="X45" s="26">
        <f>'TR TUSD'!$X$45*'TR TUSD'!$X$60</f>
        <v>0</v>
      </c>
      <c r="Y45" s="26">
        <f>'TR TUSD'!$Y$45*'TR TUSD'!$Y$60</f>
        <v>62.676251394554392</v>
      </c>
      <c r="Z45" s="26">
        <f>'TR TUSD'!$Z$45</f>
        <v>0</v>
      </c>
      <c r="AA45" s="26">
        <f>'TR TUSD'!$AA$45</f>
        <v>0</v>
      </c>
      <c r="AB45" s="26">
        <f>SUM($U$45:$AA$45)</f>
        <v>151.33690276111355</v>
      </c>
      <c r="AC45" s="26">
        <f>'TR TUSD'!$AC$45*'TR TUSD'!$AC$60</f>
        <v>708.7477707617229</v>
      </c>
      <c r="AD45" s="26">
        <f>SUM($AC$45:$AC$45)</f>
        <v>708.7477707617229</v>
      </c>
      <c r="AE45" s="26">
        <v>0</v>
      </c>
      <c r="AF45" s="26">
        <v>0</v>
      </c>
      <c r="AG45" s="26">
        <f>SUM($AE$45:$AF$45)</f>
        <v>0</v>
      </c>
      <c r="AH45" s="26">
        <f>'TR TUSD'!$AH$45*'TR TUSD'!$AH$60</f>
        <v>14.931010989550716</v>
      </c>
      <c r="AI45" s="26">
        <f>'TR TUSD'!$AI$45*'TR TUSD'!$AI$60</f>
        <v>0.11435698669940669</v>
      </c>
      <c r="AJ45" s="26">
        <f ca="1">'TR TUSD'!$AJ$45*'TR TUSD'!$AJ$60</f>
        <v>0</v>
      </c>
      <c r="AK45" s="26">
        <f ca="1">'TR TUSD'!$AK$45*'TR TUSD'!$AK$60</f>
        <v>0</v>
      </c>
      <c r="AL45" s="26">
        <f ca="1">SUM($AH$45:$AK$45)</f>
        <v>15.045367976250123</v>
      </c>
      <c r="AM45" s="26">
        <f ca="1">SUMIF($L$4:$AL$4,"SUBTOTAL",$L$45:$AL$45)</f>
        <v>980.97195913467351</v>
      </c>
      <c r="AP45" s="26">
        <f>IF((1 - CUSTOS!$M$31)&lt;&gt;0,1/(1 - CUSTOS!$M$31),1)</f>
        <v>1</v>
      </c>
    </row>
    <row r="46" spans="1:42" ht="11.25" customHeight="1" x14ac:dyDescent="0.25">
      <c r="A46" s="131"/>
      <c r="B46" s="131"/>
      <c r="C46" s="131"/>
      <c r="D46" s="131"/>
      <c r="E46" s="131"/>
      <c r="F46" s="131"/>
      <c r="G46" s="44" t="s">
        <v>88</v>
      </c>
      <c r="H46" s="44" t="s">
        <v>76</v>
      </c>
      <c r="I46" s="44">
        <f>'MERCADO TUSD'!$U$43</f>
        <v>1.23</v>
      </c>
      <c r="J46" s="18"/>
      <c r="L46" s="26">
        <f>'TR TUSD'!$L$46*'TR TUSD'!$L$60</f>
        <v>0</v>
      </c>
      <c r="M46" s="26">
        <f>'TR TUSD'!$M$46*'TR TUSD'!$M$60</f>
        <v>1.1567584752326132</v>
      </c>
      <c r="N46" s="26">
        <f ca="1">'TR TUSD'!$N$46*'TR TUSD'!$N$60</f>
        <v>0</v>
      </c>
      <c r="O46" s="26">
        <f>'TR TUSD'!$O$46*'TR TUSD'!$O$60</f>
        <v>0</v>
      </c>
      <c r="P46" s="26">
        <f>'TR TUSD'!$P$46*'TR TUSD'!$P$60</f>
        <v>0</v>
      </c>
      <c r="Q46" s="26">
        <f>'TR TUSD'!$Q$46*'TR TUSD'!$Q$60</f>
        <v>90.402838164476066</v>
      </c>
      <c r="R46" s="26">
        <f>'TR TUSD'!$R$46*'TR TUSD'!$R$60</f>
        <v>14.282320995878232</v>
      </c>
      <c r="S46" s="26">
        <f>'TR TUSD'!$S$46*'TR TUSD'!$S$60</f>
        <v>0</v>
      </c>
      <c r="T46" s="26">
        <f ca="1">SUM($L$46:$S$46)</f>
        <v>105.84191763558691</v>
      </c>
      <c r="U46" s="26">
        <f>'TR TUSD'!$U$46*'TR TUSD'!$U$60</f>
        <v>29.730955961910084</v>
      </c>
      <c r="V46" s="26">
        <f>'TR TUSD'!$V$46*'TR TUSD'!$V$60</f>
        <v>23.465375845636633</v>
      </c>
      <c r="W46" s="26">
        <f>'TR TUSD'!$W$46*'TR TUSD'!$W$60</f>
        <v>0</v>
      </c>
      <c r="X46" s="26">
        <f>'TR TUSD'!$X$46*'TR TUSD'!$X$60</f>
        <v>0</v>
      </c>
      <c r="Y46" s="26">
        <f>'TR TUSD'!$Y$46*'TR TUSD'!$Y$60</f>
        <v>37.60579039907887</v>
      </c>
      <c r="Z46" s="26">
        <f>'TR TUSD'!$Z$46</f>
        <v>0</v>
      </c>
      <c r="AA46" s="26">
        <f>'TR TUSD'!$AA$46</f>
        <v>0</v>
      </c>
      <c r="AB46" s="26">
        <f>SUM($U$46:$AA$46)</f>
        <v>90.802122206625583</v>
      </c>
      <c r="AC46" s="26">
        <f>'TR TUSD'!$AC$46*'TR TUSD'!$AC$60</f>
        <v>425.24850324253629</v>
      </c>
      <c r="AD46" s="26">
        <f>SUM($AC$46:$AC$46)</f>
        <v>425.24850324253629</v>
      </c>
      <c r="AE46" s="26">
        <v>0</v>
      </c>
      <c r="AF46" s="26">
        <v>0</v>
      </c>
      <c r="AG46" s="26">
        <f>SUM($AE$46:$AF$46)</f>
        <v>0</v>
      </c>
      <c r="AH46" s="26">
        <f>'TR TUSD'!$AH$46*'TR TUSD'!$AH$60</f>
        <v>14.931010989550716</v>
      </c>
      <c r="AI46" s="26">
        <f>'TR TUSD'!$AI$46*'TR TUSD'!$AI$60</f>
        <v>0.11435698669940669</v>
      </c>
      <c r="AJ46" s="26">
        <f ca="1">'TR TUSD'!$AJ$46*'TR TUSD'!$AJ$60</f>
        <v>0</v>
      </c>
      <c r="AK46" s="26">
        <f ca="1">'TR TUSD'!$AK$46*'TR TUSD'!$AK$60</f>
        <v>0</v>
      </c>
      <c r="AL46" s="26">
        <f ca="1">SUM($AH$46:$AK$46)</f>
        <v>15.045367976250123</v>
      </c>
      <c r="AM46" s="26">
        <f ca="1">SUMIF($L$4:$AL$4,"SUBTOTAL",$L$46:$AL$46)</f>
        <v>636.93791106099889</v>
      </c>
      <c r="AP46" s="26">
        <f>IF((1 - CUSTOS!$M$31)&lt;&gt;0,1/(1 - CUSTOS!$M$31),1)</f>
        <v>1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44" t="s">
        <v>78</v>
      </c>
      <c r="H47" s="44" t="s">
        <v>76</v>
      </c>
      <c r="I47" s="44">
        <f>'MERCADO TUSD'!$U$44</f>
        <v>18.96</v>
      </c>
      <c r="J47" s="18"/>
      <c r="L47" s="26">
        <f>'TR TUSD'!$L$47*'TR TUSD'!$L$60</f>
        <v>0</v>
      </c>
      <c r="M47" s="26">
        <f>'TR TUSD'!$M$47*'TR TUSD'!$M$60</f>
        <v>1.1567584752326132</v>
      </c>
      <c r="N47" s="26">
        <f ca="1">'TR TUSD'!$N$47*'TR TUSD'!$N$60</f>
        <v>0</v>
      </c>
      <c r="O47" s="26">
        <f>'TR TUSD'!$O$47*'TR TUSD'!$O$60</f>
        <v>0</v>
      </c>
      <c r="P47" s="26">
        <f>'TR TUSD'!$P$47*'TR TUSD'!$P$60</f>
        <v>0</v>
      </c>
      <c r="Q47" s="26">
        <f>'TR TUSD'!$Q$47*'TR TUSD'!$Q$60</f>
        <v>90.402838164476066</v>
      </c>
      <c r="R47" s="26">
        <f>'TR TUSD'!$R$47*'TR TUSD'!$R$60</f>
        <v>14.282320995878232</v>
      </c>
      <c r="S47" s="26">
        <f>'TR TUSD'!$S$47*'TR TUSD'!$S$60</f>
        <v>0</v>
      </c>
      <c r="T47" s="26">
        <f ca="1">SUM($L$47:$S$47)</f>
        <v>105.84191763558691</v>
      </c>
      <c r="U47" s="26">
        <f>'TR TUSD'!$U$47*'TR TUSD'!$U$60</f>
        <v>9.9102519559947684</v>
      </c>
      <c r="V47" s="26">
        <f>'TR TUSD'!$V$47*'TR TUSD'!$V$60</f>
        <v>7.8216374485910034</v>
      </c>
      <c r="W47" s="26">
        <f>'TR TUSD'!$W$47*'TR TUSD'!$W$60</f>
        <v>0</v>
      </c>
      <c r="X47" s="26">
        <f>'TR TUSD'!$X$47*'TR TUSD'!$X$60</f>
        <v>0</v>
      </c>
      <c r="Y47" s="26">
        <f>'TR TUSD'!$Y$47*'TR TUSD'!$Y$60</f>
        <v>12.535329403603344</v>
      </c>
      <c r="Z47" s="26">
        <f>'TR TUSD'!$Z$47</f>
        <v>0</v>
      </c>
      <c r="AA47" s="26">
        <f>'TR TUSD'!$AA$47</f>
        <v>0</v>
      </c>
      <c r="AB47" s="26">
        <f>SUM($U$47:$AA$47)</f>
        <v>30.267218808189114</v>
      </c>
      <c r="AC47" s="26">
        <f>'TR TUSD'!$AC$47*'TR TUSD'!$AC$60</f>
        <v>141.74946317263175</v>
      </c>
      <c r="AD47" s="26">
        <f>SUM($AC$47:$AC$47)</f>
        <v>141.74946317263175</v>
      </c>
      <c r="AE47" s="26">
        <v>0</v>
      </c>
      <c r="AF47" s="26">
        <v>0</v>
      </c>
      <c r="AG47" s="26">
        <f>SUM($AE$47:$AF$47)</f>
        <v>0</v>
      </c>
      <c r="AH47" s="26">
        <f>'TR TUSD'!$AH$47*'TR TUSD'!$AH$60</f>
        <v>14.931010989550716</v>
      </c>
      <c r="AI47" s="26">
        <f>'TR TUSD'!$AI$47*'TR TUSD'!$AI$60</f>
        <v>0.11435698669940669</v>
      </c>
      <c r="AJ47" s="26">
        <f ca="1">'TR TUSD'!$AJ$47*'TR TUSD'!$AJ$60</f>
        <v>0</v>
      </c>
      <c r="AK47" s="26">
        <f ca="1">'TR TUSD'!$AK$47*'TR TUSD'!$AK$60</f>
        <v>0</v>
      </c>
      <c r="AL47" s="26">
        <f ca="1">SUM($AH$47:$AK$47)</f>
        <v>15.045367976250123</v>
      </c>
      <c r="AM47" s="26">
        <f ca="1">SUMIF($L$4:$AL$4,"SUBTOTAL",$L$47:$AL$47)</f>
        <v>292.90396759265792</v>
      </c>
      <c r="AP47" s="26">
        <f>IF((1 - CUSTOS!$M$31)&lt;&gt;0,1/(1 - CUSTOS!$M$31),1)</f>
        <v>1</v>
      </c>
    </row>
    <row r="48" spans="1:42" ht="11.25" customHeight="1" x14ac:dyDescent="0.25">
      <c r="A48" s="131"/>
      <c r="B48" s="45" t="s">
        <v>23</v>
      </c>
      <c r="C48" s="45" t="s">
        <v>25</v>
      </c>
      <c r="D48" s="45" t="s">
        <v>25</v>
      </c>
      <c r="E48" s="45" t="s">
        <v>25</v>
      </c>
      <c r="F48" s="45" t="s">
        <v>25</v>
      </c>
      <c r="G48" s="44" t="s">
        <v>82</v>
      </c>
      <c r="H48" s="44" t="s">
        <v>76</v>
      </c>
      <c r="I48" s="44">
        <f>'MERCADO TUSD'!$U$45</f>
        <v>17010.552</v>
      </c>
      <c r="J48" s="18"/>
      <c r="L48" s="26">
        <f>'TR TUSD'!$L$48*'TR TUSD'!$L$60</f>
        <v>0</v>
      </c>
      <c r="M48" s="26">
        <f>'TR TUSD'!$M$48*'TR TUSD'!$M$60</f>
        <v>1.1567584752326132</v>
      </c>
      <c r="N48" s="26">
        <f ca="1">'TR TUSD'!$N$48*'TR TUSD'!$N$60</f>
        <v>0</v>
      </c>
      <c r="O48" s="26">
        <f>'TR TUSD'!$O$48*'TR TUSD'!$O$60</f>
        <v>0</v>
      </c>
      <c r="P48" s="26">
        <f>'TR TUSD'!$P$48*'TR TUSD'!$P$60</f>
        <v>0</v>
      </c>
      <c r="Q48" s="26">
        <f>'TR TUSD'!$Q$48*'TR TUSD'!$Q$60</f>
        <v>90.402838164476066</v>
      </c>
      <c r="R48" s="26">
        <f>'TR TUSD'!$R$48*'TR TUSD'!$R$60</f>
        <v>14.282320995878232</v>
      </c>
      <c r="S48" s="26">
        <f>'TR TUSD'!$S$48*'TR TUSD'!$S$60</f>
        <v>0</v>
      </c>
      <c r="T48" s="26">
        <f ca="1">SUM($L$48:$S$48)</f>
        <v>105.84191763558691</v>
      </c>
      <c r="U48" s="26">
        <f>'TR TUSD'!$U$48*'TR TUSD'!$U$60</f>
        <v>15.984403213912618</v>
      </c>
      <c r="V48" s="26">
        <f>'TR TUSD'!$V$48*'TR TUSD'!$V$60</f>
        <v>12.615925537937823</v>
      </c>
      <c r="W48" s="26">
        <f>'TR TUSD'!$W$48*'TR TUSD'!$W$60</f>
        <v>0</v>
      </c>
      <c r="X48" s="26">
        <f>'TR TUSD'!$X$48*'TR TUSD'!$X$60</f>
        <v>0</v>
      </c>
      <c r="Y48" s="26">
        <f>'TR TUSD'!$Y$48*'TR TUSD'!$Y$60</f>
        <v>20.218139230122993</v>
      </c>
      <c r="Z48" s="26">
        <f>'TR TUSD'!$Z$48</f>
        <v>0</v>
      </c>
      <c r="AA48" s="26">
        <f>'TR TUSD'!$AA$48</f>
        <v>0</v>
      </c>
      <c r="AB48" s="26">
        <f>SUM($U$48:$AA$48)</f>
        <v>48.818467981973434</v>
      </c>
      <c r="AC48" s="26">
        <f>'TR TUSD'!$AC$48*'TR TUSD'!$AC$60</f>
        <v>228.62815173332331</v>
      </c>
      <c r="AD48" s="26">
        <f>SUM($AC$48:$AC$48)</f>
        <v>228.62815173332331</v>
      </c>
      <c r="AE48" s="26">
        <v>0</v>
      </c>
      <c r="AF48" s="26">
        <v>0</v>
      </c>
      <c r="AG48" s="26">
        <f>SUM($AE$48:$AF$48)</f>
        <v>0</v>
      </c>
      <c r="AH48" s="26">
        <f>'TR TUSD'!$AH$48*'TR TUSD'!$AH$60</f>
        <v>14.931010989550716</v>
      </c>
      <c r="AI48" s="26">
        <f>'TR TUSD'!$AI$48*'TR TUSD'!$AI$60</f>
        <v>0.11435698669940669</v>
      </c>
      <c r="AJ48" s="26">
        <f ca="1">'TR TUSD'!$AJ$48*'TR TUSD'!$AJ$60</f>
        <v>0</v>
      </c>
      <c r="AK48" s="26">
        <f ca="1">'TR TUSD'!$AK$48*'TR TUSD'!$AK$60</f>
        <v>0</v>
      </c>
      <c r="AL48" s="26">
        <f ca="1">SUM($AH$48:$AK$48)</f>
        <v>15.045367976250123</v>
      </c>
      <c r="AM48" s="26">
        <f ca="1">SUMIF($L$4:$AL$4,"SUBTOTAL",$L$48:$AL$48)</f>
        <v>398.33390532713378</v>
      </c>
      <c r="AP48" s="26">
        <f>IF((1 - CUSTOS!$M$31)&lt;&gt;0,1/(1 - CUSTOS!$M$31),1)</f>
        <v>1</v>
      </c>
    </row>
    <row r="49" spans="1:42" ht="11.25" customHeight="1" x14ac:dyDescent="0.25">
      <c r="A49" s="131"/>
      <c r="B49" s="45" t="s">
        <v>91</v>
      </c>
      <c r="C49" s="45" t="s">
        <v>25</v>
      </c>
      <c r="D49" s="45" t="s">
        <v>25</v>
      </c>
      <c r="E49" s="45" t="s">
        <v>25</v>
      </c>
      <c r="F49" s="45" t="s">
        <v>25</v>
      </c>
      <c r="G49" s="44" t="s">
        <v>82</v>
      </c>
      <c r="H49" s="44" t="s">
        <v>76</v>
      </c>
      <c r="I49" s="44">
        <f>'MERCADO TUSD'!$U$46</f>
        <v>0</v>
      </c>
      <c r="J49" s="18"/>
      <c r="L49" s="26">
        <f>'TR TUSD'!$L$49*'TR TUSD'!$L$60</f>
        <v>0</v>
      </c>
      <c r="M49" s="26">
        <f>'TR TUSD'!$M$49*'TR TUSD'!$M$60</f>
        <v>1.1567584752326132</v>
      </c>
      <c r="N49" s="26">
        <f ca="1">'TR TUSD'!$N$49*'TR TUSD'!$N$60</f>
        <v>0</v>
      </c>
      <c r="O49" s="26">
        <f>'TR TUSD'!$O$49*'TR TUSD'!$O$60</f>
        <v>0</v>
      </c>
      <c r="P49" s="26">
        <f>'TR TUSD'!$P$49*'TR TUSD'!$P$60</f>
        <v>0</v>
      </c>
      <c r="Q49" s="26">
        <f>'TR TUSD'!$Q$49*'TR TUSD'!$Q$60</f>
        <v>90.402838164476066</v>
      </c>
      <c r="R49" s="26">
        <f>'TR TUSD'!$R$49*'TR TUSD'!$R$60</f>
        <v>14.282320995878232</v>
      </c>
      <c r="S49" s="26">
        <f>'TR TUSD'!$S$49*'TR TUSD'!$S$60</f>
        <v>0</v>
      </c>
      <c r="T49" s="26">
        <f ca="1">SUM($L$49:$S$49)</f>
        <v>105.84191763558691</v>
      </c>
      <c r="U49" s="26">
        <f>'TR TUSD'!$U$49*'TR TUSD'!$U$60</f>
        <v>15.984403213912618</v>
      </c>
      <c r="V49" s="26">
        <f>'TR TUSD'!$V$49*'TR TUSD'!$V$60</f>
        <v>12.615925537937823</v>
      </c>
      <c r="W49" s="26">
        <f>'TR TUSD'!$W$49*'TR TUSD'!$W$60</f>
        <v>0</v>
      </c>
      <c r="X49" s="26">
        <f>'TR TUSD'!$X$49*'TR TUSD'!$X$60</f>
        <v>0</v>
      </c>
      <c r="Y49" s="26">
        <f>'TR TUSD'!$Y$49*'TR TUSD'!$Y$60</f>
        <v>20.218139230122993</v>
      </c>
      <c r="Z49" s="26">
        <f>'TR TUSD'!$Z$49</f>
        <v>0</v>
      </c>
      <c r="AA49" s="26">
        <f>'TR TUSD'!$AA$49</f>
        <v>0</v>
      </c>
      <c r="AB49" s="26">
        <f>SUM($U$49:$AA$49)</f>
        <v>48.818467981973434</v>
      </c>
      <c r="AC49" s="26">
        <f>'TR TUSD'!$AC$49*'TR TUSD'!$AC$60</f>
        <v>228.62815173332331</v>
      </c>
      <c r="AD49" s="26">
        <f>SUM($AC$49:$AC$49)</f>
        <v>228.62815173332331</v>
      </c>
      <c r="AE49" s="26">
        <v>0</v>
      </c>
      <c r="AF49" s="26">
        <v>0</v>
      </c>
      <c r="AG49" s="26">
        <f>SUM($AE$49:$AF$49)</f>
        <v>0</v>
      </c>
      <c r="AH49" s="26">
        <f>'TR TUSD'!$AH$49*'TR TUSD'!$AH$60</f>
        <v>14.931010989550716</v>
      </c>
      <c r="AI49" s="26">
        <f>'TR TUSD'!$AI$49*'TR TUSD'!$AI$60</f>
        <v>0.11435698669940669</v>
      </c>
      <c r="AJ49" s="26">
        <f ca="1">'TR TUSD'!$AJ$49*'TR TUSD'!$AJ$60</f>
        <v>0</v>
      </c>
      <c r="AK49" s="26">
        <f ca="1">'TR TUSD'!$AK$49*'TR TUSD'!$AK$60</f>
        <v>0</v>
      </c>
      <c r="AL49" s="26">
        <f ca="1">SUM($AH$49:$AK$49)</f>
        <v>15.045367976250123</v>
      </c>
      <c r="AM49" s="26">
        <f ca="1">SUMIF($L$4:$AL$4,"SUBTOTAL",$L$49:$AL$49)</f>
        <v>398.33390532713378</v>
      </c>
      <c r="AP49" s="26">
        <f>IF((1 - CUSTOS!$M$31)&lt;&gt;0,1/(1 - CUSTOS!$M$31),1)</f>
        <v>1</v>
      </c>
    </row>
    <row r="50" spans="1:42" ht="11.25" customHeight="1" x14ac:dyDescent="0.25">
      <c r="A50" s="131" t="s">
        <v>46</v>
      </c>
      <c r="B50" s="131" t="s">
        <v>23</v>
      </c>
      <c r="C50" s="131" t="s">
        <v>47</v>
      </c>
      <c r="D50" s="45" t="s">
        <v>48</v>
      </c>
      <c r="E50" s="45" t="s">
        <v>25</v>
      </c>
      <c r="F50" s="45" t="s">
        <v>25</v>
      </c>
      <c r="G50" s="44" t="s">
        <v>82</v>
      </c>
      <c r="H50" s="44" t="s">
        <v>76</v>
      </c>
      <c r="I50" s="44">
        <f>'MERCADO TUSD'!$U$47</f>
        <v>3708.9960000000001</v>
      </c>
      <c r="J50" s="18"/>
      <c r="L50" s="26">
        <f>'TR TUSD'!$L$50*'TR TUSD'!$L$60</f>
        <v>0</v>
      </c>
      <c r="M50" s="26">
        <f>'TR TUSD'!$M$50*'TR TUSD'!$M$60</f>
        <v>0.63621716137793738</v>
      </c>
      <c r="N50" s="26">
        <f ca="1">'TR TUSD'!$N$50*'TR TUSD'!$N$60</f>
        <v>0</v>
      </c>
      <c r="O50" s="26">
        <f>'TR TUSD'!$O$50*'TR TUSD'!$O$60</f>
        <v>0</v>
      </c>
      <c r="P50" s="26">
        <f>'TR TUSD'!$P$50*'TR TUSD'!$P$60</f>
        <v>0</v>
      </c>
      <c r="Q50" s="26">
        <f>'TR TUSD'!$Q$50*'TR TUSD'!$Q$60</f>
        <v>49.721560990461839</v>
      </c>
      <c r="R50" s="26">
        <f>'TR TUSD'!$R$50*'TR TUSD'!$R$60</f>
        <v>7.8552765477330277</v>
      </c>
      <c r="S50" s="26">
        <f>'TR TUSD'!$S$50*'TR TUSD'!$S$60</f>
        <v>0</v>
      </c>
      <c r="T50" s="26">
        <f ca="1">SUM($L$50:$S$50)</f>
        <v>58.213054699572801</v>
      </c>
      <c r="U50" s="26">
        <f>'TR TUSD'!$U$50*'TR TUSD'!$U$60</f>
        <v>8.7914217676519399</v>
      </c>
      <c r="V50" s="26">
        <f>'TR TUSD'!$V$50*'TR TUSD'!$V$60</f>
        <v>6.9387590458658028</v>
      </c>
      <c r="W50" s="26">
        <f>'TR TUSD'!$W$50*'TR TUSD'!$W$60</f>
        <v>0</v>
      </c>
      <c r="X50" s="26">
        <f>'TR TUSD'!$X$50*'TR TUSD'!$X$60</f>
        <v>0</v>
      </c>
      <c r="Y50" s="26">
        <f>'TR TUSD'!$Y$50*'TR TUSD'!$Y$60</f>
        <v>11.119976576567646</v>
      </c>
      <c r="Z50" s="26">
        <f>'TR TUSD'!$Z$50</f>
        <v>0</v>
      </c>
      <c r="AA50" s="26">
        <f>'TR TUSD'!$AA$50</f>
        <v>0</v>
      </c>
      <c r="AB50" s="26">
        <f>SUM($U$50:$AA$50)</f>
        <v>26.850157390085389</v>
      </c>
      <c r="AC50" s="26">
        <f>'TR TUSD'!$AC$50*'TR TUSD'!$AC$60</f>
        <v>125.74548345332784</v>
      </c>
      <c r="AD50" s="26">
        <f>SUM($AC$50:$AC$50)</f>
        <v>125.74548345332784</v>
      </c>
      <c r="AE50" s="26">
        <v>0</v>
      </c>
      <c r="AF50" s="26">
        <v>0</v>
      </c>
      <c r="AG50" s="26">
        <f>SUM($AE$50:$AF$50)</f>
        <v>0</v>
      </c>
      <c r="AH50" s="26">
        <f>'TR TUSD'!$AH$50*'TR TUSD'!$AH$60</f>
        <v>8.2120560442528951</v>
      </c>
      <c r="AI50" s="26">
        <f>'TR TUSD'!$AI$50*'TR TUSD'!$AI$60</f>
        <v>6.2896342684673687E-2</v>
      </c>
      <c r="AJ50" s="26">
        <f ca="1">'TR TUSD'!$AJ$50*'TR TUSD'!$AJ$60</f>
        <v>0</v>
      </c>
      <c r="AK50" s="26">
        <f ca="1">'TR TUSD'!$AK$50*'TR TUSD'!$AK$60</f>
        <v>0</v>
      </c>
      <c r="AL50" s="26">
        <f ca="1">SUM($AH$50:$AK$50)</f>
        <v>8.274952386937569</v>
      </c>
      <c r="AM50" s="26">
        <f ca="1">SUMIF($L$4:$AL$4,"SUBTOTAL",$L$50:$AL$50)</f>
        <v>219.08364792992359</v>
      </c>
      <c r="AP50" s="26">
        <f>IF((1 - CUSTOS!$M$32)&lt;&gt;0,1/(1 - CUSTOS!$M$32),1)</f>
        <v>1.8181818181818181</v>
      </c>
    </row>
    <row r="51" spans="1:42" ht="11.25" customHeight="1" x14ac:dyDescent="0.25">
      <c r="A51" s="131"/>
      <c r="B51" s="131"/>
      <c r="C51" s="131"/>
      <c r="D51" s="44" t="s">
        <v>49</v>
      </c>
      <c r="E51" s="44" t="s">
        <v>25</v>
      </c>
      <c r="F51" s="44" t="s">
        <v>25</v>
      </c>
      <c r="G51" s="44" t="s">
        <v>82</v>
      </c>
      <c r="H51" s="44" t="s">
        <v>76</v>
      </c>
      <c r="I51" s="44">
        <f>'MERCADO TUSD'!$U$48</f>
        <v>336.95</v>
      </c>
      <c r="J51" s="18"/>
      <c r="L51" s="26">
        <f>'TR TUSD'!$L$51*'TR TUSD'!$L$60</f>
        <v>0</v>
      </c>
      <c r="M51" s="26">
        <f>'TR TUSD'!$M$51*'TR TUSD'!$M$60</f>
        <v>0.69405508513956793</v>
      </c>
      <c r="N51" s="26">
        <f ca="1">'TR TUSD'!$N$51*'TR TUSD'!$N$60</f>
        <v>0</v>
      </c>
      <c r="O51" s="26">
        <f>'TR TUSD'!$O$51*'TR TUSD'!$O$60</f>
        <v>0</v>
      </c>
      <c r="P51" s="26">
        <f>'TR TUSD'!$P$51*'TR TUSD'!$P$60</f>
        <v>0</v>
      </c>
      <c r="Q51" s="26">
        <f>'TR TUSD'!$Q$51*'TR TUSD'!$Q$60</f>
        <v>54.241702898685638</v>
      </c>
      <c r="R51" s="26">
        <f>'TR TUSD'!$R$51*'TR TUSD'!$R$60</f>
        <v>8.5693925975269387</v>
      </c>
      <c r="S51" s="26">
        <f>'TR TUSD'!$S$51*'TR TUSD'!$S$60</f>
        <v>0</v>
      </c>
      <c r="T51" s="26">
        <f ca="1">SUM($L$51:$S$51)</f>
        <v>63.50515058135214</v>
      </c>
      <c r="U51" s="26">
        <f>'TR TUSD'!$U$51*'TR TUSD'!$U$60</f>
        <v>9.590641928347571</v>
      </c>
      <c r="V51" s="26">
        <f>'TR TUSD'!$V$51*'TR TUSD'!$V$60</f>
        <v>7.5695553227626933</v>
      </c>
      <c r="W51" s="26">
        <f>'TR TUSD'!$W$51*'TR TUSD'!$W$60</f>
        <v>0</v>
      </c>
      <c r="X51" s="26">
        <f>'TR TUSD'!$X$51*'TR TUSD'!$X$60</f>
        <v>0</v>
      </c>
      <c r="Y51" s="26">
        <f>'TR TUSD'!$Y$51*'TR TUSD'!$Y$60</f>
        <v>12.130883538073796</v>
      </c>
      <c r="Z51" s="26">
        <f>'TR TUSD'!$Z$51</f>
        <v>0</v>
      </c>
      <c r="AA51" s="26">
        <f>'TR TUSD'!$AA$51</f>
        <v>0</v>
      </c>
      <c r="AB51" s="26">
        <f>SUM($U$51:$AA$51)</f>
        <v>29.291080789184061</v>
      </c>
      <c r="AC51" s="26">
        <f>'TR TUSD'!$AC$51*'TR TUSD'!$AC$60</f>
        <v>137.17689103999396</v>
      </c>
      <c r="AD51" s="26">
        <f>SUM($AC$51:$AC$51)</f>
        <v>137.17689103999396</v>
      </c>
      <c r="AE51" s="26">
        <v>0</v>
      </c>
      <c r="AF51" s="26">
        <v>0</v>
      </c>
      <c r="AG51" s="26">
        <f>SUM($AE$51:$AF$51)</f>
        <v>0</v>
      </c>
      <c r="AH51" s="26">
        <f>'TR TUSD'!$AH$51*'TR TUSD'!$AH$60</f>
        <v>8.9586065937304298</v>
      </c>
      <c r="AI51" s="26">
        <f>'TR TUSD'!$AI$51*'TR TUSD'!$AI$60</f>
        <v>6.8614192019644013E-2</v>
      </c>
      <c r="AJ51" s="26">
        <f ca="1">'TR TUSD'!$AJ$51*'TR TUSD'!$AJ$60</f>
        <v>0</v>
      </c>
      <c r="AK51" s="26">
        <f ca="1">'TR TUSD'!$AK$51*'TR TUSD'!$AK$60</f>
        <v>0</v>
      </c>
      <c r="AL51" s="26">
        <f ca="1">SUM($AH$51:$AK$51)</f>
        <v>9.0272207857500746</v>
      </c>
      <c r="AM51" s="26">
        <f ca="1">SUMIF($L$4:$AL$4,"SUBTOTAL",$L$51:$AL$51)</f>
        <v>239.00034319628023</v>
      </c>
      <c r="AP51" s="26">
        <f>IF((1 - CUSTOS!$M$33)&lt;&gt;0,1/(1 - CUSTOS!$M$33),1)</f>
        <v>1.6666666666666667</v>
      </c>
    </row>
    <row r="53" spans="1:42" ht="11.25" customHeight="1" x14ac:dyDescent="0.25">
      <c r="K53" s="42" t="s">
        <v>726</v>
      </c>
      <c r="L53" s="26">
        <f>SUMPRODUCT($I$5:$I51,$L$5:$L51)</f>
        <v>0</v>
      </c>
      <c r="M53" s="26">
        <f>SUMPRODUCT($I$5:$I51,$M$5:$M51)</f>
        <v>137495.0228136341</v>
      </c>
      <c r="N53" s="26">
        <f ca="1">SUMPRODUCT($I$5:$I51,$N$5:$N51)</f>
        <v>0</v>
      </c>
      <c r="O53" s="26">
        <f>SUMPRODUCT($I$5:$I51,$O$5:$O51)</f>
        <v>0</v>
      </c>
      <c r="P53" s="26">
        <f>SUMPRODUCT($I$5:$I51,$P$5:$P51)</f>
        <v>0</v>
      </c>
      <c r="Q53" s="26">
        <f>SUMPRODUCT($I$5:$I51,$Q$5:$Q51)</f>
        <v>13883474.528079996</v>
      </c>
      <c r="R53" s="26">
        <f>SUMPRODUCT($I$5:$I51,$R$5:$R51)</f>
        <v>2389881.4216199997</v>
      </c>
      <c r="S53" s="26">
        <f>SUMPRODUCT($I$5:$I51,$S$5:$S51)</f>
        <v>0</v>
      </c>
      <c r="T53" s="26">
        <f ca="1">SUMPRODUCT($I$5:$I51,$T$5:$T51)</f>
        <v>16410850.972513631</v>
      </c>
      <c r="U53" s="26">
        <f>SUMPRODUCT($I$5:$I51,$U$5:$U51)</f>
        <v>2865871.9999999991</v>
      </c>
      <c r="V53" s="26">
        <f>SUMPRODUCT($I$5:$I51,$V$5:$V51)</f>
        <v>2266000.7999999993</v>
      </c>
      <c r="W53" s="26">
        <f>SUMPRODUCT($I$5:$I51,$W$5:$W51)</f>
        <v>0</v>
      </c>
      <c r="X53" s="26">
        <f>SUMPRODUCT($I$5:$I51,$X$5:$X51)</f>
        <v>0</v>
      </c>
      <c r="Y53" s="26">
        <f>SUMPRODUCT($I$5:$I51,$Y$5:$Y51)</f>
        <v>3624914.5317399981</v>
      </c>
      <c r="Z53" s="26">
        <f>SUMPRODUCT($I$5:$I51,$Z$5:$Z51)</f>
        <v>0</v>
      </c>
      <c r="AA53" s="26">
        <f>SUMPRODUCT($I$5:$I51,$AA$5:$AA51)</f>
        <v>0</v>
      </c>
      <c r="AB53" s="26">
        <f>SUMPRODUCT($I$5:$I51,$AB$5:$AB51)</f>
        <v>8756787.3317400012</v>
      </c>
      <c r="AC53" s="26">
        <f>SUMPRODUCT($I$5:$I51,$AC$5:$AC51)</f>
        <v>27172167.598823663</v>
      </c>
      <c r="AD53" s="26">
        <f>SUMPRODUCT($I$5:$I51,$AD$5:$AD51)</f>
        <v>27172167.598823663</v>
      </c>
      <c r="AE53" s="26">
        <f>SUMPRODUCT($I$5:$I51,$AE$5:$AE51)</f>
        <v>0</v>
      </c>
      <c r="AF53" s="26">
        <f>SUMPRODUCT($I$5:$I51,$AF$5:$AF51)</f>
        <v>0</v>
      </c>
      <c r="AG53" s="26">
        <f>SUMPRODUCT($I$5:$I51,$AG$5:$AG51)</f>
        <v>0</v>
      </c>
      <c r="AH53" s="26">
        <f>SUMPRODUCT($I$5:$I51,$AH$5:$AH51)</f>
        <v>1798253.114841905</v>
      </c>
      <c r="AI53" s="26">
        <f>SUMPRODUCT($I$5:$I51,$AI$5:$AI51)</f>
        <v>13772.865593633209</v>
      </c>
      <c r="AJ53" s="26">
        <f ca="1">SUMPRODUCT($I$5:$I51,$AJ$5:$AJ51)</f>
        <v>0</v>
      </c>
      <c r="AK53" s="26">
        <f ca="1">SUMPRODUCT($I$5:$I51,$AK$5:$AK51)</f>
        <v>0</v>
      </c>
      <c r="AL53" s="26">
        <f ca="1">SUMPRODUCT($I$5:$I51,$AL$5:$AL51)</f>
        <v>1812025.9804355381</v>
      </c>
      <c r="AM53" s="26">
        <f ca="1">SUMPRODUCT($I$5:$I51,$AM$5:$AM51)</f>
        <v>54151831.88351284</v>
      </c>
    </row>
    <row r="54" spans="1:42" ht="11.25" customHeight="1" x14ac:dyDescent="0.25">
      <c r="K54" s="42" t="s">
        <v>658</v>
      </c>
      <c r="L54" s="26">
        <f>'TR TUSD'!$L$56</f>
        <v>0</v>
      </c>
      <c r="M54" s="26">
        <f>'TR TUSD'!$M$56</f>
        <v>137495.02281363407</v>
      </c>
      <c r="N54" s="26">
        <f>'TR TUSD'!$N$56</f>
        <v>0</v>
      </c>
      <c r="O54" s="26">
        <f>'TR TUSD'!$O$56</f>
        <v>0</v>
      </c>
      <c r="P54" s="26">
        <f>'TR TUSD'!$P$56</f>
        <v>0</v>
      </c>
      <c r="Q54" s="26">
        <f>'TR TUSD'!$Q$56</f>
        <v>13883474.528079998</v>
      </c>
      <c r="R54" s="26">
        <f>'TR TUSD'!$R$56</f>
        <v>2389881.4216200002</v>
      </c>
      <c r="S54" s="26">
        <f>'TR TUSD'!$S$56</f>
        <v>0</v>
      </c>
      <c r="T54" s="26">
        <f>'TR TUSD'!$T$56</f>
        <v>16410850.972513633</v>
      </c>
      <c r="U54" s="26">
        <f>'TR TUSD'!$U$56</f>
        <v>2865872</v>
      </c>
      <c r="V54" s="26">
        <f>'TR TUSD'!$V$56</f>
        <v>2266000.7999999998</v>
      </c>
      <c r="W54" s="26">
        <f>'TR TUSD'!$W$56</f>
        <v>0</v>
      </c>
      <c r="X54" s="26">
        <f>'TR TUSD'!$X$56</f>
        <v>0</v>
      </c>
      <c r="Y54" s="26">
        <f>'TR TUSD'!$Y$56</f>
        <v>3624914.5317399995</v>
      </c>
      <c r="Z54" s="26">
        <f>'TR TUSD'!$Z$56</f>
        <v>0</v>
      </c>
      <c r="AA54" s="26">
        <f>'TR TUSD'!$AA$56</f>
        <v>0</v>
      </c>
      <c r="AB54" s="26">
        <f>'TR TUSD'!$AB$56</f>
        <v>8756787.3317399994</v>
      </c>
      <c r="AC54" s="26">
        <f>'TR TUSD'!$AC$56</f>
        <v>27172167.598823659</v>
      </c>
      <c r="AD54" s="26">
        <f>'TR TUSD'!$AD$56</f>
        <v>27172167.598823659</v>
      </c>
      <c r="AE54" s="26">
        <f>'TR TUSD'!$AE$56</f>
        <v>0</v>
      </c>
      <c r="AF54" s="26">
        <f>'TR TUSD'!$AF$56</f>
        <v>0</v>
      </c>
      <c r="AG54" s="26">
        <f>'TR TUSD'!$AG$56</f>
        <v>0</v>
      </c>
      <c r="AH54" s="26">
        <f>'TR TUSD'!$AH$56</f>
        <v>1798253.1148419045</v>
      </c>
      <c r="AI54" s="26">
        <f>'TR TUSD'!$AI$56</f>
        <v>13772.865593633205</v>
      </c>
      <c r="AJ54" s="26">
        <f>'TR TUSD'!$AJ$56</f>
        <v>0</v>
      </c>
      <c r="AK54" s="26">
        <f>'TR TUSD'!$AK$56</f>
        <v>0</v>
      </c>
      <c r="AL54" s="26">
        <f>'TR TUSD'!$AL$56</f>
        <v>1812025.9804355376</v>
      </c>
      <c r="AM54" s="26">
        <f>CUSTOS!$D$29</f>
        <v>54151831.883512825</v>
      </c>
    </row>
    <row r="55" spans="1:42" ht="11.25" customHeight="1" x14ac:dyDescent="0.25">
      <c r="K55" s="42" t="s">
        <v>659</v>
      </c>
      <c r="L55" s="26">
        <f>CUSTOS!$E$2</f>
        <v>0</v>
      </c>
      <c r="M55" s="26">
        <f>CUSTOS!$E$3</f>
        <v>2351.5564917225506</v>
      </c>
      <c r="N55" s="26">
        <f>CUSTOS!$E$4</f>
        <v>0</v>
      </c>
      <c r="O55" s="26">
        <f>CUSTOS!$E$5</f>
        <v>0</v>
      </c>
      <c r="P55" s="26">
        <f>CUSTOS!$E$6</f>
        <v>0</v>
      </c>
      <c r="Q55" s="26">
        <f>CUSTOS!$E$7</f>
        <v>285752.56803565449</v>
      </c>
      <c r="R55" s="26">
        <f>CUSTOS!$E$8</f>
        <v>50072.856508614503</v>
      </c>
      <c r="S55" s="26">
        <f>CUSTOS!$E$9</f>
        <v>0</v>
      </c>
      <c r="T55" s="26">
        <f>CUSTOS!$E$10</f>
        <v>338176.98103599151</v>
      </c>
      <c r="U55" s="26">
        <f>CUSTOS!$E$11</f>
        <v>-264180.63454462652</v>
      </c>
      <c r="V55" s="26">
        <f>CUSTOS!$E$12</f>
        <v>-208883.55419315005</v>
      </c>
      <c r="W55" s="26">
        <f>CUSTOS!$E$13</f>
        <v>0</v>
      </c>
      <c r="X55" s="26">
        <f>CUSTOS!$E$14</f>
        <v>0</v>
      </c>
      <c r="Y55" s="26">
        <f>CUSTOS!$E$15</f>
        <v>107304.24743100881</v>
      </c>
      <c r="Z55" s="26">
        <f>CUSTOS!$E$16</f>
        <v>0</v>
      </c>
      <c r="AA55" s="26">
        <f>CUSTOS!$E$17</f>
        <v>0</v>
      </c>
      <c r="AB55" s="26">
        <f>CUSTOS!$E$18</f>
        <v>-365759.94130676775</v>
      </c>
      <c r="AC55" s="26">
        <f>CUSTOS!$E$19</f>
        <v>-9615460.4931933079</v>
      </c>
      <c r="AD55" s="26">
        <f>CUSTOS!$E$20</f>
        <v>-9615460.4931933079</v>
      </c>
      <c r="AE55" s="26">
        <f>CUSTOS!$E$21</f>
        <v>0</v>
      </c>
      <c r="AF55" s="26">
        <f>CUSTOS!$E$22</f>
        <v>0</v>
      </c>
      <c r="AG55" s="26">
        <f>CUSTOS!$E$23</f>
        <v>0</v>
      </c>
      <c r="AH55" s="26">
        <f>CUSTOS!$E$24</f>
        <v>302956.989624632</v>
      </c>
      <c r="AI55" s="26">
        <f>CUSTOS!$E$25</f>
        <v>2320.3551626371705</v>
      </c>
      <c r="AJ55" s="26">
        <f>CUSTOS!$E$26</f>
        <v>0</v>
      </c>
      <c r="AK55" s="26">
        <f>CUSTOS!$E$27</f>
        <v>0</v>
      </c>
      <c r="AL55" s="26">
        <f>CUSTOS!$E$28</f>
        <v>305277.34478726919</v>
      </c>
      <c r="AM55" s="26">
        <f>CUSTOS!$E$29</f>
        <v>-9337766.1086768135</v>
      </c>
    </row>
    <row r="56" spans="1:42" ht="11.25" customHeight="1" x14ac:dyDescent="0.25">
      <c r="K56" s="42" t="s">
        <v>660</v>
      </c>
      <c r="L56" s="26">
        <f>CUSTOS!$F$2</f>
        <v>0</v>
      </c>
      <c r="M56" s="26">
        <f>CUSTOS!$F$3</f>
        <v>0</v>
      </c>
      <c r="N56" s="26">
        <f>CUSTOS!$F$4</f>
        <v>0</v>
      </c>
      <c r="O56" s="26">
        <f>CUSTOS!$F$5</f>
        <v>0</v>
      </c>
      <c r="P56" s="26">
        <f>CUSTOS!$F$6</f>
        <v>0</v>
      </c>
      <c r="Q56" s="26">
        <f>CUSTOS!$F$7</f>
        <v>0</v>
      </c>
      <c r="R56" s="26">
        <f>CUSTOS!$F$8</f>
        <v>0</v>
      </c>
      <c r="S56" s="26">
        <f>CUSTOS!$F$9</f>
        <v>0</v>
      </c>
      <c r="T56" s="26">
        <f>CUSTOS!$F$10</f>
        <v>0</v>
      </c>
      <c r="U56" s="26">
        <f>CUSTOS!$F$11</f>
        <v>0</v>
      </c>
      <c r="V56" s="26">
        <f>CUSTOS!$F$12</f>
        <v>0</v>
      </c>
      <c r="W56" s="26">
        <f>CUSTOS!$F$13</f>
        <v>0</v>
      </c>
      <c r="X56" s="26">
        <f>CUSTOS!$F$14</f>
        <v>0</v>
      </c>
      <c r="Y56" s="26">
        <f>CUSTOS!$F$15</f>
        <v>0</v>
      </c>
      <c r="Z56" s="26">
        <f>CUSTOS!$F$16</f>
        <v>0</v>
      </c>
      <c r="AA56" s="26">
        <f>CUSTOS!$F$17</f>
        <v>0</v>
      </c>
      <c r="AB56" s="26">
        <f>CUSTOS!$F$18</f>
        <v>0</v>
      </c>
      <c r="AC56" s="26">
        <f>CUSTOS!$F$19</f>
        <v>0</v>
      </c>
      <c r="AD56" s="26">
        <f>CUSTOS!$F$20</f>
        <v>0</v>
      </c>
      <c r="AE56" s="26">
        <f>CUSTOS!$F$21</f>
        <v>0</v>
      </c>
      <c r="AF56" s="26">
        <f>CUSTOS!$F$22</f>
        <v>0</v>
      </c>
      <c r="AG56" s="26">
        <f>CUSTOS!$F$23</f>
        <v>0</v>
      </c>
      <c r="AH56" s="26">
        <f>CUSTOS!$F$24</f>
        <v>0</v>
      </c>
      <c r="AI56" s="26">
        <f>CUSTOS!$F$25</f>
        <v>0</v>
      </c>
      <c r="AJ56" s="26">
        <f>CUSTOS!$F$26</f>
        <v>0</v>
      </c>
      <c r="AK56" s="26">
        <f>CUSTOS!$F$27</f>
        <v>0</v>
      </c>
      <c r="AL56" s="26">
        <f>CUSTOS!$F$28</f>
        <v>0</v>
      </c>
      <c r="AM56" s="26">
        <f>CUSTOS!$F$29</f>
        <v>0</v>
      </c>
    </row>
    <row r="57" spans="1:42" ht="11.25" customHeight="1" x14ac:dyDescent="0.25">
      <c r="K57" s="42" t="s">
        <v>723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f>SUM($L$57:$S$57)</f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f>SUM($U$57:$AA$57)</f>
        <v>0</v>
      </c>
      <c r="AC57" s="26">
        <v>0</v>
      </c>
      <c r="AD57" s="26">
        <f>SUM($AC$57:$AC$57)</f>
        <v>0</v>
      </c>
      <c r="AE57" s="26">
        <v>0</v>
      </c>
      <c r="AF57" s="26">
        <v>0</v>
      </c>
      <c r="AG57" s="26">
        <f>SUM($AE$57:$AF$57)</f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f>SUM($AH$57:$AK$57)</f>
        <v>0</v>
      </c>
      <c r="AM57" s="26">
        <f>SUMIF($L$4:$AL$4,"SUBTOTAL",$L$57:$AL$57)</f>
        <v>0</v>
      </c>
    </row>
    <row r="58" spans="1:42" ht="11.25" customHeight="1" x14ac:dyDescent="0.25">
      <c r="K58" s="42" t="s">
        <v>727</v>
      </c>
      <c r="L58" s="26">
        <f t="shared" ref="L58:R58" si="0">IF((L53-(0))&lt;&gt;0,(L55)/(L53-(0)),0)</f>
        <v>0</v>
      </c>
      <c r="M58" s="26">
        <f t="shared" si="0"/>
        <v>1.7102848114800041E-2</v>
      </c>
      <c r="N58" s="26">
        <f t="shared" ca="1" si="0"/>
        <v>0</v>
      </c>
      <c r="O58" s="26">
        <f t="shared" si="0"/>
        <v>0</v>
      </c>
      <c r="P58" s="26">
        <f t="shared" si="0"/>
        <v>0</v>
      </c>
      <c r="Q58" s="26">
        <f t="shared" si="0"/>
        <v>2.0582208542804337E-2</v>
      </c>
      <c r="R58" s="26">
        <f t="shared" si="0"/>
        <v>2.0952025508726799E-2</v>
      </c>
      <c r="S58" s="26">
        <f>IF((R53-(0)&lt;&gt;0),(S55)/(R53-(0)),0)</f>
        <v>0</v>
      </c>
      <c r="T58" s="26"/>
      <c r="U58" s="26">
        <f t="shared" ref="U58:AA58" si="1">IF((U53-(0))&lt;&gt;0,(U55)/(U53-(0)),0)</f>
        <v>-9.2181588900211386E-2</v>
      </c>
      <c r="V58" s="26">
        <f t="shared" si="1"/>
        <v>-9.2181588900211386E-2</v>
      </c>
      <c r="W58" s="26">
        <f t="shared" si="1"/>
        <v>0</v>
      </c>
      <c r="X58" s="26">
        <f t="shared" si="1"/>
        <v>0</v>
      </c>
      <c r="Y58" s="26">
        <f t="shared" si="1"/>
        <v>2.9601869641737902E-2</v>
      </c>
      <c r="Z58" s="26">
        <f t="shared" si="1"/>
        <v>0</v>
      </c>
      <c r="AA58" s="26">
        <f t="shared" si="1"/>
        <v>0</v>
      </c>
      <c r="AB58" s="26"/>
      <c r="AC58" s="26">
        <f>IF((AC53-(0))&lt;&gt;0,(AC55)/(AC53-(0)),0)</f>
        <v>-0.35387167616357484</v>
      </c>
      <c r="AD58" s="26"/>
      <c r="AE58" s="26">
        <f ca="1">IF(($AM53-(0))&lt;&gt;0,(AE55)/($AM53-(0)),0)</f>
        <v>0</v>
      </c>
      <c r="AF58" s="26">
        <f ca="1">IF(($AM53-(0))&lt;&gt;0,(AF55)/($AM53-(0)),0)</f>
        <v>0</v>
      </c>
      <c r="AG58" s="26"/>
      <c r="AH58" s="26">
        <f>IF((AH53-(0))&lt;&gt;0,(AH55)/(AH53-(0)),0)</f>
        <v>0.16847294027974852</v>
      </c>
      <c r="AI58" s="26">
        <f>IF((AI53-(0))&lt;&gt;0,(AI55)/(AI53-(0)),0)</f>
        <v>0.16847294027974849</v>
      </c>
      <c r="AJ58" s="26">
        <f ca="1">IF((AJ53-(0))&lt;&gt;0,(AJ55)/(AJ53-(0)),0)</f>
        <v>0</v>
      </c>
      <c r="AK58" s="26">
        <f ca="1">IF((AK53-(0))&lt;&gt;0,(AK55)/(AK53-(0)),0)</f>
        <v>0</v>
      </c>
      <c r="AL58" s="26"/>
      <c r="AM58" s="26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1083" priority="55" operator="notEqual">
      <formula>$L$54-$L$57</formula>
    </cfRule>
    <cfRule type="cellIs" dxfId="1082" priority="56" operator="equal">
      <formula>$L$54-$L$57</formula>
    </cfRule>
  </conditionalFormatting>
  <conditionalFormatting sqref="M53">
    <cfRule type="cellIs" dxfId="1081" priority="53" operator="notEqual">
      <formula>$M$54-$M$57</formula>
    </cfRule>
    <cfRule type="cellIs" dxfId="1080" priority="54" operator="equal">
      <formula>$M$54-$M$57</formula>
    </cfRule>
  </conditionalFormatting>
  <conditionalFormatting sqref="N53">
    <cfRule type="cellIs" dxfId="1079" priority="51" operator="notEqual">
      <formula>$N$54-$N$57</formula>
    </cfRule>
    <cfRule type="cellIs" dxfId="1078" priority="52" operator="equal">
      <formula>$N$54-$N$57</formula>
    </cfRule>
  </conditionalFormatting>
  <conditionalFormatting sqref="O53">
    <cfRule type="cellIs" dxfId="1077" priority="49" operator="notEqual">
      <formula>$O$54-$O$57</formula>
    </cfRule>
    <cfRule type="cellIs" dxfId="1076" priority="50" operator="equal">
      <formula>$O$54-$O$57</formula>
    </cfRule>
  </conditionalFormatting>
  <conditionalFormatting sqref="P53">
    <cfRule type="cellIs" dxfId="1075" priority="47" operator="notEqual">
      <formula>$P$54-$P$57</formula>
    </cfRule>
    <cfRule type="cellIs" dxfId="1074" priority="48" operator="equal">
      <formula>$P$54-$P$57</formula>
    </cfRule>
  </conditionalFormatting>
  <conditionalFormatting sqref="Q53">
    <cfRule type="cellIs" dxfId="1073" priority="45" operator="notEqual">
      <formula>$Q$54-$Q$57</formula>
    </cfRule>
    <cfRule type="cellIs" dxfId="1072" priority="46" operator="equal">
      <formula>$Q$54-$Q$57</formula>
    </cfRule>
  </conditionalFormatting>
  <conditionalFormatting sqref="R53">
    <cfRule type="cellIs" dxfId="1071" priority="43" operator="notEqual">
      <formula>$R$54-$R$57</formula>
    </cfRule>
    <cfRule type="cellIs" dxfId="1070" priority="44" operator="equal">
      <formula>$R$54-$R$57</formula>
    </cfRule>
  </conditionalFormatting>
  <conditionalFormatting sqref="S53">
    <cfRule type="cellIs" dxfId="1069" priority="41" operator="notEqual">
      <formula>$S$54-$S$57</formula>
    </cfRule>
    <cfRule type="cellIs" dxfId="1068" priority="42" operator="equal">
      <formula>$S$54-$S$57</formula>
    </cfRule>
  </conditionalFormatting>
  <conditionalFormatting sqref="T53">
    <cfRule type="cellIs" dxfId="1067" priority="39" operator="notEqual">
      <formula>$T$54-$T$57</formula>
    </cfRule>
    <cfRule type="cellIs" dxfId="1066" priority="40" operator="equal">
      <formula>$T$54-$T$57</formula>
    </cfRule>
  </conditionalFormatting>
  <conditionalFormatting sqref="U53">
    <cfRule type="cellIs" dxfId="1065" priority="37" operator="notEqual">
      <formula>$U$54-$U$57</formula>
    </cfRule>
    <cfRule type="cellIs" dxfId="1064" priority="38" operator="equal">
      <formula>$U$54-$U$57</formula>
    </cfRule>
  </conditionalFormatting>
  <conditionalFormatting sqref="V53">
    <cfRule type="cellIs" dxfId="1063" priority="35" operator="notEqual">
      <formula>$V$54-$V$57</formula>
    </cfRule>
    <cfRule type="cellIs" dxfId="1062" priority="36" operator="equal">
      <formula>$V$54-$V$57</formula>
    </cfRule>
  </conditionalFormatting>
  <conditionalFormatting sqref="W53">
    <cfRule type="cellIs" dxfId="1061" priority="33" operator="notEqual">
      <formula>$W$54-$W$57</formula>
    </cfRule>
    <cfRule type="cellIs" dxfId="1060" priority="34" operator="equal">
      <formula>$W$54-$W$57</formula>
    </cfRule>
  </conditionalFormatting>
  <conditionalFormatting sqref="X53">
    <cfRule type="cellIs" dxfId="1059" priority="31" operator="notEqual">
      <formula>$X$54-$X$57</formula>
    </cfRule>
    <cfRule type="cellIs" dxfId="1058" priority="32" operator="equal">
      <formula>$X$54-$X$57</formula>
    </cfRule>
  </conditionalFormatting>
  <conditionalFormatting sqref="Y53">
    <cfRule type="cellIs" dxfId="1057" priority="29" operator="notEqual">
      <formula>$Y$54-$Y$57</formula>
    </cfRule>
    <cfRule type="cellIs" dxfId="1056" priority="30" operator="equal">
      <formula>$Y$54-$Y$57</formula>
    </cfRule>
  </conditionalFormatting>
  <conditionalFormatting sqref="Z53">
    <cfRule type="cellIs" dxfId="1055" priority="27" operator="notEqual">
      <formula>$Z$54-$Z$57</formula>
    </cfRule>
    <cfRule type="cellIs" dxfId="1054" priority="28" operator="equal">
      <formula>$Z$54-$Z$57</formula>
    </cfRule>
  </conditionalFormatting>
  <conditionalFormatting sqref="AA53">
    <cfRule type="cellIs" dxfId="1053" priority="25" operator="notEqual">
      <formula>$AA$54-$AA$57</formula>
    </cfRule>
    <cfRule type="cellIs" dxfId="1052" priority="26" operator="equal">
      <formula>$AA$54-$AA$57</formula>
    </cfRule>
  </conditionalFormatting>
  <conditionalFormatting sqref="AB53">
    <cfRule type="cellIs" dxfId="1051" priority="23" operator="notEqual">
      <formula>$AB$54-$AB$57</formula>
    </cfRule>
    <cfRule type="cellIs" dxfId="1050" priority="24" operator="equal">
      <formula>$AB$54-$AB$57</formula>
    </cfRule>
  </conditionalFormatting>
  <conditionalFormatting sqref="AC53">
    <cfRule type="cellIs" dxfId="1049" priority="21" operator="notEqual">
      <formula>$AC$54-$AC$57</formula>
    </cfRule>
    <cfRule type="cellIs" dxfId="1048" priority="22" operator="equal">
      <formula>$AC$54-$AC$57</formula>
    </cfRule>
  </conditionalFormatting>
  <conditionalFormatting sqref="AD53">
    <cfRule type="cellIs" dxfId="1047" priority="19" operator="notEqual">
      <formula>$AD$54-$AD$57</formula>
    </cfRule>
    <cfRule type="cellIs" dxfId="1046" priority="20" operator="equal">
      <formula>$AD$54-$AD$57</formula>
    </cfRule>
  </conditionalFormatting>
  <conditionalFormatting sqref="AE53">
    <cfRule type="cellIs" dxfId="1045" priority="17" operator="notEqual">
      <formula>$AE$54-$AE$57</formula>
    </cfRule>
    <cfRule type="cellIs" dxfId="1044" priority="18" operator="equal">
      <formula>$AE$54-$AE$57</formula>
    </cfRule>
  </conditionalFormatting>
  <conditionalFormatting sqref="AF53">
    <cfRule type="cellIs" dxfId="1043" priority="16" operator="equal">
      <formula>$AF$54-$AF$57</formula>
    </cfRule>
  </conditionalFormatting>
  <conditionalFormatting sqref="AF53">
    <cfRule type="cellIs" dxfId="1042" priority="15" operator="notEqual">
      <formula>$AF$54-$AF$57</formula>
    </cfRule>
  </conditionalFormatting>
  <conditionalFormatting sqref="AG53">
    <cfRule type="cellIs" dxfId="1041" priority="14" operator="equal">
      <formula>$AG$54-$AG$57</formula>
    </cfRule>
  </conditionalFormatting>
  <conditionalFormatting sqref="AG53">
    <cfRule type="cellIs" dxfId="1040" priority="13" operator="notEqual">
      <formula>$AG$54-$AG$57</formula>
    </cfRule>
  </conditionalFormatting>
  <conditionalFormatting sqref="AH53">
    <cfRule type="cellIs" dxfId="1039" priority="12" operator="equal">
      <formula>$AH$54-$AH$57</formula>
    </cfRule>
  </conditionalFormatting>
  <conditionalFormatting sqref="AH53">
    <cfRule type="cellIs" dxfId="1038" priority="11" operator="notEqual">
      <formula>$AH$54-$AH$57</formula>
    </cfRule>
  </conditionalFormatting>
  <conditionalFormatting sqref="AI53">
    <cfRule type="cellIs" dxfId="1037" priority="10" operator="equal">
      <formula>$AI$54-$AI$57</formula>
    </cfRule>
  </conditionalFormatting>
  <conditionalFormatting sqref="AI53">
    <cfRule type="cellIs" dxfId="1036" priority="9" operator="notEqual">
      <formula>$AI$54-$AI$57</formula>
    </cfRule>
  </conditionalFormatting>
  <conditionalFormatting sqref="AJ53">
    <cfRule type="cellIs" dxfId="1035" priority="8" operator="equal">
      <formula>$AJ$54-$AJ$57</formula>
    </cfRule>
  </conditionalFormatting>
  <conditionalFormatting sqref="AJ53">
    <cfRule type="cellIs" dxfId="1034" priority="7" operator="notEqual">
      <formula>$AJ$54-$AJ$57</formula>
    </cfRule>
  </conditionalFormatting>
  <conditionalFormatting sqref="AK53">
    <cfRule type="cellIs" dxfId="1033" priority="6" operator="equal">
      <formula>$AK$54-$AK$57</formula>
    </cfRule>
  </conditionalFormatting>
  <conditionalFormatting sqref="AK53">
    <cfRule type="cellIs" dxfId="1032" priority="5" operator="notEqual">
      <formula>$AK$54-$AK$57</formula>
    </cfRule>
  </conditionalFormatting>
  <conditionalFormatting sqref="AL53">
    <cfRule type="cellIs" dxfId="1031" priority="4" operator="equal">
      <formula>$AL$54-$AL$57</formula>
    </cfRule>
  </conditionalFormatting>
  <conditionalFormatting sqref="AL53">
    <cfRule type="cellIs" dxfId="1030" priority="3" operator="notEqual">
      <formula>$AL$54-$AL$57</formula>
    </cfRule>
  </conditionalFormatting>
  <conditionalFormatting sqref="AM53">
    <cfRule type="cellIs" dxfId="1029" priority="2" operator="equal">
      <formula>$AM$54-$AM$57</formula>
    </cfRule>
  </conditionalFormatting>
  <conditionalFormatting sqref="AM53">
    <cfRule type="cellIs" dxfId="1028" priority="1" operator="notEqual">
      <formula>$AM$54-$AM$57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F2DEE-398B-4C5D-8F33-D7C8EBC8EA88}">
  <dimension ref="A1:AP58"/>
  <sheetViews>
    <sheetView showGridLines="0" topLeftCell="AA28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2" width="10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32" t="s">
        <v>66</v>
      </c>
      <c r="B1" s="132" t="s">
        <v>67</v>
      </c>
      <c r="C1" s="132" t="s">
        <v>68</v>
      </c>
      <c r="D1" s="132" t="s">
        <v>69</v>
      </c>
      <c r="E1" s="132" t="s">
        <v>70</v>
      </c>
      <c r="F1" s="132" t="s">
        <v>15</v>
      </c>
      <c r="G1" s="132" t="s">
        <v>72</v>
      </c>
      <c r="H1" s="132" t="s">
        <v>73</v>
      </c>
      <c r="I1" s="132" t="s">
        <v>717</v>
      </c>
      <c r="J1" s="126"/>
      <c r="L1" s="133" t="s">
        <v>728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O1" s="50"/>
      <c r="AP1" s="136" t="s">
        <v>719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6"/>
      <c r="L2" s="133" t="s">
        <v>617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O2" s="50"/>
      <c r="AP2" s="137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6"/>
      <c r="L3" s="133" t="s">
        <v>618</v>
      </c>
      <c r="M3" s="133"/>
      <c r="N3" s="133"/>
      <c r="O3" s="133"/>
      <c r="P3" s="133"/>
      <c r="Q3" s="133"/>
      <c r="R3" s="133"/>
      <c r="S3" s="133"/>
      <c r="T3" s="133"/>
      <c r="U3" s="133" t="s">
        <v>627</v>
      </c>
      <c r="V3" s="133"/>
      <c r="W3" s="133"/>
      <c r="X3" s="133"/>
      <c r="Y3" s="133"/>
      <c r="Z3" s="133"/>
      <c r="AA3" s="133"/>
      <c r="AB3" s="133"/>
      <c r="AC3" s="133" t="s">
        <v>635</v>
      </c>
      <c r="AD3" s="133"/>
      <c r="AE3" s="133" t="s">
        <v>637</v>
      </c>
      <c r="AF3" s="133"/>
      <c r="AG3" s="133"/>
      <c r="AH3" s="133" t="s">
        <v>640</v>
      </c>
      <c r="AI3" s="133"/>
      <c r="AJ3" s="133"/>
      <c r="AK3" s="133"/>
      <c r="AL3" s="133"/>
      <c r="AM3" s="133" t="s">
        <v>626</v>
      </c>
      <c r="AO3" s="50"/>
      <c r="AP3" s="137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6"/>
      <c r="L4" s="47" t="s">
        <v>702</v>
      </c>
      <c r="M4" s="47" t="s">
        <v>619</v>
      </c>
      <c r="N4" s="47" t="s">
        <v>620</v>
      </c>
      <c r="O4" s="47" t="s">
        <v>621</v>
      </c>
      <c r="P4" s="47" t="s">
        <v>622</v>
      </c>
      <c r="Q4" s="47" t="s">
        <v>623</v>
      </c>
      <c r="R4" s="47" t="s">
        <v>624</v>
      </c>
      <c r="S4" s="47" t="s">
        <v>625</v>
      </c>
      <c r="T4" s="47" t="s">
        <v>626</v>
      </c>
      <c r="U4" s="47" t="s">
        <v>628</v>
      </c>
      <c r="V4" s="47" t="s">
        <v>629</v>
      </c>
      <c r="W4" s="47" t="s">
        <v>630</v>
      </c>
      <c r="X4" s="47" t="s">
        <v>631</v>
      </c>
      <c r="Y4" s="47" t="s">
        <v>632</v>
      </c>
      <c r="Z4" s="47" t="s">
        <v>633</v>
      </c>
      <c r="AA4" s="47" t="s">
        <v>634</v>
      </c>
      <c r="AB4" s="47" t="s">
        <v>626</v>
      </c>
      <c r="AC4" s="47" t="s">
        <v>636</v>
      </c>
      <c r="AD4" s="47" t="s">
        <v>626</v>
      </c>
      <c r="AE4" s="47" t="s">
        <v>638</v>
      </c>
      <c r="AF4" s="47" t="s">
        <v>639</v>
      </c>
      <c r="AG4" s="47" t="s">
        <v>626</v>
      </c>
      <c r="AH4" s="47" t="s">
        <v>641</v>
      </c>
      <c r="AI4" s="47" t="s">
        <v>642</v>
      </c>
      <c r="AJ4" s="47" t="s">
        <v>643</v>
      </c>
      <c r="AK4" s="47" t="s">
        <v>644</v>
      </c>
      <c r="AL4" s="47" t="s">
        <v>626</v>
      </c>
      <c r="AM4" s="135"/>
      <c r="AO4" s="51" t="s">
        <v>730</v>
      </c>
      <c r="AP4" s="138"/>
    </row>
    <row r="5" spans="1:42" ht="11.25" customHeight="1" x14ac:dyDescent="0.25">
      <c r="A5" s="131" t="s">
        <v>33</v>
      </c>
      <c r="B5" s="131" t="s">
        <v>41</v>
      </c>
      <c r="C5" s="131" t="s">
        <v>25</v>
      </c>
      <c r="D5" s="131" t="s">
        <v>25</v>
      </c>
      <c r="E5" s="131" t="s">
        <v>25</v>
      </c>
      <c r="F5" s="131" t="s">
        <v>25</v>
      </c>
      <c r="G5" s="44" t="s">
        <v>80</v>
      </c>
      <c r="H5" s="44" t="s">
        <v>79</v>
      </c>
      <c r="I5" s="44">
        <f>'MERCADO TUSD'!$U$2</f>
        <v>2147</v>
      </c>
      <c r="J5" s="18"/>
      <c r="L5" s="26">
        <f>'TUSD BE'!$L$5*'TUSD BE'!$L$58</f>
        <v>0</v>
      </c>
      <c r="M5" s="26">
        <f>'TUSD BE'!$M$5*'TUSD BE'!$M$58</f>
        <v>0</v>
      </c>
      <c r="N5" s="26">
        <f ca="1">'TUSD BE'!$N$5*'TUSD BE'!$N$58</f>
        <v>0</v>
      </c>
      <c r="O5" s="26">
        <f>'TUSD BE'!$O$5*'TUSD BE'!$O$58</f>
        <v>0</v>
      </c>
      <c r="P5" s="26">
        <f>'TUSD BE'!$P$5*'TUSD BE'!$P$58</f>
        <v>0</v>
      </c>
      <c r="Q5" s="26">
        <f>'TUSD BE'!$Q$5*'TUSD BE'!$Q$58</f>
        <v>0</v>
      </c>
      <c r="R5" s="26">
        <f>'TUSD BE'!$R$5*'TUSD BE'!$R$58</f>
        <v>0</v>
      </c>
      <c r="S5" s="26">
        <f>'TUSD BE'!$R$5*'TUSD BE'!$S$58</f>
        <v>0</v>
      </c>
      <c r="T5" s="26">
        <f ca="1">SUM($L$5:$S$5)</f>
        <v>0</v>
      </c>
      <c r="U5" s="26">
        <f>'TUSD BE'!$U$5*'TUSD BE'!$U$58</f>
        <v>-0.32336809687745632</v>
      </c>
      <c r="V5" s="26">
        <f>'TUSD BE'!$V$5*'TUSD BE'!$V$58</f>
        <v>-0.25427758381299204</v>
      </c>
      <c r="W5" s="26">
        <f>'TUSD BE'!$W$5*'TUSD BE'!$W$58</f>
        <v>0</v>
      </c>
      <c r="X5" s="26">
        <f>'TUSD BE'!$X$5*'TUSD BE'!$X$58</f>
        <v>0</v>
      </c>
      <c r="Y5" s="26">
        <f>'TUSD BE'!$Y$5*'TUSD BE'!$Y$58</f>
        <v>0.13134689808806824</v>
      </c>
      <c r="Z5" s="26">
        <f>'TUSD BE'!$Z$5*'TUSD BE'!$Z$58</f>
        <v>0</v>
      </c>
      <c r="AA5" s="26">
        <f>'TUSD BE'!$AA$5*'TUSD BE'!$AA$58</f>
        <v>0</v>
      </c>
      <c r="AB5" s="26">
        <f>SUM($U$5:$AA$5)</f>
        <v>-0.44629878260238021</v>
      </c>
      <c r="AC5" s="26">
        <f>'TUSD BE'!$AC$5*'TUSD BE'!$AC$58</f>
        <v>-14.33283519414563</v>
      </c>
      <c r="AD5" s="26">
        <f>SUM($AC$5:$AC$5)</f>
        <v>-14.33283519414563</v>
      </c>
      <c r="AE5" s="26">
        <f ca="1">$AO$5*$AO$55</f>
        <v>0</v>
      </c>
      <c r="AF5" s="26">
        <f ca="1">$AP$5*$AP$55</f>
        <v>0</v>
      </c>
      <c r="AG5" s="26">
        <f ca="1">SUM($AE$5:$AF$5)</f>
        <v>0</v>
      </c>
      <c r="AH5" s="26">
        <f>'TUSD BE'!$AH$5*'TUSD BE'!$AH$58</f>
        <v>0</v>
      </c>
      <c r="AI5" s="26">
        <f>'TUSD BE'!$AI$5*'TUSD BE'!$AI$58</f>
        <v>0</v>
      </c>
      <c r="AJ5" s="26">
        <f ca="1">'TUSD BE'!$AJ$5*'TUSD BE'!$AJ$58</f>
        <v>0</v>
      </c>
      <c r="AK5" s="26">
        <f ca="1">'TUSD BE'!$AK$5*'TUSD BE'!$AK$58</f>
        <v>0</v>
      </c>
      <c r="AL5" s="26">
        <f ca="1">SUM($AH$5:$AK$5)</f>
        <v>0</v>
      </c>
      <c r="AM5" s="26">
        <f ca="1">SUMIF($L$4:$AL$4,"SUBTOTAL",$L$5:$AL$5)</f>
        <v>-14.77913397674801</v>
      </c>
      <c r="AO5" s="50">
        <f ca="1">+'TUSD BE'!$T$5+'TUSD BE'!$AB$5+'TUSD BE'!$AD$5+'TUSD BE'!$AL$5</f>
        <v>51.206420975873577</v>
      </c>
      <c r="AP5" s="50">
        <f ca="1">+'TUSD BE'!$T$5+'TUSD BE'!$AB$5+'TUSD BE'!$AD$5+'TUSD BE'!$AL$5</f>
        <v>51.206420975873577</v>
      </c>
    </row>
    <row r="6" spans="1:42" ht="11.25" customHeight="1" x14ac:dyDescent="0.25">
      <c r="A6" s="131"/>
      <c r="B6" s="131"/>
      <c r="C6" s="131"/>
      <c r="D6" s="131"/>
      <c r="E6" s="131"/>
      <c r="F6" s="131"/>
      <c r="G6" s="44" t="s">
        <v>81</v>
      </c>
      <c r="H6" s="44" t="s">
        <v>79</v>
      </c>
      <c r="I6" s="44">
        <f>'MERCADO TUSD'!$U$3</f>
        <v>2668</v>
      </c>
      <c r="J6" s="18"/>
      <c r="L6" s="26">
        <f>'TUSD BE'!$L$6*'TUSD BE'!$L$58</f>
        <v>0</v>
      </c>
      <c r="M6" s="26">
        <f>'TUSD BE'!$M$6*'TUSD BE'!$M$58</f>
        <v>0</v>
      </c>
      <c r="N6" s="26">
        <f ca="1">'TUSD BE'!$N$6*'TUSD BE'!$N$58</f>
        <v>0</v>
      </c>
      <c r="O6" s="26">
        <f>'TUSD BE'!$O$6*'TUSD BE'!$O$58</f>
        <v>0</v>
      </c>
      <c r="P6" s="26">
        <f>'TUSD BE'!$P$6*'TUSD BE'!$P$58</f>
        <v>0</v>
      </c>
      <c r="Q6" s="26">
        <f>'TUSD BE'!$Q$6*'TUSD BE'!$Q$58</f>
        <v>0</v>
      </c>
      <c r="R6" s="26">
        <f>'TUSD BE'!$R$6*'TUSD BE'!$R$58</f>
        <v>0</v>
      </c>
      <c r="S6" s="26">
        <f>'TUSD BE'!$R$6*'TUSD BE'!$S$58</f>
        <v>0</v>
      </c>
      <c r="T6" s="26">
        <f ca="1">SUM($L$6:$S$6)</f>
        <v>0</v>
      </c>
      <c r="U6" s="26">
        <f>'TUSD BE'!$U$6*'TUSD BE'!$U$58</f>
        <v>-0.31862773804349992</v>
      </c>
      <c r="V6" s="26">
        <f>'TUSD BE'!$V$6*'TUSD BE'!$V$58</f>
        <v>-0.25301716227342391</v>
      </c>
      <c r="W6" s="26">
        <f>'TUSD BE'!$W$6*'TUSD BE'!$W$58</f>
        <v>0</v>
      </c>
      <c r="X6" s="26">
        <f>'TUSD BE'!$X$6*'TUSD BE'!$X$58</f>
        <v>0</v>
      </c>
      <c r="Y6" s="26">
        <f>'TUSD BE'!$Y$6*'TUSD BE'!$Y$58</f>
        <v>0.12941747885040525</v>
      </c>
      <c r="Z6" s="26">
        <f>'TUSD BE'!$Z$6*'TUSD BE'!$Z$58</f>
        <v>0</v>
      </c>
      <c r="AA6" s="26">
        <f>'TUSD BE'!$AA$6*'TUSD BE'!$AA$58</f>
        <v>0</v>
      </c>
      <c r="AB6" s="26">
        <f>SUM($U$6:$AA$6)</f>
        <v>-0.44222742146651861</v>
      </c>
      <c r="AC6" s="26">
        <f>'TUSD BE'!$AC$6*'TUSD BE'!$AC$58</f>
        <v>-3.5867804472662383</v>
      </c>
      <c r="AD6" s="26">
        <f>SUM($AC$6:$AC$6)</f>
        <v>-3.5867804472662383</v>
      </c>
      <c r="AE6" s="26">
        <f ca="1">$AO$6*$AO$55</f>
        <v>0</v>
      </c>
      <c r="AF6" s="26">
        <f ca="1">$AP$6*$AP$55</f>
        <v>0</v>
      </c>
      <c r="AG6" s="26">
        <f ca="1">SUM($AE$6:$AF$6)</f>
        <v>0</v>
      </c>
      <c r="AH6" s="26">
        <f>'TUSD BE'!$AH$6*'TUSD BE'!$AH$58</f>
        <v>0</v>
      </c>
      <c r="AI6" s="26">
        <f>'TUSD BE'!$AI$6*'TUSD BE'!$AI$58</f>
        <v>0</v>
      </c>
      <c r="AJ6" s="26">
        <f ca="1">'TUSD BE'!$AJ$6*'TUSD BE'!$AJ$58</f>
        <v>0</v>
      </c>
      <c r="AK6" s="26">
        <f ca="1">'TUSD BE'!$AK$6*'TUSD BE'!$AK$58</f>
        <v>0</v>
      </c>
      <c r="AL6" s="26">
        <f ca="1">SUM($AH$6:$AK$6)</f>
        <v>0</v>
      </c>
      <c r="AM6" s="26">
        <f ca="1">SUMIF($L$4:$AL$4,"SUBTOTAL",$L$6:$AL$6)</f>
        <v>-4.0290078687327568</v>
      </c>
      <c r="AO6" s="50">
        <f ca="1">+'TUSD BE'!$T$6+'TUSD BE'!$AB$6+'TUSD BE'!$AD$6+'TUSD BE'!$AL$6</f>
        <v>20.709049797902409</v>
      </c>
      <c r="AP6" s="50">
        <f ca="1">+'TUSD BE'!$T$6+'TUSD BE'!$AB$6+'TUSD BE'!$AD$6+'TUSD BE'!$AL$6</f>
        <v>20.709049797902409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44" t="s">
        <v>82</v>
      </c>
      <c r="H7" s="44" t="s">
        <v>76</v>
      </c>
      <c r="I7" s="44">
        <f>'MERCADO TUSD'!$U$4</f>
        <v>669.6350000000001</v>
      </c>
      <c r="J7" s="18"/>
      <c r="L7" s="26">
        <f>'TUSD BE'!$L$7*'TUSD BE'!$L$58</f>
        <v>0</v>
      </c>
      <c r="M7" s="26">
        <f>'TUSD BE'!$M$7*'TUSD BE'!$M$58</f>
        <v>8.3764222651400207E-3</v>
      </c>
      <c r="N7" s="26">
        <f ca="1">'TUSD BE'!$N$7*'TUSD BE'!$N$58</f>
        <v>0</v>
      </c>
      <c r="O7" s="26">
        <f>'TUSD BE'!$O$7*'TUSD BE'!$O$58</f>
        <v>0</v>
      </c>
      <c r="P7" s="26">
        <f>'TUSD BE'!$P$7*'TUSD BE'!$P$58</f>
        <v>0</v>
      </c>
      <c r="Q7" s="26">
        <f>'TUSD BE'!$Q$7*'TUSD BE'!$Q$58</f>
        <v>1.5629796570886154</v>
      </c>
      <c r="R7" s="26">
        <f>'TUSD BE'!$R$7*'TUSD BE'!$R$58</f>
        <v>0.29924355382946505</v>
      </c>
      <c r="S7" s="26">
        <f>'TUSD BE'!$R$7*'TUSD BE'!$S$58</f>
        <v>0</v>
      </c>
      <c r="T7" s="26">
        <f ca="1">SUM($L$7:$S$7)</f>
        <v>1.8705996331832206</v>
      </c>
      <c r="U7" s="26">
        <f>'TUSD BE'!$U$7*'TUSD BE'!$U$58</f>
        <v>0</v>
      </c>
      <c r="V7" s="26">
        <f>'TUSD BE'!$V$7*'TUSD BE'!$V$58</f>
        <v>0</v>
      </c>
      <c r="W7" s="26">
        <f>'TUSD BE'!$W$7*'TUSD BE'!$W$58</f>
        <v>0</v>
      </c>
      <c r="X7" s="26">
        <f>'TUSD BE'!$X$7*'TUSD BE'!$X$58</f>
        <v>0</v>
      </c>
      <c r="Y7" s="26">
        <f>'TUSD BE'!$Y$7*'TUSD BE'!$Y$58</f>
        <v>0</v>
      </c>
      <c r="Z7" s="26">
        <f>'TUSD BE'!$Z$7*'TUSD BE'!$Z$58</f>
        <v>0</v>
      </c>
      <c r="AA7" s="26">
        <f>'TUSD BE'!$AA$7*'TUSD BE'!$AA$58</f>
        <v>0</v>
      </c>
      <c r="AB7" s="26">
        <f>SUM($U$7:$AA$7)</f>
        <v>0</v>
      </c>
      <c r="AC7" s="26">
        <f>'TUSD BE'!$AC$7*'TUSD BE'!$AC$58</f>
        <v>0</v>
      </c>
      <c r="AD7" s="26">
        <f>SUM($AC$7:$AC$7)</f>
        <v>0</v>
      </c>
      <c r="AE7" s="26">
        <f ca="1">$AO$7*$AO$55</f>
        <v>0</v>
      </c>
      <c r="AF7" s="26">
        <f ca="1">$AP$7*$AP$55</f>
        <v>0</v>
      </c>
      <c r="AG7" s="26">
        <f ca="1">SUM($AE$7:$AF$7)</f>
        <v>0</v>
      </c>
      <c r="AH7" s="26">
        <f>'TUSD BE'!$AH$7*'TUSD BE'!$AH$58</f>
        <v>1.1111206286952218</v>
      </c>
      <c r="AI7" s="26">
        <f>'TUSD BE'!$AI$7*'TUSD BE'!$AI$58</f>
        <v>8.5101006921808799E-3</v>
      </c>
      <c r="AJ7" s="26">
        <f ca="1">'TUSD BE'!$AJ$7*'TUSD BE'!$AJ$58</f>
        <v>0</v>
      </c>
      <c r="AK7" s="26">
        <f ca="1">'TUSD BE'!$AK$7*'TUSD BE'!$AK$58</f>
        <v>0</v>
      </c>
      <c r="AL7" s="26">
        <f ca="1">SUM($AH$7:$AK$7)</f>
        <v>1.1196307293874026</v>
      </c>
      <c r="AM7" s="26">
        <f ca="1">SUMIF($L$4:$AL$4,"SUBTOTAL",$L$7:$AL$7)</f>
        <v>2.9902303625706232</v>
      </c>
      <c r="AO7" s="50">
        <f ca="1">+'TUSD BE'!$T$7+'TUSD BE'!$AB$7+'TUSD BE'!$AD$7+'TUSD BE'!$AL$7</f>
        <v>97.356232746005105</v>
      </c>
      <c r="AP7" s="50">
        <f ca="1">+'TUSD BE'!$T$7+'TUSD BE'!$AB$7+'TUSD BE'!$AD$7+'TUSD BE'!$AL$7</f>
        <v>97.356232746005105</v>
      </c>
    </row>
    <row r="8" spans="1:42" ht="11.25" customHeight="1" x14ac:dyDescent="0.25">
      <c r="A8" s="131"/>
      <c r="B8" s="131"/>
      <c r="C8" s="131"/>
      <c r="D8" s="131"/>
      <c r="E8" s="48" t="s">
        <v>83</v>
      </c>
      <c r="F8" s="48" t="s">
        <v>25</v>
      </c>
      <c r="G8" s="44" t="s">
        <v>82</v>
      </c>
      <c r="H8" s="44" t="s">
        <v>76</v>
      </c>
      <c r="I8" s="44">
        <f>'MERCADO TUSD'!$U$5</f>
        <v>0</v>
      </c>
      <c r="J8" s="18"/>
      <c r="L8" s="26">
        <f>'TUSD BE'!$L$8*'TUSD BE'!$L$58</f>
        <v>0</v>
      </c>
      <c r="M8" s="26">
        <f>'TUSD BE'!$M$8*'TUSD BE'!$M$58</f>
        <v>8.3764222651400207E-3</v>
      </c>
      <c r="N8" s="26">
        <f ca="1">'TUSD BE'!$N$8*'TUSD BE'!$N$58</f>
        <v>0</v>
      </c>
      <c r="O8" s="26">
        <f>'TUSD BE'!$O$8*'TUSD BE'!$O$58</f>
        <v>0</v>
      </c>
      <c r="P8" s="26">
        <f>'TUSD BE'!$P$8*'TUSD BE'!$P$58</f>
        <v>0</v>
      </c>
      <c r="Q8" s="26">
        <f>'TUSD BE'!$Q$8*'TUSD BE'!$Q$58</f>
        <v>0</v>
      </c>
      <c r="R8" s="26">
        <f>'TUSD BE'!$R$8*'TUSD BE'!$R$58</f>
        <v>0</v>
      </c>
      <c r="S8" s="26">
        <f>'TUSD BE'!$R$8*'TUSD BE'!$S$58</f>
        <v>0</v>
      </c>
      <c r="T8" s="26">
        <f ca="1">SUM($L$8:$S$8)</f>
        <v>8.3764222651400207E-3</v>
      </c>
      <c r="U8" s="26">
        <f>'TUSD BE'!$U$8*'TUSD BE'!$U$58</f>
        <v>0</v>
      </c>
      <c r="V8" s="26">
        <f>'TUSD BE'!$V$8*'TUSD BE'!$V$58</f>
        <v>0</v>
      </c>
      <c r="W8" s="26">
        <f>'TUSD BE'!$W$8*'TUSD BE'!$W$58</f>
        <v>0</v>
      </c>
      <c r="X8" s="26">
        <f>'TUSD BE'!$X$8*'TUSD BE'!$X$58</f>
        <v>0</v>
      </c>
      <c r="Y8" s="26">
        <f>'TUSD BE'!$Y$8*'TUSD BE'!$Y$58</f>
        <v>0</v>
      </c>
      <c r="Z8" s="26">
        <f>'TUSD BE'!$Z$8*'TUSD BE'!$Z$58</f>
        <v>0</v>
      </c>
      <c r="AA8" s="26">
        <f>'TUSD BE'!$AA$8*'TUSD BE'!$AA$58</f>
        <v>0</v>
      </c>
      <c r="AB8" s="26">
        <f>SUM($U$8:$AA$8)</f>
        <v>0</v>
      </c>
      <c r="AC8" s="26">
        <f>'TUSD BE'!$AC$8*'TUSD BE'!$AC$58</f>
        <v>0</v>
      </c>
      <c r="AD8" s="26">
        <f>SUM($AC$8:$AC$8)</f>
        <v>0</v>
      </c>
      <c r="AE8" s="26">
        <f ca="1">$AO$8*$AO$55</f>
        <v>0</v>
      </c>
      <c r="AF8" s="26">
        <f ca="1">$AP$8*$AP$55</f>
        <v>0</v>
      </c>
      <c r="AG8" s="26">
        <f ca="1">SUM($AE$8:$AF$8)</f>
        <v>0</v>
      </c>
      <c r="AH8" s="26">
        <f>'TUSD BE'!$AH$8*'TUSD BE'!$AH$58</f>
        <v>1.1111206286952218</v>
      </c>
      <c r="AI8" s="26">
        <f>'TUSD BE'!$AI$8*'TUSD BE'!$AI$58</f>
        <v>8.5101006921808799E-3</v>
      </c>
      <c r="AJ8" s="26">
        <f ca="1">'TUSD BE'!$AJ$8*'TUSD BE'!$AJ$58</f>
        <v>0</v>
      </c>
      <c r="AK8" s="26">
        <f ca="1">'TUSD BE'!$AK$8*'TUSD BE'!$AK$58</f>
        <v>0</v>
      </c>
      <c r="AL8" s="26">
        <f ca="1">SUM($AH$8:$AK$8)</f>
        <v>1.1196307293874026</v>
      </c>
      <c r="AM8" s="26">
        <f ca="1">SUMIF($L$4:$AL$4,"SUBTOTAL",$L$8:$AL$8)</f>
        <v>1.1280071516525427</v>
      </c>
      <c r="AO8" s="50">
        <f ca="1">+'TUSD BE'!$T$8+'TUSD BE'!$AB$8+'TUSD BE'!$AD$8+'TUSD BE'!$AL$8</f>
        <v>7.1355276919669679</v>
      </c>
      <c r="AP8" s="50">
        <f ca="1">+'TUSD BE'!$T$8+'TUSD BE'!$AB$8+'TUSD BE'!$AD$8+'TUSD BE'!$AL$8</f>
        <v>7.1355276919669679</v>
      </c>
    </row>
    <row r="9" spans="1:42" ht="11.25" customHeight="1" x14ac:dyDescent="0.25">
      <c r="A9" s="131"/>
      <c r="B9" s="48" t="s">
        <v>84</v>
      </c>
      <c r="C9" s="48" t="s">
        <v>25</v>
      </c>
      <c r="D9" s="48" t="s">
        <v>25</v>
      </c>
      <c r="E9" s="48" t="s">
        <v>25</v>
      </c>
      <c r="F9" s="48" t="s">
        <v>25</v>
      </c>
      <c r="G9" s="44" t="s">
        <v>9</v>
      </c>
      <c r="H9" s="44" t="s">
        <v>79</v>
      </c>
      <c r="I9" s="44">
        <f>'MERCADO TUSD'!$U$6</f>
        <v>0</v>
      </c>
      <c r="J9" s="18"/>
      <c r="L9" s="26">
        <f>'TUSD BE'!$L$9*'TUSD BE'!$L$58</f>
        <v>0</v>
      </c>
      <c r="M9" s="26">
        <f>'TUSD BE'!$M$9*'TUSD BE'!$M$58</f>
        <v>0</v>
      </c>
      <c r="N9" s="26">
        <f ca="1">'TUSD BE'!$N$9*'TUSD BE'!$N$58</f>
        <v>0</v>
      </c>
      <c r="O9" s="26">
        <f>'TUSD BE'!$O$9*'TUSD BE'!$O$58</f>
        <v>0</v>
      </c>
      <c r="P9" s="26">
        <f>'TUSD BE'!$P$9*'TUSD BE'!$P$58</f>
        <v>0</v>
      </c>
      <c r="Q9" s="26">
        <f>'TUSD BE'!$Q$9*'TUSD BE'!$Q$58</f>
        <v>0</v>
      </c>
      <c r="R9" s="26">
        <f>'TUSD BE'!$R$9*'TUSD BE'!$R$58</f>
        <v>0</v>
      </c>
      <c r="S9" s="26">
        <f>'TUSD BE'!$R$9*'TUSD BE'!$S$58</f>
        <v>0</v>
      </c>
      <c r="T9" s="26">
        <f ca="1">SUM($L$9:$S$9)</f>
        <v>0</v>
      </c>
      <c r="U9" s="26">
        <f>'TUSD BE'!$U$9*'TUSD BE'!$U$58</f>
        <v>0</v>
      </c>
      <c r="V9" s="26">
        <f>'TUSD BE'!$V$9*'TUSD BE'!$V$58</f>
        <v>0</v>
      </c>
      <c r="W9" s="26">
        <f>'TUSD BE'!$W$9*'TUSD BE'!$W$58</f>
        <v>0</v>
      </c>
      <c r="X9" s="26">
        <f>'TUSD BE'!$X$9*'TUSD BE'!$X$58</f>
        <v>0</v>
      </c>
      <c r="Y9" s="26">
        <f>'TUSD BE'!$Y$9*'TUSD BE'!$Y$58</f>
        <v>0</v>
      </c>
      <c r="Z9" s="26">
        <f>'TUSD BE'!$Z$9*'TUSD BE'!$Z$58</f>
        <v>0</v>
      </c>
      <c r="AA9" s="26">
        <f>'TUSD BE'!$AA$9*'TUSD BE'!$AA$58</f>
        <v>0</v>
      </c>
      <c r="AB9" s="26">
        <f>SUM($U$9:$AA$9)</f>
        <v>0</v>
      </c>
      <c r="AC9" s="26">
        <f>'TUSD BE'!$AC$9*'TUSD BE'!$AC$58</f>
        <v>-1.8528707512127198</v>
      </c>
      <c r="AD9" s="26">
        <f>SUM($AC$9:$AC$9)</f>
        <v>-1.8528707512127198</v>
      </c>
      <c r="AE9" s="26">
        <f ca="1">$AO$9*$AO$55</f>
        <v>0</v>
      </c>
      <c r="AF9" s="26">
        <f ca="1">$AP$9*$AP$55</f>
        <v>0</v>
      </c>
      <c r="AG9" s="26">
        <f ca="1">SUM($AE$9:$AF$9)</f>
        <v>0</v>
      </c>
      <c r="AH9" s="26">
        <f>'TUSD BE'!$AH$9*'TUSD BE'!$AH$58</f>
        <v>0</v>
      </c>
      <c r="AI9" s="26">
        <f>'TUSD BE'!$AI$9*'TUSD BE'!$AI$58</f>
        <v>0</v>
      </c>
      <c r="AJ9" s="26">
        <f ca="1">'TUSD BE'!$AJ$9*'TUSD BE'!$AJ$58</f>
        <v>0</v>
      </c>
      <c r="AK9" s="26">
        <f ca="1">'TUSD BE'!$AK$9*'TUSD BE'!$AK$58</f>
        <v>0</v>
      </c>
      <c r="AL9" s="26">
        <f ca="1">SUM($AH$9:$AK$9)</f>
        <v>0</v>
      </c>
      <c r="AM9" s="26">
        <f ca="1">SUMIF($L$4:$AL$4,"SUBTOTAL",$L$9:$AL$9)</f>
        <v>-1.8528707512127198</v>
      </c>
      <c r="AO9" s="50">
        <f ca="1">+'TUSD BE'!$T$9+'TUSD BE'!$AB$9+'TUSD BE'!$AD$9+'TUSD BE'!$AL$9</f>
        <v>5.2359961986792145</v>
      </c>
      <c r="AP9" s="50">
        <f ca="1">+'TUSD BE'!$T$9+'TUSD BE'!$AB$9+'TUSD BE'!$AD$9+'TUSD BE'!$AL$9</f>
        <v>5.2359961986792145</v>
      </c>
    </row>
    <row r="10" spans="1:42" ht="11.25" customHeight="1" x14ac:dyDescent="0.25">
      <c r="A10" s="131"/>
      <c r="B10" s="131" t="s">
        <v>34</v>
      </c>
      <c r="C10" s="131" t="s">
        <v>25</v>
      </c>
      <c r="D10" s="131" t="s">
        <v>25</v>
      </c>
      <c r="E10" s="131" t="s">
        <v>25</v>
      </c>
      <c r="F10" s="131" t="s">
        <v>25</v>
      </c>
      <c r="G10" s="44" t="s">
        <v>9</v>
      </c>
      <c r="H10" s="44" t="s">
        <v>79</v>
      </c>
      <c r="I10" s="44">
        <f>'MERCADO TUSD'!$U$7</f>
        <v>318117</v>
      </c>
      <c r="J10" s="18"/>
      <c r="L10" s="26">
        <f>'TUSD BE'!$L$10*'TUSD BE'!$L$58</f>
        <v>0</v>
      </c>
      <c r="M10" s="26">
        <f>'TUSD BE'!$M$10*'TUSD BE'!$M$58</f>
        <v>0</v>
      </c>
      <c r="N10" s="26">
        <f ca="1">'TUSD BE'!$N$10*'TUSD BE'!$N$58</f>
        <v>0</v>
      </c>
      <c r="O10" s="26">
        <f>'TUSD BE'!$O$10*'TUSD BE'!$O$58</f>
        <v>0</v>
      </c>
      <c r="P10" s="26">
        <f>'TUSD BE'!$P$10*'TUSD BE'!$P$58</f>
        <v>0</v>
      </c>
      <c r="Q10" s="26">
        <f>'TUSD BE'!$Q$10*'TUSD BE'!$Q$58</f>
        <v>0</v>
      </c>
      <c r="R10" s="26">
        <f>'TUSD BE'!$R$10*'TUSD BE'!$R$58</f>
        <v>0</v>
      </c>
      <c r="S10" s="26">
        <f>'TUSD BE'!$R$10*'TUSD BE'!$S$58</f>
        <v>0</v>
      </c>
      <c r="T10" s="26">
        <f ca="1">SUM($L$10:$S$10)</f>
        <v>0</v>
      </c>
      <c r="U10" s="26">
        <f>'TUSD BE'!$U$10*'TUSD BE'!$U$58</f>
        <v>-0.31862773804349992</v>
      </c>
      <c r="V10" s="26">
        <f>'TUSD BE'!$V$10*'TUSD BE'!$V$58</f>
        <v>-0.25301716227342391</v>
      </c>
      <c r="W10" s="26">
        <f>'TUSD BE'!$W$10*'TUSD BE'!$W$58</f>
        <v>0</v>
      </c>
      <c r="X10" s="26">
        <f>'TUSD BE'!$X$10*'TUSD BE'!$X$58</f>
        <v>0</v>
      </c>
      <c r="Y10" s="26">
        <f>'TUSD BE'!$Y$10*'TUSD BE'!$Y$58</f>
        <v>0.12941747885040525</v>
      </c>
      <c r="Z10" s="26">
        <f>'TUSD BE'!$Z$10*'TUSD BE'!$Z$58</f>
        <v>0</v>
      </c>
      <c r="AA10" s="26">
        <f>'TUSD BE'!$AA$10*'TUSD BE'!$AA$58</f>
        <v>0</v>
      </c>
      <c r="AB10" s="26">
        <f>SUM($U$10:$AA$10)</f>
        <v>-0.44222742146651861</v>
      </c>
      <c r="AC10" s="26">
        <f>'TUSD BE'!$AC$10*'TUSD BE'!$AC$58</f>
        <v>-3.5867804472662383</v>
      </c>
      <c r="AD10" s="26">
        <f>SUM($AC$10:$AC$10)</f>
        <v>-3.5867804472662383</v>
      </c>
      <c r="AE10" s="26">
        <f ca="1">$AO$10*$AO$55</f>
        <v>0</v>
      </c>
      <c r="AF10" s="26">
        <f ca="1">$AP$10*$AP$55</f>
        <v>0</v>
      </c>
      <c r="AG10" s="26">
        <f ca="1">SUM($AE$10:$AF$10)</f>
        <v>0</v>
      </c>
      <c r="AH10" s="26">
        <f>'TUSD BE'!$AH$10*'TUSD BE'!$AH$58</f>
        <v>0</v>
      </c>
      <c r="AI10" s="26">
        <f>'TUSD BE'!$AI$10*'TUSD BE'!$AI$58</f>
        <v>0</v>
      </c>
      <c r="AJ10" s="26">
        <f ca="1">'TUSD BE'!$AJ$10*'TUSD BE'!$AJ$58</f>
        <v>0</v>
      </c>
      <c r="AK10" s="26">
        <f ca="1">'TUSD BE'!$AK$10*'TUSD BE'!$AK$58</f>
        <v>0</v>
      </c>
      <c r="AL10" s="26">
        <f ca="1">SUM($AH$10:$AK$10)</f>
        <v>0</v>
      </c>
      <c r="AM10" s="26">
        <f ca="1">SUMIF($L$4:$AL$4,"SUBTOTAL",$L$10:$AL$10)</f>
        <v>-4.0290078687327568</v>
      </c>
      <c r="AO10" s="50">
        <f ca="1">+'TUSD BE'!$T$10+'TUSD BE'!$AB$10+'TUSD BE'!$AD$10+'TUSD BE'!$AL$10</f>
        <v>20.709049797902409</v>
      </c>
      <c r="AP10" s="50">
        <f ca="1">+'TUSD BE'!$T$10+'TUSD BE'!$AB$10+'TUSD BE'!$AD$10+'TUSD BE'!$AL$10</f>
        <v>20.709049797902409</v>
      </c>
    </row>
    <row r="11" spans="1:42" ht="11.25" customHeight="1" x14ac:dyDescent="0.25">
      <c r="A11" s="131"/>
      <c r="B11" s="131"/>
      <c r="C11" s="131"/>
      <c r="D11" s="131"/>
      <c r="E11" s="131"/>
      <c r="F11" s="131"/>
      <c r="G11" s="44" t="s">
        <v>77</v>
      </c>
      <c r="H11" s="44" t="s">
        <v>76</v>
      </c>
      <c r="I11" s="44">
        <f>'MERCADO TUSD'!$U$8</f>
        <v>5116.8689999999997</v>
      </c>
      <c r="J11" s="18"/>
      <c r="L11" s="26">
        <f>'TUSD BE'!$L$11*'TUSD BE'!$L$58</f>
        <v>0</v>
      </c>
      <c r="M11" s="26">
        <f>'TUSD BE'!$M$11*'TUSD BE'!$M$58</f>
        <v>8.3764222651400207E-3</v>
      </c>
      <c r="N11" s="26">
        <f ca="1">'TUSD BE'!$N$11*'TUSD BE'!$N$58</f>
        <v>0</v>
      </c>
      <c r="O11" s="26">
        <f>'TUSD BE'!$O$11*'TUSD BE'!$O$58</f>
        <v>0</v>
      </c>
      <c r="P11" s="26">
        <f>'TUSD BE'!$P$11*'TUSD BE'!$P$58</f>
        <v>0</v>
      </c>
      <c r="Q11" s="26">
        <f>'TUSD BE'!$Q$11*'TUSD BE'!$Q$58</f>
        <v>1.5629796570886154</v>
      </c>
      <c r="R11" s="26">
        <f>'TUSD BE'!$R$11*'TUSD BE'!$R$58</f>
        <v>0.29924355382946505</v>
      </c>
      <c r="S11" s="26">
        <f>'TUSD BE'!$R$11*'TUSD BE'!$S$58</f>
        <v>0</v>
      </c>
      <c r="T11" s="26">
        <f ca="1">SUM($L$11:$S$11)</f>
        <v>1.8705996331832206</v>
      </c>
      <c r="U11" s="26">
        <f>'TUSD BE'!$U$11*'TUSD BE'!$U$58</f>
        <v>-7.7769921240416204</v>
      </c>
      <c r="V11" s="26">
        <f>'TUSD BE'!$V$11*'TUSD BE'!$V$58</f>
        <v>-6.1155439469077342</v>
      </c>
      <c r="W11" s="26">
        <f>'TUSD BE'!$W$11*'TUSD BE'!$W$58</f>
        <v>0</v>
      </c>
      <c r="X11" s="26">
        <f>'TUSD BE'!$X$11*'TUSD BE'!$X$58</f>
        <v>0</v>
      </c>
      <c r="Y11" s="26">
        <f>'TUSD BE'!$Y$11*'TUSD BE'!$Y$58</f>
        <v>3.1588779672454881</v>
      </c>
      <c r="Z11" s="26">
        <f>'TUSD BE'!$Z$11*'TUSD BE'!$Z$58</f>
        <v>0</v>
      </c>
      <c r="AA11" s="26">
        <f>'TUSD BE'!$AA$11*'TUSD BE'!$AA$58</f>
        <v>0</v>
      </c>
      <c r="AB11" s="26">
        <f>SUM($U$11:$AA$11)</f>
        <v>-10.733658103703867</v>
      </c>
      <c r="AC11" s="26">
        <f>'TUSD BE'!$AC$11*'TUSD BE'!$AC$58</f>
        <v>-344.70430611407011</v>
      </c>
      <c r="AD11" s="26">
        <f>SUM($AC$11:$AC$11)</f>
        <v>-344.70430611407011</v>
      </c>
      <c r="AE11" s="26">
        <f ca="1">$AO$11*$AO$55</f>
        <v>0</v>
      </c>
      <c r="AF11" s="26">
        <f ca="1">$AP$11*$AP$55</f>
        <v>0</v>
      </c>
      <c r="AG11" s="26">
        <f ca="1">SUM($AE$11:$AF$11)</f>
        <v>0</v>
      </c>
      <c r="AH11" s="26">
        <f>'TUSD BE'!$AH$11*'TUSD BE'!$AH$58</f>
        <v>1.1111206286952218</v>
      </c>
      <c r="AI11" s="26">
        <f>'TUSD BE'!$AI$11*'TUSD BE'!$AI$58</f>
        <v>8.5101006921808799E-3</v>
      </c>
      <c r="AJ11" s="26">
        <f ca="1">'TUSD BE'!$AJ$11*'TUSD BE'!$AJ$58</f>
        <v>0</v>
      </c>
      <c r="AK11" s="26">
        <f ca="1">'TUSD BE'!$AK$11*'TUSD BE'!$AK$58</f>
        <v>0</v>
      </c>
      <c r="AL11" s="26">
        <f ca="1">SUM($AH$11:$AK$11)</f>
        <v>1.1196307293874026</v>
      </c>
      <c r="AM11" s="26">
        <f ca="1">SUMIF($L$4:$AL$4,"SUBTOTAL",$L$11:$AL$11)</f>
        <v>-352.44773385520335</v>
      </c>
      <c r="AO11" s="50">
        <f ca="1">+'TUSD BE'!$T$11+'TUSD BE'!$AB$11+'TUSD BE'!$AD$11+'TUSD BE'!$AL$11</f>
        <v>1328.8707861434486</v>
      </c>
      <c r="AP11" s="50">
        <f ca="1">+'TUSD BE'!$T$11+'TUSD BE'!$AB$11+'TUSD BE'!$AD$11+'TUSD BE'!$AL$11</f>
        <v>1328.8707861434486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44" t="s">
        <v>78</v>
      </c>
      <c r="H12" s="44" t="s">
        <v>76</v>
      </c>
      <c r="I12" s="44">
        <f>'MERCADO TUSD'!$U$9</f>
        <v>80201.053999999989</v>
      </c>
      <c r="J12" s="18"/>
      <c r="L12" s="26">
        <f>'TUSD BE'!$L$12*'TUSD BE'!$L$58</f>
        <v>0</v>
      </c>
      <c r="M12" s="26">
        <f>'TUSD BE'!$M$12*'TUSD BE'!$M$58</f>
        <v>8.3764222651400207E-3</v>
      </c>
      <c r="N12" s="26">
        <f ca="1">'TUSD BE'!$N$12*'TUSD BE'!$N$58</f>
        <v>0</v>
      </c>
      <c r="O12" s="26">
        <f>'TUSD BE'!$O$12*'TUSD BE'!$O$58</f>
        <v>0</v>
      </c>
      <c r="P12" s="26">
        <f>'TUSD BE'!$P$12*'TUSD BE'!$P$58</f>
        <v>0</v>
      </c>
      <c r="Q12" s="26">
        <f>'TUSD BE'!$Q$12*'TUSD BE'!$Q$58</f>
        <v>1.5629796570886154</v>
      </c>
      <c r="R12" s="26">
        <f>'TUSD BE'!$R$12*'TUSD BE'!$R$58</f>
        <v>0.29924355382946505</v>
      </c>
      <c r="S12" s="26">
        <f>'TUSD BE'!$R$12*'TUSD BE'!$S$58</f>
        <v>0</v>
      </c>
      <c r="T12" s="26">
        <f ca="1">SUM($L$12:$S$12)</f>
        <v>1.8705996331832206</v>
      </c>
      <c r="U12" s="26">
        <f>'TUSD BE'!$U$12*'TUSD BE'!$U$58</f>
        <v>0</v>
      </c>
      <c r="V12" s="26">
        <f>'TUSD BE'!$V$12*'TUSD BE'!$V$58</f>
        <v>0</v>
      </c>
      <c r="W12" s="26">
        <f>'TUSD BE'!$W$12*'TUSD BE'!$W$58</f>
        <v>0</v>
      </c>
      <c r="X12" s="26">
        <f>'TUSD BE'!$X$12*'TUSD BE'!$X$58</f>
        <v>0</v>
      </c>
      <c r="Y12" s="26">
        <f>'TUSD BE'!$Y$12*'TUSD BE'!$Y$58</f>
        <v>0</v>
      </c>
      <c r="Z12" s="26">
        <f>'TUSD BE'!$Z$12*'TUSD BE'!$Z$58</f>
        <v>0</v>
      </c>
      <c r="AA12" s="26">
        <f>'TUSD BE'!$AA$12*'TUSD BE'!$AA$58</f>
        <v>0</v>
      </c>
      <c r="AB12" s="26">
        <f>SUM($U$12:$AA$12)</f>
        <v>0</v>
      </c>
      <c r="AC12" s="26">
        <f>'TUSD BE'!$AC$12*'TUSD BE'!$AC$58</f>
        <v>0</v>
      </c>
      <c r="AD12" s="26">
        <f>SUM($AC$12:$AC$12)</f>
        <v>0</v>
      </c>
      <c r="AE12" s="26">
        <f ca="1">$AO$12*$AO$55</f>
        <v>0</v>
      </c>
      <c r="AF12" s="26">
        <f ca="1">$AP$12*$AP$55</f>
        <v>0</v>
      </c>
      <c r="AG12" s="26">
        <f ca="1">SUM($AE$12:$AF$12)</f>
        <v>0</v>
      </c>
      <c r="AH12" s="26">
        <f>'TUSD BE'!$AH$12*'TUSD BE'!$AH$58</f>
        <v>1.1111206286952218</v>
      </c>
      <c r="AI12" s="26">
        <f>'TUSD BE'!$AI$12*'TUSD BE'!$AI$58</f>
        <v>8.5101006921808799E-3</v>
      </c>
      <c r="AJ12" s="26">
        <f ca="1">'TUSD BE'!$AJ$12*'TUSD BE'!$AJ$58</f>
        <v>0</v>
      </c>
      <c r="AK12" s="26">
        <f ca="1">'TUSD BE'!$AK$12*'TUSD BE'!$AK$58</f>
        <v>0</v>
      </c>
      <c r="AL12" s="26">
        <f ca="1">SUM($AH$12:$AK$12)</f>
        <v>1.1196307293874026</v>
      </c>
      <c r="AM12" s="26">
        <f ca="1">SUMIF($L$4:$AL$4,"SUBTOTAL",$L$12:$AL$12)</f>
        <v>2.9902303625706232</v>
      </c>
      <c r="AO12" s="50">
        <f ca="1">+'TUSD BE'!$T$12+'TUSD BE'!$AB$12+'TUSD BE'!$AD$12+'TUSD BE'!$AL$12</f>
        <v>97.356232746005105</v>
      </c>
      <c r="AP12" s="50">
        <f ca="1">+'TUSD BE'!$T$12+'TUSD BE'!$AB$12+'TUSD BE'!$AD$12+'TUSD BE'!$AL$12</f>
        <v>97.356232746005105</v>
      </c>
    </row>
    <row r="13" spans="1:42" ht="11.25" customHeight="1" x14ac:dyDescent="0.25">
      <c r="A13" s="131"/>
      <c r="B13" s="131"/>
      <c r="C13" s="131"/>
      <c r="D13" s="131"/>
      <c r="E13" s="131" t="s">
        <v>83</v>
      </c>
      <c r="F13" s="131" t="s">
        <v>25</v>
      </c>
      <c r="G13" s="44" t="s">
        <v>77</v>
      </c>
      <c r="H13" s="44" t="s">
        <v>76</v>
      </c>
      <c r="I13" s="44">
        <f>'MERCADO TUSD'!$U$10</f>
        <v>0</v>
      </c>
      <c r="J13" s="18"/>
      <c r="L13" s="26">
        <f>'TUSD BE'!$L$13*'TUSD BE'!$L$58</f>
        <v>0</v>
      </c>
      <c r="M13" s="26">
        <f>'TUSD BE'!$M$13*'TUSD BE'!$M$58</f>
        <v>8.3764222651400207E-3</v>
      </c>
      <c r="N13" s="26">
        <f ca="1">'TUSD BE'!$N$13*'TUSD BE'!$N$58</f>
        <v>0</v>
      </c>
      <c r="O13" s="26">
        <f>'TUSD BE'!$O$13*'TUSD BE'!$O$58</f>
        <v>0</v>
      </c>
      <c r="P13" s="26">
        <f>'TUSD BE'!$P$13*'TUSD BE'!$P$58</f>
        <v>0</v>
      </c>
      <c r="Q13" s="26">
        <f>'TUSD BE'!$Q$13*'TUSD BE'!$Q$58</f>
        <v>0</v>
      </c>
      <c r="R13" s="26">
        <f>'TUSD BE'!$R$13*'TUSD BE'!$R$58</f>
        <v>0</v>
      </c>
      <c r="S13" s="26">
        <f>'TUSD BE'!$R$13*'TUSD BE'!$S$58</f>
        <v>0</v>
      </c>
      <c r="T13" s="26">
        <f ca="1">SUM($L$13:$S$13)</f>
        <v>8.3764222651400207E-3</v>
      </c>
      <c r="U13" s="26">
        <f>'TUSD BE'!$U$13*'TUSD BE'!$U$58</f>
        <v>-7.7769921240416204</v>
      </c>
      <c r="V13" s="26">
        <f>'TUSD BE'!$V$13*'TUSD BE'!$V$58</f>
        <v>-6.1155439469077342</v>
      </c>
      <c r="W13" s="26">
        <f>'TUSD BE'!$W$13*'TUSD BE'!$W$58</f>
        <v>0</v>
      </c>
      <c r="X13" s="26">
        <f>'TUSD BE'!$X$13*'TUSD BE'!$X$58</f>
        <v>0</v>
      </c>
      <c r="Y13" s="26">
        <f>'TUSD BE'!$Y$13*'TUSD BE'!$Y$58</f>
        <v>3.1588779672454881</v>
      </c>
      <c r="Z13" s="26">
        <f>'TUSD BE'!$Z$13*'TUSD BE'!$Z$58</f>
        <v>0</v>
      </c>
      <c r="AA13" s="26">
        <f>'TUSD BE'!$AA$13*'TUSD BE'!$AA$58</f>
        <v>0</v>
      </c>
      <c r="AB13" s="26">
        <f>SUM($U$13:$AA$13)</f>
        <v>-10.733658103703867</v>
      </c>
      <c r="AC13" s="26">
        <f>'TUSD BE'!$AC$13*'TUSD BE'!$AC$58</f>
        <v>-344.70430611407011</v>
      </c>
      <c r="AD13" s="26">
        <f>SUM($AC$13:$AC$13)</f>
        <v>-344.70430611407011</v>
      </c>
      <c r="AE13" s="26">
        <f ca="1">$AO$13*$AO$55</f>
        <v>0</v>
      </c>
      <c r="AF13" s="26">
        <f ca="1">$AP$13*$AP$55</f>
        <v>0</v>
      </c>
      <c r="AG13" s="26">
        <f ca="1">SUM($AE$13:$AF$13)</f>
        <v>0</v>
      </c>
      <c r="AH13" s="26">
        <f>'TUSD BE'!$AH$13*'TUSD BE'!$AH$58</f>
        <v>1.1111206286952218</v>
      </c>
      <c r="AI13" s="26">
        <f>'TUSD BE'!$AI$13*'TUSD BE'!$AI$58</f>
        <v>8.5101006921808799E-3</v>
      </c>
      <c r="AJ13" s="26">
        <f ca="1">'TUSD BE'!$AJ$13*'TUSD BE'!$AJ$58</f>
        <v>0</v>
      </c>
      <c r="AK13" s="26">
        <f ca="1">'TUSD BE'!$AK$13*'TUSD BE'!$AK$58</f>
        <v>0</v>
      </c>
      <c r="AL13" s="26">
        <f ca="1">SUM($AH$13:$AK$13)</f>
        <v>1.1196307293874026</v>
      </c>
      <c r="AM13" s="26">
        <f ca="1">SUMIF($L$4:$AL$4,"SUBTOTAL",$L$13:$AL$13)</f>
        <v>-354.30995706612146</v>
      </c>
      <c r="AO13" s="50">
        <f ca="1">+'TUSD BE'!$T$13+'TUSD BE'!$AB$13+'TUSD BE'!$AD$13+'TUSD BE'!$AL$13</f>
        <v>1238.6500810894104</v>
      </c>
      <c r="AP13" s="50">
        <f ca="1">+'TUSD BE'!$T$13+'TUSD BE'!$AB$13+'TUSD BE'!$AD$13+'TUSD BE'!$AL$13</f>
        <v>1238.6500810894104</v>
      </c>
    </row>
    <row r="14" spans="1:42" ht="11.25" customHeight="1" x14ac:dyDescent="0.25">
      <c r="A14" s="131"/>
      <c r="B14" s="131"/>
      <c r="C14" s="131"/>
      <c r="D14" s="131"/>
      <c r="E14" s="131"/>
      <c r="F14" s="131"/>
      <c r="G14" s="44" t="s">
        <v>78</v>
      </c>
      <c r="H14" s="44" t="s">
        <v>76</v>
      </c>
      <c r="I14" s="44">
        <f>'MERCADO TUSD'!$U$11</f>
        <v>0</v>
      </c>
      <c r="J14" s="18"/>
      <c r="L14" s="26">
        <f>'TUSD BE'!$L$14*'TUSD BE'!$L$58</f>
        <v>0</v>
      </c>
      <c r="M14" s="26">
        <f>'TUSD BE'!$M$14*'TUSD BE'!$M$58</f>
        <v>8.3764222651400207E-3</v>
      </c>
      <c r="N14" s="26">
        <f ca="1">'TUSD BE'!$N$14*'TUSD BE'!$N$58</f>
        <v>0</v>
      </c>
      <c r="O14" s="26">
        <f>'TUSD BE'!$O$14*'TUSD BE'!$O$58</f>
        <v>0</v>
      </c>
      <c r="P14" s="26">
        <f>'TUSD BE'!$P$14*'TUSD BE'!$P$58</f>
        <v>0</v>
      </c>
      <c r="Q14" s="26">
        <f>'TUSD BE'!$Q$14*'TUSD BE'!$Q$58</f>
        <v>0</v>
      </c>
      <c r="R14" s="26">
        <f>'TUSD BE'!$R$14*'TUSD BE'!$R$58</f>
        <v>0</v>
      </c>
      <c r="S14" s="26">
        <f>'TUSD BE'!$R$14*'TUSD BE'!$S$58</f>
        <v>0</v>
      </c>
      <c r="T14" s="26">
        <f ca="1">SUM($L$14:$S$14)</f>
        <v>8.3764222651400207E-3</v>
      </c>
      <c r="U14" s="26">
        <f>'TUSD BE'!$U$14*'TUSD BE'!$U$58</f>
        <v>0</v>
      </c>
      <c r="V14" s="26">
        <f>'TUSD BE'!$V$14*'TUSD BE'!$V$58</f>
        <v>0</v>
      </c>
      <c r="W14" s="26">
        <f>'TUSD BE'!$W$14*'TUSD BE'!$W$58</f>
        <v>0</v>
      </c>
      <c r="X14" s="26">
        <f>'TUSD BE'!$X$14*'TUSD BE'!$X$58</f>
        <v>0</v>
      </c>
      <c r="Y14" s="26">
        <f>'TUSD BE'!$Y$14*'TUSD BE'!$Y$58</f>
        <v>0</v>
      </c>
      <c r="Z14" s="26">
        <f>'TUSD BE'!$Z$14*'TUSD BE'!$Z$58</f>
        <v>0</v>
      </c>
      <c r="AA14" s="26">
        <f>'TUSD BE'!$AA$14*'TUSD BE'!$AA$58</f>
        <v>0</v>
      </c>
      <c r="AB14" s="26">
        <f>SUM($U$14:$AA$14)</f>
        <v>0</v>
      </c>
      <c r="AC14" s="26">
        <f>'TUSD BE'!$AC$14*'TUSD BE'!$AC$58</f>
        <v>0</v>
      </c>
      <c r="AD14" s="26">
        <f>SUM($AC$14:$AC$14)</f>
        <v>0</v>
      </c>
      <c r="AE14" s="26">
        <f ca="1">$AO$14*$AO$55</f>
        <v>0</v>
      </c>
      <c r="AF14" s="26">
        <f ca="1">$AP$14*$AP$55</f>
        <v>0</v>
      </c>
      <c r="AG14" s="26">
        <f ca="1">SUM($AE$14:$AF$14)</f>
        <v>0</v>
      </c>
      <c r="AH14" s="26">
        <f>'TUSD BE'!$AH$14*'TUSD BE'!$AH$58</f>
        <v>1.1111206286952218</v>
      </c>
      <c r="AI14" s="26">
        <f>'TUSD BE'!$AI$14*'TUSD BE'!$AI$58</f>
        <v>8.5101006921808799E-3</v>
      </c>
      <c r="AJ14" s="26">
        <f ca="1">'TUSD BE'!$AJ$14*'TUSD BE'!$AJ$58</f>
        <v>0</v>
      </c>
      <c r="AK14" s="26">
        <f ca="1">'TUSD BE'!$AK$14*'TUSD BE'!$AK$58</f>
        <v>0</v>
      </c>
      <c r="AL14" s="26">
        <f ca="1">SUM($AH$14:$AK$14)</f>
        <v>1.1196307293874026</v>
      </c>
      <c r="AM14" s="26">
        <f ca="1">SUMIF($L$4:$AL$4,"SUBTOTAL",$L$14:$AL$14)</f>
        <v>1.1280071516525427</v>
      </c>
      <c r="AO14" s="50">
        <f ca="1">+'TUSD BE'!$T$14+'TUSD BE'!$AB$14+'TUSD BE'!$AD$14+'TUSD BE'!$AL$14</f>
        <v>7.1355276919669679</v>
      </c>
      <c r="AP14" s="50">
        <f ca="1">+'TUSD BE'!$T$14+'TUSD BE'!$AB$14+'TUSD BE'!$AD$14+'TUSD BE'!$AL$14</f>
        <v>7.1355276919669679</v>
      </c>
    </row>
    <row r="15" spans="1:42" ht="11.25" customHeight="1" x14ac:dyDescent="0.25">
      <c r="A15" s="131" t="s">
        <v>85</v>
      </c>
      <c r="B15" s="131" t="s">
        <v>84</v>
      </c>
      <c r="C15" s="131" t="s">
        <v>25</v>
      </c>
      <c r="D15" s="131" t="s">
        <v>25</v>
      </c>
      <c r="E15" s="48" t="s">
        <v>86</v>
      </c>
      <c r="F15" s="48" t="s">
        <v>25</v>
      </c>
      <c r="G15" s="44" t="s">
        <v>9</v>
      </c>
      <c r="H15" s="44" t="s">
        <v>79</v>
      </c>
      <c r="I15" s="44">
        <f>'MERCADO TUSD'!$U$12+0.00000001</f>
        <v>1E-8</v>
      </c>
      <c r="J15" s="18"/>
      <c r="L15" s="26">
        <f>'TUSD BE'!$L$15*'TUSD BE'!$L$58</f>
        <v>0</v>
      </c>
      <c r="M15" s="26">
        <f>'TUSD BE'!$M$15*'TUSD BE'!$M$58</f>
        <v>0</v>
      </c>
      <c r="N15" s="26">
        <f ca="1">'TUSD BE'!$N$15*'TUSD BE'!$N$58</f>
        <v>0</v>
      </c>
      <c r="O15" s="26">
        <f>'TUSD BE'!$O$15*'TUSD BE'!$O$58</f>
        <v>0</v>
      </c>
      <c r="P15" s="26">
        <f>'TUSD BE'!$P$15*'TUSD BE'!$P$58</f>
        <v>0</v>
      </c>
      <c r="Q15" s="26">
        <f>'TUSD BE'!$Q$15*'TUSD BE'!$Q$58</f>
        <v>0</v>
      </c>
      <c r="R15" s="26">
        <f>'TUSD BE'!$R$15*'TUSD BE'!$R$58</f>
        <v>0</v>
      </c>
      <c r="S15" s="26">
        <f>'TUSD BE'!$R$15*'TUSD BE'!$S$58</f>
        <v>0</v>
      </c>
      <c r="T15" s="26">
        <f ca="1">SUM($L$15:$S$15)</f>
        <v>0</v>
      </c>
      <c r="U15" s="26">
        <f>'TUSD BE'!$U$15*'TUSD BE'!$U$58</f>
        <v>0</v>
      </c>
      <c r="V15" s="26">
        <f>'TUSD BE'!$V$15*'TUSD BE'!$V$58</f>
        <v>0</v>
      </c>
      <c r="W15" s="26">
        <f>'TUSD BE'!$W$15*'TUSD BE'!$W$58</f>
        <v>0</v>
      </c>
      <c r="X15" s="26">
        <f>'TUSD BE'!$X$15*'TUSD BE'!$X$58</f>
        <v>0</v>
      </c>
      <c r="Y15" s="26">
        <f>'TUSD BE'!$Y$15*'TUSD BE'!$Y$58</f>
        <v>0</v>
      </c>
      <c r="Z15" s="26">
        <f>'TUSD BE'!$Z$15*'TUSD BE'!$Z$58</f>
        <v>0</v>
      </c>
      <c r="AA15" s="26">
        <f>'TUSD BE'!$AA$15*'TUSD BE'!$AA$58</f>
        <v>0</v>
      </c>
      <c r="AB15" s="26">
        <f>SUM($U$15:$AA$15)</f>
        <v>0</v>
      </c>
      <c r="AC15" s="26">
        <f>'TUSD BE'!$AC$15*'TUSD BE'!$AC$58</f>
        <v>-2.0693428471874649</v>
      </c>
      <c r="AD15" s="26">
        <f>SUM($AC$15:$AC$15)</f>
        <v>-2.0693428471874649</v>
      </c>
      <c r="AE15" s="26">
        <f ca="1">$AO$15*$AO$55</f>
        <v>0</v>
      </c>
      <c r="AF15" s="26">
        <f ca="1">$AP$15*$AP$55</f>
        <v>0</v>
      </c>
      <c r="AG15" s="26">
        <f ca="1">SUM($AE$15:$AF$15)</f>
        <v>0</v>
      </c>
      <c r="AH15" s="26">
        <f>'TUSD BE'!$AH$15*'TUSD BE'!$AH$58</f>
        <v>0</v>
      </c>
      <c r="AI15" s="26">
        <f>'TUSD BE'!$AI$15*'TUSD BE'!$AI$58</f>
        <v>0</v>
      </c>
      <c r="AJ15" s="26">
        <f ca="1">'TUSD BE'!$AJ$15*'TUSD BE'!$AJ$58</f>
        <v>0</v>
      </c>
      <c r="AK15" s="26">
        <f ca="1">'TUSD BE'!$AK$15*'TUSD BE'!$AK$58</f>
        <v>0</v>
      </c>
      <c r="AL15" s="26">
        <f ca="1">SUM($AH$15:$AK$15)</f>
        <v>0</v>
      </c>
      <c r="AM15" s="26">
        <f ca="1">SUMIF($L$4:$AL$4,"SUBTOTAL",$L$15:$AL$15)</f>
        <v>-2.0693428471874649</v>
      </c>
      <c r="AO15" s="50">
        <f ca="1">+'TUSD BE'!$T$15+'TUSD BE'!$AB$15+'TUSD BE'!$AD$15+'TUSD BE'!$AL$15</f>
        <v>5.8477210428984003</v>
      </c>
      <c r="AP15" s="50">
        <f ca="1">+'TUSD BE'!$T$15+'TUSD BE'!$AB$15+'TUSD BE'!$AD$15+'TUSD BE'!$AL$15</f>
        <v>5.8477210428984003</v>
      </c>
    </row>
    <row r="16" spans="1:42" ht="11.25" customHeight="1" x14ac:dyDescent="0.25">
      <c r="A16" s="131"/>
      <c r="B16" s="131"/>
      <c r="C16" s="131"/>
      <c r="D16" s="131"/>
      <c r="E16" s="48" t="s">
        <v>87</v>
      </c>
      <c r="F16" s="48" t="s">
        <v>25</v>
      </c>
      <c r="G16" s="44" t="s">
        <v>9</v>
      </c>
      <c r="H16" s="44" t="s">
        <v>79</v>
      </c>
      <c r="I16" s="44">
        <f>'MERCADO TUSD'!$U$13+0.00000001</f>
        <v>1E-8</v>
      </c>
      <c r="J16" s="18"/>
      <c r="L16" s="26">
        <f>'TUSD BE'!$L$16*'TUSD BE'!$L$58</f>
        <v>0</v>
      </c>
      <c r="M16" s="26">
        <f>'TUSD BE'!$M$16*'TUSD BE'!$M$58</f>
        <v>0</v>
      </c>
      <c r="N16" s="26">
        <f ca="1">'TUSD BE'!$N$16*'TUSD BE'!$N$58</f>
        <v>0</v>
      </c>
      <c r="O16" s="26">
        <f>'TUSD BE'!$O$16*'TUSD BE'!$O$58</f>
        <v>0</v>
      </c>
      <c r="P16" s="26">
        <f>'TUSD BE'!$P$16*'TUSD BE'!$P$58</f>
        <v>0</v>
      </c>
      <c r="Q16" s="26">
        <f>'TUSD BE'!$Q$16*'TUSD BE'!$Q$58</f>
        <v>0</v>
      </c>
      <c r="R16" s="26">
        <f>'TUSD BE'!$R$16*'TUSD BE'!$R$58</f>
        <v>0</v>
      </c>
      <c r="S16" s="26">
        <f>'TUSD BE'!$R$16*'TUSD BE'!$S$58</f>
        <v>0</v>
      </c>
      <c r="T16" s="26">
        <f ca="1">SUM($L$16:$S$16)</f>
        <v>0</v>
      </c>
      <c r="U16" s="26">
        <f>'TUSD BE'!$U$16*'TUSD BE'!$U$58</f>
        <v>0</v>
      </c>
      <c r="V16" s="26">
        <f>'TUSD BE'!$V$16*'TUSD BE'!$V$58</f>
        <v>0</v>
      </c>
      <c r="W16" s="26">
        <f>'TUSD BE'!$W$16*'TUSD BE'!$W$58</f>
        <v>0</v>
      </c>
      <c r="X16" s="26">
        <f>'TUSD BE'!$X$16*'TUSD BE'!$X$58</f>
        <v>0</v>
      </c>
      <c r="Y16" s="26">
        <f>'TUSD BE'!$Y$16*'TUSD BE'!$Y$58</f>
        <v>0</v>
      </c>
      <c r="Z16" s="26">
        <f>'TUSD BE'!$Z$16*'TUSD BE'!$Z$58</f>
        <v>0</v>
      </c>
      <c r="AA16" s="26">
        <f>'TUSD BE'!$AA$16*'TUSD BE'!$AA$58</f>
        <v>0</v>
      </c>
      <c r="AB16" s="26">
        <f>SUM($U$16:$AA$16)</f>
        <v>0</v>
      </c>
      <c r="AC16" s="26">
        <f>'TUSD BE'!$AC$16*'TUSD BE'!$AC$58</f>
        <v>-4.2095954978899881</v>
      </c>
      <c r="AD16" s="26">
        <f>SUM($AC$16:$AC$16)</f>
        <v>-4.2095954978899881</v>
      </c>
      <c r="AE16" s="26">
        <f ca="1">$AO$16*$AO$55</f>
        <v>0</v>
      </c>
      <c r="AF16" s="26">
        <f ca="1">$AP$16*$AP$55</f>
        <v>0</v>
      </c>
      <c r="AG16" s="26">
        <f ca="1">SUM($AE$16:$AF$16)</f>
        <v>0</v>
      </c>
      <c r="AH16" s="26">
        <f>'TUSD BE'!$AH$16*'TUSD BE'!$AH$58</f>
        <v>0</v>
      </c>
      <c r="AI16" s="26">
        <f>'TUSD BE'!$AI$16*'TUSD BE'!$AI$58</f>
        <v>0</v>
      </c>
      <c r="AJ16" s="26">
        <f ca="1">'TUSD BE'!$AJ$16*'TUSD BE'!$AJ$58</f>
        <v>0</v>
      </c>
      <c r="AK16" s="26">
        <f ca="1">'TUSD BE'!$AK$16*'TUSD BE'!$AK$58</f>
        <v>0</v>
      </c>
      <c r="AL16" s="26">
        <f ca="1">SUM($AH$16:$AK$16)</f>
        <v>0</v>
      </c>
      <c r="AM16" s="26">
        <f ca="1">SUMIF($L$4:$AL$4,"SUBTOTAL",$L$16:$AL$16)</f>
        <v>-4.2095954978899881</v>
      </c>
      <c r="AO16" s="50">
        <f ca="1">+'TUSD BE'!$T$16+'TUSD BE'!$AB$16+'TUSD BE'!$AD$16+'TUSD BE'!$AL$16</f>
        <v>11.895824903330581</v>
      </c>
      <c r="AP16" s="50">
        <f ca="1">+'TUSD BE'!$T$16+'TUSD BE'!$AB$16+'TUSD BE'!$AD$16+'TUSD BE'!$AL$16</f>
        <v>11.895824903330581</v>
      </c>
    </row>
    <row r="17" spans="1:42" ht="11.25" customHeight="1" x14ac:dyDescent="0.25">
      <c r="A17" s="131" t="s">
        <v>22</v>
      </c>
      <c r="B17" s="131" t="s">
        <v>37</v>
      </c>
      <c r="C17" s="131" t="s">
        <v>24</v>
      </c>
      <c r="D17" s="131" t="s">
        <v>24</v>
      </c>
      <c r="E17" s="131" t="s">
        <v>25</v>
      </c>
      <c r="F17" s="131" t="s">
        <v>25</v>
      </c>
      <c r="G17" s="44" t="s">
        <v>77</v>
      </c>
      <c r="H17" s="44" t="s">
        <v>76</v>
      </c>
      <c r="I17" s="44">
        <f>'MERCADO TUSD'!$U$14</f>
        <v>4.6139999999999999</v>
      </c>
      <c r="J17" s="18"/>
      <c r="L17" s="26">
        <f>'TUSD BE'!$L$17*'TUSD BE'!$L$58</f>
        <v>0</v>
      </c>
      <c r="M17" s="26">
        <f>'TUSD BE'!$M$17*'TUSD BE'!$M$58</f>
        <v>1.978386450741107E-2</v>
      </c>
      <c r="N17" s="26">
        <f ca="1">'TUSD BE'!$N$17*'TUSD BE'!$N$58</f>
        <v>0</v>
      </c>
      <c r="O17" s="26">
        <f>'TUSD BE'!$O$17*'TUSD BE'!$O$58</f>
        <v>0</v>
      </c>
      <c r="P17" s="26">
        <f>'TUSD BE'!$P$17*'TUSD BE'!$P$58</f>
        <v>0</v>
      </c>
      <c r="Q17" s="26">
        <f>'TUSD BE'!$Q$17*'TUSD BE'!$Q$58</f>
        <v>1.8606900679626373</v>
      </c>
      <c r="R17" s="26">
        <f>'TUSD BE'!$R$17*'TUSD BE'!$R$58</f>
        <v>0.29924355382946505</v>
      </c>
      <c r="S17" s="26">
        <f>'TUSD BE'!$R$17*'TUSD BE'!$S$58</f>
        <v>0</v>
      </c>
      <c r="T17" s="26">
        <f ca="1">SUM($L$17:$S$17)</f>
        <v>2.1797174862995132</v>
      </c>
      <c r="U17" s="26">
        <f>'TUSD BE'!$U$17*'TUSD BE'!$U$58</f>
        <v>-3.6836461584802671</v>
      </c>
      <c r="V17" s="26">
        <f>'TUSD BE'!$V$17*'TUSD BE'!$V$58</f>
        <v>-2.9073581092192442</v>
      </c>
      <c r="W17" s="26">
        <f>'TUSD BE'!$W$17*'TUSD BE'!$W$58</f>
        <v>0</v>
      </c>
      <c r="X17" s="26">
        <f>'TUSD BE'!$X$17*'TUSD BE'!$X$58</f>
        <v>0</v>
      </c>
      <c r="Y17" s="26">
        <f>'TUSD BE'!$Y$17*'TUSD BE'!$Y$58</f>
        <v>1.4962338769229802</v>
      </c>
      <c r="Z17" s="26">
        <f>'TUSD BE'!$Z$17*'TUSD BE'!$Z$58</f>
        <v>0</v>
      </c>
      <c r="AA17" s="26">
        <f>'TUSD BE'!$AA$17*'TUSD BE'!$AA$58</f>
        <v>0</v>
      </c>
      <c r="AB17" s="26">
        <f>SUM($U$17:$AA$17)</f>
        <v>-5.0947703907765316</v>
      </c>
      <c r="AC17" s="26">
        <f>'TUSD BE'!$AC$17*'TUSD BE'!$AC$58</f>
        <v>-202.26272915584551</v>
      </c>
      <c r="AD17" s="26">
        <f>SUM($AC$17:$AC$17)</f>
        <v>-202.26272915584551</v>
      </c>
      <c r="AE17" s="26">
        <f ca="1">$AO$17*$AO$55</f>
        <v>0</v>
      </c>
      <c r="AF17" s="26">
        <f ca="1">$AP$17*$AP$55</f>
        <v>0</v>
      </c>
      <c r="AG17" s="26">
        <f ca="1">SUM($AE$17:$AF$17)</f>
        <v>0</v>
      </c>
      <c r="AH17" s="26">
        <f>'TUSD BE'!$AH$17*'TUSD BE'!$AH$58</f>
        <v>2.5154713227588466</v>
      </c>
      <c r="AI17" s="26">
        <f>'TUSD BE'!$AI$17*'TUSD BE'!$AI$58</f>
        <v>1.9266057790781135E-2</v>
      </c>
      <c r="AJ17" s="26">
        <f ca="1">'TUSD BE'!$AJ$17*'TUSD BE'!$AJ$58</f>
        <v>0</v>
      </c>
      <c r="AK17" s="26">
        <f ca="1">'TUSD BE'!$AK$17*'TUSD BE'!$AK$58</f>
        <v>0</v>
      </c>
      <c r="AL17" s="26">
        <f ca="1">SUM($AH$17:$AK$17)</f>
        <v>2.5347373805496276</v>
      </c>
      <c r="AM17" s="26">
        <f ca="1">SUMIF($L$4:$AL$4,"SUBTOTAL",$L$17:$AL$17)</f>
        <v>-202.64304467977291</v>
      </c>
      <c r="AO17" s="50">
        <f ca="1">+'TUSD BE'!$T$17+'TUSD BE'!$AB$17+'TUSD BE'!$AD$17+'TUSD BE'!$AL$17</f>
        <v>814.50359315047251</v>
      </c>
      <c r="AP17" s="50">
        <f ca="1">+'TUSD BE'!$T$17+'TUSD BE'!$AB$17+'TUSD BE'!$AD$17+'TUSD BE'!$AL$17</f>
        <v>814.50359315047251</v>
      </c>
    </row>
    <row r="18" spans="1:42" ht="11.25" customHeight="1" x14ac:dyDescent="0.25">
      <c r="A18" s="131"/>
      <c r="B18" s="131"/>
      <c r="C18" s="131"/>
      <c r="D18" s="131"/>
      <c r="E18" s="131"/>
      <c r="F18" s="131"/>
      <c r="G18" s="44" t="s">
        <v>88</v>
      </c>
      <c r="H18" s="44" t="s">
        <v>76</v>
      </c>
      <c r="I18" s="44">
        <f>'MERCADO TUSD'!$U$15</f>
        <v>7.0189999999999992</v>
      </c>
      <c r="J18" s="18"/>
      <c r="L18" s="26">
        <f>'TUSD BE'!$L$18*'TUSD BE'!$L$58</f>
        <v>0</v>
      </c>
      <c r="M18" s="26">
        <f>'TUSD BE'!$M$18*'TUSD BE'!$M$58</f>
        <v>1.978386450741107E-2</v>
      </c>
      <c r="N18" s="26">
        <f ca="1">'TUSD BE'!$N$18*'TUSD BE'!$N$58</f>
        <v>0</v>
      </c>
      <c r="O18" s="26">
        <f>'TUSD BE'!$O$18*'TUSD BE'!$O$58</f>
        <v>0</v>
      </c>
      <c r="P18" s="26">
        <f>'TUSD BE'!$P$18*'TUSD BE'!$P$58</f>
        <v>0</v>
      </c>
      <c r="Q18" s="26">
        <f>'TUSD BE'!$Q$18*'TUSD BE'!$Q$58</f>
        <v>1.8606900679626373</v>
      </c>
      <c r="R18" s="26">
        <f>'TUSD BE'!$R$18*'TUSD BE'!$R$58</f>
        <v>0.29924355382946505</v>
      </c>
      <c r="S18" s="26">
        <f>'TUSD BE'!$R$18*'TUSD BE'!$S$58</f>
        <v>0</v>
      </c>
      <c r="T18" s="26">
        <f ca="1">SUM($L$18:$S$18)</f>
        <v>2.1797174862995132</v>
      </c>
      <c r="U18" s="26">
        <f>'TUSD BE'!$U$18*'TUSD BE'!$U$58</f>
        <v>-2.2102061400641677</v>
      </c>
      <c r="V18" s="26">
        <f>'TUSD BE'!$V$18*'TUSD BE'!$V$58</f>
        <v>-1.7444305317879703</v>
      </c>
      <c r="W18" s="26">
        <f>'TUSD BE'!$W$18*'TUSD BE'!$W$58</f>
        <v>0</v>
      </c>
      <c r="X18" s="26">
        <f>'TUSD BE'!$X$18*'TUSD BE'!$X$58</f>
        <v>0</v>
      </c>
      <c r="Y18" s="26">
        <f>'TUSD BE'!$Y$18*'TUSD BE'!$Y$58</f>
        <v>0.89774501063145162</v>
      </c>
      <c r="Z18" s="26">
        <f>'TUSD BE'!$Z$18*'TUSD BE'!$Z$58</f>
        <v>0</v>
      </c>
      <c r="AA18" s="26">
        <f>'TUSD BE'!$AA$18*'TUSD BE'!$AA$58</f>
        <v>0</v>
      </c>
      <c r="AB18" s="26">
        <f>SUM($U$18:$AA$18)</f>
        <v>-3.0568916612206865</v>
      </c>
      <c r="AC18" s="26">
        <f>'TUSD BE'!$AC$18*'TUSD BE'!$AC$58</f>
        <v>-121.35762139593555</v>
      </c>
      <c r="AD18" s="26">
        <f>SUM($AC$18:$AC$18)</f>
        <v>-121.35762139593555</v>
      </c>
      <c r="AE18" s="26">
        <f ca="1">$AO$18*$AO$55</f>
        <v>0</v>
      </c>
      <c r="AF18" s="26">
        <f ca="1">$AP$18*$AP$55</f>
        <v>0</v>
      </c>
      <c r="AG18" s="26">
        <f ca="1">SUM($AE$18:$AF$18)</f>
        <v>0</v>
      </c>
      <c r="AH18" s="26">
        <f>'TUSD BE'!$AH$18*'TUSD BE'!$AH$58</f>
        <v>2.5154713227588466</v>
      </c>
      <c r="AI18" s="26">
        <f>'TUSD BE'!$AI$18*'TUSD BE'!$AI$58</f>
        <v>1.9266057790781135E-2</v>
      </c>
      <c r="AJ18" s="26">
        <f ca="1">'TUSD BE'!$AJ$18*'TUSD BE'!$AJ$58</f>
        <v>0</v>
      </c>
      <c r="AK18" s="26">
        <f ca="1">'TUSD BE'!$AK$18*'TUSD BE'!$AK$58</f>
        <v>0</v>
      </c>
      <c r="AL18" s="26">
        <f ca="1">SUM($AH$18:$AK$18)</f>
        <v>2.5347373805496276</v>
      </c>
      <c r="AM18" s="26">
        <f ca="1">SUMIF($L$4:$AL$4,"SUBTOTAL",$L$18:$AL$18)</f>
        <v>-119.7000581903071</v>
      </c>
      <c r="AO18" s="50">
        <f ca="1">+'TUSD BE'!$T$18+'TUSD BE'!$AB$18+'TUSD BE'!$AD$18+'TUSD BE'!$AL$18</f>
        <v>537.05755293842265</v>
      </c>
      <c r="AP18" s="50">
        <f ca="1">+'TUSD BE'!$T$18+'TUSD BE'!$AB$18+'TUSD BE'!$AD$18+'TUSD BE'!$AL$18</f>
        <v>537.05755293842265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44" t="s">
        <v>78</v>
      </c>
      <c r="H19" s="44" t="s">
        <v>76</v>
      </c>
      <c r="I19" s="44">
        <f>'MERCADO TUSD'!$U$16</f>
        <v>29.872</v>
      </c>
      <c r="J19" s="18"/>
      <c r="L19" s="26">
        <f>'TUSD BE'!$L$19*'TUSD BE'!$L$58</f>
        <v>0</v>
      </c>
      <c r="M19" s="26">
        <f>'TUSD BE'!$M$19*'TUSD BE'!$M$58</f>
        <v>1.978386450741107E-2</v>
      </c>
      <c r="N19" s="26">
        <f ca="1">'TUSD BE'!$N$19*'TUSD BE'!$N$58</f>
        <v>0</v>
      </c>
      <c r="O19" s="26">
        <f>'TUSD BE'!$O$19*'TUSD BE'!$O$58</f>
        <v>0</v>
      </c>
      <c r="P19" s="26">
        <f>'TUSD BE'!$P$19*'TUSD BE'!$P$58</f>
        <v>0</v>
      </c>
      <c r="Q19" s="26">
        <f>'TUSD BE'!$Q$19*'TUSD BE'!$Q$58</f>
        <v>1.8606900679626373</v>
      </c>
      <c r="R19" s="26">
        <f>'TUSD BE'!$R$19*'TUSD BE'!$R$58</f>
        <v>0.29924355382946505</v>
      </c>
      <c r="S19" s="26">
        <f>'TUSD BE'!$R$19*'TUSD BE'!$S$58</f>
        <v>0</v>
      </c>
      <c r="T19" s="26">
        <f ca="1">SUM($L$19:$S$19)</f>
        <v>2.1797174862995132</v>
      </c>
      <c r="U19" s="26">
        <f>'TUSD BE'!$U$19*'TUSD BE'!$U$58</f>
        <v>-0.73673845418405726</v>
      </c>
      <c r="V19" s="26">
        <f>'TUSD BE'!$V$19*'TUSD BE'!$V$58</f>
        <v>-0.58146734922846044</v>
      </c>
      <c r="W19" s="26">
        <f>'TUSD BE'!$W$19*'TUSD BE'!$W$58</f>
        <v>0</v>
      </c>
      <c r="X19" s="26">
        <f>'TUSD BE'!$X$19*'TUSD BE'!$X$58</f>
        <v>0</v>
      </c>
      <c r="Y19" s="26">
        <f>'TUSD BE'!$Y$19*'TUSD BE'!$Y$58</f>
        <v>0.29924736094430399</v>
      </c>
      <c r="Z19" s="26">
        <f>'TUSD BE'!$Z$19*'TUSD BE'!$Z$58</f>
        <v>0</v>
      </c>
      <c r="AA19" s="26">
        <f>'TUSD BE'!$AA$19*'TUSD BE'!$AA$58</f>
        <v>0</v>
      </c>
      <c r="AB19" s="26">
        <f>SUM($U$19:$AA$19)</f>
        <v>-1.0189584424682137</v>
      </c>
      <c r="AC19" s="26">
        <f>'TUSD BE'!$AC$19*'TUSD BE'!$AC$58</f>
        <v>-40.452553879954969</v>
      </c>
      <c r="AD19" s="26">
        <f>SUM($AC$19:$AC$19)</f>
        <v>-40.452553879954969</v>
      </c>
      <c r="AE19" s="26">
        <f ca="1">$AO$19*$AO$55</f>
        <v>0</v>
      </c>
      <c r="AF19" s="26">
        <f ca="1">$AP$19*$AP$55</f>
        <v>0</v>
      </c>
      <c r="AG19" s="26">
        <f ca="1">SUM($AE$19:$AF$19)</f>
        <v>0</v>
      </c>
      <c r="AH19" s="26">
        <f>'TUSD BE'!$AH$19*'TUSD BE'!$AH$58</f>
        <v>2.5154713227588466</v>
      </c>
      <c r="AI19" s="26">
        <f>'TUSD BE'!$AI$19*'TUSD BE'!$AI$58</f>
        <v>1.9266057790781135E-2</v>
      </c>
      <c r="AJ19" s="26">
        <f ca="1">'TUSD BE'!$AJ$19*'TUSD BE'!$AJ$58</f>
        <v>0</v>
      </c>
      <c r="AK19" s="26">
        <f ca="1">'TUSD BE'!$AK$19*'TUSD BE'!$AK$58</f>
        <v>0</v>
      </c>
      <c r="AL19" s="26">
        <f ca="1">SUM($AH$19:$AK$19)</f>
        <v>2.5347373805496276</v>
      </c>
      <c r="AM19" s="26">
        <f ca="1">SUMIF($L$4:$AL$4,"SUBTOTAL",$L$19:$AL$19)</f>
        <v>-36.757057455574042</v>
      </c>
      <c r="AO19" s="50">
        <f ca="1">+'TUSD BE'!$T$19+'TUSD BE'!$AB$19+'TUSD BE'!$AD$19+'TUSD BE'!$AL$19</f>
        <v>259.61064334264199</v>
      </c>
      <c r="AP19" s="50">
        <f ca="1">+'TUSD BE'!$T$19+'TUSD BE'!$AB$19+'TUSD BE'!$AD$19+'TUSD BE'!$AL$19</f>
        <v>259.61064334264199</v>
      </c>
    </row>
    <row r="20" spans="1:42" ht="11.25" customHeight="1" x14ac:dyDescent="0.25">
      <c r="A20" s="131"/>
      <c r="B20" s="131" t="s">
        <v>23</v>
      </c>
      <c r="C20" s="131" t="s">
        <v>24</v>
      </c>
      <c r="D20" s="48" t="s">
        <v>24</v>
      </c>
      <c r="E20" s="48" t="s">
        <v>25</v>
      </c>
      <c r="F20" s="48" t="s">
        <v>25</v>
      </c>
      <c r="G20" s="44" t="s">
        <v>82</v>
      </c>
      <c r="H20" s="44" t="s">
        <v>76</v>
      </c>
      <c r="I20" s="44">
        <f>'MERCADO TUSD'!$U$17</f>
        <v>25648.588</v>
      </c>
      <c r="J20" s="18"/>
      <c r="L20" s="26">
        <f>'TUSD BE'!$L$20*'TUSD BE'!$L$58</f>
        <v>0</v>
      </c>
      <c r="M20" s="26">
        <f>'TUSD BE'!$M$20*'TUSD BE'!$M$58</f>
        <v>1.978386450741107E-2</v>
      </c>
      <c r="N20" s="26">
        <f ca="1">'TUSD BE'!$N$20*'TUSD BE'!$N$58</f>
        <v>0</v>
      </c>
      <c r="O20" s="26">
        <f>'TUSD BE'!$O$20*'TUSD BE'!$O$58</f>
        <v>0</v>
      </c>
      <c r="P20" s="26">
        <f>'TUSD BE'!$P$20*'TUSD BE'!$P$58</f>
        <v>0</v>
      </c>
      <c r="Q20" s="26">
        <f>'TUSD BE'!$Q$20*'TUSD BE'!$Q$58</f>
        <v>1.8606900679626373</v>
      </c>
      <c r="R20" s="26">
        <f>'TUSD BE'!$R$20*'TUSD BE'!$R$58</f>
        <v>0.29924355382946505</v>
      </c>
      <c r="S20" s="26">
        <f>'TUSD BE'!$R$20*'TUSD BE'!$S$58</f>
        <v>0</v>
      </c>
      <c r="T20" s="26">
        <f ca="1">SUM($L$20:$S$20)</f>
        <v>2.1797174862995132</v>
      </c>
      <c r="U20" s="26">
        <f>'TUSD BE'!$U$20*'TUSD BE'!$U$58</f>
        <v>-1.4734676858801106</v>
      </c>
      <c r="V20" s="26">
        <f>'TUSD BE'!$V$20*'TUSD BE'!$V$58</f>
        <v>-1.1629560615338626</v>
      </c>
      <c r="W20" s="26">
        <f>'TUSD BE'!$W$20*'TUSD BE'!$W$58</f>
        <v>0</v>
      </c>
      <c r="X20" s="26">
        <f>'TUSD BE'!$X$20*'TUSD BE'!$X$58</f>
        <v>0</v>
      </c>
      <c r="Y20" s="26">
        <f>'TUSD BE'!$Y$20*'TUSD BE'!$Y$58</f>
        <v>0.59849472188860797</v>
      </c>
      <c r="Z20" s="26">
        <f>'TUSD BE'!$Z$20*'TUSD BE'!$Z$58</f>
        <v>0</v>
      </c>
      <c r="AA20" s="26">
        <f>'TUSD BE'!$AA$20*'TUSD BE'!$AA$58</f>
        <v>0</v>
      </c>
      <c r="AB20" s="26">
        <f>SUM($U$20:$AA$20)</f>
        <v>-2.037929025525365</v>
      </c>
      <c r="AC20" s="26">
        <f>'TUSD BE'!$AC$20*'TUSD BE'!$AC$58</f>
        <v>-80.905027272051242</v>
      </c>
      <c r="AD20" s="26">
        <f>SUM($AC$20:$AC$20)</f>
        <v>-80.905027272051242</v>
      </c>
      <c r="AE20" s="26">
        <f ca="1">$AO$20*$AO$55</f>
        <v>0</v>
      </c>
      <c r="AF20" s="26">
        <f ca="1">$AP$20*$AP$55</f>
        <v>0</v>
      </c>
      <c r="AG20" s="26">
        <f ca="1">SUM($AE$20:$AF$20)</f>
        <v>0</v>
      </c>
      <c r="AH20" s="26">
        <f>'TUSD BE'!$AH$20*'TUSD BE'!$AH$58</f>
        <v>2.5154713227588466</v>
      </c>
      <c r="AI20" s="26">
        <f>'TUSD BE'!$AI$20*'TUSD BE'!$AI$58</f>
        <v>1.9266057790781135E-2</v>
      </c>
      <c r="AJ20" s="26">
        <f ca="1">'TUSD BE'!$AJ$20*'TUSD BE'!$AJ$58</f>
        <v>0</v>
      </c>
      <c r="AK20" s="26">
        <f ca="1">'TUSD BE'!$AK$20*'TUSD BE'!$AK$58</f>
        <v>0</v>
      </c>
      <c r="AL20" s="26">
        <f ca="1">SUM($AH$20:$AK$20)</f>
        <v>2.5347373805496276</v>
      </c>
      <c r="AM20" s="26">
        <f ca="1">SUMIF($L$4:$AL$4,"SUBTOTAL",$L$20:$AL$20)</f>
        <v>-78.228501430727462</v>
      </c>
      <c r="AO20" s="50">
        <f ca="1">+'TUSD BE'!$T$20+'TUSD BE'!$AB$20+'TUSD BE'!$AD$20+'TUSD BE'!$AL$20</f>
        <v>398.33390532713378</v>
      </c>
      <c r="AP20" s="50">
        <f ca="1">+'TUSD BE'!$T$20+'TUSD BE'!$AB$20+'TUSD BE'!$AD$20+'TUSD BE'!$AL$20</f>
        <v>398.33390532713378</v>
      </c>
    </row>
    <row r="21" spans="1:42" ht="11.25" customHeight="1" x14ac:dyDescent="0.25">
      <c r="A21" s="131"/>
      <c r="B21" s="131"/>
      <c r="C21" s="131"/>
      <c r="D21" s="48" t="s">
        <v>29</v>
      </c>
      <c r="E21" s="48" t="s">
        <v>25</v>
      </c>
      <c r="F21" s="48" t="s">
        <v>25</v>
      </c>
      <c r="G21" s="44" t="s">
        <v>82</v>
      </c>
      <c r="H21" s="44" t="s">
        <v>76</v>
      </c>
      <c r="I21" s="44">
        <f>'MERCADO TUSD'!$U$18</f>
        <v>203.58</v>
      </c>
      <c r="J21" s="18"/>
      <c r="L21" s="26">
        <f>'TUSD BE'!$L$21*'TUSD BE'!$L$58</f>
        <v>0</v>
      </c>
      <c r="M21" s="26">
        <f>'TUSD BE'!$M$21*'TUSD BE'!$M$58</f>
        <v>1.978386450741107E-2</v>
      </c>
      <c r="N21" s="26">
        <f ca="1">'TUSD BE'!$N$21*'TUSD BE'!$N$58</f>
        <v>0</v>
      </c>
      <c r="O21" s="26">
        <f>'TUSD BE'!$O$21*'TUSD BE'!$O$58</f>
        <v>0</v>
      </c>
      <c r="P21" s="26">
        <f>'TUSD BE'!$P$21*'TUSD BE'!$P$58</f>
        <v>0</v>
      </c>
      <c r="Q21" s="26">
        <f>'TUSD BE'!$Q$21*'TUSD BE'!$Q$58</f>
        <v>0</v>
      </c>
      <c r="R21" s="26">
        <f>'TUSD BE'!$R$21*'TUSD BE'!$R$58</f>
        <v>0</v>
      </c>
      <c r="S21" s="26">
        <f>'TUSD BE'!$R$21*'TUSD BE'!$S$58</f>
        <v>0</v>
      </c>
      <c r="T21" s="26">
        <f ca="1">SUM($L$21:$S$21)</f>
        <v>1.978386450741107E-2</v>
      </c>
      <c r="U21" s="26">
        <f>'TUSD BE'!$U$21*'TUSD BE'!$U$58</f>
        <v>-1.4734676858801106</v>
      </c>
      <c r="V21" s="26">
        <f>'TUSD BE'!$V$21*'TUSD BE'!$V$58</f>
        <v>-1.1629560615338626</v>
      </c>
      <c r="W21" s="26">
        <f>'TUSD BE'!$W$21*'TUSD BE'!$W$58</f>
        <v>0</v>
      </c>
      <c r="X21" s="26">
        <f>'TUSD BE'!$X$21*'TUSD BE'!$X$58</f>
        <v>0</v>
      </c>
      <c r="Y21" s="26">
        <f>'TUSD BE'!$Y$21*'TUSD BE'!$Y$58</f>
        <v>0.59849472188860797</v>
      </c>
      <c r="Z21" s="26">
        <f>'TUSD BE'!$Z$21*'TUSD BE'!$Z$58</f>
        <v>0</v>
      </c>
      <c r="AA21" s="26">
        <f>'TUSD BE'!$AA$21*'TUSD BE'!$AA$58</f>
        <v>0</v>
      </c>
      <c r="AB21" s="26">
        <f>SUM($U$21:$AA$21)</f>
        <v>-2.037929025525365</v>
      </c>
      <c r="AC21" s="26">
        <f>'TUSD BE'!$AC$21*'TUSD BE'!$AC$58</f>
        <v>-80.905027272051242</v>
      </c>
      <c r="AD21" s="26">
        <f>SUM($AC$21:$AC$21)</f>
        <v>-80.905027272051242</v>
      </c>
      <c r="AE21" s="26">
        <f ca="1">$AO$21*$AO$55</f>
        <v>0</v>
      </c>
      <c r="AF21" s="26">
        <f ca="1">$AP$21*$AP$55</f>
        <v>0</v>
      </c>
      <c r="AG21" s="26">
        <f ca="1">SUM($AE$21:$AF$21)</f>
        <v>0</v>
      </c>
      <c r="AH21" s="26">
        <f>'TUSD BE'!$AH$21*'TUSD BE'!$AH$58</f>
        <v>2.5154713227588466</v>
      </c>
      <c r="AI21" s="26">
        <f>'TUSD BE'!$AI$21*'TUSD BE'!$AI$58</f>
        <v>1.9266057790781135E-2</v>
      </c>
      <c r="AJ21" s="26">
        <f ca="1">'TUSD BE'!$AJ$21*'TUSD BE'!$AJ$58</f>
        <v>0</v>
      </c>
      <c r="AK21" s="26">
        <f ca="1">'TUSD BE'!$AK$21*'TUSD BE'!$AK$58</f>
        <v>0</v>
      </c>
      <c r="AL21" s="26">
        <f ca="1">SUM($AH$21:$AK$21)</f>
        <v>2.5347373805496276</v>
      </c>
      <c r="AM21" s="26">
        <f ca="1">SUMIF($L$4:$AL$4,"SUBTOTAL",$L$21:$AL$21)</f>
        <v>-80.388435052519569</v>
      </c>
      <c r="AO21" s="50">
        <f ca="1">+'TUSD BE'!$T$21+'TUSD BE'!$AB$21+'TUSD BE'!$AD$21+'TUSD BE'!$AL$21</f>
        <v>293.64874616677952</v>
      </c>
      <c r="AP21" s="50">
        <f ca="1">+'TUSD BE'!$T$21+'TUSD BE'!$AB$21+'TUSD BE'!$AD$21+'TUSD BE'!$AL$21</f>
        <v>293.64874616677952</v>
      </c>
    </row>
    <row r="22" spans="1:42" ht="11.25" customHeight="1" x14ac:dyDescent="0.25">
      <c r="A22" s="131"/>
      <c r="B22" s="131"/>
      <c r="C22" s="131"/>
      <c r="D22" s="48" t="s">
        <v>30</v>
      </c>
      <c r="E22" s="48" t="s">
        <v>25</v>
      </c>
      <c r="F22" s="48" t="s">
        <v>25</v>
      </c>
      <c r="G22" s="44" t="s">
        <v>82</v>
      </c>
      <c r="H22" s="44" t="s">
        <v>76</v>
      </c>
      <c r="I22" s="44">
        <f>'MERCADO TUSD'!$U$19</f>
        <v>441.75700000000001</v>
      </c>
      <c r="J22" s="18"/>
      <c r="L22" s="26">
        <f>'TUSD BE'!$L$22*'TUSD BE'!$L$58</f>
        <v>0</v>
      </c>
      <c r="M22" s="26">
        <f>'TUSD BE'!$M$22*'TUSD BE'!$M$58</f>
        <v>1.978386450741107E-2</v>
      </c>
      <c r="N22" s="26">
        <f ca="1">'TUSD BE'!$N$22*'TUSD BE'!$N$58</f>
        <v>0</v>
      </c>
      <c r="O22" s="26">
        <f>'TUSD BE'!$O$22*'TUSD BE'!$O$58</f>
        <v>0</v>
      </c>
      <c r="P22" s="26">
        <f>'TUSD BE'!$P$22*'TUSD BE'!$P$58</f>
        <v>0</v>
      </c>
      <c r="Q22" s="26">
        <f>'TUSD BE'!$Q$22*'TUSD BE'!$Q$58</f>
        <v>0</v>
      </c>
      <c r="R22" s="26">
        <f>'TUSD BE'!$R$22*'TUSD BE'!$R$58</f>
        <v>0</v>
      </c>
      <c r="S22" s="26">
        <f>'TUSD BE'!$R$22*'TUSD BE'!$S$58</f>
        <v>0</v>
      </c>
      <c r="T22" s="26">
        <f ca="1">SUM($L$22:$S$22)</f>
        <v>1.978386450741107E-2</v>
      </c>
      <c r="U22" s="26">
        <f>'TUSD BE'!$U$22*'TUSD BE'!$U$58</f>
        <v>-1.4734676858801106</v>
      </c>
      <c r="V22" s="26">
        <f>'TUSD BE'!$V$22*'TUSD BE'!$V$58</f>
        <v>-1.1629560615338626</v>
      </c>
      <c r="W22" s="26">
        <f>'TUSD BE'!$W$22*'TUSD BE'!$W$58</f>
        <v>0</v>
      </c>
      <c r="X22" s="26">
        <f>'TUSD BE'!$X$22*'TUSD BE'!$X$58</f>
        <v>0</v>
      </c>
      <c r="Y22" s="26">
        <f>'TUSD BE'!$Y$22*'TUSD BE'!$Y$58</f>
        <v>0.59849472188860797</v>
      </c>
      <c r="Z22" s="26">
        <f>'TUSD BE'!$Z$22*'TUSD BE'!$Z$58</f>
        <v>0</v>
      </c>
      <c r="AA22" s="26">
        <f>'TUSD BE'!$AA$22*'TUSD BE'!$AA$58</f>
        <v>0</v>
      </c>
      <c r="AB22" s="26">
        <f>SUM($U$22:$AA$22)</f>
        <v>-2.037929025525365</v>
      </c>
      <c r="AC22" s="26">
        <f>'TUSD BE'!$AC$22*'TUSD BE'!$AC$58</f>
        <v>-80.905027272051242</v>
      </c>
      <c r="AD22" s="26">
        <f>SUM($AC$22:$AC$22)</f>
        <v>-80.905027272051242</v>
      </c>
      <c r="AE22" s="26">
        <f ca="1">$AO$22*$AO$55</f>
        <v>0</v>
      </c>
      <c r="AF22" s="26">
        <f ca="1">$AP$22*$AP$55</f>
        <v>0</v>
      </c>
      <c r="AG22" s="26">
        <f ca="1">SUM($AE$22:$AF$22)</f>
        <v>0</v>
      </c>
      <c r="AH22" s="26">
        <f>'TUSD BE'!$AH$22*'TUSD BE'!$AH$58</f>
        <v>2.5154713227588466</v>
      </c>
      <c r="AI22" s="26">
        <f>'TUSD BE'!$AI$22*'TUSD BE'!$AI$58</f>
        <v>1.9266057790781135E-2</v>
      </c>
      <c r="AJ22" s="26">
        <f ca="1">'TUSD BE'!$AJ$22*'TUSD BE'!$AJ$58</f>
        <v>0</v>
      </c>
      <c r="AK22" s="26">
        <f ca="1">'TUSD BE'!$AK$22*'TUSD BE'!$AK$58</f>
        <v>0</v>
      </c>
      <c r="AL22" s="26">
        <f ca="1">SUM($AH$22:$AK$22)</f>
        <v>2.5347373805496276</v>
      </c>
      <c r="AM22" s="26">
        <f ca="1">SUMIF($L$4:$AL$4,"SUBTOTAL",$L$22:$AL$22)</f>
        <v>-80.388435052519569</v>
      </c>
      <c r="AO22" s="50">
        <f ca="1">+'TUSD BE'!$T$22+'TUSD BE'!$AB$22+'TUSD BE'!$AD$22+'TUSD BE'!$AL$22</f>
        <v>293.64874616677952</v>
      </c>
      <c r="AP22" s="50">
        <f ca="1">+'TUSD BE'!$T$22+'TUSD BE'!$AB$22+'TUSD BE'!$AD$22+'TUSD BE'!$AL$22</f>
        <v>293.64874616677952</v>
      </c>
    </row>
    <row r="23" spans="1:42" ht="11.25" customHeight="1" x14ac:dyDescent="0.25">
      <c r="A23" s="131"/>
      <c r="B23" s="131"/>
      <c r="C23" s="131"/>
      <c r="D23" s="48" t="s">
        <v>31</v>
      </c>
      <c r="E23" s="48" t="s">
        <v>25</v>
      </c>
      <c r="F23" s="48" t="s">
        <v>25</v>
      </c>
      <c r="G23" s="44" t="s">
        <v>82</v>
      </c>
      <c r="H23" s="44" t="s">
        <v>76</v>
      </c>
      <c r="I23" s="44">
        <f>'MERCADO TUSD'!$U$20</f>
        <v>380.55199999999996</v>
      </c>
      <c r="J23" s="18"/>
      <c r="L23" s="26">
        <f>'TUSD BE'!$L$23*'TUSD BE'!$L$58</f>
        <v>0</v>
      </c>
      <c r="M23" s="26">
        <f>'TUSD BE'!$M$23*'TUSD BE'!$M$58</f>
        <v>1.978386450741107E-2</v>
      </c>
      <c r="N23" s="26">
        <f ca="1">'TUSD BE'!$N$23*'TUSD BE'!$N$58</f>
        <v>0</v>
      </c>
      <c r="O23" s="26">
        <f>'TUSD BE'!$O$23*'TUSD BE'!$O$58</f>
        <v>0</v>
      </c>
      <c r="P23" s="26">
        <f>'TUSD BE'!$P$23*'TUSD BE'!$P$58</f>
        <v>0</v>
      </c>
      <c r="Q23" s="26">
        <f>'TUSD BE'!$Q$23*'TUSD BE'!$Q$58</f>
        <v>0</v>
      </c>
      <c r="R23" s="26">
        <f>'TUSD BE'!$R$23*'TUSD BE'!$R$58</f>
        <v>0</v>
      </c>
      <c r="S23" s="26">
        <f>'TUSD BE'!$R$23*'TUSD BE'!$S$58</f>
        <v>0</v>
      </c>
      <c r="T23" s="26">
        <f ca="1">SUM($L$23:$S$23)</f>
        <v>1.978386450741107E-2</v>
      </c>
      <c r="U23" s="26">
        <f>'TUSD BE'!$U$23*'TUSD BE'!$U$58</f>
        <v>-1.4734676858801106</v>
      </c>
      <c r="V23" s="26">
        <f>'TUSD BE'!$V$23*'TUSD BE'!$V$58</f>
        <v>-1.1629560615338626</v>
      </c>
      <c r="W23" s="26">
        <f>'TUSD BE'!$W$23*'TUSD BE'!$W$58</f>
        <v>0</v>
      </c>
      <c r="X23" s="26">
        <f>'TUSD BE'!$X$23*'TUSD BE'!$X$58</f>
        <v>0</v>
      </c>
      <c r="Y23" s="26">
        <f>'TUSD BE'!$Y$23*'TUSD BE'!$Y$58</f>
        <v>0.59849472188860797</v>
      </c>
      <c r="Z23" s="26">
        <f>'TUSD BE'!$Z$23*'TUSD BE'!$Z$58</f>
        <v>0</v>
      </c>
      <c r="AA23" s="26">
        <f>'TUSD BE'!$AA$23*'TUSD BE'!$AA$58</f>
        <v>0</v>
      </c>
      <c r="AB23" s="26">
        <f>SUM($U$23:$AA$23)</f>
        <v>-2.037929025525365</v>
      </c>
      <c r="AC23" s="26">
        <f>'TUSD BE'!$AC$23*'TUSD BE'!$AC$58</f>
        <v>-80.905027272051242</v>
      </c>
      <c r="AD23" s="26">
        <f>SUM($AC$23:$AC$23)</f>
        <v>-80.905027272051242</v>
      </c>
      <c r="AE23" s="26">
        <f ca="1">$AO$23*$AO$55</f>
        <v>0</v>
      </c>
      <c r="AF23" s="26">
        <f ca="1">$AP$23*$AP$55</f>
        <v>0</v>
      </c>
      <c r="AG23" s="26">
        <f ca="1">SUM($AE$23:$AF$23)</f>
        <v>0</v>
      </c>
      <c r="AH23" s="26">
        <f>'TUSD BE'!$AH$23*'TUSD BE'!$AH$58</f>
        <v>2.5154713227588466</v>
      </c>
      <c r="AI23" s="26">
        <f>'TUSD BE'!$AI$23*'TUSD BE'!$AI$58</f>
        <v>1.9266057790781135E-2</v>
      </c>
      <c r="AJ23" s="26">
        <f ca="1">'TUSD BE'!$AJ$23*'TUSD BE'!$AJ$58</f>
        <v>0</v>
      </c>
      <c r="AK23" s="26">
        <f ca="1">'TUSD BE'!$AK$23*'TUSD BE'!$AK$58</f>
        <v>0</v>
      </c>
      <c r="AL23" s="26">
        <f ca="1">SUM($AH$23:$AK$23)</f>
        <v>2.5347373805496276</v>
      </c>
      <c r="AM23" s="26">
        <f ca="1">SUMIF($L$4:$AL$4,"SUBTOTAL",$L$23:$AL$23)</f>
        <v>-80.388435052519569</v>
      </c>
      <c r="AO23" s="50">
        <f ca="1">+'TUSD BE'!$T$23+'TUSD BE'!$AB$23+'TUSD BE'!$AD$23+'TUSD BE'!$AL$23</f>
        <v>293.64874616677952</v>
      </c>
      <c r="AP23" s="50">
        <f ca="1">+'TUSD BE'!$T$23+'TUSD BE'!$AB$23+'TUSD BE'!$AD$23+'TUSD BE'!$AL$23</f>
        <v>293.64874616677952</v>
      </c>
    </row>
    <row r="24" spans="1:42" ht="11.25" customHeight="1" x14ac:dyDescent="0.25">
      <c r="A24" s="131"/>
      <c r="B24" s="131"/>
      <c r="C24" s="131"/>
      <c r="D24" s="48" t="s">
        <v>32</v>
      </c>
      <c r="E24" s="48" t="s">
        <v>25</v>
      </c>
      <c r="F24" s="48" t="s">
        <v>25</v>
      </c>
      <c r="G24" s="44" t="s">
        <v>82</v>
      </c>
      <c r="H24" s="44" t="s">
        <v>76</v>
      </c>
      <c r="I24" s="44">
        <f>'MERCADO TUSD'!$U$21</f>
        <v>85.721000000000004</v>
      </c>
      <c r="J24" s="18"/>
      <c r="L24" s="26">
        <f>'TUSD BE'!$L$24*'TUSD BE'!$L$58</f>
        <v>0</v>
      </c>
      <c r="M24" s="26">
        <f>'TUSD BE'!$M$24*'TUSD BE'!$M$58</f>
        <v>1.978386450741107E-2</v>
      </c>
      <c r="N24" s="26">
        <f ca="1">'TUSD BE'!$N$24*'TUSD BE'!$N$58</f>
        <v>0</v>
      </c>
      <c r="O24" s="26">
        <f>'TUSD BE'!$O$24*'TUSD BE'!$O$58</f>
        <v>0</v>
      </c>
      <c r="P24" s="26">
        <f>'TUSD BE'!$P$24*'TUSD BE'!$P$58</f>
        <v>0</v>
      </c>
      <c r="Q24" s="26">
        <f>'TUSD BE'!$Q$24*'TUSD BE'!$Q$58</f>
        <v>0</v>
      </c>
      <c r="R24" s="26">
        <f>'TUSD BE'!$R$24*'TUSD BE'!$R$58</f>
        <v>0</v>
      </c>
      <c r="S24" s="26">
        <f>'TUSD BE'!$R$24*'TUSD BE'!$S$58</f>
        <v>0</v>
      </c>
      <c r="T24" s="26">
        <f ca="1">SUM($L$24:$S$24)</f>
        <v>1.978386450741107E-2</v>
      </c>
      <c r="U24" s="26">
        <f>'TUSD BE'!$U$24*'TUSD BE'!$U$58</f>
        <v>-1.4734676858801106</v>
      </c>
      <c r="V24" s="26">
        <f>'TUSD BE'!$V$24*'TUSD BE'!$V$58</f>
        <v>-1.1629560615338626</v>
      </c>
      <c r="W24" s="26">
        <f>'TUSD BE'!$W$24*'TUSD BE'!$W$58</f>
        <v>0</v>
      </c>
      <c r="X24" s="26">
        <f>'TUSD BE'!$X$24*'TUSD BE'!$X$58</f>
        <v>0</v>
      </c>
      <c r="Y24" s="26">
        <f>'TUSD BE'!$Y$24*'TUSD BE'!$Y$58</f>
        <v>0.59849472188860797</v>
      </c>
      <c r="Z24" s="26">
        <f>'TUSD BE'!$Z$24*'TUSD BE'!$Z$58</f>
        <v>0</v>
      </c>
      <c r="AA24" s="26">
        <f>'TUSD BE'!$AA$24*'TUSD BE'!$AA$58</f>
        <v>0</v>
      </c>
      <c r="AB24" s="26">
        <f>SUM($U$24:$AA$24)</f>
        <v>-2.037929025525365</v>
      </c>
      <c r="AC24" s="26">
        <f>'TUSD BE'!$AC$24*'TUSD BE'!$AC$58</f>
        <v>-80.905027272051242</v>
      </c>
      <c r="AD24" s="26">
        <f>SUM($AC$24:$AC$24)</f>
        <v>-80.905027272051242</v>
      </c>
      <c r="AE24" s="26">
        <f ca="1">$AO$24*$AO$55</f>
        <v>0</v>
      </c>
      <c r="AF24" s="26">
        <f ca="1">$AP$24*$AP$55</f>
        <v>0</v>
      </c>
      <c r="AG24" s="26">
        <f ca="1">SUM($AE$24:$AF$24)</f>
        <v>0</v>
      </c>
      <c r="AH24" s="26">
        <f>'TUSD BE'!$AH$24*'TUSD BE'!$AH$58</f>
        <v>2.5154713227588466</v>
      </c>
      <c r="AI24" s="26">
        <f>'TUSD BE'!$AI$24*'TUSD BE'!$AI$58</f>
        <v>1.9266057790781135E-2</v>
      </c>
      <c r="AJ24" s="26">
        <f ca="1">'TUSD BE'!$AJ$24*'TUSD BE'!$AJ$58</f>
        <v>0</v>
      </c>
      <c r="AK24" s="26">
        <f ca="1">'TUSD BE'!$AK$24*'TUSD BE'!$AK$58</f>
        <v>0</v>
      </c>
      <c r="AL24" s="26">
        <f ca="1">SUM($AH$24:$AK$24)</f>
        <v>2.5347373805496276</v>
      </c>
      <c r="AM24" s="26">
        <f ca="1">SUMIF($L$4:$AL$4,"SUBTOTAL",$L$24:$AL$24)</f>
        <v>-80.388435052519569</v>
      </c>
      <c r="AO24" s="50">
        <f ca="1">+'TUSD BE'!$T$24+'TUSD BE'!$AB$24+'TUSD BE'!$AD$24+'TUSD BE'!$AL$24</f>
        <v>293.64874616677952</v>
      </c>
      <c r="AP24" s="50">
        <f ca="1">+'TUSD BE'!$T$24+'TUSD BE'!$AB$24+'TUSD BE'!$AD$24+'TUSD BE'!$AL$24</f>
        <v>293.64874616677952</v>
      </c>
    </row>
    <row r="25" spans="1:42" ht="11.25" customHeight="1" x14ac:dyDescent="0.25">
      <c r="A25" s="131"/>
      <c r="B25" s="131" t="s">
        <v>91</v>
      </c>
      <c r="C25" s="131" t="s">
        <v>24</v>
      </c>
      <c r="D25" s="48" t="s">
        <v>24</v>
      </c>
      <c r="E25" s="48" t="s">
        <v>25</v>
      </c>
      <c r="F25" s="48" t="s">
        <v>25</v>
      </c>
      <c r="G25" s="44" t="s">
        <v>82</v>
      </c>
      <c r="H25" s="44" t="s">
        <v>76</v>
      </c>
      <c r="I25" s="44">
        <f>'MERCADO TUSD'!$U$22</f>
        <v>0</v>
      </c>
      <c r="J25" s="18"/>
      <c r="L25" s="26">
        <f>'TUSD BE'!$L$25*'TUSD BE'!$L$58</f>
        <v>0</v>
      </c>
      <c r="M25" s="26">
        <f>'TUSD BE'!$M$25*'TUSD BE'!$M$58</f>
        <v>1.978386450741107E-2</v>
      </c>
      <c r="N25" s="26">
        <f ca="1">'TUSD BE'!$N$25*'TUSD BE'!$N$58</f>
        <v>0</v>
      </c>
      <c r="O25" s="26">
        <f>'TUSD BE'!$O$25*'TUSD BE'!$O$58</f>
        <v>0</v>
      </c>
      <c r="P25" s="26">
        <f>'TUSD BE'!$P$25*'TUSD BE'!$P$58</f>
        <v>0</v>
      </c>
      <c r="Q25" s="26">
        <f>'TUSD BE'!$Q$25*'TUSD BE'!$Q$58</f>
        <v>1.8606900679626373</v>
      </c>
      <c r="R25" s="26">
        <f>'TUSD BE'!$R$25*'TUSD BE'!$R$58</f>
        <v>0.29924355382946505</v>
      </c>
      <c r="S25" s="26">
        <f>'TUSD BE'!$R$25*'TUSD BE'!$S$58</f>
        <v>0</v>
      </c>
      <c r="T25" s="26">
        <f ca="1">SUM($L$25:$S$25)</f>
        <v>2.1797174862995132</v>
      </c>
      <c r="U25" s="26">
        <f>'TUSD BE'!$U$25*'TUSD BE'!$U$58</f>
        <v>-1.4734676858801106</v>
      </c>
      <c r="V25" s="26">
        <f>'TUSD BE'!$V$25*'TUSD BE'!$V$58</f>
        <v>-1.1629560615338626</v>
      </c>
      <c r="W25" s="26">
        <f>'TUSD BE'!$W$25*'TUSD BE'!$W$58</f>
        <v>0</v>
      </c>
      <c r="X25" s="26">
        <f>'TUSD BE'!$X$25*'TUSD BE'!$X$58</f>
        <v>0</v>
      </c>
      <c r="Y25" s="26">
        <f>'TUSD BE'!$Y$25*'TUSD BE'!$Y$58</f>
        <v>0.59849472188860797</v>
      </c>
      <c r="Z25" s="26">
        <f>'TUSD BE'!$Z$25*'TUSD BE'!$Z$58</f>
        <v>0</v>
      </c>
      <c r="AA25" s="26">
        <f>'TUSD BE'!$AA$25*'TUSD BE'!$AA$58</f>
        <v>0</v>
      </c>
      <c r="AB25" s="26">
        <f>SUM($U$25:$AA$25)</f>
        <v>-2.037929025525365</v>
      </c>
      <c r="AC25" s="26">
        <f>'TUSD BE'!$AC$25*'TUSD BE'!$AC$58</f>
        <v>-80.905027272051242</v>
      </c>
      <c r="AD25" s="26">
        <f>SUM($AC$25:$AC$25)</f>
        <v>-80.905027272051242</v>
      </c>
      <c r="AE25" s="26">
        <f ca="1">$AO$25*$AO$55</f>
        <v>0</v>
      </c>
      <c r="AF25" s="26">
        <f ca="1">$AP$25*$AP$55</f>
        <v>0</v>
      </c>
      <c r="AG25" s="26">
        <f ca="1">SUM($AE$25:$AF$25)</f>
        <v>0</v>
      </c>
      <c r="AH25" s="26">
        <f>'TUSD BE'!$AH$25*'TUSD BE'!$AH$58</f>
        <v>2.5154713227588466</v>
      </c>
      <c r="AI25" s="26">
        <f>'TUSD BE'!$AI$25*'TUSD BE'!$AI$58</f>
        <v>1.9266057790781135E-2</v>
      </c>
      <c r="AJ25" s="26">
        <f ca="1">'TUSD BE'!$AJ$25*'TUSD BE'!$AJ$58</f>
        <v>0</v>
      </c>
      <c r="AK25" s="26">
        <f ca="1">'TUSD BE'!$AK$25*'TUSD BE'!$AK$58</f>
        <v>0</v>
      </c>
      <c r="AL25" s="26">
        <f ca="1">SUM($AH$25:$AK$25)</f>
        <v>2.5347373805496276</v>
      </c>
      <c r="AM25" s="26">
        <f ca="1">SUMIF($L$4:$AL$4,"SUBTOTAL",$L$25:$AL$25)</f>
        <v>-78.228501430727462</v>
      </c>
      <c r="AO25" s="50">
        <f ca="1">+'TUSD BE'!$T$25+'TUSD BE'!$AB$25+'TUSD BE'!$AD$25+'TUSD BE'!$AL$25</f>
        <v>398.33390532713378</v>
      </c>
      <c r="AP25" s="50">
        <f ca="1">+'TUSD BE'!$T$25+'TUSD BE'!$AB$25+'TUSD BE'!$AD$25+'TUSD BE'!$AL$25</f>
        <v>398.33390532713378</v>
      </c>
    </row>
    <row r="26" spans="1:42" ht="11.25" customHeight="1" x14ac:dyDescent="0.25">
      <c r="A26" s="131"/>
      <c r="B26" s="131"/>
      <c r="C26" s="131"/>
      <c r="D26" s="48" t="s">
        <v>29</v>
      </c>
      <c r="E26" s="48" t="s">
        <v>25</v>
      </c>
      <c r="F26" s="48" t="s">
        <v>25</v>
      </c>
      <c r="G26" s="44" t="s">
        <v>82</v>
      </c>
      <c r="H26" s="44" t="s">
        <v>76</v>
      </c>
      <c r="I26" s="44">
        <f>'MERCADO TUSD'!$U$23</f>
        <v>0</v>
      </c>
      <c r="J26" s="18"/>
      <c r="L26" s="26">
        <f>'TUSD BE'!$L$26*'TUSD BE'!$L$58</f>
        <v>0</v>
      </c>
      <c r="M26" s="26">
        <f>'TUSD BE'!$M$26*'TUSD BE'!$M$58</f>
        <v>1.978386450741107E-2</v>
      </c>
      <c r="N26" s="26">
        <f ca="1">'TUSD BE'!$N$26*'TUSD BE'!$N$58</f>
        <v>0</v>
      </c>
      <c r="O26" s="26">
        <f>'TUSD BE'!$O$26*'TUSD BE'!$O$58</f>
        <v>0</v>
      </c>
      <c r="P26" s="26">
        <f>'TUSD BE'!$P$26*'TUSD BE'!$P$58</f>
        <v>0</v>
      </c>
      <c r="Q26" s="26">
        <f>'TUSD BE'!$Q$26*'TUSD BE'!$Q$58</f>
        <v>0</v>
      </c>
      <c r="R26" s="26">
        <f>'TUSD BE'!$R$26*'TUSD BE'!$R$58</f>
        <v>0</v>
      </c>
      <c r="S26" s="26">
        <f>'TUSD BE'!$R$26*'TUSD BE'!$S$58</f>
        <v>0</v>
      </c>
      <c r="T26" s="26">
        <f ca="1">SUM($L$26:$S$26)</f>
        <v>1.978386450741107E-2</v>
      </c>
      <c r="U26" s="26">
        <f>'TUSD BE'!$U$26*'TUSD BE'!$U$58</f>
        <v>-1.4734676858801106</v>
      </c>
      <c r="V26" s="26">
        <f>'TUSD BE'!$V$26*'TUSD BE'!$V$58</f>
        <v>-1.1629560615338626</v>
      </c>
      <c r="W26" s="26">
        <f>'TUSD BE'!$W$26*'TUSD BE'!$W$58</f>
        <v>0</v>
      </c>
      <c r="X26" s="26">
        <f>'TUSD BE'!$X$26*'TUSD BE'!$X$58</f>
        <v>0</v>
      </c>
      <c r="Y26" s="26">
        <f>'TUSD BE'!$Y$26*'TUSD BE'!$Y$58</f>
        <v>0.59849472188860797</v>
      </c>
      <c r="Z26" s="26">
        <f>'TUSD BE'!$Z$26*'TUSD BE'!$Z$58</f>
        <v>0</v>
      </c>
      <c r="AA26" s="26">
        <f>'TUSD BE'!$AA$26*'TUSD BE'!$AA$58</f>
        <v>0</v>
      </c>
      <c r="AB26" s="26">
        <f>SUM($U$26:$AA$26)</f>
        <v>-2.037929025525365</v>
      </c>
      <c r="AC26" s="26">
        <f>'TUSD BE'!$AC$26*'TUSD BE'!$AC$58</f>
        <v>-80.905027272051242</v>
      </c>
      <c r="AD26" s="26">
        <f>SUM($AC$26:$AC$26)</f>
        <v>-80.905027272051242</v>
      </c>
      <c r="AE26" s="26">
        <f ca="1">$AO$26*$AO$55</f>
        <v>0</v>
      </c>
      <c r="AF26" s="26">
        <f ca="1">$AP$26*$AP$55</f>
        <v>0</v>
      </c>
      <c r="AG26" s="26">
        <f ca="1">SUM($AE$26:$AF$26)</f>
        <v>0</v>
      </c>
      <c r="AH26" s="26">
        <f>'TUSD BE'!$AH$26*'TUSD BE'!$AH$58</f>
        <v>2.5154713227588466</v>
      </c>
      <c r="AI26" s="26">
        <f>'TUSD BE'!$AI$26*'TUSD BE'!$AI$58</f>
        <v>1.9266057790781135E-2</v>
      </c>
      <c r="AJ26" s="26">
        <f ca="1">'TUSD BE'!$AJ$26*'TUSD BE'!$AJ$58</f>
        <v>0</v>
      </c>
      <c r="AK26" s="26">
        <f ca="1">'TUSD BE'!$AK$26*'TUSD BE'!$AK$58</f>
        <v>0</v>
      </c>
      <c r="AL26" s="26">
        <f ca="1">SUM($AH$26:$AK$26)</f>
        <v>2.5347373805496276</v>
      </c>
      <c r="AM26" s="26">
        <f ca="1">SUMIF($L$4:$AL$4,"SUBTOTAL",$L$26:$AL$26)</f>
        <v>-80.388435052519569</v>
      </c>
      <c r="AO26" s="50">
        <f ca="1">+'TUSD BE'!$T$26+'TUSD BE'!$AB$26+'TUSD BE'!$AD$26+'TUSD BE'!$AL$26</f>
        <v>293.64874616677952</v>
      </c>
      <c r="AP26" s="50">
        <f ca="1">+'TUSD BE'!$T$26+'TUSD BE'!$AB$26+'TUSD BE'!$AD$26+'TUSD BE'!$AL$26</f>
        <v>293.64874616677952</v>
      </c>
    </row>
    <row r="27" spans="1:42" ht="11.25" customHeight="1" x14ac:dyDescent="0.25">
      <c r="A27" s="131"/>
      <c r="B27" s="131"/>
      <c r="C27" s="131"/>
      <c r="D27" s="48" t="s">
        <v>30</v>
      </c>
      <c r="E27" s="48" t="s">
        <v>25</v>
      </c>
      <c r="F27" s="48" t="s">
        <v>25</v>
      </c>
      <c r="G27" s="44" t="s">
        <v>82</v>
      </c>
      <c r="H27" s="44" t="s">
        <v>76</v>
      </c>
      <c r="I27" s="44">
        <f>'MERCADO TUSD'!$U$24</f>
        <v>0</v>
      </c>
      <c r="J27" s="18"/>
      <c r="L27" s="26">
        <f>'TUSD BE'!$L$27*'TUSD BE'!$L$58</f>
        <v>0</v>
      </c>
      <c r="M27" s="26">
        <f>'TUSD BE'!$M$27*'TUSD BE'!$M$58</f>
        <v>1.978386450741107E-2</v>
      </c>
      <c r="N27" s="26">
        <f ca="1">'TUSD BE'!$N$27*'TUSD BE'!$N$58</f>
        <v>0</v>
      </c>
      <c r="O27" s="26">
        <f>'TUSD BE'!$O$27*'TUSD BE'!$O$58</f>
        <v>0</v>
      </c>
      <c r="P27" s="26">
        <f>'TUSD BE'!$P$27*'TUSD BE'!$P$58</f>
        <v>0</v>
      </c>
      <c r="Q27" s="26">
        <f>'TUSD BE'!$Q$27*'TUSD BE'!$Q$58</f>
        <v>0</v>
      </c>
      <c r="R27" s="26">
        <f>'TUSD BE'!$R$27*'TUSD BE'!$R$58</f>
        <v>0</v>
      </c>
      <c r="S27" s="26">
        <f>'TUSD BE'!$R$27*'TUSD BE'!$S$58</f>
        <v>0</v>
      </c>
      <c r="T27" s="26">
        <f ca="1">SUM($L$27:$S$27)</f>
        <v>1.978386450741107E-2</v>
      </c>
      <c r="U27" s="26">
        <f>'TUSD BE'!$U$27*'TUSD BE'!$U$58</f>
        <v>-1.4734676858801106</v>
      </c>
      <c r="V27" s="26">
        <f>'TUSD BE'!$V$27*'TUSD BE'!$V$58</f>
        <v>-1.1629560615338626</v>
      </c>
      <c r="W27" s="26">
        <f>'TUSD BE'!$W$27*'TUSD BE'!$W$58</f>
        <v>0</v>
      </c>
      <c r="X27" s="26">
        <f>'TUSD BE'!$X$27*'TUSD BE'!$X$58</f>
        <v>0</v>
      </c>
      <c r="Y27" s="26">
        <f>'TUSD BE'!$Y$27*'TUSD BE'!$Y$58</f>
        <v>0.59849472188860797</v>
      </c>
      <c r="Z27" s="26">
        <f>'TUSD BE'!$Z$27*'TUSD BE'!$Z$58</f>
        <v>0</v>
      </c>
      <c r="AA27" s="26">
        <f>'TUSD BE'!$AA$27*'TUSD BE'!$AA$58</f>
        <v>0</v>
      </c>
      <c r="AB27" s="26">
        <f>SUM($U$27:$AA$27)</f>
        <v>-2.037929025525365</v>
      </c>
      <c r="AC27" s="26">
        <f>'TUSD BE'!$AC$27*'TUSD BE'!$AC$58</f>
        <v>-80.905027272051242</v>
      </c>
      <c r="AD27" s="26">
        <f>SUM($AC$27:$AC$27)</f>
        <v>-80.905027272051242</v>
      </c>
      <c r="AE27" s="26">
        <f ca="1">$AO$27*$AO$55</f>
        <v>0</v>
      </c>
      <c r="AF27" s="26">
        <f ca="1">$AP$27*$AP$55</f>
        <v>0</v>
      </c>
      <c r="AG27" s="26">
        <f ca="1">SUM($AE$27:$AF$27)</f>
        <v>0</v>
      </c>
      <c r="AH27" s="26">
        <f>'TUSD BE'!$AH$27*'TUSD BE'!$AH$58</f>
        <v>2.5154713227588466</v>
      </c>
      <c r="AI27" s="26">
        <f>'TUSD BE'!$AI$27*'TUSD BE'!$AI$58</f>
        <v>1.9266057790781135E-2</v>
      </c>
      <c r="AJ27" s="26">
        <f ca="1">'TUSD BE'!$AJ$27*'TUSD BE'!$AJ$58</f>
        <v>0</v>
      </c>
      <c r="AK27" s="26">
        <f ca="1">'TUSD BE'!$AK$27*'TUSD BE'!$AK$58</f>
        <v>0</v>
      </c>
      <c r="AL27" s="26">
        <f ca="1">SUM($AH$27:$AK$27)</f>
        <v>2.5347373805496276</v>
      </c>
      <c r="AM27" s="26">
        <f ca="1">SUMIF($L$4:$AL$4,"SUBTOTAL",$L$27:$AL$27)</f>
        <v>-80.388435052519569</v>
      </c>
      <c r="AO27" s="50">
        <f ca="1">+'TUSD BE'!$T$27+'TUSD BE'!$AB$27+'TUSD BE'!$AD$27+'TUSD BE'!$AL$27</f>
        <v>293.64874616677952</v>
      </c>
      <c r="AP27" s="50">
        <f ca="1">+'TUSD BE'!$T$27+'TUSD BE'!$AB$27+'TUSD BE'!$AD$27+'TUSD BE'!$AL$27</f>
        <v>293.64874616677952</v>
      </c>
    </row>
    <row r="28" spans="1:42" ht="11.25" customHeight="1" x14ac:dyDescent="0.25">
      <c r="A28" s="131"/>
      <c r="B28" s="131"/>
      <c r="C28" s="131"/>
      <c r="D28" s="48" t="s">
        <v>31</v>
      </c>
      <c r="E28" s="48" t="s">
        <v>25</v>
      </c>
      <c r="F28" s="48" t="s">
        <v>25</v>
      </c>
      <c r="G28" s="44" t="s">
        <v>82</v>
      </c>
      <c r="H28" s="44" t="s">
        <v>76</v>
      </c>
      <c r="I28" s="44">
        <f>'MERCADO TUSD'!$U$25</f>
        <v>0</v>
      </c>
      <c r="J28" s="18"/>
      <c r="L28" s="26">
        <f>'TUSD BE'!$L$28*'TUSD BE'!$L$58</f>
        <v>0</v>
      </c>
      <c r="M28" s="26">
        <f>'TUSD BE'!$M$28*'TUSD BE'!$M$58</f>
        <v>1.978386450741107E-2</v>
      </c>
      <c r="N28" s="26">
        <f ca="1">'TUSD BE'!$N$28*'TUSD BE'!$N$58</f>
        <v>0</v>
      </c>
      <c r="O28" s="26">
        <f>'TUSD BE'!$O$28*'TUSD BE'!$O$58</f>
        <v>0</v>
      </c>
      <c r="P28" s="26">
        <f>'TUSD BE'!$P$28*'TUSD BE'!$P$58</f>
        <v>0</v>
      </c>
      <c r="Q28" s="26">
        <f>'TUSD BE'!$Q$28*'TUSD BE'!$Q$58</f>
        <v>0</v>
      </c>
      <c r="R28" s="26">
        <f>'TUSD BE'!$R$28*'TUSD BE'!$R$58</f>
        <v>0</v>
      </c>
      <c r="S28" s="26">
        <f>'TUSD BE'!$R$28*'TUSD BE'!$S$58</f>
        <v>0</v>
      </c>
      <c r="T28" s="26">
        <f ca="1">SUM($L$28:$S$28)</f>
        <v>1.978386450741107E-2</v>
      </c>
      <c r="U28" s="26">
        <f>'TUSD BE'!$U$28*'TUSD BE'!$U$58</f>
        <v>-1.4734676858801106</v>
      </c>
      <c r="V28" s="26">
        <f>'TUSD BE'!$V$28*'TUSD BE'!$V$58</f>
        <v>-1.1629560615338626</v>
      </c>
      <c r="W28" s="26">
        <f>'TUSD BE'!$W$28*'TUSD BE'!$W$58</f>
        <v>0</v>
      </c>
      <c r="X28" s="26">
        <f>'TUSD BE'!$X$28*'TUSD BE'!$X$58</f>
        <v>0</v>
      </c>
      <c r="Y28" s="26">
        <f>'TUSD BE'!$Y$28*'TUSD BE'!$Y$58</f>
        <v>0.59849472188860797</v>
      </c>
      <c r="Z28" s="26">
        <f>'TUSD BE'!$Z$28*'TUSD BE'!$Z$58</f>
        <v>0</v>
      </c>
      <c r="AA28" s="26">
        <f>'TUSD BE'!$AA$28*'TUSD BE'!$AA$58</f>
        <v>0</v>
      </c>
      <c r="AB28" s="26">
        <f>SUM($U$28:$AA$28)</f>
        <v>-2.037929025525365</v>
      </c>
      <c r="AC28" s="26">
        <f>'TUSD BE'!$AC$28*'TUSD BE'!$AC$58</f>
        <v>-80.905027272051242</v>
      </c>
      <c r="AD28" s="26">
        <f>SUM($AC$28:$AC$28)</f>
        <v>-80.905027272051242</v>
      </c>
      <c r="AE28" s="26">
        <f ca="1">$AO$28*$AO$55</f>
        <v>0</v>
      </c>
      <c r="AF28" s="26">
        <f ca="1">$AP$28*$AP$55</f>
        <v>0</v>
      </c>
      <c r="AG28" s="26">
        <f ca="1">SUM($AE$28:$AF$28)</f>
        <v>0</v>
      </c>
      <c r="AH28" s="26">
        <f>'TUSD BE'!$AH$28*'TUSD BE'!$AH$58</f>
        <v>2.5154713227588466</v>
      </c>
      <c r="AI28" s="26">
        <f>'TUSD BE'!$AI$28*'TUSD BE'!$AI$58</f>
        <v>1.9266057790781135E-2</v>
      </c>
      <c r="AJ28" s="26">
        <f ca="1">'TUSD BE'!$AJ$28*'TUSD BE'!$AJ$58</f>
        <v>0</v>
      </c>
      <c r="AK28" s="26">
        <f ca="1">'TUSD BE'!$AK$28*'TUSD BE'!$AK$58</f>
        <v>0</v>
      </c>
      <c r="AL28" s="26">
        <f ca="1">SUM($AH$28:$AK$28)</f>
        <v>2.5347373805496276</v>
      </c>
      <c r="AM28" s="26">
        <f ca="1">SUMIF($L$4:$AL$4,"SUBTOTAL",$L$28:$AL$28)</f>
        <v>-80.388435052519569</v>
      </c>
      <c r="AO28" s="50">
        <f ca="1">+'TUSD BE'!$T$28+'TUSD BE'!$AB$28+'TUSD BE'!$AD$28+'TUSD BE'!$AL$28</f>
        <v>293.64874616677952</v>
      </c>
      <c r="AP28" s="50">
        <f ca="1">+'TUSD BE'!$T$28+'TUSD BE'!$AB$28+'TUSD BE'!$AD$28+'TUSD BE'!$AL$28</f>
        <v>293.64874616677952</v>
      </c>
    </row>
    <row r="29" spans="1:42" ht="11.25" customHeight="1" x14ac:dyDescent="0.25">
      <c r="A29" s="131"/>
      <c r="B29" s="131"/>
      <c r="C29" s="131"/>
      <c r="D29" s="48" t="s">
        <v>32</v>
      </c>
      <c r="E29" s="48" t="s">
        <v>25</v>
      </c>
      <c r="F29" s="48" t="s">
        <v>25</v>
      </c>
      <c r="G29" s="44" t="s">
        <v>82</v>
      </c>
      <c r="H29" s="44" t="s">
        <v>76</v>
      </c>
      <c r="I29" s="44">
        <f>'MERCADO TUSD'!$U$26</f>
        <v>0</v>
      </c>
      <c r="J29" s="18"/>
      <c r="L29" s="26">
        <f>'TUSD BE'!$L$29*'TUSD BE'!$L$58</f>
        <v>0</v>
      </c>
      <c r="M29" s="26">
        <f>'TUSD BE'!$M$29*'TUSD BE'!$M$58</f>
        <v>1.978386450741107E-2</v>
      </c>
      <c r="N29" s="26">
        <f ca="1">'TUSD BE'!$N$29*'TUSD BE'!$N$58</f>
        <v>0</v>
      </c>
      <c r="O29" s="26">
        <f>'TUSD BE'!$O$29*'TUSD BE'!$O$58</f>
        <v>0</v>
      </c>
      <c r="P29" s="26">
        <f>'TUSD BE'!$P$29*'TUSD BE'!$P$58</f>
        <v>0</v>
      </c>
      <c r="Q29" s="26">
        <f>'TUSD BE'!$Q$29*'TUSD BE'!$Q$58</f>
        <v>0</v>
      </c>
      <c r="R29" s="26">
        <f>'TUSD BE'!$R$29*'TUSD BE'!$R$58</f>
        <v>0</v>
      </c>
      <c r="S29" s="26">
        <f>'TUSD BE'!$R$29*'TUSD BE'!$S$58</f>
        <v>0</v>
      </c>
      <c r="T29" s="26">
        <f ca="1">SUM($L$29:$S$29)</f>
        <v>1.978386450741107E-2</v>
      </c>
      <c r="U29" s="26">
        <f>'TUSD BE'!$U$29*'TUSD BE'!$U$58</f>
        <v>-1.4734676858801106</v>
      </c>
      <c r="V29" s="26">
        <f>'TUSD BE'!$V$29*'TUSD BE'!$V$58</f>
        <v>-1.1629560615338626</v>
      </c>
      <c r="W29" s="26">
        <f>'TUSD BE'!$W$29*'TUSD BE'!$W$58</f>
        <v>0</v>
      </c>
      <c r="X29" s="26">
        <f>'TUSD BE'!$X$29*'TUSD BE'!$X$58</f>
        <v>0</v>
      </c>
      <c r="Y29" s="26">
        <f>'TUSD BE'!$Y$29*'TUSD BE'!$Y$58</f>
        <v>0.59849472188860797</v>
      </c>
      <c r="Z29" s="26">
        <f>'TUSD BE'!$Z$29*'TUSD BE'!$Z$58</f>
        <v>0</v>
      </c>
      <c r="AA29" s="26">
        <f>'TUSD BE'!$AA$29*'TUSD BE'!$AA$58</f>
        <v>0</v>
      </c>
      <c r="AB29" s="26">
        <f>SUM($U$29:$AA$29)</f>
        <v>-2.037929025525365</v>
      </c>
      <c r="AC29" s="26">
        <f>'TUSD BE'!$AC$29*'TUSD BE'!$AC$58</f>
        <v>-80.905027272051242</v>
      </c>
      <c r="AD29" s="26">
        <f>SUM($AC$29:$AC$29)</f>
        <v>-80.905027272051242</v>
      </c>
      <c r="AE29" s="26">
        <f ca="1">$AO$29*$AO$55</f>
        <v>0</v>
      </c>
      <c r="AF29" s="26">
        <f ca="1">$AP$29*$AP$55</f>
        <v>0</v>
      </c>
      <c r="AG29" s="26">
        <f ca="1">SUM($AE$29:$AF$29)</f>
        <v>0</v>
      </c>
      <c r="AH29" s="26">
        <f>'TUSD BE'!$AH$29*'TUSD BE'!$AH$58</f>
        <v>2.5154713227588466</v>
      </c>
      <c r="AI29" s="26">
        <f>'TUSD BE'!$AI$29*'TUSD BE'!$AI$58</f>
        <v>1.9266057790781135E-2</v>
      </c>
      <c r="AJ29" s="26">
        <f ca="1">'TUSD BE'!$AJ$29*'TUSD BE'!$AJ$58</f>
        <v>0</v>
      </c>
      <c r="AK29" s="26">
        <f ca="1">'TUSD BE'!$AK$29*'TUSD BE'!$AK$58</f>
        <v>0</v>
      </c>
      <c r="AL29" s="26">
        <f ca="1">SUM($AH$29:$AK$29)</f>
        <v>2.5347373805496276</v>
      </c>
      <c r="AM29" s="26">
        <f ca="1">SUMIF($L$4:$AL$4,"SUBTOTAL",$L$29:$AL$29)</f>
        <v>-80.388435052519569</v>
      </c>
      <c r="AO29" s="50">
        <f ca="1">+'TUSD BE'!$T$29+'TUSD BE'!$AB$29+'TUSD BE'!$AD$29+'TUSD BE'!$AL$29</f>
        <v>293.64874616677952</v>
      </c>
      <c r="AP29" s="50">
        <f ca="1">+'TUSD BE'!$T$29+'TUSD BE'!$AB$29+'TUSD BE'!$AD$29+'TUSD BE'!$AL$29</f>
        <v>293.64874616677952</v>
      </c>
    </row>
    <row r="30" spans="1:42" ht="11.25" customHeight="1" x14ac:dyDescent="0.25">
      <c r="A30" s="131" t="s">
        <v>43</v>
      </c>
      <c r="B30" s="131" t="s">
        <v>37</v>
      </c>
      <c r="C30" s="131" t="s">
        <v>44</v>
      </c>
      <c r="D30" s="131" t="s">
        <v>25</v>
      </c>
      <c r="E30" s="131" t="s">
        <v>25</v>
      </c>
      <c r="F30" s="131" t="s">
        <v>25</v>
      </c>
      <c r="G30" s="44" t="s">
        <v>77</v>
      </c>
      <c r="H30" s="44" t="s">
        <v>76</v>
      </c>
      <c r="I30" s="44">
        <f>'MERCADO TUSD'!$U$27</f>
        <v>0.78900000000000003</v>
      </c>
      <c r="J30" s="18"/>
      <c r="L30" s="26">
        <f>'TUSD BE'!$L$30*'TUSD BE'!$L$58</f>
        <v>0</v>
      </c>
      <c r="M30" s="26">
        <f>'TUSD BE'!$M$30*'TUSD BE'!$M$58</f>
        <v>1.978386450741107E-2</v>
      </c>
      <c r="N30" s="26">
        <f ca="1">'TUSD BE'!$N$30*'TUSD BE'!$N$58</f>
        <v>0</v>
      </c>
      <c r="O30" s="26">
        <f>'TUSD BE'!$O$30*'TUSD BE'!$O$58</f>
        <v>0</v>
      </c>
      <c r="P30" s="26">
        <f>'TUSD BE'!$P$30*'TUSD BE'!$P$58</f>
        <v>0</v>
      </c>
      <c r="Q30" s="26">
        <f>'TUSD BE'!$Q$30*'TUSD BE'!$Q$58</f>
        <v>1.8606900679626373</v>
      </c>
      <c r="R30" s="26">
        <f>'TUSD BE'!$R$30*'TUSD BE'!$R$58</f>
        <v>0.29924355382946505</v>
      </c>
      <c r="S30" s="26">
        <f>'TUSD BE'!$R$30*'TUSD BE'!$S$58</f>
        <v>0</v>
      </c>
      <c r="T30" s="26">
        <f ca="1">SUM($L$30:$S$30)</f>
        <v>2.1797174862995132</v>
      </c>
      <c r="U30" s="26">
        <f>'TUSD BE'!$U$30*'TUSD BE'!$U$58</f>
        <v>-4.052029219304301</v>
      </c>
      <c r="V30" s="26">
        <f>'TUSD BE'!$V$30*'TUSD BE'!$V$58</f>
        <v>-3.1981167074232393</v>
      </c>
      <c r="W30" s="26">
        <f>'TUSD BE'!$W$30*'TUSD BE'!$W$58</f>
        <v>0</v>
      </c>
      <c r="X30" s="26">
        <f>'TUSD BE'!$X$30*'TUSD BE'!$X$58</f>
        <v>0</v>
      </c>
      <c r="Y30" s="26">
        <f>'TUSD BE'!$Y$30*'TUSD BE'!$Y$58</f>
        <v>1.6458619490929418</v>
      </c>
      <c r="Z30" s="26">
        <f>'TUSD BE'!$Z$30*'TUSD BE'!$Z$58</f>
        <v>0</v>
      </c>
      <c r="AA30" s="26">
        <f>'TUSD BE'!$AA$30*'TUSD BE'!$AA$58</f>
        <v>0</v>
      </c>
      <c r="AB30" s="26">
        <f>SUM($U$30:$AA$30)</f>
        <v>-5.6042839776345987</v>
      </c>
      <c r="AC30" s="26">
        <f>'TUSD BE'!$AC$30*'TUSD BE'!$AC$58</f>
        <v>-222.48900609582299</v>
      </c>
      <c r="AD30" s="26">
        <f>SUM($AC$30:$AC$30)</f>
        <v>-222.48900609582299</v>
      </c>
      <c r="AE30" s="26">
        <f ca="1">$AO$30*$AO$55</f>
        <v>0</v>
      </c>
      <c r="AF30" s="26">
        <f ca="1">$AP$30*$AP$55</f>
        <v>0</v>
      </c>
      <c r="AG30" s="26">
        <f ca="1">SUM($AE$30:$AF$30)</f>
        <v>0</v>
      </c>
      <c r="AH30" s="26">
        <f>'TUSD BE'!$AH$30*'TUSD BE'!$AH$58</f>
        <v>2.5154713227588466</v>
      </c>
      <c r="AI30" s="26">
        <f>'TUSD BE'!$AI$30*'TUSD BE'!$AI$58</f>
        <v>1.9266057790781135E-2</v>
      </c>
      <c r="AJ30" s="26">
        <f ca="1">'TUSD BE'!$AJ$30*'TUSD BE'!$AJ$58</f>
        <v>0</v>
      </c>
      <c r="AK30" s="26">
        <f ca="1">'TUSD BE'!$AK$30*'TUSD BE'!$AK$58</f>
        <v>0</v>
      </c>
      <c r="AL30" s="26">
        <f ca="1">SUM($AH$30:$AK$30)</f>
        <v>2.5347373805496276</v>
      </c>
      <c r="AM30" s="26">
        <f ca="1">SUMIF($L$4:$AL$4,"SUBTOTAL",$L$30:$AL$30)</f>
        <v>-223.37883520660847</v>
      </c>
      <c r="AO30" s="50">
        <f ca="1">+'TUSD BE'!$T$30+'TUSD BE'!$AB$30+'TUSD BE'!$AD$30+'TUSD BE'!$AL$30</f>
        <v>883.86584082003822</v>
      </c>
      <c r="AP30" s="50">
        <f ca="1">+'TUSD BE'!$T$30+'TUSD BE'!$AB$30+'TUSD BE'!$AD$30+'TUSD BE'!$AL$30</f>
        <v>883.86584082003822</v>
      </c>
    </row>
    <row r="31" spans="1:42" ht="11.25" customHeight="1" x14ac:dyDescent="0.25">
      <c r="A31" s="131"/>
      <c r="B31" s="131"/>
      <c r="C31" s="131"/>
      <c r="D31" s="131"/>
      <c r="E31" s="131"/>
      <c r="F31" s="131"/>
      <c r="G31" s="44" t="s">
        <v>88</v>
      </c>
      <c r="H31" s="44" t="s">
        <v>76</v>
      </c>
      <c r="I31" s="44">
        <f>'MERCADO TUSD'!$U$28</f>
        <v>0.57700000000000018</v>
      </c>
      <c r="J31" s="18"/>
      <c r="L31" s="26">
        <f>'TUSD BE'!$L$31*'TUSD BE'!$L$58</f>
        <v>0</v>
      </c>
      <c r="M31" s="26">
        <f>'TUSD BE'!$M$31*'TUSD BE'!$M$58</f>
        <v>1.978386450741107E-2</v>
      </c>
      <c r="N31" s="26">
        <f ca="1">'TUSD BE'!$N$31*'TUSD BE'!$N$58</f>
        <v>0</v>
      </c>
      <c r="O31" s="26">
        <f>'TUSD BE'!$O$31*'TUSD BE'!$O$58</f>
        <v>0</v>
      </c>
      <c r="P31" s="26">
        <f>'TUSD BE'!$P$31*'TUSD BE'!$P$58</f>
        <v>0</v>
      </c>
      <c r="Q31" s="26">
        <f>'TUSD BE'!$Q$31*'TUSD BE'!$Q$58</f>
        <v>1.8606900679626373</v>
      </c>
      <c r="R31" s="26">
        <f>'TUSD BE'!$R$31*'TUSD BE'!$R$58</f>
        <v>0.29924355382946505</v>
      </c>
      <c r="S31" s="26">
        <f>'TUSD BE'!$R$31*'TUSD BE'!$S$58</f>
        <v>0</v>
      </c>
      <c r="T31" s="26">
        <f ca="1">SUM($L$31:$S$31)</f>
        <v>2.1797174862995132</v>
      </c>
      <c r="U31" s="26">
        <f>'TUSD BE'!$U$31*'TUSD BE'!$U$58</f>
        <v>-2.431223065075383</v>
      </c>
      <c r="V31" s="26">
        <f>'TUSD BE'!$V$31*'TUSD BE'!$V$58</f>
        <v>-1.9188600550180377</v>
      </c>
      <c r="W31" s="26">
        <f>'TUSD BE'!$W$31*'TUSD BE'!$W$58</f>
        <v>0</v>
      </c>
      <c r="X31" s="26">
        <f>'TUSD BE'!$X$31*'TUSD BE'!$X$58</f>
        <v>0</v>
      </c>
      <c r="Y31" s="26">
        <f>'TUSD BE'!$Y$31*'TUSD BE'!$Y$58</f>
        <v>0.98751716945576495</v>
      </c>
      <c r="Z31" s="26">
        <f>'TUSD BE'!$Z$31*'TUSD BE'!$Z$58</f>
        <v>0</v>
      </c>
      <c r="AA31" s="26">
        <f>'TUSD BE'!$AA$31*'TUSD BE'!$AA$58</f>
        <v>0</v>
      </c>
      <c r="AB31" s="26">
        <f>SUM($U$31:$AA$31)</f>
        <v>-3.3625659506376562</v>
      </c>
      <c r="AC31" s="26">
        <f>'TUSD BE'!$AC$31*'TUSD BE'!$AC$58</f>
        <v>-133.49337951113617</v>
      </c>
      <c r="AD31" s="26">
        <f>SUM($AC$31:$AC$31)</f>
        <v>-133.49337951113617</v>
      </c>
      <c r="AE31" s="26">
        <f ca="1">$AO$31*$AO$55</f>
        <v>0</v>
      </c>
      <c r="AF31" s="26">
        <f ca="1">$AP$31*$AP$55</f>
        <v>0</v>
      </c>
      <c r="AG31" s="26">
        <f ca="1">SUM($AE$31:$AF$31)</f>
        <v>0</v>
      </c>
      <c r="AH31" s="26">
        <f>'TUSD BE'!$AH$31*'TUSD BE'!$AH$58</f>
        <v>2.5154713227588466</v>
      </c>
      <c r="AI31" s="26">
        <f>'TUSD BE'!$AI$31*'TUSD BE'!$AI$58</f>
        <v>1.9266057790781135E-2</v>
      </c>
      <c r="AJ31" s="26">
        <f ca="1">'TUSD BE'!$AJ$31*'TUSD BE'!$AJ$58</f>
        <v>0</v>
      </c>
      <c r="AK31" s="26">
        <f ca="1">'TUSD BE'!$AK$31*'TUSD BE'!$AK$58</f>
        <v>0</v>
      </c>
      <c r="AL31" s="26">
        <f ca="1">SUM($AH$31:$AK$31)</f>
        <v>2.5347373805496276</v>
      </c>
      <c r="AM31" s="26">
        <f ca="1">SUMIF($L$4:$AL$4,"SUBTOTAL",$L$31:$AL$31)</f>
        <v>-132.1414905949247</v>
      </c>
      <c r="AO31" s="50">
        <f ca="1">+'TUSD BE'!$T$31+'TUSD BE'!$AB$31+'TUSD BE'!$AD$31+'TUSD BE'!$AL$31</f>
        <v>578.67430238018267</v>
      </c>
      <c r="AP31" s="50">
        <f ca="1">+'TUSD BE'!$T$31+'TUSD BE'!$AB$31+'TUSD BE'!$AD$31+'TUSD BE'!$AL$31</f>
        <v>578.67430238018267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44" t="s">
        <v>78</v>
      </c>
      <c r="H32" s="44" t="s">
        <v>76</v>
      </c>
      <c r="I32" s="44">
        <f>'MERCADO TUSD'!$U$29</f>
        <v>5.0960000000000001</v>
      </c>
      <c r="J32" s="18"/>
      <c r="L32" s="26">
        <f>'TUSD BE'!$L$32*'TUSD BE'!$L$58</f>
        <v>0</v>
      </c>
      <c r="M32" s="26">
        <f>'TUSD BE'!$M$32*'TUSD BE'!$M$58</f>
        <v>1.978386450741107E-2</v>
      </c>
      <c r="N32" s="26">
        <f ca="1">'TUSD BE'!$N$32*'TUSD BE'!$N$58</f>
        <v>0</v>
      </c>
      <c r="O32" s="26">
        <f>'TUSD BE'!$O$32*'TUSD BE'!$O$58</f>
        <v>0</v>
      </c>
      <c r="P32" s="26">
        <f>'TUSD BE'!$P$32*'TUSD BE'!$P$58</f>
        <v>0</v>
      </c>
      <c r="Q32" s="26">
        <f>'TUSD BE'!$Q$32*'TUSD BE'!$Q$58</f>
        <v>1.8606900679626373</v>
      </c>
      <c r="R32" s="26">
        <f>'TUSD BE'!$R$32*'TUSD BE'!$R$58</f>
        <v>0.29924355382946505</v>
      </c>
      <c r="S32" s="26">
        <f>'TUSD BE'!$R$32*'TUSD BE'!$S$58</f>
        <v>0</v>
      </c>
      <c r="T32" s="26">
        <f ca="1">SUM($L$32:$S$32)</f>
        <v>2.1797174862995132</v>
      </c>
      <c r="U32" s="26">
        <f>'TUSD BE'!$U$32*'TUSD BE'!$U$58</f>
        <v>-0.810407688358461</v>
      </c>
      <c r="V32" s="26">
        <f>'TUSD BE'!$V$32*'TUSD BE'!$V$58</f>
        <v>-0.63961764466413018</v>
      </c>
      <c r="W32" s="26">
        <f>'TUSD BE'!$W$32*'TUSD BE'!$W$58</f>
        <v>0</v>
      </c>
      <c r="X32" s="26">
        <f>'TUSD BE'!$X$32*'TUSD BE'!$X$58</f>
        <v>0</v>
      </c>
      <c r="Y32" s="26">
        <f>'TUSD BE'!$Y$32*'TUSD BE'!$Y$58</f>
        <v>0.32917238981858832</v>
      </c>
      <c r="Z32" s="26">
        <f>'TUSD BE'!$Z$32*'TUSD BE'!$Z$58</f>
        <v>0</v>
      </c>
      <c r="AA32" s="26">
        <f>'TUSD BE'!$AA$32*'TUSD BE'!$AA$58</f>
        <v>0</v>
      </c>
      <c r="AB32" s="26">
        <f>SUM($U$32:$AA$32)</f>
        <v>-1.1208529432040029</v>
      </c>
      <c r="AC32" s="26">
        <f>'TUSD BE'!$AC$32*'TUSD BE'!$AC$58</f>
        <v>-44.497793170378728</v>
      </c>
      <c r="AD32" s="26">
        <f>SUM($AC$32:$AC$32)</f>
        <v>-44.497793170378728</v>
      </c>
      <c r="AE32" s="26">
        <f ca="1">$AO$32*$AO$55</f>
        <v>0</v>
      </c>
      <c r="AF32" s="26">
        <f ca="1">$AP$32*$AP$55</f>
        <v>0</v>
      </c>
      <c r="AG32" s="26">
        <f ca="1">SUM($AE$32:$AF$32)</f>
        <v>0</v>
      </c>
      <c r="AH32" s="26">
        <f>'TUSD BE'!$AH$32*'TUSD BE'!$AH$58</f>
        <v>2.5154713227588466</v>
      </c>
      <c r="AI32" s="26">
        <f>'TUSD BE'!$AI$32*'TUSD BE'!$AI$58</f>
        <v>1.9266057790781135E-2</v>
      </c>
      <c r="AJ32" s="26">
        <f ca="1">'TUSD BE'!$AJ$32*'TUSD BE'!$AJ$58</f>
        <v>0</v>
      </c>
      <c r="AK32" s="26">
        <f ca="1">'TUSD BE'!$AK$32*'TUSD BE'!$AK$58</f>
        <v>0</v>
      </c>
      <c r="AL32" s="26">
        <f ca="1">SUM($AH$32:$AK$32)</f>
        <v>2.5347373805496276</v>
      </c>
      <c r="AM32" s="26">
        <f ca="1">SUMIF($L$4:$AL$4,"SUBTOTAL",$L$32:$AL$32)</f>
        <v>-40.904191246733589</v>
      </c>
      <c r="AO32" s="50">
        <f ca="1">+'TUSD BE'!$T$32+'TUSD BE'!$AB$32+'TUSD BE'!$AD$32+'TUSD BE'!$AL$32</f>
        <v>273.48293211795982</v>
      </c>
      <c r="AP32" s="50">
        <f ca="1">+'TUSD BE'!$T$32+'TUSD BE'!$AB$32+'TUSD BE'!$AD$32+'TUSD BE'!$AL$32</f>
        <v>273.48293211795982</v>
      </c>
    </row>
    <row r="33" spans="1:42" ht="11.25" customHeight="1" x14ac:dyDescent="0.25">
      <c r="A33" s="131"/>
      <c r="B33" s="48" t="s">
        <v>23</v>
      </c>
      <c r="C33" s="48" t="s">
        <v>44</v>
      </c>
      <c r="D33" s="48" t="s">
        <v>25</v>
      </c>
      <c r="E33" s="48" t="s">
        <v>25</v>
      </c>
      <c r="F33" s="48" t="s">
        <v>25</v>
      </c>
      <c r="G33" s="44" t="s">
        <v>82</v>
      </c>
      <c r="H33" s="44" t="s">
        <v>76</v>
      </c>
      <c r="I33" s="44">
        <f>'MERCADO TUSD'!$U$30</f>
        <v>36373.667999999998</v>
      </c>
      <c r="J33" s="18"/>
      <c r="L33" s="26">
        <f>'TUSD BE'!$L$33*'TUSD BE'!$L$58</f>
        <v>0</v>
      </c>
      <c r="M33" s="26">
        <f>'TUSD BE'!$M$33*'TUSD BE'!$M$58</f>
        <v>1.978386450741107E-2</v>
      </c>
      <c r="N33" s="26">
        <f ca="1">'TUSD BE'!$N$33*'TUSD BE'!$N$58</f>
        <v>0</v>
      </c>
      <c r="O33" s="26">
        <f>'TUSD BE'!$O$33*'TUSD BE'!$O$58</f>
        <v>0</v>
      </c>
      <c r="P33" s="26">
        <f>'TUSD BE'!$P$33*'TUSD BE'!$P$58</f>
        <v>0</v>
      </c>
      <c r="Q33" s="26">
        <f>'TUSD BE'!$Q$33*'TUSD BE'!$Q$58</f>
        <v>1.8606900679626373</v>
      </c>
      <c r="R33" s="26">
        <f>'TUSD BE'!$R$33*'TUSD BE'!$R$58</f>
        <v>0.29924355382946505</v>
      </c>
      <c r="S33" s="26">
        <f>'TUSD BE'!$R$33*'TUSD BE'!$S$58</f>
        <v>0</v>
      </c>
      <c r="T33" s="26">
        <f ca="1">SUM($L$33:$S$33)</f>
        <v>2.1797174862995132</v>
      </c>
      <c r="U33" s="26">
        <f>'TUSD BE'!$U$33*'TUSD BE'!$U$58</f>
        <v>-1.4734676858801106</v>
      </c>
      <c r="V33" s="26">
        <f>'TUSD BE'!$V$33*'TUSD BE'!$V$58</f>
        <v>-1.1629560615338626</v>
      </c>
      <c r="W33" s="26">
        <f>'TUSD BE'!$W$33*'TUSD BE'!$W$58</f>
        <v>0</v>
      </c>
      <c r="X33" s="26">
        <f>'TUSD BE'!$X$33*'TUSD BE'!$X$58</f>
        <v>0</v>
      </c>
      <c r="Y33" s="26">
        <f>'TUSD BE'!$Y$33*'TUSD BE'!$Y$58</f>
        <v>0.59849472188860797</v>
      </c>
      <c r="Z33" s="26">
        <f>'TUSD BE'!$Z$33*'TUSD BE'!$Z$58</f>
        <v>0</v>
      </c>
      <c r="AA33" s="26">
        <f>'TUSD BE'!$AA$33*'TUSD BE'!$AA$58</f>
        <v>0</v>
      </c>
      <c r="AB33" s="26">
        <f>SUM($U$33:$AA$33)</f>
        <v>-2.037929025525365</v>
      </c>
      <c r="AC33" s="26">
        <f>'TUSD BE'!$AC$33*'TUSD BE'!$AC$58</f>
        <v>-80.905027272051242</v>
      </c>
      <c r="AD33" s="26">
        <f>SUM($AC$33:$AC$33)</f>
        <v>-80.905027272051242</v>
      </c>
      <c r="AE33" s="26">
        <f ca="1">$AO$33*$AO$55</f>
        <v>0</v>
      </c>
      <c r="AF33" s="26">
        <f ca="1">$AP$33*$AP$55</f>
        <v>0</v>
      </c>
      <c r="AG33" s="26">
        <f ca="1">SUM($AE$33:$AF$33)</f>
        <v>0</v>
      </c>
      <c r="AH33" s="26">
        <f>'TUSD BE'!$AH$33*'TUSD BE'!$AH$58</f>
        <v>2.5154713227588466</v>
      </c>
      <c r="AI33" s="26">
        <f>'TUSD BE'!$AI$33*'TUSD BE'!$AI$58</f>
        <v>1.9266057790781135E-2</v>
      </c>
      <c r="AJ33" s="26">
        <f ca="1">'TUSD BE'!$AJ$33*'TUSD BE'!$AJ$58</f>
        <v>0</v>
      </c>
      <c r="AK33" s="26">
        <f ca="1">'TUSD BE'!$AK$33*'TUSD BE'!$AK$58</f>
        <v>0</v>
      </c>
      <c r="AL33" s="26">
        <f ca="1">SUM($AH$33:$AK$33)</f>
        <v>2.5347373805496276</v>
      </c>
      <c r="AM33" s="26">
        <f ca="1">SUMIF($L$4:$AL$4,"SUBTOTAL",$L$33:$AL$33)</f>
        <v>-78.228501430727462</v>
      </c>
      <c r="AO33" s="50">
        <f ca="1">+'TUSD BE'!$T$33+'TUSD BE'!$AB$33+'TUSD BE'!$AD$33+'TUSD BE'!$AL$33</f>
        <v>398.33390532713378</v>
      </c>
      <c r="AP33" s="50">
        <f ca="1">+'TUSD BE'!$T$33+'TUSD BE'!$AB$33+'TUSD BE'!$AD$33+'TUSD BE'!$AL$33</f>
        <v>398.33390532713378</v>
      </c>
    </row>
    <row r="34" spans="1:42" ht="11.25" customHeight="1" x14ac:dyDescent="0.25">
      <c r="A34" s="131"/>
      <c r="B34" s="131" t="s">
        <v>37</v>
      </c>
      <c r="C34" s="131" t="s">
        <v>44</v>
      </c>
      <c r="D34" s="131" t="s">
        <v>92</v>
      </c>
      <c r="E34" s="131" t="s">
        <v>25</v>
      </c>
      <c r="F34" s="131" t="s">
        <v>25</v>
      </c>
      <c r="G34" s="44" t="s">
        <v>77</v>
      </c>
      <c r="H34" s="44" t="s">
        <v>76</v>
      </c>
      <c r="I34" s="44">
        <f>'MERCADO TUSD'!$U$31</f>
        <v>0</v>
      </c>
      <c r="J34" s="18"/>
      <c r="L34" s="26">
        <f>'TUSD BE'!$L$34*'TUSD BE'!$L$58</f>
        <v>0</v>
      </c>
      <c r="M34" s="26">
        <f>'TUSD BE'!$M$34*'TUSD BE'!$M$58</f>
        <v>1.978386450741107E-2</v>
      </c>
      <c r="N34" s="26">
        <f ca="1">'TUSD BE'!$N$34*'TUSD BE'!$N$58</f>
        <v>0</v>
      </c>
      <c r="O34" s="26">
        <f>'TUSD BE'!$O$34*'TUSD BE'!$O$58</f>
        <v>0</v>
      </c>
      <c r="P34" s="26">
        <f>'TUSD BE'!$P$34*'TUSD BE'!$P$58</f>
        <v>0</v>
      </c>
      <c r="Q34" s="26">
        <f>'TUSD BE'!$Q$34*'TUSD BE'!$Q$58</f>
        <v>1.8606900679626373</v>
      </c>
      <c r="R34" s="26">
        <f>'TUSD BE'!$R$34*'TUSD BE'!$R$58</f>
        <v>0.29924355382946505</v>
      </c>
      <c r="S34" s="26">
        <f>'TUSD BE'!$R$34*'TUSD BE'!$S$58</f>
        <v>0</v>
      </c>
      <c r="T34" s="26">
        <f ca="1">SUM($L$34:$S$34)</f>
        <v>2.1797174862995132</v>
      </c>
      <c r="U34" s="26">
        <f>'TUSD BE'!$U$34*'TUSD BE'!$U$58</f>
        <v>-4.052029219304301</v>
      </c>
      <c r="V34" s="26">
        <f>'TUSD BE'!$V$34*'TUSD BE'!$V$58</f>
        <v>-3.1981167074232393</v>
      </c>
      <c r="W34" s="26">
        <f>'TUSD BE'!$W$34*'TUSD BE'!$W$58</f>
        <v>0</v>
      </c>
      <c r="X34" s="26">
        <f>'TUSD BE'!$X$34*'TUSD BE'!$X$58</f>
        <v>0</v>
      </c>
      <c r="Y34" s="26">
        <f>'TUSD BE'!$Y$34*'TUSD BE'!$Y$58</f>
        <v>1.6458619490929418</v>
      </c>
      <c r="Z34" s="26">
        <f>'TUSD BE'!$Z$34*'TUSD BE'!$Z$58</f>
        <v>0</v>
      </c>
      <c r="AA34" s="26">
        <f>'TUSD BE'!$AA$34*'TUSD BE'!$AA$58</f>
        <v>0</v>
      </c>
      <c r="AB34" s="26">
        <f>SUM($U$34:$AA$34)</f>
        <v>-5.6042839776345987</v>
      </c>
      <c r="AC34" s="26">
        <f>'TUSD BE'!$AC$34*'TUSD BE'!$AC$58</f>
        <v>-222.48900609582299</v>
      </c>
      <c r="AD34" s="26">
        <f>SUM($AC$34:$AC$34)</f>
        <v>-222.48900609582299</v>
      </c>
      <c r="AE34" s="26">
        <f ca="1">$AO$34*$AO$55</f>
        <v>0</v>
      </c>
      <c r="AF34" s="26">
        <f ca="1">$AP$34*$AP$55</f>
        <v>0</v>
      </c>
      <c r="AG34" s="26">
        <f ca="1">SUM($AE$34:$AF$34)</f>
        <v>0</v>
      </c>
      <c r="AH34" s="26">
        <f>'TUSD BE'!$AH$34*'TUSD BE'!$AH$58</f>
        <v>2.5154713227588466</v>
      </c>
      <c r="AI34" s="26">
        <f>'TUSD BE'!$AI$34*'TUSD BE'!$AI$58</f>
        <v>1.9266057790781135E-2</v>
      </c>
      <c r="AJ34" s="26">
        <f ca="1">'TUSD BE'!$AJ$34*'TUSD BE'!$AJ$58</f>
        <v>0</v>
      </c>
      <c r="AK34" s="26">
        <f ca="1">'TUSD BE'!$AK$34*'TUSD BE'!$AK$58</f>
        <v>0</v>
      </c>
      <c r="AL34" s="26">
        <f ca="1">SUM($AH$34:$AK$34)</f>
        <v>2.5347373805496276</v>
      </c>
      <c r="AM34" s="26">
        <f ca="1">SUMIF($L$4:$AL$4,"SUBTOTAL",$L$34:$AL$34)</f>
        <v>-223.37883520660847</v>
      </c>
      <c r="AO34" s="50">
        <f ca="1">+'TUSD BE'!$T$34+'TUSD BE'!$AB$34+'TUSD BE'!$AD$34+'TUSD BE'!$AL$34</f>
        <v>883.86584082003822</v>
      </c>
      <c r="AP34" s="50">
        <f ca="1">+'TUSD BE'!$T$34+'TUSD BE'!$AB$34+'TUSD BE'!$AD$34+'TUSD BE'!$AL$34</f>
        <v>883.86584082003822</v>
      </c>
    </row>
    <row r="35" spans="1:42" ht="11.25" customHeight="1" x14ac:dyDescent="0.25">
      <c r="A35" s="131"/>
      <c r="B35" s="131"/>
      <c r="C35" s="131"/>
      <c r="D35" s="131"/>
      <c r="E35" s="131"/>
      <c r="F35" s="131"/>
      <c r="G35" s="44" t="s">
        <v>88</v>
      </c>
      <c r="H35" s="44" t="s">
        <v>76</v>
      </c>
      <c r="I35" s="44">
        <f>'MERCADO TUSD'!$U$32</f>
        <v>0</v>
      </c>
      <c r="J35" s="18"/>
      <c r="L35" s="26">
        <f>'TUSD BE'!$L$35*'TUSD BE'!$L$58</f>
        <v>0</v>
      </c>
      <c r="M35" s="26">
        <f>'TUSD BE'!$M$35*'TUSD BE'!$M$58</f>
        <v>1.978386450741107E-2</v>
      </c>
      <c r="N35" s="26">
        <f ca="1">'TUSD BE'!$N$35*'TUSD BE'!$N$58</f>
        <v>0</v>
      </c>
      <c r="O35" s="26">
        <f>'TUSD BE'!$O$35*'TUSD BE'!$O$58</f>
        <v>0</v>
      </c>
      <c r="P35" s="26">
        <f>'TUSD BE'!$P$35*'TUSD BE'!$P$58</f>
        <v>0</v>
      </c>
      <c r="Q35" s="26">
        <f>'TUSD BE'!$Q$35*'TUSD BE'!$Q$58</f>
        <v>1.8606900679626373</v>
      </c>
      <c r="R35" s="26">
        <f>'TUSD BE'!$R$35*'TUSD BE'!$R$58</f>
        <v>0.29924355382946505</v>
      </c>
      <c r="S35" s="26">
        <f>'TUSD BE'!$R$35*'TUSD BE'!$S$58</f>
        <v>0</v>
      </c>
      <c r="T35" s="26">
        <f ca="1">SUM($L$35:$S$35)</f>
        <v>2.1797174862995132</v>
      </c>
      <c r="U35" s="26">
        <f>'TUSD BE'!$U$35*'TUSD BE'!$U$58</f>
        <v>-2.431223065075383</v>
      </c>
      <c r="V35" s="26">
        <f>'TUSD BE'!$V$35*'TUSD BE'!$V$58</f>
        <v>-1.9188600550180377</v>
      </c>
      <c r="W35" s="26">
        <f>'TUSD BE'!$W$35*'TUSD BE'!$W$58</f>
        <v>0</v>
      </c>
      <c r="X35" s="26">
        <f>'TUSD BE'!$X$35*'TUSD BE'!$X$58</f>
        <v>0</v>
      </c>
      <c r="Y35" s="26">
        <f>'TUSD BE'!$Y$35*'TUSD BE'!$Y$58</f>
        <v>0.98751716945576495</v>
      </c>
      <c r="Z35" s="26">
        <f>'TUSD BE'!$Z$35*'TUSD BE'!$Z$58</f>
        <v>0</v>
      </c>
      <c r="AA35" s="26">
        <f>'TUSD BE'!$AA$35*'TUSD BE'!$AA$58</f>
        <v>0</v>
      </c>
      <c r="AB35" s="26">
        <f>SUM($U$35:$AA$35)</f>
        <v>-3.3625659506376562</v>
      </c>
      <c r="AC35" s="26">
        <f>'TUSD BE'!$AC$35*'TUSD BE'!$AC$58</f>
        <v>-133.49337951113617</v>
      </c>
      <c r="AD35" s="26">
        <f>SUM($AC$35:$AC$35)</f>
        <v>-133.49337951113617</v>
      </c>
      <c r="AE35" s="26">
        <f ca="1">$AO$35*$AO$55</f>
        <v>0</v>
      </c>
      <c r="AF35" s="26">
        <f ca="1">$AP$35*$AP$55</f>
        <v>0</v>
      </c>
      <c r="AG35" s="26">
        <f ca="1">SUM($AE$35:$AF$35)</f>
        <v>0</v>
      </c>
      <c r="AH35" s="26">
        <f>'TUSD BE'!$AH$35*'TUSD BE'!$AH$58</f>
        <v>2.5154713227588466</v>
      </c>
      <c r="AI35" s="26">
        <f>'TUSD BE'!$AI$35*'TUSD BE'!$AI$58</f>
        <v>1.9266057790781135E-2</v>
      </c>
      <c r="AJ35" s="26">
        <f ca="1">'TUSD BE'!$AJ$35*'TUSD BE'!$AJ$58</f>
        <v>0</v>
      </c>
      <c r="AK35" s="26">
        <f ca="1">'TUSD BE'!$AK$35*'TUSD BE'!$AK$58</f>
        <v>0</v>
      </c>
      <c r="AL35" s="26">
        <f ca="1">SUM($AH$35:$AK$35)</f>
        <v>2.5347373805496276</v>
      </c>
      <c r="AM35" s="26">
        <f ca="1">SUMIF($L$4:$AL$4,"SUBTOTAL",$L$35:$AL$35)</f>
        <v>-132.1414905949247</v>
      </c>
      <c r="AO35" s="50">
        <f ca="1">+'TUSD BE'!$T$35+'TUSD BE'!$AB$35+'TUSD BE'!$AD$35+'TUSD BE'!$AL$35</f>
        <v>578.67430238018267</v>
      </c>
      <c r="AP35" s="50">
        <f ca="1">+'TUSD BE'!$T$35+'TUSD BE'!$AB$35+'TUSD BE'!$AD$35+'TUSD BE'!$AL$35</f>
        <v>578.67430238018267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44" t="s">
        <v>78</v>
      </c>
      <c r="H36" s="44" t="s">
        <v>76</v>
      </c>
      <c r="I36" s="44">
        <f>'MERCADO TUSD'!$U$33</f>
        <v>0</v>
      </c>
      <c r="J36" s="18"/>
      <c r="L36" s="26">
        <f>'TUSD BE'!$L$36*'TUSD BE'!$L$58</f>
        <v>0</v>
      </c>
      <c r="M36" s="26">
        <f>'TUSD BE'!$M$36*'TUSD BE'!$M$58</f>
        <v>1.978386450741107E-2</v>
      </c>
      <c r="N36" s="26">
        <f ca="1">'TUSD BE'!$N$36*'TUSD BE'!$N$58</f>
        <v>0</v>
      </c>
      <c r="O36" s="26">
        <f>'TUSD BE'!$O$36*'TUSD BE'!$O$58</f>
        <v>0</v>
      </c>
      <c r="P36" s="26">
        <f>'TUSD BE'!$P$36*'TUSD BE'!$P$58</f>
        <v>0</v>
      </c>
      <c r="Q36" s="26">
        <f>'TUSD BE'!$Q$36*'TUSD BE'!$Q$58</f>
        <v>1.8606900679626373</v>
      </c>
      <c r="R36" s="26">
        <f>'TUSD BE'!$R$36*'TUSD BE'!$R$58</f>
        <v>0.29924355382946505</v>
      </c>
      <c r="S36" s="26">
        <f>'TUSD BE'!$R$36*'TUSD BE'!$S$58</f>
        <v>0</v>
      </c>
      <c r="T36" s="26">
        <f ca="1">SUM($L$36:$S$36)</f>
        <v>2.1797174862995132</v>
      </c>
      <c r="U36" s="26">
        <f>'TUSD BE'!$U$36*'TUSD BE'!$U$58</f>
        <v>-0.810407688358461</v>
      </c>
      <c r="V36" s="26">
        <f>'TUSD BE'!$V$36*'TUSD BE'!$V$58</f>
        <v>-0.63961764466413018</v>
      </c>
      <c r="W36" s="26">
        <f>'TUSD BE'!$W$36*'TUSD BE'!$W$58</f>
        <v>0</v>
      </c>
      <c r="X36" s="26">
        <f>'TUSD BE'!$X$36*'TUSD BE'!$X$58</f>
        <v>0</v>
      </c>
      <c r="Y36" s="26">
        <f>'TUSD BE'!$Y$36*'TUSD BE'!$Y$58</f>
        <v>0.32917238981858832</v>
      </c>
      <c r="Z36" s="26">
        <f>'TUSD BE'!$Z$36*'TUSD BE'!$Z$58</f>
        <v>0</v>
      </c>
      <c r="AA36" s="26">
        <f>'TUSD BE'!$AA$36*'TUSD BE'!$AA$58</f>
        <v>0</v>
      </c>
      <c r="AB36" s="26">
        <f>SUM($U$36:$AA$36)</f>
        <v>-1.1208529432040029</v>
      </c>
      <c r="AC36" s="26">
        <f>'TUSD BE'!$AC$36*'TUSD BE'!$AC$58</f>
        <v>-44.497793170378728</v>
      </c>
      <c r="AD36" s="26">
        <f>SUM($AC$36:$AC$36)</f>
        <v>-44.497793170378728</v>
      </c>
      <c r="AE36" s="26">
        <f ca="1">$AO$36*$AO$55</f>
        <v>0</v>
      </c>
      <c r="AF36" s="26">
        <f ca="1">$AP$36*$AP$55</f>
        <v>0</v>
      </c>
      <c r="AG36" s="26">
        <f ca="1">SUM($AE$36:$AF$36)</f>
        <v>0</v>
      </c>
      <c r="AH36" s="26">
        <f>'TUSD BE'!$AH$36*'TUSD BE'!$AH$58</f>
        <v>2.5154713227588466</v>
      </c>
      <c r="AI36" s="26">
        <f>'TUSD BE'!$AI$36*'TUSD BE'!$AI$58</f>
        <v>1.9266057790781135E-2</v>
      </c>
      <c r="AJ36" s="26">
        <f ca="1">'TUSD BE'!$AJ$36*'TUSD BE'!$AJ$58</f>
        <v>0</v>
      </c>
      <c r="AK36" s="26">
        <f ca="1">'TUSD BE'!$AK$36*'TUSD BE'!$AK$58</f>
        <v>0</v>
      </c>
      <c r="AL36" s="26">
        <f ca="1">SUM($AH$36:$AK$36)</f>
        <v>2.5347373805496276</v>
      </c>
      <c r="AM36" s="26">
        <f ca="1">SUMIF($L$4:$AL$4,"SUBTOTAL",$L$36:$AL$36)</f>
        <v>-40.904191246733589</v>
      </c>
      <c r="AO36" s="50">
        <f ca="1">+'TUSD BE'!$T$36+'TUSD BE'!$AB$36+'TUSD BE'!$AD$36+'TUSD BE'!$AL$36</f>
        <v>273.48293211795982</v>
      </c>
      <c r="AP36" s="50">
        <f ca="1">+'TUSD BE'!$T$36+'TUSD BE'!$AB$36+'TUSD BE'!$AD$36+'TUSD BE'!$AL$36</f>
        <v>273.48293211795982</v>
      </c>
    </row>
    <row r="37" spans="1:42" ht="11.25" customHeight="1" x14ac:dyDescent="0.25">
      <c r="A37" s="131"/>
      <c r="B37" s="48" t="s">
        <v>23</v>
      </c>
      <c r="C37" s="48" t="s">
        <v>44</v>
      </c>
      <c r="D37" s="48" t="s">
        <v>92</v>
      </c>
      <c r="E37" s="48" t="s">
        <v>25</v>
      </c>
      <c r="F37" s="48" t="s">
        <v>25</v>
      </c>
      <c r="G37" s="44" t="s">
        <v>82</v>
      </c>
      <c r="H37" s="44" t="s">
        <v>76</v>
      </c>
      <c r="I37" s="44">
        <f>'MERCADO TUSD'!$U$34</f>
        <v>0</v>
      </c>
      <c r="J37" s="18"/>
      <c r="L37" s="26">
        <f>'TUSD BE'!$L$37*'TUSD BE'!$L$58</f>
        <v>0</v>
      </c>
      <c r="M37" s="26">
        <f>'TUSD BE'!$M$37*'TUSD BE'!$M$58</f>
        <v>1.978386450741107E-2</v>
      </c>
      <c r="N37" s="26">
        <f ca="1">'TUSD BE'!$N$37*'TUSD BE'!$N$58</f>
        <v>0</v>
      </c>
      <c r="O37" s="26">
        <f>'TUSD BE'!$O$37*'TUSD BE'!$O$58</f>
        <v>0</v>
      </c>
      <c r="P37" s="26">
        <f>'TUSD BE'!$P$37*'TUSD BE'!$P$58</f>
        <v>0</v>
      </c>
      <c r="Q37" s="26">
        <f>'TUSD BE'!$Q$37*'TUSD BE'!$Q$58</f>
        <v>1.8606900679626373</v>
      </c>
      <c r="R37" s="26">
        <f>'TUSD BE'!$R$37*'TUSD BE'!$R$58</f>
        <v>0.29924355382946505</v>
      </c>
      <c r="S37" s="26">
        <f>'TUSD BE'!$R$37*'TUSD BE'!$S$58</f>
        <v>0</v>
      </c>
      <c r="T37" s="26">
        <f ca="1">SUM($L$37:$S$37)</f>
        <v>2.1797174862995132</v>
      </c>
      <c r="U37" s="26">
        <f>'TUSD BE'!$U$37*'TUSD BE'!$U$58</f>
        <v>-1.4734676858801106</v>
      </c>
      <c r="V37" s="26">
        <f>'TUSD BE'!$V$37*'TUSD BE'!$V$58</f>
        <v>-1.1629560615338626</v>
      </c>
      <c r="W37" s="26">
        <f>'TUSD BE'!$W$37*'TUSD BE'!$W$58</f>
        <v>0</v>
      </c>
      <c r="X37" s="26">
        <f>'TUSD BE'!$X$37*'TUSD BE'!$X$58</f>
        <v>0</v>
      </c>
      <c r="Y37" s="26">
        <f>'TUSD BE'!$Y$37*'TUSD BE'!$Y$58</f>
        <v>0.59849472188860797</v>
      </c>
      <c r="Z37" s="26">
        <f>'TUSD BE'!$Z$37*'TUSD BE'!$Z$58</f>
        <v>0</v>
      </c>
      <c r="AA37" s="26">
        <f>'TUSD BE'!$AA$37*'TUSD BE'!$AA$58</f>
        <v>0</v>
      </c>
      <c r="AB37" s="26">
        <f>SUM($U$37:$AA$37)</f>
        <v>-2.037929025525365</v>
      </c>
      <c r="AC37" s="26">
        <f>'TUSD BE'!$AC$37*'TUSD BE'!$AC$58</f>
        <v>-80.905027272051242</v>
      </c>
      <c r="AD37" s="26">
        <f>SUM($AC$37:$AC$37)</f>
        <v>-80.905027272051242</v>
      </c>
      <c r="AE37" s="26">
        <f ca="1">$AO$37*$AO$55</f>
        <v>0</v>
      </c>
      <c r="AF37" s="26">
        <f ca="1">$AP$37*$AP$55</f>
        <v>0</v>
      </c>
      <c r="AG37" s="26">
        <f ca="1">SUM($AE$37:$AF$37)</f>
        <v>0</v>
      </c>
      <c r="AH37" s="26">
        <f>'TUSD BE'!$AH$37*'TUSD BE'!$AH$58</f>
        <v>2.5154713227588466</v>
      </c>
      <c r="AI37" s="26">
        <f>'TUSD BE'!$AI$37*'TUSD BE'!$AI$58</f>
        <v>1.9266057790781135E-2</v>
      </c>
      <c r="AJ37" s="26">
        <f ca="1">'TUSD BE'!$AJ$37*'TUSD BE'!$AJ$58</f>
        <v>0</v>
      </c>
      <c r="AK37" s="26">
        <f ca="1">'TUSD BE'!$AK$37*'TUSD BE'!$AK$58</f>
        <v>0</v>
      </c>
      <c r="AL37" s="26">
        <f ca="1">SUM($AH$37:$AK$37)</f>
        <v>2.5347373805496276</v>
      </c>
      <c r="AM37" s="26">
        <f ca="1">SUMIF($L$4:$AL$4,"SUBTOTAL",$L$37:$AL$37)</f>
        <v>-78.228501430727462</v>
      </c>
      <c r="AO37" s="50">
        <f ca="1">+'TUSD BE'!$T$37+'TUSD BE'!$AB$37+'TUSD BE'!$AD$37+'TUSD BE'!$AL$37</f>
        <v>398.33390532713378</v>
      </c>
      <c r="AP37" s="50">
        <f ca="1">+'TUSD BE'!$T$37+'TUSD BE'!$AB$37+'TUSD BE'!$AD$37+'TUSD BE'!$AL$37</f>
        <v>398.33390532713378</v>
      </c>
    </row>
    <row r="38" spans="1:42" ht="11.25" customHeight="1" x14ac:dyDescent="0.25">
      <c r="A38" s="131"/>
      <c r="B38" s="131" t="s">
        <v>37</v>
      </c>
      <c r="C38" s="131" t="s">
        <v>44</v>
      </c>
      <c r="D38" s="131" t="s">
        <v>93</v>
      </c>
      <c r="E38" s="131" t="s">
        <v>25</v>
      </c>
      <c r="F38" s="131" t="s">
        <v>25</v>
      </c>
      <c r="G38" s="44" t="s">
        <v>77</v>
      </c>
      <c r="H38" s="44" t="s">
        <v>76</v>
      </c>
      <c r="I38" s="44">
        <f>'MERCADO TUSD'!$U$35</f>
        <v>0</v>
      </c>
      <c r="J38" s="18"/>
      <c r="L38" s="26">
        <f>'TUSD BE'!$L$38*'TUSD BE'!$L$58</f>
        <v>0</v>
      </c>
      <c r="M38" s="26">
        <f>'TUSD BE'!$M$38*'TUSD BE'!$M$58</f>
        <v>1.978386450741107E-2</v>
      </c>
      <c r="N38" s="26">
        <f ca="1">'TUSD BE'!$N$38*'TUSD BE'!$N$58</f>
        <v>0</v>
      </c>
      <c r="O38" s="26">
        <f>'TUSD BE'!$O$38*'TUSD BE'!$O$58</f>
        <v>0</v>
      </c>
      <c r="P38" s="26">
        <f>'TUSD BE'!$P$38*'TUSD BE'!$P$58</f>
        <v>0</v>
      </c>
      <c r="Q38" s="26">
        <f>'TUSD BE'!$Q$38*'TUSD BE'!$Q$58</f>
        <v>1.8606900679626373</v>
      </c>
      <c r="R38" s="26">
        <f>'TUSD BE'!$R$38*'TUSD BE'!$R$58</f>
        <v>0.29924355382946505</v>
      </c>
      <c r="S38" s="26">
        <f>'TUSD BE'!$R$38*'TUSD BE'!$S$58</f>
        <v>0</v>
      </c>
      <c r="T38" s="26">
        <f ca="1">SUM($L$38:$S$38)</f>
        <v>2.1797174862995132</v>
      </c>
      <c r="U38" s="26">
        <f>'TUSD BE'!$U$38*'TUSD BE'!$U$58</f>
        <v>-4.052029219304301</v>
      </c>
      <c r="V38" s="26">
        <f>'TUSD BE'!$V$38*'TUSD BE'!$V$58</f>
        <v>-3.1981167074232393</v>
      </c>
      <c r="W38" s="26">
        <f>'TUSD BE'!$W$38*'TUSD BE'!$W$58</f>
        <v>0</v>
      </c>
      <c r="X38" s="26">
        <f>'TUSD BE'!$X$38*'TUSD BE'!$X$58</f>
        <v>0</v>
      </c>
      <c r="Y38" s="26">
        <f>'TUSD BE'!$Y$38*'TUSD BE'!$Y$58</f>
        <v>1.6458619490929418</v>
      </c>
      <c r="Z38" s="26">
        <f>'TUSD BE'!$Z$38*'TUSD BE'!$Z$58</f>
        <v>0</v>
      </c>
      <c r="AA38" s="26">
        <f>'TUSD BE'!$AA$38*'TUSD BE'!$AA$58</f>
        <v>0</v>
      </c>
      <c r="AB38" s="26">
        <f>SUM($U$38:$AA$38)</f>
        <v>-5.6042839776345987</v>
      </c>
      <c r="AC38" s="26">
        <f>'TUSD BE'!$AC$38*'TUSD BE'!$AC$58</f>
        <v>-222.48900609582299</v>
      </c>
      <c r="AD38" s="26">
        <f>SUM($AC$38:$AC$38)</f>
        <v>-222.48900609582299</v>
      </c>
      <c r="AE38" s="26">
        <f ca="1">$AO$38*$AO$55</f>
        <v>0</v>
      </c>
      <c r="AF38" s="26">
        <f ca="1">$AP$38*$AP$55</f>
        <v>0</v>
      </c>
      <c r="AG38" s="26">
        <f ca="1">SUM($AE$38:$AF$38)</f>
        <v>0</v>
      </c>
      <c r="AH38" s="26">
        <f>'TUSD BE'!$AH$38*'TUSD BE'!$AH$58</f>
        <v>2.5154713227588466</v>
      </c>
      <c r="AI38" s="26">
        <f>'TUSD BE'!$AI$38*'TUSD BE'!$AI$58</f>
        <v>1.9266057790781135E-2</v>
      </c>
      <c r="AJ38" s="26">
        <f ca="1">'TUSD BE'!$AJ$38*'TUSD BE'!$AJ$58</f>
        <v>0</v>
      </c>
      <c r="AK38" s="26">
        <f ca="1">'TUSD BE'!$AK$38*'TUSD BE'!$AK$58</f>
        <v>0</v>
      </c>
      <c r="AL38" s="26">
        <f ca="1">SUM($AH$38:$AK$38)</f>
        <v>2.5347373805496276</v>
      </c>
      <c r="AM38" s="26">
        <f ca="1">SUMIF($L$4:$AL$4,"SUBTOTAL",$L$38:$AL$38)</f>
        <v>-223.37883520660847</v>
      </c>
      <c r="AO38" s="50">
        <f ca="1">+'TUSD BE'!$T$38+'TUSD BE'!$AB$38+'TUSD BE'!$AD$38+'TUSD BE'!$AL$38</f>
        <v>883.86584082003822</v>
      </c>
      <c r="AP38" s="50">
        <f ca="1">+'TUSD BE'!$T$38+'TUSD BE'!$AB$38+'TUSD BE'!$AD$38+'TUSD BE'!$AL$38</f>
        <v>883.86584082003822</v>
      </c>
    </row>
    <row r="39" spans="1:42" ht="11.25" customHeight="1" x14ac:dyDescent="0.25">
      <c r="A39" s="131"/>
      <c r="B39" s="131"/>
      <c r="C39" s="131"/>
      <c r="D39" s="131"/>
      <c r="E39" s="131"/>
      <c r="F39" s="131"/>
      <c r="G39" s="44" t="s">
        <v>88</v>
      </c>
      <c r="H39" s="44" t="s">
        <v>76</v>
      </c>
      <c r="I39" s="44">
        <f>'MERCADO TUSD'!$U$36</f>
        <v>0</v>
      </c>
      <c r="J39" s="18"/>
      <c r="L39" s="26">
        <f>'TUSD BE'!$L$39*'TUSD BE'!$L$58</f>
        <v>0</v>
      </c>
      <c r="M39" s="26">
        <f>'TUSD BE'!$M$39*'TUSD BE'!$M$58</f>
        <v>1.978386450741107E-2</v>
      </c>
      <c r="N39" s="26">
        <f ca="1">'TUSD BE'!$N$39*'TUSD BE'!$N$58</f>
        <v>0</v>
      </c>
      <c r="O39" s="26">
        <f>'TUSD BE'!$O$39*'TUSD BE'!$O$58</f>
        <v>0</v>
      </c>
      <c r="P39" s="26">
        <f>'TUSD BE'!$P$39*'TUSD BE'!$P$58</f>
        <v>0</v>
      </c>
      <c r="Q39" s="26">
        <f>'TUSD BE'!$Q$39*'TUSD BE'!$Q$58</f>
        <v>1.8606900679626373</v>
      </c>
      <c r="R39" s="26">
        <f>'TUSD BE'!$R$39*'TUSD BE'!$R$58</f>
        <v>0.29924355382946505</v>
      </c>
      <c r="S39" s="26">
        <f>'TUSD BE'!$R$39*'TUSD BE'!$S$58</f>
        <v>0</v>
      </c>
      <c r="T39" s="26">
        <f ca="1">SUM($L$39:$S$39)</f>
        <v>2.1797174862995132</v>
      </c>
      <c r="U39" s="26">
        <f>'TUSD BE'!$U$39*'TUSD BE'!$U$58</f>
        <v>-2.431223065075383</v>
      </c>
      <c r="V39" s="26">
        <f>'TUSD BE'!$V$39*'TUSD BE'!$V$58</f>
        <v>-1.9188600550180377</v>
      </c>
      <c r="W39" s="26">
        <f>'TUSD BE'!$W$39*'TUSD BE'!$W$58</f>
        <v>0</v>
      </c>
      <c r="X39" s="26">
        <f>'TUSD BE'!$X$39*'TUSD BE'!$X$58</f>
        <v>0</v>
      </c>
      <c r="Y39" s="26">
        <f>'TUSD BE'!$Y$39*'TUSD BE'!$Y$58</f>
        <v>0.98751716945576495</v>
      </c>
      <c r="Z39" s="26">
        <f>'TUSD BE'!$Z$39*'TUSD BE'!$Z$58</f>
        <v>0</v>
      </c>
      <c r="AA39" s="26">
        <f>'TUSD BE'!$AA$39*'TUSD BE'!$AA$58</f>
        <v>0</v>
      </c>
      <c r="AB39" s="26">
        <f>SUM($U$39:$AA$39)</f>
        <v>-3.3625659506376562</v>
      </c>
      <c r="AC39" s="26">
        <f>'TUSD BE'!$AC$39*'TUSD BE'!$AC$58</f>
        <v>-133.49337951113617</v>
      </c>
      <c r="AD39" s="26">
        <f>SUM($AC$39:$AC$39)</f>
        <v>-133.49337951113617</v>
      </c>
      <c r="AE39" s="26">
        <f ca="1">$AO$39*$AO$55</f>
        <v>0</v>
      </c>
      <c r="AF39" s="26">
        <f ca="1">$AP$39*$AP$55</f>
        <v>0</v>
      </c>
      <c r="AG39" s="26">
        <f ca="1">SUM($AE$39:$AF$39)</f>
        <v>0</v>
      </c>
      <c r="AH39" s="26">
        <f>'TUSD BE'!$AH$39*'TUSD BE'!$AH$58</f>
        <v>2.5154713227588466</v>
      </c>
      <c r="AI39" s="26">
        <f>'TUSD BE'!$AI$39*'TUSD BE'!$AI$58</f>
        <v>1.9266057790781135E-2</v>
      </c>
      <c r="AJ39" s="26">
        <f ca="1">'TUSD BE'!$AJ$39*'TUSD BE'!$AJ$58</f>
        <v>0</v>
      </c>
      <c r="AK39" s="26">
        <f ca="1">'TUSD BE'!$AK$39*'TUSD BE'!$AK$58</f>
        <v>0</v>
      </c>
      <c r="AL39" s="26">
        <f ca="1">SUM($AH$39:$AK$39)</f>
        <v>2.5347373805496276</v>
      </c>
      <c r="AM39" s="26">
        <f ca="1">SUMIF($L$4:$AL$4,"SUBTOTAL",$L$39:$AL$39)</f>
        <v>-132.1414905949247</v>
      </c>
      <c r="AO39" s="50">
        <f ca="1">+'TUSD BE'!$T$39+'TUSD BE'!$AB$39+'TUSD BE'!$AD$39+'TUSD BE'!$AL$39</f>
        <v>578.67430238018267</v>
      </c>
      <c r="AP39" s="50">
        <f ca="1">+'TUSD BE'!$T$39+'TUSD BE'!$AB$39+'TUSD BE'!$AD$39+'TUSD BE'!$AL$39</f>
        <v>578.67430238018267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44" t="s">
        <v>78</v>
      </c>
      <c r="H40" s="44" t="s">
        <v>76</v>
      </c>
      <c r="I40" s="44">
        <f>'MERCADO TUSD'!$U$37</f>
        <v>0</v>
      </c>
      <c r="J40" s="18"/>
      <c r="L40" s="26">
        <f>'TUSD BE'!$L$40*'TUSD BE'!$L$58</f>
        <v>0</v>
      </c>
      <c r="M40" s="26">
        <f>'TUSD BE'!$M$40*'TUSD BE'!$M$58</f>
        <v>1.978386450741107E-2</v>
      </c>
      <c r="N40" s="26">
        <f ca="1">'TUSD BE'!$N$40*'TUSD BE'!$N$58</f>
        <v>0</v>
      </c>
      <c r="O40" s="26">
        <f>'TUSD BE'!$O$40*'TUSD BE'!$O$58</f>
        <v>0</v>
      </c>
      <c r="P40" s="26">
        <f>'TUSD BE'!$P$40*'TUSD BE'!$P$58</f>
        <v>0</v>
      </c>
      <c r="Q40" s="26">
        <f>'TUSD BE'!$Q$40*'TUSD BE'!$Q$58</f>
        <v>1.8606900679626373</v>
      </c>
      <c r="R40" s="26">
        <f>'TUSD BE'!$R$40*'TUSD BE'!$R$58</f>
        <v>0.29924355382946505</v>
      </c>
      <c r="S40" s="26">
        <f>'TUSD BE'!$R$40*'TUSD BE'!$S$58</f>
        <v>0</v>
      </c>
      <c r="T40" s="26">
        <f ca="1">SUM($L$40:$S$40)</f>
        <v>2.1797174862995132</v>
      </c>
      <c r="U40" s="26">
        <f>'TUSD BE'!$U$40*'TUSD BE'!$U$58</f>
        <v>-0.810407688358461</v>
      </c>
      <c r="V40" s="26">
        <f>'TUSD BE'!$V$40*'TUSD BE'!$V$58</f>
        <v>-0.63961764466413018</v>
      </c>
      <c r="W40" s="26">
        <f>'TUSD BE'!$W$40*'TUSD BE'!$W$58</f>
        <v>0</v>
      </c>
      <c r="X40" s="26">
        <f>'TUSD BE'!$X$40*'TUSD BE'!$X$58</f>
        <v>0</v>
      </c>
      <c r="Y40" s="26">
        <f>'TUSD BE'!$Y$40*'TUSD BE'!$Y$58</f>
        <v>0.32917238981858832</v>
      </c>
      <c r="Z40" s="26">
        <f>'TUSD BE'!$Z$40*'TUSD BE'!$Z$58</f>
        <v>0</v>
      </c>
      <c r="AA40" s="26">
        <f>'TUSD BE'!$AA$40*'TUSD BE'!$AA$58</f>
        <v>0</v>
      </c>
      <c r="AB40" s="26">
        <f>SUM($U$40:$AA$40)</f>
        <v>-1.1208529432040029</v>
      </c>
      <c r="AC40" s="26">
        <f>'TUSD BE'!$AC$40*'TUSD BE'!$AC$58</f>
        <v>-44.497793170378728</v>
      </c>
      <c r="AD40" s="26">
        <f>SUM($AC$40:$AC$40)</f>
        <v>-44.497793170378728</v>
      </c>
      <c r="AE40" s="26">
        <f ca="1">$AO$40*$AO$55</f>
        <v>0</v>
      </c>
      <c r="AF40" s="26">
        <f ca="1">$AP$40*$AP$55</f>
        <v>0</v>
      </c>
      <c r="AG40" s="26">
        <f ca="1">SUM($AE$40:$AF$40)</f>
        <v>0</v>
      </c>
      <c r="AH40" s="26">
        <f>'TUSD BE'!$AH$40*'TUSD BE'!$AH$58</f>
        <v>2.5154713227588466</v>
      </c>
      <c r="AI40" s="26">
        <f>'TUSD BE'!$AI$40*'TUSD BE'!$AI$58</f>
        <v>1.9266057790781135E-2</v>
      </c>
      <c r="AJ40" s="26">
        <f ca="1">'TUSD BE'!$AJ$40*'TUSD BE'!$AJ$58</f>
        <v>0</v>
      </c>
      <c r="AK40" s="26">
        <f ca="1">'TUSD BE'!$AK$40*'TUSD BE'!$AK$58</f>
        <v>0</v>
      </c>
      <c r="AL40" s="26">
        <f ca="1">SUM($AH$40:$AK$40)</f>
        <v>2.5347373805496276</v>
      </c>
      <c r="AM40" s="26">
        <f ca="1">SUMIF($L$4:$AL$4,"SUBTOTAL",$L$40:$AL$40)</f>
        <v>-40.904191246733589</v>
      </c>
      <c r="AO40" s="50">
        <f ca="1">+'TUSD BE'!$T$40+'TUSD BE'!$AB$40+'TUSD BE'!$AD$40+'TUSD BE'!$AL$40</f>
        <v>273.48293211795982</v>
      </c>
      <c r="AP40" s="50">
        <f ca="1">+'TUSD BE'!$T$40+'TUSD BE'!$AB$40+'TUSD BE'!$AD$40+'TUSD BE'!$AL$40</f>
        <v>273.48293211795982</v>
      </c>
    </row>
    <row r="41" spans="1:42" ht="11.25" customHeight="1" x14ac:dyDescent="0.25">
      <c r="A41" s="131"/>
      <c r="B41" s="48" t="s">
        <v>23</v>
      </c>
      <c r="C41" s="48" t="s">
        <v>44</v>
      </c>
      <c r="D41" s="48" t="s">
        <v>93</v>
      </c>
      <c r="E41" s="48" t="s">
        <v>25</v>
      </c>
      <c r="F41" s="48" t="s">
        <v>25</v>
      </c>
      <c r="G41" s="44" t="s">
        <v>82</v>
      </c>
      <c r="H41" s="44" t="s">
        <v>76</v>
      </c>
      <c r="I41" s="44">
        <f>'MERCADO TUSD'!$U$38</f>
        <v>0</v>
      </c>
      <c r="J41" s="18"/>
      <c r="L41" s="26">
        <f>'TUSD BE'!$L$41*'TUSD BE'!$L$58</f>
        <v>0</v>
      </c>
      <c r="M41" s="26">
        <f>'TUSD BE'!$M$41*'TUSD BE'!$M$58</f>
        <v>1.978386450741107E-2</v>
      </c>
      <c r="N41" s="26">
        <f ca="1">'TUSD BE'!$N$41*'TUSD BE'!$N$58</f>
        <v>0</v>
      </c>
      <c r="O41" s="26">
        <f>'TUSD BE'!$O$41*'TUSD BE'!$O$58</f>
        <v>0</v>
      </c>
      <c r="P41" s="26">
        <f>'TUSD BE'!$P$41*'TUSD BE'!$P$58</f>
        <v>0</v>
      </c>
      <c r="Q41" s="26">
        <f>'TUSD BE'!$Q$41*'TUSD BE'!$Q$58</f>
        <v>1.8606900679626373</v>
      </c>
      <c r="R41" s="26">
        <f>'TUSD BE'!$R$41*'TUSD BE'!$R$58</f>
        <v>0.29924355382946505</v>
      </c>
      <c r="S41" s="26">
        <f>'TUSD BE'!$R$41*'TUSD BE'!$S$58</f>
        <v>0</v>
      </c>
      <c r="T41" s="26">
        <f ca="1">SUM($L$41:$S$41)</f>
        <v>2.1797174862995132</v>
      </c>
      <c r="U41" s="26">
        <f>'TUSD BE'!$U$41*'TUSD BE'!$U$58</f>
        <v>-1.4734676858801106</v>
      </c>
      <c r="V41" s="26">
        <f>'TUSD BE'!$V$41*'TUSD BE'!$V$58</f>
        <v>-1.1629560615338626</v>
      </c>
      <c r="W41" s="26">
        <f>'TUSD BE'!$W$41*'TUSD BE'!$W$58</f>
        <v>0</v>
      </c>
      <c r="X41" s="26">
        <f>'TUSD BE'!$X$41*'TUSD BE'!$X$58</f>
        <v>0</v>
      </c>
      <c r="Y41" s="26">
        <f>'TUSD BE'!$Y$41*'TUSD BE'!$Y$58</f>
        <v>0.59849472188860797</v>
      </c>
      <c r="Z41" s="26">
        <f>'TUSD BE'!$Z$41*'TUSD BE'!$Z$58</f>
        <v>0</v>
      </c>
      <c r="AA41" s="26">
        <f>'TUSD BE'!$AA$41*'TUSD BE'!$AA$58</f>
        <v>0</v>
      </c>
      <c r="AB41" s="26">
        <f>SUM($U$41:$AA$41)</f>
        <v>-2.037929025525365</v>
      </c>
      <c r="AC41" s="26">
        <f>'TUSD BE'!$AC$41*'TUSD BE'!$AC$58</f>
        <v>-80.905027272051242</v>
      </c>
      <c r="AD41" s="26">
        <f>SUM($AC$41:$AC$41)</f>
        <v>-80.905027272051242</v>
      </c>
      <c r="AE41" s="26">
        <f ca="1">$AO$41*$AO$55</f>
        <v>0</v>
      </c>
      <c r="AF41" s="26">
        <f ca="1">$AP$41*$AP$55</f>
        <v>0</v>
      </c>
      <c r="AG41" s="26">
        <f ca="1">SUM($AE$41:$AF$41)</f>
        <v>0</v>
      </c>
      <c r="AH41" s="26">
        <f>'TUSD BE'!$AH$41*'TUSD BE'!$AH$58</f>
        <v>2.5154713227588466</v>
      </c>
      <c r="AI41" s="26">
        <f>'TUSD BE'!$AI$41*'TUSD BE'!$AI$58</f>
        <v>1.9266057790781135E-2</v>
      </c>
      <c r="AJ41" s="26">
        <f ca="1">'TUSD BE'!$AJ$41*'TUSD BE'!$AJ$58</f>
        <v>0</v>
      </c>
      <c r="AK41" s="26">
        <f ca="1">'TUSD BE'!$AK$41*'TUSD BE'!$AK$58</f>
        <v>0</v>
      </c>
      <c r="AL41" s="26">
        <f ca="1">SUM($AH$41:$AK$41)</f>
        <v>2.5347373805496276</v>
      </c>
      <c r="AM41" s="26">
        <f ca="1">SUMIF($L$4:$AL$4,"SUBTOTAL",$L$41:$AL$41)</f>
        <v>-78.228501430727462</v>
      </c>
      <c r="AO41" s="50">
        <f ca="1">+'TUSD BE'!$T$41+'TUSD BE'!$AB$41+'TUSD BE'!$AD$41+'TUSD BE'!$AL$41</f>
        <v>398.33390532713378</v>
      </c>
      <c r="AP41" s="50">
        <f ca="1">+'TUSD BE'!$T$41+'TUSD BE'!$AB$41+'TUSD BE'!$AD$41+'TUSD BE'!$AL$41</f>
        <v>398.33390532713378</v>
      </c>
    </row>
    <row r="42" spans="1:42" ht="11.25" customHeight="1" x14ac:dyDescent="0.25">
      <c r="A42" s="131"/>
      <c r="B42" s="131" t="s">
        <v>91</v>
      </c>
      <c r="C42" s="131" t="s">
        <v>44</v>
      </c>
      <c r="D42" s="48" t="s">
        <v>25</v>
      </c>
      <c r="E42" s="48" t="s">
        <v>25</v>
      </c>
      <c r="F42" s="48" t="s">
        <v>25</v>
      </c>
      <c r="G42" s="44" t="s">
        <v>82</v>
      </c>
      <c r="H42" s="44" t="s">
        <v>76</v>
      </c>
      <c r="I42" s="44">
        <f>'MERCADO TUSD'!$U$39</f>
        <v>0</v>
      </c>
      <c r="J42" s="18"/>
      <c r="L42" s="26">
        <f>'TUSD BE'!$L$42*'TUSD BE'!$L$58</f>
        <v>0</v>
      </c>
      <c r="M42" s="26">
        <f>'TUSD BE'!$M$42*'TUSD BE'!$M$58</f>
        <v>1.978386450741107E-2</v>
      </c>
      <c r="N42" s="26">
        <f ca="1">'TUSD BE'!$N$42*'TUSD BE'!$N$58</f>
        <v>0</v>
      </c>
      <c r="O42" s="26">
        <f>'TUSD BE'!$O$42*'TUSD BE'!$O$58</f>
        <v>0</v>
      </c>
      <c r="P42" s="26">
        <f>'TUSD BE'!$P$42*'TUSD BE'!$P$58</f>
        <v>0</v>
      </c>
      <c r="Q42" s="26">
        <f>'TUSD BE'!$Q$42*'TUSD BE'!$Q$58</f>
        <v>1.8606900679626373</v>
      </c>
      <c r="R42" s="26">
        <f>'TUSD BE'!$R$42*'TUSD BE'!$R$58</f>
        <v>0.29924355382946505</v>
      </c>
      <c r="S42" s="26">
        <f>'TUSD BE'!$R$42*'TUSD BE'!$S$58</f>
        <v>0</v>
      </c>
      <c r="T42" s="26">
        <f ca="1">SUM($L$42:$S$42)</f>
        <v>2.1797174862995132</v>
      </c>
      <c r="U42" s="26">
        <f>'TUSD BE'!$U$42*'TUSD BE'!$U$58</f>
        <v>-1.4734676858801106</v>
      </c>
      <c r="V42" s="26">
        <f>'TUSD BE'!$V$42*'TUSD BE'!$V$58</f>
        <v>-1.1629560615338626</v>
      </c>
      <c r="W42" s="26">
        <f>'TUSD BE'!$W$42*'TUSD BE'!$W$58</f>
        <v>0</v>
      </c>
      <c r="X42" s="26">
        <f>'TUSD BE'!$X$42*'TUSD BE'!$X$58</f>
        <v>0</v>
      </c>
      <c r="Y42" s="26">
        <f>'TUSD BE'!$Y$42*'TUSD BE'!$Y$58</f>
        <v>0.59849472188860797</v>
      </c>
      <c r="Z42" s="26">
        <f>'TUSD BE'!$Z$42*'TUSD BE'!$Z$58</f>
        <v>0</v>
      </c>
      <c r="AA42" s="26">
        <f>'TUSD BE'!$AA$42*'TUSD BE'!$AA$58</f>
        <v>0</v>
      </c>
      <c r="AB42" s="26">
        <f>SUM($U$42:$AA$42)</f>
        <v>-2.037929025525365</v>
      </c>
      <c r="AC42" s="26">
        <f>'TUSD BE'!$AC$42*'TUSD BE'!$AC$58</f>
        <v>-80.905027272051242</v>
      </c>
      <c r="AD42" s="26">
        <f>SUM($AC$42:$AC$42)</f>
        <v>-80.905027272051242</v>
      </c>
      <c r="AE42" s="26">
        <f ca="1">$AO$42*$AO$55</f>
        <v>0</v>
      </c>
      <c r="AF42" s="26">
        <f ca="1">$AP$42*$AP$55</f>
        <v>0</v>
      </c>
      <c r="AG42" s="26">
        <f ca="1">SUM($AE$42:$AF$42)</f>
        <v>0</v>
      </c>
      <c r="AH42" s="26">
        <f>'TUSD BE'!$AH$42*'TUSD BE'!$AH$58</f>
        <v>2.5154713227588466</v>
      </c>
      <c r="AI42" s="26">
        <f>'TUSD BE'!$AI$42*'TUSD BE'!$AI$58</f>
        <v>1.9266057790781135E-2</v>
      </c>
      <c r="AJ42" s="26">
        <f ca="1">'TUSD BE'!$AJ$42*'TUSD BE'!$AJ$58</f>
        <v>0</v>
      </c>
      <c r="AK42" s="26">
        <f ca="1">'TUSD BE'!$AK$42*'TUSD BE'!$AK$58</f>
        <v>0</v>
      </c>
      <c r="AL42" s="26">
        <f ca="1">SUM($AH$42:$AK$42)</f>
        <v>2.5347373805496276</v>
      </c>
      <c r="AM42" s="26">
        <f ca="1">SUMIF($L$4:$AL$4,"SUBTOTAL",$L$42:$AL$42)</f>
        <v>-78.228501430727462</v>
      </c>
      <c r="AO42" s="50">
        <f ca="1">+'TUSD BE'!$T$42+'TUSD BE'!$AB$42+'TUSD BE'!$AD$42+'TUSD BE'!$AL$42</f>
        <v>398.33390532713378</v>
      </c>
      <c r="AP42" s="50">
        <f ca="1">+'TUSD BE'!$T$42+'TUSD BE'!$AB$42+'TUSD BE'!$AD$42+'TUSD BE'!$AL$42</f>
        <v>398.33390532713378</v>
      </c>
    </row>
    <row r="43" spans="1:42" ht="11.25" customHeight="1" x14ac:dyDescent="0.25">
      <c r="A43" s="131"/>
      <c r="B43" s="131"/>
      <c r="C43" s="131"/>
      <c r="D43" s="48" t="s">
        <v>92</v>
      </c>
      <c r="E43" s="48" t="s">
        <v>25</v>
      </c>
      <c r="F43" s="48" t="s">
        <v>25</v>
      </c>
      <c r="G43" s="44" t="s">
        <v>82</v>
      </c>
      <c r="H43" s="44" t="s">
        <v>76</v>
      </c>
      <c r="I43" s="44">
        <f>'MERCADO TUSD'!$U$40</f>
        <v>0</v>
      </c>
      <c r="J43" s="18"/>
      <c r="L43" s="26">
        <f>'TUSD BE'!$L$43*'TUSD BE'!$L$58</f>
        <v>0</v>
      </c>
      <c r="M43" s="26">
        <f>'TUSD BE'!$M$43*'TUSD BE'!$M$58</f>
        <v>1.978386450741107E-2</v>
      </c>
      <c r="N43" s="26">
        <f ca="1">'TUSD BE'!$N$43*'TUSD BE'!$N$58</f>
        <v>0</v>
      </c>
      <c r="O43" s="26">
        <f>'TUSD BE'!$O$43*'TUSD BE'!$O$58</f>
        <v>0</v>
      </c>
      <c r="P43" s="26">
        <f>'TUSD BE'!$P$43*'TUSD BE'!$P$58</f>
        <v>0</v>
      </c>
      <c r="Q43" s="26">
        <f>'TUSD BE'!$Q$43*'TUSD BE'!$Q$58</f>
        <v>1.8606900679626373</v>
      </c>
      <c r="R43" s="26">
        <f>'TUSD BE'!$R$43*'TUSD BE'!$R$58</f>
        <v>0.29924355382946505</v>
      </c>
      <c r="S43" s="26">
        <f>'TUSD BE'!$R$43*'TUSD BE'!$S$58</f>
        <v>0</v>
      </c>
      <c r="T43" s="26">
        <f ca="1">SUM($L$43:$S$43)</f>
        <v>2.1797174862995132</v>
      </c>
      <c r="U43" s="26">
        <f>'TUSD BE'!$U$43*'TUSD BE'!$U$58</f>
        <v>-1.4734676858801106</v>
      </c>
      <c r="V43" s="26">
        <f>'TUSD BE'!$V$43*'TUSD BE'!$V$58</f>
        <v>-1.1629560615338626</v>
      </c>
      <c r="W43" s="26">
        <f>'TUSD BE'!$W$43*'TUSD BE'!$W$58</f>
        <v>0</v>
      </c>
      <c r="X43" s="26">
        <f>'TUSD BE'!$X$43*'TUSD BE'!$X$58</f>
        <v>0</v>
      </c>
      <c r="Y43" s="26">
        <f>'TUSD BE'!$Y$43*'TUSD BE'!$Y$58</f>
        <v>0.59849472188860797</v>
      </c>
      <c r="Z43" s="26">
        <f>'TUSD BE'!$Z$43*'TUSD BE'!$Z$58</f>
        <v>0</v>
      </c>
      <c r="AA43" s="26">
        <f>'TUSD BE'!$AA$43*'TUSD BE'!$AA$58</f>
        <v>0</v>
      </c>
      <c r="AB43" s="26">
        <f>SUM($U$43:$AA$43)</f>
        <v>-2.037929025525365</v>
      </c>
      <c r="AC43" s="26">
        <f>'TUSD BE'!$AC$43*'TUSD BE'!$AC$58</f>
        <v>-80.905027272051242</v>
      </c>
      <c r="AD43" s="26">
        <f>SUM($AC$43:$AC$43)</f>
        <v>-80.905027272051242</v>
      </c>
      <c r="AE43" s="26">
        <f ca="1">$AO$43*$AO$55</f>
        <v>0</v>
      </c>
      <c r="AF43" s="26">
        <f ca="1">$AP$43*$AP$55</f>
        <v>0</v>
      </c>
      <c r="AG43" s="26">
        <f ca="1">SUM($AE$43:$AF$43)</f>
        <v>0</v>
      </c>
      <c r="AH43" s="26">
        <f>'TUSD BE'!$AH$43*'TUSD BE'!$AH$58</f>
        <v>2.5154713227588466</v>
      </c>
      <c r="AI43" s="26">
        <f>'TUSD BE'!$AI$43*'TUSD BE'!$AI$58</f>
        <v>1.9266057790781135E-2</v>
      </c>
      <c r="AJ43" s="26">
        <f ca="1">'TUSD BE'!$AJ$43*'TUSD BE'!$AJ$58</f>
        <v>0</v>
      </c>
      <c r="AK43" s="26">
        <f ca="1">'TUSD BE'!$AK$43*'TUSD BE'!$AK$58</f>
        <v>0</v>
      </c>
      <c r="AL43" s="26">
        <f ca="1">SUM($AH$43:$AK$43)</f>
        <v>2.5347373805496276</v>
      </c>
      <c r="AM43" s="26">
        <f ca="1">SUMIF($L$4:$AL$4,"SUBTOTAL",$L$43:$AL$43)</f>
        <v>-78.228501430727462</v>
      </c>
      <c r="AO43" s="50">
        <f ca="1">+'TUSD BE'!$T$43+'TUSD BE'!$AB$43+'TUSD BE'!$AD$43+'TUSD BE'!$AL$43</f>
        <v>398.33390532713378</v>
      </c>
      <c r="AP43" s="50">
        <f ca="1">+'TUSD BE'!$T$43+'TUSD BE'!$AB$43+'TUSD BE'!$AD$43+'TUSD BE'!$AL$43</f>
        <v>398.33390532713378</v>
      </c>
    </row>
    <row r="44" spans="1:42" ht="11.25" customHeight="1" x14ac:dyDescent="0.25">
      <c r="A44" s="131"/>
      <c r="B44" s="131"/>
      <c r="C44" s="131"/>
      <c r="D44" s="48" t="s">
        <v>93</v>
      </c>
      <c r="E44" s="48" t="s">
        <v>25</v>
      </c>
      <c r="F44" s="48" t="s">
        <v>25</v>
      </c>
      <c r="G44" s="44" t="s">
        <v>82</v>
      </c>
      <c r="H44" s="44" t="s">
        <v>76</v>
      </c>
      <c r="I44" s="44">
        <f>'MERCADO TUSD'!$U$41</f>
        <v>0</v>
      </c>
      <c r="J44" s="18"/>
      <c r="L44" s="26">
        <f>'TUSD BE'!$L$44*'TUSD BE'!$L$58</f>
        <v>0</v>
      </c>
      <c r="M44" s="26">
        <f>'TUSD BE'!$M$44*'TUSD BE'!$M$58</f>
        <v>1.978386450741107E-2</v>
      </c>
      <c r="N44" s="26">
        <f ca="1">'TUSD BE'!$N$44*'TUSD BE'!$N$58</f>
        <v>0</v>
      </c>
      <c r="O44" s="26">
        <f>'TUSD BE'!$O$44*'TUSD BE'!$O$58</f>
        <v>0</v>
      </c>
      <c r="P44" s="26">
        <f>'TUSD BE'!$P$44*'TUSD BE'!$P$58</f>
        <v>0</v>
      </c>
      <c r="Q44" s="26">
        <f>'TUSD BE'!$Q$44*'TUSD BE'!$Q$58</f>
        <v>1.8606900679626373</v>
      </c>
      <c r="R44" s="26">
        <f>'TUSD BE'!$R$44*'TUSD BE'!$R$58</f>
        <v>0.29924355382946505</v>
      </c>
      <c r="S44" s="26">
        <f>'TUSD BE'!$R$44*'TUSD BE'!$S$58</f>
        <v>0</v>
      </c>
      <c r="T44" s="26">
        <f ca="1">SUM($L$44:$S$44)</f>
        <v>2.1797174862995132</v>
      </c>
      <c r="U44" s="26">
        <f>'TUSD BE'!$U$44*'TUSD BE'!$U$58</f>
        <v>-1.4734676858801106</v>
      </c>
      <c r="V44" s="26">
        <f>'TUSD BE'!$V$44*'TUSD BE'!$V$58</f>
        <v>-1.1629560615338626</v>
      </c>
      <c r="W44" s="26">
        <f>'TUSD BE'!$W$44*'TUSD BE'!$W$58</f>
        <v>0</v>
      </c>
      <c r="X44" s="26">
        <f>'TUSD BE'!$X$44*'TUSD BE'!$X$58</f>
        <v>0</v>
      </c>
      <c r="Y44" s="26">
        <f>'TUSD BE'!$Y$44*'TUSD BE'!$Y$58</f>
        <v>0.59849472188860797</v>
      </c>
      <c r="Z44" s="26">
        <f>'TUSD BE'!$Z$44*'TUSD BE'!$Z$58</f>
        <v>0</v>
      </c>
      <c r="AA44" s="26">
        <f>'TUSD BE'!$AA$44*'TUSD BE'!$AA$58</f>
        <v>0</v>
      </c>
      <c r="AB44" s="26">
        <f>SUM($U$44:$AA$44)</f>
        <v>-2.037929025525365</v>
      </c>
      <c r="AC44" s="26">
        <f>'TUSD BE'!$AC$44*'TUSD BE'!$AC$58</f>
        <v>-80.905027272051242</v>
      </c>
      <c r="AD44" s="26">
        <f>SUM($AC$44:$AC$44)</f>
        <v>-80.905027272051242</v>
      </c>
      <c r="AE44" s="26">
        <f ca="1">$AO$44*$AO$55</f>
        <v>0</v>
      </c>
      <c r="AF44" s="26">
        <f ca="1">$AP$44*$AP$55</f>
        <v>0</v>
      </c>
      <c r="AG44" s="26">
        <f ca="1">SUM($AE$44:$AF$44)</f>
        <v>0</v>
      </c>
      <c r="AH44" s="26">
        <f>'TUSD BE'!$AH$44*'TUSD BE'!$AH$58</f>
        <v>2.5154713227588466</v>
      </c>
      <c r="AI44" s="26">
        <f>'TUSD BE'!$AI$44*'TUSD BE'!$AI$58</f>
        <v>1.9266057790781135E-2</v>
      </c>
      <c r="AJ44" s="26">
        <f ca="1">'TUSD BE'!$AJ$44*'TUSD BE'!$AJ$58</f>
        <v>0</v>
      </c>
      <c r="AK44" s="26">
        <f ca="1">'TUSD BE'!$AK$44*'TUSD BE'!$AK$58</f>
        <v>0</v>
      </c>
      <c r="AL44" s="26">
        <f ca="1">SUM($AH$44:$AK$44)</f>
        <v>2.5347373805496276</v>
      </c>
      <c r="AM44" s="26">
        <f ca="1">SUMIF($L$4:$AL$4,"SUBTOTAL",$L$44:$AL$44)</f>
        <v>-78.228501430727462</v>
      </c>
      <c r="AO44" s="50">
        <f ca="1">+'TUSD BE'!$T$44+'TUSD BE'!$AB$44+'TUSD BE'!$AD$44+'TUSD BE'!$AL$44</f>
        <v>398.33390532713378</v>
      </c>
      <c r="AP44" s="50">
        <f ca="1">+'TUSD BE'!$T$44+'TUSD BE'!$AB$44+'TUSD BE'!$AD$44+'TUSD BE'!$AL$44</f>
        <v>398.33390532713378</v>
      </c>
    </row>
    <row r="45" spans="1:42" ht="11.25" customHeight="1" x14ac:dyDescent="0.25">
      <c r="A45" s="131" t="s">
        <v>39</v>
      </c>
      <c r="B45" s="131" t="s">
        <v>37</v>
      </c>
      <c r="C45" s="131" t="s">
        <v>25</v>
      </c>
      <c r="D45" s="131" t="s">
        <v>25</v>
      </c>
      <c r="E45" s="131" t="s">
        <v>25</v>
      </c>
      <c r="F45" s="131" t="s">
        <v>25</v>
      </c>
      <c r="G45" s="44" t="s">
        <v>77</v>
      </c>
      <c r="H45" s="44" t="s">
        <v>76</v>
      </c>
      <c r="I45" s="44">
        <f>'MERCADO TUSD'!$U$42</f>
        <v>0.80500000000000171</v>
      </c>
      <c r="J45" s="18"/>
      <c r="L45" s="26">
        <f>'TUSD BE'!$L$45*'TUSD BE'!$L$58</f>
        <v>0</v>
      </c>
      <c r="M45" s="26">
        <f>'TUSD BE'!$M$45*'TUSD BE'!$M$58</f>
        <v>1.978386450741107E-2</v>
      </c>
      <c r="N45" s="26">
        <f ca="1">'TUSD BE'!$N$45*'TUSD BE'!$N$58</f>
        <v>0</v>
      </c>
      <c r="O45" s="26">
        <f>'TUSD BE'!$O$45*'TUSD BE'!$O$58</f>
        <v>0</v>
      </c>
      <c r="P45" s="26">
        <f>'TUSD BE'!$P$45*'TUSD BE'!$P$58</f>
        <v>0</v>
      </c>
      <c r="Q45" s="26">
        <f>'TUSD BE'!$Q$45*'TUSD BE'!$Q$58</f>
        <v>1.8606900679626373</v>
      </c>
      <c r="R45" s="26">
        <f>'TUSD BE'!$R$45*'TUSD BE'!$R$58</f>
        <v>0.29924355382946505</v>
      </c>
      <c r="S45" s="26">
        <f>'TUSD BE'!$R$45*'TUSD BE'!$S$58</f>
        <v>0</v>
      </c>
      <c r="T45" s="26">
        <f ca="1">SUM($L$45:$S$45)</f>
        <v>2.1797174862995132</v>
      </c>
      <c r="U45" s="26">
        <f>'TUSD BE'!$U$45*'TUSD BE'!$U$58</f>
        <v>-4.5677323035011357</v>
      </c>
      <c r="V45" s="26">
        <f>'TUSD BE'!$V$45*'TUSD BE'!$V$58</f>
        <v>-3.6051474123959855</v>
      </c>
      <c r="W45" s="26">
        <f>'TUSD BE'!$W$45*'TUSD BE'!$W$58</f>
        <v>0</v>
      </c>
      <c r="X45" s="26">
        <f>'TUSD BE'!$X$45*'TUSD BE'!$X$58</f>
        <v>0</v>
      </c>
      <c r="Y45" s="26">
        <f>'TUSD BE'!$Y$45*'TUSD BE'!$Y$58</f>
        <v>1.8553342234143926</v>
      </c>
      <c r="Z45" s="26">
        <f>'TUSD BE'!$Z$45*'TUSD BE'!$Z$58</f>
        <v>0</v>
      </c>
      <c r="AA45" s="26">
        <f>'TUSD BE'!$AA$45*'TUSD BE'!$AA$58</f>
        <v>0</v>
      </c>
      <c r="AB45" s="26">
        <f>SUM($U$45:$AA$45)</f>
        <v>-6.3175454924827283</v>
      </c>
      <c r="AC45" s="26">
        <f>'TUSD BE'!$AC$45*'TUSD BE'!$AC$58</f>
        <v>-250.805761616648</v>
      </c>
      <c r="AD45" s="26">
        <f>SUM($AC$45:$AC$45)</f>
        <v>-250.805761616648</v>
      </c>
      <c r="AE45" s="26">
        <f ca="1">$AO$45*$AO$55</f>
        <v>0</v>
      </c>
      <c r="AF45" s="26">
        <f ca="1">$AP$45*$AP$55</f>
        <v>0</v>
      </c>
      <c r="AG45" s="26">
        <f ca="1">SUM($AE$45:$AF$45)</f>
        <v>0</v>
      </c>
      <c r="AH45" s="26">
        <f>'TUSD BE'!$AH$45*'TUSD BE'!$AH$58</f>
        <v>2.5154713227588466</v>
      </c>
      <c r="AI45" s="26">
        <f>'TUSD BE'!$AI$45*'TUSD BE'!$AI$58</f>
        <v>1.9266057790781135E-2</v>
      </c>
      <c r="AJ45" s="26">
        <f ca="1">'TUSD BE'!$AJ$45*'TUSD BE'!$AJ$58</f>
        <v>0</v>
      </c>
      <c r="AK45" s="26">
        <f ca="1">'TUSD BE'!$AK$45*'TUSD BE'!$AK$58</f>
        <v>0</v>
      </c>
      <c r="AL45" s="26">
        <f ca="1">SUM($AH$45:$AK$45)</f>
        <v>2.5347373805496276</v>
      </c>
      <c r="AM45" s="26">
        <f ca="1">SUMIF($L$4:$AL$4,"SUBTOTAL",$L$45:$AL$45)</f>
        <v>-252.4088522422816</v>
      </c>
      <c r="AO45" s="50">
        <f ca="1">+'TUSD BE'!$T$45+'TUSD BE'!$AB$45+'TUSD BE'!$AD$45+'TUSD BE'!$AL$45</f>
        <v>980.97195913467351</v>
      </c>
      <c r="AP45" s="50">
        <f ca="1">+'TUSD BE'!$T$45+'TUSD BE'!$AB$45+'TUSD BE'!$AD$45+'TUSD BE'!$AL$45</f>
        <v>980.97195913467351</v>
      </c>
    </row>
    <row r="46" spans="1:42" ht="11.25" customHeight="1" x14ac:dyDescent="0.25">
      <c r="A46" s="131"/>
      <c r="B46" s="131"/>
      <c r="C46" s="131"/>
      <c r="D46" s="131"/>
      <c r="E46" s="131"/>
      <c r="F46" s="131"/>
      <c r="G46" s="44" t="s">
        <v>88</v>
      </c>
      <c r="H46" s="44" t="s">
        <v>76</v>
      </c>
      <c r="I46" s="44">
        <f>'MERCADO TUSD'!$U$43</f>
        <v>1.23</v>
      </c>
      <c r="J46" s="18"/>
      <c r="L46" s="26">
        <f>'TUSD BE'!$L$46*'TUSD BE'!$L$58</f>
        <v>0</v>
      </c>
      <c r="M46" s="26">
        <f>'TUSD BE'!$M$46*'TUSD BE'!$M$58</f>
        <v>1.978386450741107E-2</v>
      </c>
      <c r="N46" s="26">
        <f ca="1">'TUSD BE'!$N$46*'TUSD BE'!$N$58</f>
        <v>0</v>
      </c>
      <c r="O46" s="26">
        <f>'TUSD BE'!$O$46*'TUSD BE'!$O$58</f>
        <v>0</v>
      </c>
      <c r="P46" s="26">
        <f>'TUSD BE'!$P$46*'TUSD BE'!$P$58</f>
        <v>0</v>
      </c>
      <c r="Q46" s="26">
        <f>'TUSD BE'!$Q$46*'TUSD BE'!$Q$58</f>
        <v>1.8606900679626373</v>
      </c>
      <c r="R46" s="26">
        <f>'TUSD BE'!$R$46*'TUSD BE'!$R$58</f>
        <v>0.29924355382946505</v>
      </c>
      <c r="S46" s="26">
        <f>'TUSD BE'!$R$46*'TUSD BE'!$S$58</f>
        <v>0</v>
      </c>
      <c r="T46" s="26">
        <f ca="1">SUM($L$46:$S$46)</f>
        <v>2.1797174862995132</v>
      </c>
      <c r="U46" s="26">
        <f>'TUSD BE'!$U$46*'TUSD BE'!$U$58</f>
        <v>-2.7406467600910842</v>
      </c>
      <c r="V46" s="26">
        <f>'TUSD BE'!$V$46*'TUSD BE'!$V$58</f>
        <v>-2.1630756295914262</v>
      </c>
      <c r="W46" s="26">
        <f>'TUSD BE'!$W$46*'TUSD BE'!$W$58</f>
        <v>0</v>
      </c>
      <c r="X46" s="26">
        <f>'TUSD BE'!$X$46*'TUSD BE'!$X$58</f>
        <v>0</v>
      </c>
      <c r="Y46" s="26">
        <f>'TUSD BE'!$Y$46*'TUSD BE'!$Y$58</f>
        <v>1.1132017051680514</v>
      </c>
      <c r="Z46" s="26">
        <f>'TUSD BE'!$Z$46*'TUSD BE'!$Z$58</f>
        <v>0</v>
      </c>
      <c r="AA46" s="26">
        <f>'TUSD BE'!$AA$46*'TUSD BE'!$AA$58</f>
        <v>0</v>
      </c>
      <c r="AB46" s="26">
        <f>SUM($U$46:$AA$46)</f>
        <v>-3.7905206845144592</v>
      </c>
      <c r="AC46" s="26">
        <f>'TUSD BE'!$AC$46*'TUSD BE'!$AC$58</f>
        <v>-150.48340062848771</v>
      </c>
      <c r="AD46" s="26">
        <f>SUM($AC$46:$AC$46)</f>
        <v>-150.48340062848771</v>
      </c>
      <c r="AE46" s="26">
        <f ca="1">$AO$46*$AO$55</f>
        <v>0</v>
      </c>
      <c r="AF46" s="26">
        <f ca="1">$AP$46*$AP$55</f>
        <v>0</v>
      </c>
      <c r="AG46" s="26">
        <f ca="1">SUM($AE$46:$AF$46)</f>
        <v>0</v>
      </c>
      <c r="AH46" s="26">
        <f>'TUSD BE'!$AH$46*'TUSD BE'!$AH$58</f>
        <v>2.5154713227588466</v>
      </c>
      <c r="AI46" s="26">
        <f>'TUSD BE'!$AI$46*'TUSD BE'!$AI$58</f>
        <v>1.9266057790781135E-2</v>
      </c>
      <c r="AJ46" s="26">
        <f ca="1">'TUSD BE'!$AJ$46*'TUSD BE'!$AJ$58</f>
        <v>0</v>
      </c>
      <c r="AK46" s="26">
        <f ca="1">'TUSD BE'!$AK$46*'TUSD BE'!$AK$58</f>
        <v>0</v>
      </c>
      <c r="AL46" s="26">
        <f ca="1">SUM($AH$46:$AK$46)</f>
        <v>2.5347373805496276</v>
      </c>
      <c r="AM46" s="26">
        <f ca="1">SUMIF($L$4:$AL$4,"SUBTOTAL",$L$46:$AL$46)</f>
        <v>-149.55946644615304</v>
      </c>
      <c r="AO46" s="50">
        <f ca="1">+'TUSD BE'!$T$46+'TUSD BE'!$AB$46+'TUSD BE'!$AD$46+'TUSD BE'!$AL$46</f>
        <v>636.93791106099889</v>
      </c>
      <c r="AP46" s="50">
        <f ca="1">+'TUSD BE'!$T$46+'TUSD BE'!$AB$46+'TUSD BE'!$AD$46+'TUSD BE'!$AL$46</f>
        <v>636.93791106099889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44" t="s">
        <v>78</v>
      </c>
      <c r="H47" s="44" t="s">
        <v>76</v>
      </c>
      <c r="I47" s="44">
        <f>'MERCADO TUSD'!$U$44</f>
        <v>18.96</v>
      </c>
      <c r="J47" s="18"/>
      <c r="L47" s="26">
        <f>'TUSD BE'!$L$47*'TUSD BE'!$L$58</f>
        <v>0</v>
      </c>
      <c r="M47" s="26">
        <f>'TUSD BE'!$M$47*'TUSD BE'!$M$58</f>
        <v>1.978386450741107E-2</v>
      </c>
      <c r="N47" s="26">
        <f ca="1">'TUSD BE'!$N$47*'TUSD BE'!$N$58</f>
        <v>0</v>
      </c>
      <c r="O47" s="26">
        <f>'TUSD BE'!$O$47*'TUSD BE'!$O$58</f>
        <v>0</v>
      </c>
      <c r="P47" s="26">
        <f>'TUSD BE'!$P$47*'TUSD BE'!$P$58</f>
        <v>0</v>
      </c>
      <c r="Q47" s="26">
        <f>'TUSD BE'!$Q$47*'TUSD BE'!$Q$58</f>
        <v>1.8606900679626373</v>
      </c>
      <c r="R47" s="26">
        <f>'TUSD BE'!$R$47*'TUSD BE'!$R$58</f>
        <v>0.29924355382946505</v>
      </c>
      <c r="S47" s="26">
        <f>'TUSD BE'!$R$47*'TUSD BE'!$S$58</f>
        <v>0</v>
      </c>
      <c r="T47" s="26">
        <f ca="1">SUM($L$47:$S$47)</f>
        <v>2.1797174862995132</v>
      </c>
      <c r="U47" s="26">
        <f>'TUSD BE'!$U$47*'TUSD BE'!$U$58</f>
        <v>-0.91354277170502551</v>
      </c>
      <c r="V47" s="26">
        <f>'TUSD BE'!$V$47*'TUSD BE'!$V$58</f>
        <v>-0.72101096781251417</v>
      </c>
      <c r="W47" s="26">
        <f>'TUSD BE'!$W$47*'TUSD BE'!$W$58</f>
        <v>0</v>
      </c>
      <c r="X47" s="26">
        <f>'TUSD BE'!$X$47*'TUSD BE'!$X$58</f>
        <v>0</v>
      </c>
      <c r="Y47" s="26">
        <f>'TUSD BE'!$Y$47*'TUSD BE'!$Y$58</f>
        <v>0.37106918692171031</v>
      </c>
      <c r="Z47" s="26">
        <f>'TUSD BE'!$Z$47*'TUSD BE'!$Z$58</f>
        <v>0</v>
      </c>
      <c r="AA47" s="26">
        <f>'TUSD BE'!$AA$47*'TUSD BE'!$AA$58</f>
        <v>0</v>
      </c>
      <c r="AB47" s="26">
        <f>SUM($U$47:$AA$47)</f>
        <v>-1.2634845525958291</v>
      </c>
      <c r="AC47" s="26">
        <f>'TUSD BE'!$AC$47*'TUSD BE'!$AC$58</f>
        <v>-50.16112012818612</v>
      </c>
      <c r="AD47" s="26">
        <f>SUM($AC$47:$AC$47)</f>
        <v>-50.16112012818612</v>
      </c>
      <c r="AE47" s="26">
        <f ca="1">$AO$47*$AO$55</f>
        <v>0</v>
      </c>
      <c r="AF47" s="26">
        <f ca="1">$AP$47*$AP$55</f>
        <v>0</v>
      </c>
      <c r="AG47" s="26">
        <f ca="1">SUM($AE$47:$AF$47)</f>
        <v>0</v>
      </c>
      <c r="AH47" s="26">
        <f>'TUSD BE'!$AH$47*'TUSD BE'!$AH$58</f>
        <v>2.5154713227588466</v>
      </c>
      <c r="AI47" s="26">
        <f>'TUSD BE'!$AI$47*'TUSD BE'!$AI$58</f>
        <v>1.9266057790781135E-2</v>
      </c>
      <c r="AJ47" s="26">
        <f ca="1">'TUSD BE'!$AJ$47*'TUSD BE'!$AJ$58</f>
        <v>0</v>
      </c>
      <c r="AK47" s="26">
        <f ca="1">'TUSD BE'!$AK$47*'TUSD BE'!$AK$58</f>
        <v>0</v>
      </c>
      <c r="AL47" s="26">
        <f ca="1">SUM($AH$47:$AK$47)</f>
        <v>2.5347373805496276</v>
      </c>
      <c r="AM47" s="26">
        <f ca="1">SUMIF($L$4:$AL$4,"SUBTOTAL",$L$47:$AL$47)</f>
        <v>-46.710149813932809</v>
      </c>
      <c r="AO47" s="50">
        <f ca="1">+'TUSD BE'!$T$47+'TUSD BE'!$AB$47+'TUSD BE'!$AD$47+'TUSD BE'!$AL$47</f>
        <v>292.90396759265792</v>
      </c>
      <c r="AP47" s="50">
        <f ca="1">+'TUSD BE'!$T$47+'TUSD BE'!$AB$47+'TUSD BE'!$AD$47+'TUSD BE'!$AL$47</f>
        <v>292.90396759265792</v>
      </c>
    </row>
    <row r="48" spans="1:42" ht="11.25" customHeight="1" x14ac:dyDescent="0.25">
      <c r="A48" s="131"/>
      <c r="B48" s="48" t="s">
        <v>23</v>
      </c>
      <c r="C48" s="48" t="s">
        <v>25</v>
      </c>
      <c r="D48" s="48" t="s">
        <v>25</v>
      </c>
      <c r="E48" s="48" t="s">
        <v>25</v>
      </c>
      <c r="F48" s="48" t="s">
        <v>25</v>
      </c>
      <c r="G48" s="44" t="s">
        <v>82</v>
      </c>
      <c r="H48" s="44" t="s">
        <v>76</v>
      </c>
      <c r="I48" s="44">
        <f>'MERCADO TUSD'!$U$45</f>
        <v>17010.552</v>
      </c>
      <c r="J48" s="18"/>
      <c r="L48" s="26">
        <f>'TUSD BE'!$L$48*'TUSD BE'!$L$58</f>
        <v>0</v>
      </c>
      <c r="M48" s="26">
        <f>'TUSD BE'!$M$48*'TUSD BE'!$M$58</f>
        <v>1.978386450741107E-2</v>
      </c>
      <c r="N48" s="26">
        <f ca="1">'TUSD BE'!$N$48*'TUSD BE'!$N$58</f>
        <v>0</v>
      </c>
      <c r="O48" s="26">
        <f>'TUSD BE'!$O$48*'TUSD BE'!$O$58</f>
        <v>0</v>
      </c>
      <c r="P48" s="26">
        <f>'TUSD BE'!$P$48*'TUSD BE'!$P$58</f>
        <v>0</v>
      </c>
      <c r="Q48" s="26">
        <f>'TUSD BE'!$Q$48*'TUSD BE'!$Q$58</f>
        <v>1.8606900679626373</v>
      </c>
      <c r="R48" s="26">
        <f>'TUSD BE'!$R$48*'TUSD BE'!$R$58</f>
        <v>0.29924355382946505</v>
      </c>
      <c r="S48" s="26">
        <f>'TUSD BE'!$R$48*'TUSD BE'!$S$58</f>
        <v>0</v>
      </c>
      <c r="T48" s="26">
        <f ca="1">SUM($L$48:$S$48)</f>
        <v>2.1797174862995132</v>
      </c>
      <c r="U48" s="26">
        <f>'TUSD BE'!$U$48*'TUSD BE'!$U$58</f>
        <v>-1.4734676858801106</v>
      </c>
      <c r="V48" s="26">
        <f>'TUSD BE'!$V$48*'TUSD BE'!$V$58</f>
        <v>-1.1629560615338626</v>
      </c>
      <c r="W48" s="26">
        <f>'TUSD BE'!$W$48*'TUSD BE'!$W$58</f>
        <v>0</v>
      </c>
      <c r="X48" s="26">
        <f>'TUSD BE'!$X$48*'TUSD BE'!$X$58</f>
        <v>0</v>
      </c>
      <c r="Y48" s="26">
        <f>'TUSD BE'!$Y$48*'TUSD BE'!$Y$58</f>
        <v>0.59849472188860797</v>
      </c>
      <c r="Z48" s="26">
        <f>'TUSD BE'!$Z$48*'TUSD BE'!$Z$58</f>
        <v>0</v>
      </c>
      <c r="AA48" s="26">
        <f>'TUSD BE'!$AA$48*'TUSD BE'!$AA$58</f>
        <v>0</v>
      </c>
      <c r="AB48" s="26">
        <f>SUM($U$48:$AA$48)</f>
        <v>-2.037929025525365</v>
      </c>
      <c r="AC48" s="26">
        <f>'TUSD BE'!$AC$48*'TUSD BE'!$AC$58</f>
        <v>-80.905027272051242</v>
      </c>
      <c r="AD48" s="26">
        <f>SUM($AC$48:$AC$48)</f>
        <v>-80.905027272051242</v>
      </c>
      <c r="AE48" s="26">
        <f ca="1">$AO$48*$AO$55</f>
        <v>0</v>
      </c>
      <c r="AF48" s="26">
        <f ca="1">$AP$48*$AP$55</f>
        <v>0</v>
      </c>
      <c r="AG48" s="26">
        <f ca="1">SUM($AE$48:$AF$48)</f>
        <v>0</v>
      </c>
      <c r="AH48" s="26">
        <f>'TUSD BE'!$AH$48*'TUSD BE'!$AH$58</f>
        <v>2.5154713227588466</v>
      </c>
      <c r="AI48" s="26">
        <f>'TUSD BE'!$AI$48*'TUSD BE'!$AI$58</f>
        <v>1.9266057790781135E-2</v>
      </c>
      <c r="AJ48" s="26">
        <f ca="1">'TUSD BE'!$AJ$48*'TUSD BE'!$AJ$58</f>
        <v>0</v>
      </c>
      <c r="AK48" s="26">
        <f ca="1">'TUSD BE'!$AK$48*'TUSD BE'!$AK$58</f>
        <v>0</v>
      </c>
      <c r="AL48" s="26">
        <f ca="1">SUM($AH$48:$AK$48)</f>
        <v>2.5347373805496276</v>
      </c>
      <c r="AM48" s="26">
        <f ca="1">SUMIF($L$4:$AL$4,"SUBTOTAL",$L$48:$AL$48)</f>
        <v>-78.228501430727462</v>
      </c>
      <c r="AO48" s="50">
        <f ca="1">+'TUSD BE'!$T$48+'TUSD BE'!$AB$48+'TUSD BE'!$AD$48+'TUSD BE'!$AL$48</f>
        <v>398.33390532713378</v>
      </c>
      <c r="AP48" s="50">
        <f ca="1">+'TUSD BE'!$T$48+'TUSD BE'!$AB$48+'TUSD BE'!$AD$48+'TUSD BE'!$AL$48</f>
        <v>398.33390532713378</v>
      </c>
    </row>
    <row r="49" spans="1:42" ht="11.25" customHeight="1" x14ac:dyDescent="0.25">
      <c r="A49" s="131"/>
      <c r="B49" s="48" t="s">
        <v>91</v>
      </c>
      <c r="C49" s="48" t="s">
        <v>25</v>
      </c>
      <c r="D49" s="48" t="s">
        <v>25</v>
      </c>
      <c r="E49" s="48" t="s">
        <v>25</v>
      </c>
      <c r="F49" s="48" t="s">
        <v>25</v>
      </c>
      <c r="G49" s="44" t="s">
        <v>82</v>
      </c>
      <c r="H49" s="44" t="s">
        <v>76</v>
      </c>
      <c r="I49" s="44">
        <f>'MERCADO TUSD'!$U$46</f>
        <v>0</v>
      </c>
      <c r="J49" s="18"/>
      <c r="L49" s="26">
        <f>'TUSD BE'!$L$49*'TUSD BE'!$L$58</f>
        <v>0</v>
      </c>
      <c r="M49" s="26">
        <f>'TUSD BE'!$M$49*'TUSD BE'!$M$58</f>
        <v>1.978386450741107E-2</v>
      </c>
      <c r="N49" s="26">
        <f ca="1">'TUSD BE'!$N$49*'TUSD BE'!$N$58</f>
        <v>0</v>
      </c>
      <c r="O49" s="26">
        <f>'TUSD BE'!$O$49*'TUSD BE'!$O$58</f>
        <v>0</v>
      </c>
      <c r="P49" s="26">
        <f>'TUSD BE'!$P$49*'TUSD BE'!$P$58</f>
        <v>0</v>
      </c>
      <c r="Q49" s="26">
        <f>'TUSD BE'!$Q$49*'TUSD BE'!$Q$58</f>
        <v>1.8606900679626373</v>
      </c>
      <c r="R49" s="26">
        <f>'TUSD BE'!$R$49*'TUSD BE'!$R$58</f>
        <v>0.29924355382946505</v>
      </c>
      <c r="S49" s="26">
        <f>'TUSD BE'!$R$49*'TUSD BE'!$S$58</f>
        <v>0</v>
      </c>
      <c r="T49" s="26">
        <f ca="1">SUM($L$49:$S$49)</f>
        <v>2.1797174862995132</v>
      </c>
      <c r="U49" s="26">
        <f>'TUSD BE'!$U$49*'TUSD BE'!$U$58</f>
        <v>-1.4734676858801106</v>
      </c>
      <c r="V49" s="26">
        <f>'TUSD BE'!$V$49*'TUSD BE'!$V$58</f>
        <v>-1.1629560615338626</v>
      </c>
      <c r="W49" s="26">
        <f>'TUSD BE'!$W$49*'TUSD BE'!$W$58</f>
        <v>0</v>
      </c>
      <c r="X49" s="26">
        <f>'TUSD BE'!$X$49*'TUSD BE'!$X$58</f>
        <v>0</v>
      </c>
      <c r="Y49" s="26">
        <f>'TUSD BE'!$Y$49*'TUSD BE'!$Y$58</f>
        <v>0.59849472188860797</v>
      </c>
      <c r="Z49" s="26">
        <f>'TUSD BE'!$Z$49*'TUSD BE'!$Z$58</f>
        <v>0</v>
      </c>
      <c r="AA49" s="26">
        <f>'TUSD BE'!$AA$49*'TUSD BE'!$AA$58</f>
        <v>0</v>
      </c>
      <c r="AB49" s="26">
        <f>SUM($U$49:$AA$49)</f>
        <v>-2.037929025525365</v>
      </c>
      <c r="AC49" s="26">
        <f>'TUSD BE'!$AC$49*'TUSD BE'!$AC$58</f>
        <v>-80.905027272051242</v>
      </c>
      <c r="AD49" s="26">
        <f>SUM($AC$49:$AC$49)</f>
        <v>-80.905027272051242</v>
      </c>
      <c r="AE49" s="26">
        <f ca="1">$AO$49*$AO$55</f>
        <v>0</v>
      </c>
      <c r="AF49" s="26">
        <f ca="1">$AP$49*$AP$55</f>
        <v>0</v>
      </c>
      <c r="AG49" s="26">
        <f ca="1">SUM($AE$49:$AF$49)</f>
        <v>0</v>
      </c>
      <c r="AH49" s="26">
        <f>'TUSD BE'!$AH$49*'TUSD BE'!$AH$58</f>
        <v>2.5154713227588466</v>
      </c>
      <c r="AI49" s="26">
        <f>'TUSD BE'!$AI$49*'TUSD BE'!$AI$58</f>
        <v>1.9266057790781135E-2</v>
      </c>
      <c r="AJ49" s="26">
        <f ca="1">'TUSD BE'!$AJ$49*'TUSD BE'!$AJ$58</f>
        <v>0</v>
      </c>
      <c r="AK49" s="26">
        <f ca="1">'TUSD BE'!$AK$49*'TUSD BE'!$AK$58</f>
        <v>0</v>
      </c>
      <c r="AL49" s="26">
        <f ca="1">SUM($AH$49:$AK$49)</f>
        <v>2.5347373805496276</v>
      </c>
      <c r="AM49" s="26">
        <f ca="1">SUMIF($L$4:$AL$4,"SUBTOTAL",$L$49:$AL$49)</f>
        <v>-78.228501430727462</v>
      </c>
      <c r="AO49" s="50">
        <f ca="1">+'TUSD BE'!$T$49+'TUSD BE'!$AB$49+'TUSD BE'!$AD$49+'TUSD BE'!$AL$49</f>
        <v>398.33390532713378</v>
      </c>
      <c r="AP49" s="50">
        <f ca="1">+'TUSD BE'!$T$49+'TUSD BE'!$AB$49+'TUSD BE'!$AD$49+'TUSD BE'!$AL$49</f>
        <v>398.33390532713378</v>
      </c>
    </row>
    <row r="50" spans="1:42" ht="11.25" customHeight="1" x14ac:dyDescent="0.25">
      <c r="A50" s="131" t="s">
        <v>46</v>
      </c>
      <c r="B50" s="131" t="s">
        <v>23</v>
      </c>
      <c r="C50" s="131" t="s">
        <v>47</v>
      </c>
      <c r="D50" s="48" t="s">
        <v>48</v>
      </c>
      <c r="E50" s="48" t="s">
        <v>25</v>
      </c>
      <c r="F50" s="48" t="s">
        <v>25</v>
      </c>
      <c r="G50" s="44" t="s">
        <v>82</v>
      </c>
      <c r="H50" s="44" t="s">
        <v>76</v>
      </c>
      <c r="I50" s="44">
        <f>'MERCADO TUSD'!$U$47</f>
        <v>3708.9960000000001</v>
      </c>
      <c r="J50" s="18"/>
      <c r="L50" s="26">
        <f>'TUSD BE'!$L$50*'TUSD BE'!$L$58</f>
        <v>0</v>
      </c>
      <c r="M50" s="26">
        <f>'TUSD BE'!$M$50*'TUSD BE'!$M$58</f>
        <v>1.088112547907609E-2</v>
      </c>
      <c r="N50" s="26">
        <f ca="1">'TUSD BE'!$N$50*'TUSD BE'!$N$58</f>
        <v>0</v>
      </c>
      <c r="O50" s="26">
        <f>'TUSD BE'!$O$50*'TUSD BE'!$O$58</f>
        <v>0</v>
      </c>
      <c r="P50" s="26">
        <f>'TUSD BE'!$P$50*'TUSD BE'!$P$58</f>
        <v>0</v>
      </c>
      <c r="Q50" s="26">
        <f>'TUSD BE'!$Q$50*'TUSD BE'!$Q$58</f>
        <v>1.0233795373794505</v>
      </c>
      <c r="R50" s="26">
        <f>'TUSD BE'!$R$50*'TUSD BE'!$R$58</f>
        <v>0.16458395460620578</v>
      </c>
      <c r="S50" s="26">
        <f>'TUSD BE'!$R$50*'TUSD BE'!$S$58</f>
        <v>0</v>
      </c>
      <c r="T50" s="26">
        <f ca="1">SUM($L$50:$S$50)</f>
        <v>1.1988446174647325</v>
      </c>
      <c r="U50" s="26">
        <f>'TUSD BE'!$U$50*'TUSD BE'!$U$58</f>
        <v>-0.81040722723406078</v>
      </c>
      <c r="V50" s="26">
        <f>'TUSD BE'!$V$50*'TUSD BE'!$V$58</f>
        <v>-0.63962583384362448</v>
      </c>
      <c r="W50" s="26">
        <f>'TUSD BE'!$W$50*'TUSD BE'!$W$58</f>
        <v>0</v>
      </c>
      <c r="X50" s="26">
        <f>'TUSD BE'!$X$50*'TUSD BE'!$X$58</f>
        <v>0</v>
      </c>
      <c r="Y50" s="26">
        <f>'TUSD BE'!$Y$50*'TUSD BE'!$Y$58</f>
        <v>0.3291720970387344</v>
      </c>
      <c r="Z50" s="26">
        <f>'TUSD BE'!$Z$50*'TUSD BE'!$Z$58</f>
        <v>0</v>
      </c>
      <c r="AA50" s="26">
        <f>'TUSD BE'!$AA$50*'TUSD BE'!$AA$58</f>
        <v>0</v>
      </c>
      <c r="AB50" s="26">
        <f>SUM($U$50:$AA$50)</f>
        <v>-1.1208609640389509</v>
      </c>
      <c r="AC50" s="26">
        <f>'TUSD BE'!$AC$50*'TUSD BE'!$AC$58</f>
        <v>-44.497764999628188</v>
      </c>
      <c r="AD50" s="26">
        <f>SUM($AC$50:$AC$50)</f>
        <v>-44.497764999628188</v>
      </c>
      <c r="AE50" s="26">
        <f ca="1">$AO$50*$AO$55</f>
        <v>0</v>
      </c>
      <c r="AF50" s="26">
        <f ca="1">$AP$50*$AP$55</f>
        <v>0</v>
      </c>
      <c r="AG50" s="26">
        <f ca="1">SUM($AE$50:$AF$50)</f>
        <v>0</v>
      </c>
      <c r="AH50" s="26">
        <f>'TUSD BE'!$AH$50*'TUSD BE'!$AH$58</f>
        <v>1.3835092275173659</v>
      </c>
      <c r="AI50" s="26">
        <f>'TUSD BE'!$AI$50*'TUSD BE'!$AI$58</f>
        <v>1.0596331784929625E-2</v>
      </c>
      <c r="AJ50" s="26">
        <f ca="1">'TUSD BE'!$AJ$50*'TUSD BE'!$AJ$58</f>
        <v>0</v>
      </c>
      <c r="AK50" s="26">
        <f ca="1">'TUSD BE'!$AK$50*'TUSD BE'!$AK$58</f>
        <v>0</v>
      </c>
      <c r="AL50" s="26">
        <f ca="1">SUM($AH$50:$AK$50)</f>
        <v>1.3941055593022955</v>
      </c>
      <c r="AM50" s="26">
        <f ca="1">SUMIF($L$4:$AL$4,"SUBTOTAL",$L$50:$AL$50)</f>
        <v>-43.025675786900109</v>
      </c>
      <c r="AO50" s="50">
        <f ca="1">+'TUSD BE'!$T$50+'TUSD BE'!$AB$50+'TUSD BE'!$AD$50+'TUSD BE'!$AL$50</f>
        <v>219.08364792992359</v>
      </c>
      <c r="AP50" s="50">
        <f ca="1">+'TUSD BE'!$T$50+'TUSD BE'!$AB$50+'TUSD BE'!$AD$50+'TUSD BE'!$AL$50</f>
        <v>219.08364792992359</v>
      </c>
    </row>
    <row r="51" spans="1:42" ht="11.25" customHeight="1" x14ac:dyDescent="0.25">
      <c r="A51" s="131"/>
      <c r="B51" s="131"/>
      <c r="C51" s="131"/>
      <c r="D51" s="44" t="s">
        <v>49</v>
      </c>
      <c r="E51" s="44" t="s">
        <v>25</v>
      </c>
      <c r="F51" s="44" t="s">
        <v>25</v>
      </c>
      <c r="G51" s="44" t="s">
        <v>82</v>
      </c>
      <c r="H51" s="44" t="s">
        <v>76</v>
      </c>
      <c r="I51" s="44">
        <f>'MERCADO TUSD'!$U$48</f>
        <v>336.95</v>
      </c>
      <c r="J51" s="18"/>
      <c r="L51" s="26">
        <f>'TUSD BE'!$L$51*'TUSD BE'!$L$58</f>
        <v>0</v>
      </c>
      <c r="M51" s="26">
        <f>'TUSD BE'!$M$51*'TUSD BE'!$M$58</f>
        <v>1.1870318704446641E-2</v>
      </c>
      <c r="N51" s="26">
        <f ca="1">'TUSD BE'!$N$51*'TUSD BE'!$N$58</f>
        <v>0</v>
      </c>
      <c r="O51" s="26">
        <f>'TUSD BE'!$O$51*'TUSD BE'!$O$58</f>
        <v>0</v>
      </c>
      <c r="P51" s="26">
        <f>'TUSD BE'!$P$51*'TUSD BE'!$P$58</f>
        <v>0</v>
      </c>
      <c r="Q51" s="26">
        <f>'TUSD BE'!$Q$51*'TUSD BE'!$Q$58</f>
        <v>1.1164140407775822</v>
      </c>
      <c r="R51" s="26">
        <f>'TUSD BE'!$R$51*'TUSD BE'!$R$58</f>
        <v>0.17954613229767902</v>
      </c>
      <c r="S51" s="26">
        <f>'TUSD BE'!$R$51*'TUSD BE'!$S$58</f>
        <v>0</v>
      </c>
      <c r="T51" s="26">
        <f ca="1">SUM($L$51:$S$51)</f>
        <v>1.3078304917797079</v>
      </c>
      <c r="U51" s="26">
        <f>'TUSD BE'!$U$51*'TUSD BE'!$U$58</f>
        <v>-0.88408061152806638</v>
      </c>
      <c r="V51" s="26">
        <f>'TUSD BE'!$V$51*'TUSD BE'!$V$58</f>
        <v>-0.69777363692031746</v>
      </c>
      <c r="W51" s="26">
        <f>'TUSD BE'!$W$51*'TUSD BE'!$W$58</f>
        <v>0</v>
      </c>
      <c r="X51" s="26">
        <f>'TUSD BE'!$X$51*'TUSD BE'!$X$58</f>
        <v>0</v>
      </c>
      <c r="Y51" s="26">
        <f>'TUSD BE'!$Y$51*'TUSD BE'!$Y$58</f>
        <v>0.35909683313316476</v>
      </c>
      <c r="Z51" s="26">
        <f>'TUSD BE'!$Z$51*'TUSD BE'!$Z$58</f>
        <v>0</v>
      </c>
      <c r="AA51" s="26">
        <f>'TUSD BE'!$AA$51*'TUSD BE'!$AA$58</f>
        <v>0</v>
      </c>
      <c r="AB51" s="26">
        <f>SUM($U$51:$AA$51)</f>
        <v>-1.2227574153152192</v>
      </c>
      <c r="AC51" s="26">
        <f>'TUSD BE'!$AC$51*'TUSD BE'!$AC$58</f>
        <v>-48.543016363230734</v>
      </c>
      <c r="AD51" s="26">
        <f>SUM($AC$51:$AC$51)</f>
        <v>-48.543016363230734</v>
      </c>
      <c r="AE51" s="26">
        <f ca="1">$AO$51*$AO$55</f>
        <v>0</v>
      </c>
      <c r="AF51" s="26">
        <f ca="1">$AP$51*$AP$55</f>
        <v>0</v>
      </c>
      <c r="AG51" s="26">
        <f ca="1">SUM($AE$51:$AF$51)</f>
        <v>0</v>
      </c>
      <c r="AH51" s="26">
        <f>'TUSD BE'!$AH$51*'TUSD BE'!$AH$58</f>
        <v>1.5092827936553079</v>
      </c>
      <c r="AI51" s="26">
        <f>'TUSD BE'!$AI$51*'TUSD BE'!$AI$58</f>
        <v>1.1559634674468681E-2</v>
      </c>
      <c r="AJ51" s="26">
        <f ca="1">'TUSD BE'!$AJ$51*'TUSD BE'!$AJ$58</f>
        <v>0</v>
      </c>
      <c r="AK51" s="26">
        <f ca="1">'TUSD BE'!$AK$51*'TUSD BE'!$AK$58</f>
        <v>0</v>
      </c>
      <c r="AL51" s="26">
        <f ca="1">SUM($AH$51:$AK$51)</f>
        <v>1.5208424283297766</v>
      </c>
      <c r="AM51" s="26">
        <f ca="1">SUMIF($L$4:$AL$4,"SUBTOTAL",$L$51:$AL$51)</f>
        <v>-46.937100858436466</v>
      </c>
      <c r="AO51" s="50">
        <f ca="1">+'TUSD BE'!$T$51+'TUSD BE'!$AB$51+'TUSD BE'!$AD$51+'TUSD BE'!$AL$51</f>
        <v>239.00034319628023</v>
      </c>
      <c r="AP51" s="50">
        <f ca="1">+'TUSD BE'!$T$51+'TUSD BE'!$AB$51+'TUSD BE'!$AD$51+'TUSD BE'!$AL$51</f>
        <v>239.00034319628023</v>
      </c>
    </row>
    <row r="53" spans="1:42" ht="11.25" customHeight="1" x14ac:dyDescent="0.25">
      <c r="K53" s="46" t="s">
        <v>726</v>
      </c>
      <c r="L53" s="26">
        <f>SUMPRODUCT($I$5:$I51,$L$5:$L51)</f>
        <v>0</v>
      </c>
      <c r="M53" s="26">
        <f>SUMPRODUCT($I$5:$I51,$M$5:$M51)</f>
        <v>2351.5564917225506</v>
      </c>
      <c r="N53" s="26">
        <f ca="1">SUMPRODUCT($I$5:$I51,$N$5:$N51)</f>
        <v>0</v>
      </c>
      <c r="O53" s="26">
        <f>SUMPRODUCT($I$5:$I51,$O$5:$O51)</f>
        <v>0</v>
      </c>
      <c r="P53" s="26">
        <f>SUMPRODUCT($I$5:$I51,$P$5:$P51)</f>
        <v>0</v>
      </c>
      <c r="Q53" s="26">
        <f>SUMPRODUCT($I$5:$I51,$Q$5:$Q51)</f>
        <v>285752.56803565455</v>
      </c>
      <c r="R53" s="26">
        <f>SUMPRODUCT($I$5:$I51,$R$5:$R51)</f>
        <v>50072.856508614517</v>
      </c>
      <c r="S53" s="26">
        <f>SUMPRODUCT($I$5:$I51,$S$5:$S51)</f>
        <v>0</v>
      </c>
      <c r="T53" s="26">
        <f ca="1">SUMPRODUCT($I$5:$I51,$T$5:$T51)</f>
        <v>338176.98103599157</v>
      </c>
      <c r="U53" s="26">
        <f>SUMPRODUCT($I$5:$I51,$U$5:$U51)</f>
        <v>-264180.63454462652</v>
      </c>
      <c r="V53" s="26">
        <f>SUMPRODUCT($I$5:$I51,$V$5:$V51)</f>
        <v>-208883.55419315016</v>
      </c>
      <c r="W53" s="26">
        <f>SUMPRODUCT($I$5:$I51,$W$5:$W51)</f>
        <v>0</v>
      </c>
      <c r="X53" s="26">
        <f>SUMPRODUCT($I$5:$I51,$X$5:$X51)</f>
        <v>0</v>
      </c>
      <c r="Y53" s="26">
        <f>SUMPRODUCT($I$5:$I51,$Y$5:$Y51)</f>
        <v>107304.24743100884</v>
      </c>
      <c r="Z53" s="26">
        <f>SUMPRODUCT($I$5:$I51,$Z$5:$Z51)</f>
        <v>0</v>
      </c>
      <c r="AA53" s="26">
        <f>SUMPRODUCT($I$5:$I51,$AA$5:$AA51)</f>
        <v>0</v>
      </c>
      <c r="AB53" s="26">
        <f>SUMPRODUCT($I$5:$I51,$AB$5:$AB51)</f>
        <v>-365759.94130676775</v>
      </c>
      <c r="AC53" s="26">
        <f>SUMPRODUCT($I$5:$I51,$AC$5:$AC51)</f>
        <v>-9615460.4931933079</v>
      </c>
      <c r="AD53" s="26">
        <f>SUMPRODUCT($I$5:$I51,$AD$5:$AD51)</f>
        <v>-9615460.4931933079</v>
      </c>
      <c r="AE53" s="26">
        <f ca="1">SUMPRODUCT($I$5:$I51,$AE$5:$AE51)</f>
        <v>0</v>
      </c>
      <c r="AF53" s="26">
        <f ca="1">SUMPRODUCT($I$5:$I51,$AF$5:$AF51)</f>
        <v>0</v>
      </c>
      <c r="AG53" s="26">
        <f ca="1">SUMPRODUCT($I$5:$I51,$AG$5:$AG51)</f>
        <v>0</v>
      </c>
      <c r="AH53" s="26">
        <f>SUMPRODUCT($I$5:$I51,$AH$5:$AH51)</f>
        <v>302956.989624632</v>
      </c>
      <c r="AI53" s="26">
        <f>SUMPRODUCT($I$5:$I51,$AI$5:$AI51)</f>
        <v>2320.35516263717</v>
      </c>
      <c r="AJ53" s="26">
        <f ca="1">SUMPRODUCT($I$5:$I51,$AJ$5:$AJ51)</f>
        <v>0</v>
      </c>
      <c r="AK53" s="26">
        <f ca="1">SUMPRODUCT($I$5:$I51,$AK$5:$AK51)</f>
        <v>0</v>
      </c>
      <c r="AL53" s="26">
        <f ca="1">SUMPRODUCT($I$5:$I51,$AL$5:$AL51)</f>
        <v>305277.34478726913</v>
      </c>
      <c r="AM53" s="26">
        <f ca="1">SUMPRODUCT($I$5:$I51,$AM$5:$AM51)</f>
        <v>-9337766.1086768154</v>
      </c>
      <c r="AO53" s="44">
        <f ca="1">SUMPRODUCT($I$5:$I51,$AO$5:$AO51)</f>
        <v>54151831.88351284</v>
      </c>
      <c r="AP53" s="44">
        <f ca="1">SUMPRODUCT($I$5:$I51,$AP$5:$AP51)</f>
        <v>54151831.88351284</v>
      </c>
    </row>
    <row r="54" spans="1:42" ht="11.25" customHeight="1" x14ac:dyDescent="0.25">
      <c r="K54" s="46" t="s">
        <v>658</v>
      </c>
      <c r="L54" s="26">
        <f>'TR TUSD'!$L$56</f>
        <v>0</v>
      </c>
      <c r="M54" s="26">
        <f>'TR TUSD'!$M$56</f>
        <v>137495.02281363407</v>
      </c>
      <c r="N54" s="26">
        <f>'TR TUSD'!$N$56</f>
        <v>0</v>
      </c>
      <c r="O54" s="26">
        <f>'TR TUSD'!$O$56</f>
        <v>0</v>
      </c>
      <c r="P54" s="26">
        <f>'TR TUSD'!$P$56</f>
        <v>0</v>
      </c>
      <c r="Q54" s="26">
        <f>'TR TUSD'!$Q$56</f>
        <v>13883474.528079998</v>
      </c>
      <c r="R54" s="26">
        <f>'TR TUSD'!$R$56</f>
        <v>2389881.4216200002</v>
      </c>
      <c r="S54" s="26">
        <f>'TR TUSD'!$S$56</f>
        <v>0</v>
      </c>
      <c r="T54" s="26">
        <f>'TR TUSD'!$T$56</f>
        <v>16410850.972513633</v>
      </c>
      <c r="U54" s="26">
        <f>'TR TUSD'!$U$56</f>
        <v>2865872</v>
      </c>
      <c r="V54" s="26">
        <f>'TR TUSD'!$V$56</f>
        <v>2266000.7999999998</v>
      </c>
      <c r="W54" s="26">
        <f>'TR TUSD'!$W$56</f>
        <v>0</v>
      </c>
      <c r="X54" s="26">
        <f>'TR TUSD'!$X$56</f>
        <v>0</v>
      </c>
      <c r="Y54" s="26">
        <f>'TR TUSD'!$Y$56</f>
        <v>3624914.5317399995</v>
      </c>
      <c r="Z54" s="26">
        <f>'TR TUSD'!$Z$56</f>
        <v>0</v>
      </c>
      <c r="AA54" s="26">
        <f>'TR TUSD'!$AA$56</f>
        <v>0</v>
      </c>
      <c r="AB54" s="26">
        <f>'TR TUSD'!$AB$56</f>
        <v>8756787.3317399994</v>
      </c>
      <c r="AC54" s="26">
        <f>'TR TUSD'!$AC$56</f>
        <v>27172167.598823659</v>
      </c>
      <c r="AD54" s="26">
        <f>'TR TUSD'!$AD$56</f>
        <v>27172167.598823659</v>
      </c>
      <c r="AE54" s="26">
        <f>'TR TUSD'!$AE$56</f>
        <v>0</v>
      </c>
      <c r="AF54" s="26">
        <f>'TR TUSD'!$AF$56</f>
        <v>0</v>
      </c>
      <c r="AG54" s="26">
        <f>'TR TUSD'!$AG$56</f>
        <v>0</v>
      </c>
      <c r="AH54" s="26">
        <f>'TR TUSD'!$AH$56</f>
        <v>1798253.1148419045</v>
      </c>
      <c r="AI54" s="26">
        <f>'TR TUSD'!$AI$56</f>
        <v>13772.865593633205</v>
      </c>
      <c r="AJ54" s="26">
        <f>'TR TUSD'!$AJ$56</f>
        <v>0</v>
      </c>
      <c r="AK54" s="26">
        <f>'TR TUSD'!$AK$56</f>
        <v>0</v>
      </c>
      <c r="AL54" s="26">
        <f>'TR TUSD'!$AL$56</f>
        <v>1812025.9804355376</v>
      </c>
      <c r="AM54" s="26">
        <f>'TUSD BE'!$AM$54</f>
        <v>54151831.883512825</v>
      </c>
      <c r="AO54" s="44">
        <f>$AE$55</f>
        <v>0</v>
      </c>
      <c r="AP54" s="44">
        <f>$AF$55</f>
        <v>0</v>
      </c>
    </row>
    <row r="55" spans="1:42" ht="11.25" customHeight="1" x14ac:dyDescent="0.25">
      <c r="K55" s="46" t="s">
        <v>659</v>
      </c>
      <c r="L55" s="26">
        <f>CUSTOS!$E$2</f>
        <v>0</v>
      </c>
      <c r="M55" s="26">
        <f>CUSTOS!$E$3</f>
        <v>2351.5564917225506</v>
      </c>
      <c r="N55" s="26">
        <f>CUSTOS!$E$4</f>
        <v>0</v>
      </c>
      <c r="O55" s="26">
        <f>CUSTOS!$E$5</f>
        <v>0</v>
      </c>
      <c r="P55" s="26">
        <f>CUSTOS!$E$6</f>
        <v>0</v>
      </c>
      <c r="Q55" s="26">
        <f>CUSTOS!$E$7</f>
        <v>285752.56803565449</v>
      </c>
      <c r="R55" s="26">
        <f>CUSTOS!$E$8</f>
        <v>50072.856508614503</v>
      </c>
      <c r="S55" s="26">
        <f>CUSTOS!$E$9</f>
        <v>0</v>
      </c>
      <c r="T55" s="26">
        <f>CUSTOS!$E$10</f>
        <v>338176.98103599151</v>
      </c>
      <c r="U55" s="26">
        <f>CUSTOS!$E$11</f>
        <v>-264180.63454462652</v>
      </c>
      <c r="V55" s="26">
        <f>CUSTOS!$E$12</f>
        <v>-208883.55419315005</v>
      </c>
      <c r="W55" s="26">
        <f>CUSTOS!$E$13</f>
        <v>0</v>
      </c>
      <c r="X55" s="26">
        <f>CUSTOS!$E$14</f>
        <v>0</v>
      </c>
      <c r="Y55" s="26">
        <f>CUSTOS!$E$15</f>
        <v>107304.24743100881</v>
      </c>
      <c r="Z55" s="26">
        <f>CUSTOS!$E$16</f>
        <v>0</v>
      </c>
      <c r="AA55" s="26">
        <f>CUSTOS!$E$17</f>
        <v>0</v>
      </c>
      <c r="AB55" s="26">
        <f>CUSTOS!$E$18</f>
        <v>-365759.94130676775</v>
      </c>
      <c r="AC55" s="26">
        <f>CUSTOS!$E$19</f>
        <v>-9615460.4931933079</v>
      </c>
      <c r="AD55" s="26">
        <f>CUSTOS!$E$20</f>
        <v>-9615460.4931933079</v>
      </c>
      <c r="AE55" s="26">
        <f>CUSTOS!$E$21</f>
        <v>0</v>
      </c>
      <c r="AF55" s="26">
        <f>CUSTOS!$E$22</f>
        <v>0</v>
      </c>
      <c r="AG55" s="26">
        <f>CUSTOS!$E$23</f>
        <v>0</v>
      </c>
      <c r="AH55" s="26">
        <f>CUSTOS!$E$24</f>
        <v>302956.989624632</v>
      </c>
      <c r="AI55" s="26">
        <f>CUSTOS!$E$25</f>
        <v>2320.3551626371705</v>
      </c>
      <c r="AJ55" s="26">
        <f>CUSTOS!$E$26</f>
        <v>0</v>
      </c>
      <c r="AK55" s="26">
        <f>CUSTOS!$E$27</f>
        <v>0</v>
      </c>
      <c r="AL55" s="26">
        <f>CUSTOS!$E$28</f>
        <v>305277.34478726919</v>
      </c>
      <c r="AM55" s="26">
        <f>CUSTOS!$E$29</f>
        <v>-9337766.1086768135</v>
      </c>
      <c r="AO55" s="44">
        <f ca="1">IF(AO53&lt;&gt;0,AO54/AO53,0)</f>
        <v>0</v>
      </c>
      <c r="AP55" s="44">
        <f ca="1">IF(AP53&lt;&gt;0,AP54/AP53,0)</f>
        <v>0</v>
      </c>
    </row>
    <row r="56" spans="1:42" ht="11.25" customHeight="1" x14ac:dyDescent="0.25">
      <c r="K56" s="46" t="s">
        <v>660</v>
      </c>
      <c r="L56" s="26">
        <f>CUSTOS!$F$2</f>
        <v>0</v>
      </c>
      <c r="M56" s="26">
        <f>CUSTOS!$F$3</f>
        <v>0</v>
      </c>
      <c r="N56" s="26">
        <f>CUSTOS!$F$4</f>
        <v>0</v>
      </c>
      <c r="O56" s="26">
        <f>CUSTOS!$F$5</f>
        <v>0</v>
      </c>
      <c r="P56" s="26">
        <f>CUSTOS!$F$6</f>
        <v>0</v>
      </c>
      <c r="Q56" s="26">
        <f>CUSTOS!$F$7</f>
        <v>0</v>
      </c>
      <c r="R56" s="26">
        <f>CUSTOS!$F$8</f>
        <v>0</v>
      </c>
      <c r="S56" s="26">
        <f>CUSTOS!$F$9</f>
        <v>0</v>
      </c>
      <c r="T56" s="26">
        <f>CUSTOS!$F$10</f>
        <v>0</v>
      </c>
      <c r="U56" s="26">
        <f>CUSTOS!$F$11</f>
        <v>0</v>
      </c>
      <c r="V56" s="26">
        <f>CUSTOS!$F$12</f>
        <v>0</v>
      </c>
      <c r="W56" s="26">
        <f>CUSTOS!$F$13</f>
        <v>0</v>
      </c>
      <c r="X56" s="26">
        <f>CUSTOS!$F$14</f>
        <v>0</v>
      </c>
      <c r="Y56" s="26">
        <f>CUSTOS!$F$15</f>
        <v>0</v>
      </c>
      <c r="Z56" s="26">
        <f>CUSTOS!$F$16</f>
        <v>0</v>
      </c>
      <c r="AA56" s="26">
        <f>CUSTOS!$F$17</f>
        <v>0</v>
      </c>
      <c r="AB56" s="26">
        <f>CUSTOS!$F$18</f>
        <v>0</v>
      </c>
      <c r="AC56" s="26">
        <f>CUSTOS!$F$19</f>
        <v>0</v>
      </c>
      <c r="AD56" s="26">
        <f>CUSTOS!$F$20</f>
        <v>0</v>
      </c>
      <c r="AE56" s="26">
        <f>CUSTOS!$F$21</f>
        <v>0</v>
      </c>
      <c r="AF56" s="26">
        <f>CUSTOS!$F$22</f>
        <v>0</v>
      </c>
      <c r="AG56" s="26">
        <f>CUSTOS!$F$23</f>
        <v>0</v>
      </c>
      <c r="AH56" s="26">
        <f>CUSTOS!$F$24</f>
        <v>0</v>
      </c>
      <c r="AI56" s="26">
        <f>CUSTOS!$F$25</f>
        <v>0</v>
      </c>
      <c r="AJ56" s="26">
        <f>CUSTOS!$F$26</f>
        <v>0</v>
      </c>
      <c r="AK56" s="26">
        <f>CUSTOS!$F$27</f>
        <v>0</v>
      </c>
      <c r="AL56" s="26">
        <f>CUSTOS!$F$28</f>
        <v>0</v>
      </c>
      <c r="AM56" s="26">
        <f>CUSTOS!$F$29</f>
        <v>0</v>
      </c>
    </row>
    <row r="57" spans="1:42" ht="11.25" customHeight="1" x14ac:dyDescent="0.25">
      <c r="K57" s="46" t="s">
        <v>723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f>SUM($L$57:$S$57)</f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f>SUM($U$57:$AA$57)</f>
        <v>0</v>
      </c>
      <c r="AC57" s="26">
        <v>0</v>
      </c>
      <c r="AD57" s="26">
        <f>SUM($AC$57:$AC$57)</f>
        <v>0</v>
      </c>
      <c r="AE57" s="26">
        <v>0</v>
      </c>
      <c r="AF57" s="26">
        <v>0</v>
      </c>
      <c r="AG57" s="26">
        <f>SUM($AE$57:$AF$57)</f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f>SUM($AH$57:$AK$57)</f>
        <v>0</v>
      </c>
      <c r="AM57" s="26"/>
    </row>
    <row r="58" spans="1:42" ht="11.25" customHeight="1" x14ac:dyDescent="0.25">
      <c r="K58" s="46" t="s">
        <v>729</v>
      </c>
      <c r="L58" s="26">
        <f t="shared" ref="L58:R58" si="0">IF((L54-(0))&lt;&gt;0,(L56)/(L54-(0)),0)</f>
        <v>0</v>
      </c>
      <c r="M58" s="26">
        <f t="shared" si="0"/>
        <v>0</v>
      </c>
      <c r="N58" s="26">
        <f t="shared" si="0"/>
        <v>0</v>
      </c>
      <c r="O58" s="26">
        <f t="shared" si="0"/>
        <v>0</v>
      </c>
      <c r="P58" s="26">
        <f t="shared" si="0"/>
        <v>0</v>
      </c>
      <c r="Q58" s="26">
        <f t="shared" si="0"/>
        <v>0</v>
      </c>
      <c r="R58" s="26">
        <f t="shared" si="0"/>
        <v>0</v>
      </c>
      <c r="S58" s="26">
        <f>IF((R53-(0)&lt;&gt;0),(S55)/(R53-(0)),0)</f>
        <v>0</v>
      </c>
      <c r="T58" s="26"/>
      <c r="U58" s="26">
        <f t="shared" ref="U58:AA58" si="1">IF((U54-(0))&lt;&gt;0,(U56)/(U54-(0)),0)</f>
        <v>0</v>
      </c>
      <c r="V58" s="26">
        <f t="shared" si="1"/>
        <v>0</v>
      </c>
      <c r="W58" s="26">
        <f t="shared" si="1"/>
        <v>0</v>
      </c>
      <c r="X58" s="26">
        <f t="shared" si="1"/>
        <v>0</v>
      </c>
      <c r="Y58" s="26">
        <f t="shared" si="1"/>
        <v>0</v>
      </c>
      <c r="Z58" s="26">
        <f t="shared" si="1"/>
        <v>0</v>
      </c>
      <c r="AA58" s="26">
        <f t="shared" si="1"/>
        <v>0</v>
      </c>
      <c r="AB58" s="26"/>
      <c r="AC58" s="26">
        <f>IF((AC54-(0))&lt;&gt;0,(AC56)/(AC54-(0)),0)</f>
        <v>0</v>
      </c>
      <c r="AD58" s="26"/>
      <c r="AE58" s="26">
        <f ca="1">IF(($AM53-(0))&lt;&gt;0,(AE55)/($AM53-(0)),0)</f>
        <v>0</v>
      </c>
      <c r="AF58" s="26">
        <f ca="1">IF(($AM53-(0))&lt;&gt;0,(AF55)/($AM53-(0)),0)</f>
        <v>0</v>
      </c>
      <c r="AG58" s="26"/>
      <c r="AH58" s="26">
        <f>IF((AH54-(0))&lt;&gt;0,(AH56)/(AH54-(0)),0)</f>
        <v>0</v>
      </c>
      <c r="AI58" s="26">
        <f>IF((AI54-(0))&lt;&gt;0,(AI56)/(AI54-(0)),0)</f>
        <v>0</v>
      </c>
      <c r="AJ58" s="26">
        <f>IF((AJ54-(0))&lt;&gt;0,(AJ56)/(AJ54-(0)),0)</f>
        <v>0</v>
      </c>
      <c r="AK58" s="26">
        <f>IF((AK54-(0))&lt;&gt;0,(AK56)/(AK54-(0)),0)</f>
        <v>0</v>
      </c>
      <c r="AL58" s="26"/>
      <c r="AM58" s="26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027" priority="55" operator="notEqual">
      <formula>$L$55</formula>
    </cfRule>
    <cfRule type="cellIs" dxfId="1026" priority="56" operator="equal">
      <formula>$L$55</formula>
    </cfRule>
  </conditionalFormatting>
  <conditionalFormatting sqref="M53">
    <cfRule type="cellIs" dxfId="1025" priority="53" operator="notEqual">
      <formula>$M$55</formula>
    </cfRule>
    <cfRule type="cellIs" dxfId="1024" priority="54" operator="equal">
      <formula>$M$55</formula>
    </cfRule>
  </conditionalFormatting>
  <conditionalFormatting sqref="N53">
    <cfRule type="cellIs" dxfId="1023" priority="51" operator="notEqual">
      <formula>$N$55</formula>
    </cfRule>
    <cfRule type="cellIs" dxfId="1022" priority="52" operator="equal">
      <formula>$N$55</formula>
    </cfRule>
  </conditionalFormatting>
  <conditionalFormatting sqref="O53">
    <cfRule type="cellIs" dxfId="1021" priority="49" operator="notEqual">
      <formula>$O$55</formula>
    </cfRule>
    <cfRule type="cellIs" dxfId="1020" priority="50" operator="equal">
      <formula>$O$55</formula>
    </cfRule>
  </conditionalFormatting>
  <conditionalFormatting sqref="P53">
    <cfRule type="cellIs" dxfId="1019" priority="47" operator="notEqual">
      <formula>$P$55</formula>
    </cfRule>
    <cfRule type="cellIs" dxfId="1018" priority="48" operator="equal">
      <formula>$P$55</formula>
    </cfRule>
  </conditionalFormatting>
  <conditionalFormatting sqref="Q53">
    <cfRule type="cellIs" dxfId="1017" priority="45" operator="notEqual">
      <formula>$Q$55</formula>
    </cfRule>
    <cfRule type="cellIs" dxfId="1016" priority="46" operator="equal">
      <formula>$Q$55</formula>
    </cfRule>
  </conditionalFormatting>
  <conditionalFormatting sqref="R53">
    <cfRule type="cellIs" dxfId="1015" priority="43" operator="notEqual">
      <formula>$R$55</formula>
    </cfRule>
    <cfRule type="cellIs" dxfId="1014" priority="44" operator="equal">
      <formula>$R$55</formula>
    </cfRule>
  </conditionalFormatting>
  <conditionalFormatting sqref="S53">
    <cfRule type="cellIs" dxfId="1013" priority="41" operator="notEqual">
      <formula>$S$55</formula>
    </cfRule>
    <cfRule type="cellIs" dxfId="1012" priority="42" operator="equal">
      <formula>$S$55</formula>
    </cfRule>
  </conditionalFormatting>
  <conditionalFormatting sqref="T53">
    <cfRule type="cellIs" dxfId="1011" priority="39" operator="notEqual">
      <formula>$T$55</formula>
    </cfRule>
    <cfRule type="cellIs" dxfId="1010" priority="40" operator="equal">
      <formula>$T$55</formula>
    </cfRule>
  </conditionalFormatting>
  <conditionalFormatting sqref="U53">
    <cfRule type="cellIs" dxfId="1009" priority="37" operator="notEqual">
      <formula>$U$55</formula>
    </cfRule>
    <cfRule type="cellIs" dxfId="1008" priority="38" operator="equal">
      <formula>$U$55</formula>
    </cfRule>
  </conditionalFormatting>
  <conditionalFormatting sqref="V53">
    <cfRule type="cellIs" dxfId="1007" priority="35" operator="notEqual">
      <formula>$V$55</formula>
    </cfRule>
    <cfRule type="cellIs" dxfId="1006" priority="36" operator="equal">
      <formula>$V$55</formula>
    </cfRule>
  </conditionalFormatting>
  <conditionalFormatting sqref="W53">
    <cfRule type="cellIs" dxfId="1005" priority="33" operator="notEqual">
      <formula>$W$55</formula>
    </cfRule>
    <cfRule type="cellIs" dxfId="1004" priority="34" operator="equal">
      <formula>$W$55</formula>
    </cfRule>
  </conditionalFormatting>
  <conditionalFormatting sqref="X53">
    <cfRule type="cellIs" dxfId="1003" priority="31" operator="notEqual">
      <formula>$X$55</formula>
    </cfRule>
    <cfRule type="cellIs" dxfId="1002" priority="32" operator="equal">
      <formula>$X$55</formula>
    </cfRule>
  </conditionalFormatting>
  <conditionalFormatting sqref="Y53">
    <cfRule type="cellIs" dxfId="1001" priority="29" operator="notEqual">
      <formula>$Y$55</formula>
    </cfRule>
    <cfRule type="cellIs" dxfId="1000" priority="30" operator="equal">
      <formula>$Y$55</formula>
    </cfRule>
  </conditionalFormatting>
  <conditionalFormatting sqref="Z53">
    <cfRule type="cellIs" dxfId="999" priority="27" operator="notEqual">
      <formula>$Z$55</formula>
    </cfRule>
    <cfRule type="cellIs" dxfId="998" priority="28" operator="equal">
      <formula>$Z$55</formula>
    </cfRule>
  </conditionalFormatting>
  <conditionalFormatting sqref="AA53">
    <cfRule type="cellIs" dxfId="997" priority="25" operator="notEqual">
      <formula>$AA$55</formula>
    </cfRule>
    <cfRule type="cellIs" dxfId="996" priority="26" operator="equal">
      <formula>$AA$55</formula>
    </cfRule>
  </conditionalFormatting>
  <conditionalFormatting sqref="AB53">
    <cfRule type="cellIs" dxfId="995" priority="23" operator="notEqual">
      <formula>$AB$55</formula>
    </cfRule>
    <cfRule type="cellIs" dxfId="994" priority="24" operator="equal">
      <formula>$AB$55</formula>
    </cfRule>
  </conditionalFormatting>
  <conditionalFormatting sqref="AC53">
    <cfRule type="cellIs" dxfId="993" priority="21" operator="notEqual">
      <formula>$AC$55</formula>
    </cfRule>
    <cfRule type="cellIs" dxfId="992" priority="22" operator="equal">
      <formula>$AC$55</formula>
    </cfRule>
  </conditionalFormatting>
  <conditionalFormatting sqref="AD53">
    <cfRule type="cellIs" dxfId="991" priority="19" operator="notEqual">
      <formula>$AD$55</formula>
    </cfRule>
    <cfRule type="cellIs" dxfId="990" priority="20" operator="equal">
      <formula>$AD$55</formula>
    </cfRule>
  </conditionalFormatting>
  <conditionalFormatting sqref="AE53">
    <cfRule type="cellIs" dxfId="989" priority="17" operator="notEqual">
      <formula>$AE$55</formula>
    </cfRule>
    <cfRule type="cellIs" dxfId="988" priority="18" operator="equal">
      <formula>$AE$55</formula>
    </cfRule>
  </conditionalFormatting>
  <conditionalFormatting sqref="AF53">
    <cfRule type="cellIs" dxfId="987" priority="16" operator="equal">
      <formula>$AF$55</formula>
    </cfRule>
  </conditionalFormatting>
  <conditionalFormatting sqref="AF53">
    <cfRule type="cellIs" dxfId="986" priority="15" operator="notEqual">
      <formula>$AF$55</formula>
    </cfRule>
  </conditionalFormatting>
  <conditionalFormatting sqref="AG53">
    <cfRule type="cellIs" dxfId="985" priority="14" operator="equal">
      <formula>$AG$55</formula>
    </cfRule>
  </conditionalFormatting>
  <conditionalFormatting sqref="AG53">
    <cfRule type="cellIs" dxfId="984" priority="13" operator="notEqual">
      <formula>$AG$55</formula>
    </cfRule>
  </conditionalFormatting>
  <conditionalFormatting sqref="AH53">
    <cfRule type="cellIs" dxfId="983" priority="12" operator="equal">
      <formula>$AH$55</formula>
    </cfRule>
  </conditionalFormatting>
  <conditionalFormatting sqref="AH53">
    <cfRule type="cellIs" dxfId="982" priority="11" operator="notEqual">
      <formula>$AH$55</formula>
    </cfRule>
  </conditionalFormatting>
  <conditionalFormatting sqref="AI53">
    <cfRule type="cellIs" dxfId="981" priority="10" operator="equal">
      <formula>$AI$55</formula>
    </cfRule>
  </conditionalFormatting>
  <conditionalFormatting sqref="AI53">
    <cfRule type="cellIs" dxfId="980" priority="9" operator="notEqual">
      <formula>$AI$55</formula>
    </cfRule>
  </conditionalFormatting>
  <conditionalFormatting sqref="AJ53">
    <cfRule type="cellIs" dxfId="979" priority="8" operator="equal">
      <formula>$AJ$55</formula>
    </cfRule>
  </conditionalFormatting>
  <conditionalFormatting sqref="AJ53">
    <cfRule type="cellIs" dxfId="978" priority="7" operator="notEqual">
      <formula>$AJ$55</formula>
    </cfRule>
  </conditionalFormatting>
  <conditionalFormatting sqref="AK53">
    <cfRule type="cellIs" dxfId="977" priority="6" operator="equal">
      <formula>$AK$55</formula>
    </cfRule>
  </conditionalFormatting>
  <conditionalFormatting sqref="AK53">
    <cfRule type="cellIs" dxfId="976" priority="5" operator="notEqual">
      <formula>$AK$55</formula>
    </cfRule>
  </conditionalFormatting>
  <conditionalFormatting sqref="AL53">
    <cfRule type="cellIs" dxfId="975" priority="4" operator="equal">
      <formula>$AL$55</formula>
    </cfRule>
  </conditionalFormatting>
  <conditionalFormatting sqref="AL53">
    <cfRule type="cellIs" dxfId="974" priority="3" operator="notEqual">
      <formula>$AL$55</formula>
    </cfRule>
  </conditionalFormatting>
  <conditionalFormatting sqref="AM53">
    <cfRule type="cellIs" dxfId="973" priority="2" operator="equal">
      <formula>$AM$55</formula>
    </cfRule>
  </conditionalFormatting>
  <conditionalFormatting sqref="AM53">
    <cfRule type="cellIs" dxfId="972" priority="1" operator="notEqual">
      <formula>$AM$55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60B23-7EB7-4A68-A1EC-B83E39B6DAA2}">
  <dimension ref="A1:AP57"/>
  <sheetViews>
    <sheetView showGridLines="0" topLeftCell="AB28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6" width="4.8554687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10" style="9" bestFit="1" customWidth="1"/>
    <col min="22" max="22" width="9.28515625" style="9" bestFit="1" customWidth="1"/>
    <col min="23" max="24" width="9.85546875" style="9" bestFit="1" customWidth="1"/>
    <col min="25" max="25" width="8.710937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.85546875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32" t="s">
        <v>66</v>
      </c>
      <c r="B1" s="132" t="s">
        <v>67</v>
      </c>
      <c r="C1" s="132" t="s">
        <v>68</v>
      </c>
      <c r="D1" s="132" t="s">
        <v>69</v>
      </c>
      <c r="E1" s="132" t="s">
        <v>70</v>
      </c>
      <c r="F1" s="132" t="s">
        <v>15</v>
      </c>
      <c r="G1" s="132" t="s">
        <v>72</v>
      </c>
      <c r="H1" s="132" t="s">
        <v>73</v>
      </c>
      <c r="I1" s="132" t="s">
        <v>717</v>
      </c>
      <c r="J1" s="126"/>
      <c r="L1" s="133" t="s">
        <v>731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O1" s="50"/>
      <c r="AP1" s="136" t="s">
        <v>719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6"/>
      <c r="L2" s="133" t="s">
        <v>617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O2" s="50"/>
      <c r="AP2" s="137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6"/>
      <c r="L3" s="133" t="s">
        <v>618</v>
      </c>
      <c r="M3" s="133"/>
      <c r="N3" s="133"/>
      <c r="O3" s="133"/>
      <c r="P3" s="133"/>
      <c r="Q3" s="133"/>
      <c r="R3" s="133"/>
      <c r="S3" s="133"/>
      <c r="T3" s="133"/>
      <c r="U3" s="133" t="s">
        <v>627</v>
      </c>
      <c r="V3" s="133"/>
      <c r="W3" s="133"/>
      <c r="X3" s="133"/>
      <c r="Y3" s="133"/>
      <c r="Z3" s="133"/>
      <c r="AA3" s="133"/>
      <c r="AB3" s="133"/>
      <c r="AC3" s="133" t="s">
        <v>635</v>
      </c>
      <c r="AD3" s="133"/>
      <c r="AE3" s="133" t="s">
        <v>637</v>
      </c>
      <c r="AF3" s="133"/>
      <c r="AG3" s="133"/>
      <c r="AH3" s="133" t="s">
        <v>640</v>
      </c>
      <c r="AI3" s="133"/>
      <c r="AJ3" s="133"/>
      <c r="AK3" s="133"/>
      <c r="AL3" s="133"/>
      <c r="AM3" s="133" t="s">
        <v>626</v>
      </c>
      <c r="AO3" s="50"/>
      <c r="AP3" s="137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6"/>
      <c r="L4" s="47" t="s">
        <v>702</v>
      </c>
      <c r="M4" s="47" t="s">
        <v>619</v>
      </c>
      <c r="N4" s="47" t="s">
        <v>620</v>
      </c>
      <c r="O4" s="47" t="s">
        <v>621</v>
      </c>
      <c r="P4" s="47" t="s">
        <v>622</v>
      </c>
      <c r="Q4" s="47" t="s">
        <v>623</v>
      </c>
      <c r="R4" s="47" t="s">
        <v>624</v>
      </c>
      <c r="S4" s="47" t="s">
        <v>625</v>
      </c>
      <c r="T4" s="47" t="s">
        <v>626</v>
      </c>
      <c r="U4" s="47" t="s">
        <v>628</v>
      </c>
      <c r="V4" s="47" t="s">
        <v>629</v>
      </c>
      <c r="W4" s="47" t="s">
        <v>630</v>
      </c>
      <c r="X4" s="47" t="s">
        <v>631</v>
      </c>
      <c r="Y4" s="47" t="s">
        <v>632</v>
      </c>
      <c r="Z4" s="47" t="s">
        <v>633</v>
      </c>
      <c r="AA4" s="47" t="s">
        <v>634</v>
      </c>
      <c r="AB4" s="47" t="s">
        <v>626</v>
      </c>
      <c r="AC4" s="47" t="s">
        <v>636</v>
      </c>
      <c r="AD4" s="47" t="s">
        <v>626</v>
      </c>
      <c r="AE4" s="47" t="s">
        <v>638</v>
      </c>
      <c r="AF4" s="47" t="s">
        <v>639</v>
      </c>
      <c r="AG4" s="47" t="s">
        <v>626</v>
      </c>
      <c r="AH4" s="47" t="s">
        <v>641</v>
      </c>
      <c r="AI4" s="47" t="s">
        <v>642</v>
      </c>
      <c r="AJ4" s="47" t="s">
        <v>643</v>
      </c>
      <c r="AK4" s="47" t="s">
        <v>644</v>
      </c>
      <c r="AL4" s="47" t="s">
        <v>626</v>
      </c>
      <c r="AM4" s="135"/>
      <c r="AO4" s="51" t="s">
        <v>730</v>
      </c>
      <c r="AP4" s="138"/>
    </row>
    <row r="5" spans="1:42" ht="11.25" customHeight="1" x14ac:dyDescent="0.25">
      <c r="A5" s="131" t="s">
        <v>33</v>
      </c>
      <c r="B5" s="131" t="s">
        <v>41</v>
      </c>
      <c r="C5" s="131" t="s">
        <v>25</v>
      </c>
      <c r="D5" s="131" t="s">
        <v>25</v>
      </c>
      <c r="E5" s="131" t="s">
        <v>25</v>
      </c>
      <c r="F5" s="131" t="s">
        <v>25</v>
      </c>
      <c r="G5" s="44" t="s">
        <v>80</v>
      </c>
      <c r="H5" s="44" t="s">
        <v>79</v>
      </c>
      <c r="I5" s="44">
        <f>'MERCADO TUSD'!$U$2</f>
        <v>2147</v>
      </c>
      <c r="J5" s="18"/>
      <c r="L5" s="26">
        <f>'TUSD BE'!$L$5*'TUSD BF'!$L$58</f>
        <v>0</v>
      </c>
      <c r="M5" s="26">
        <f>'TUSD BE'!$M$5*'TUSD BF'!$M$58</f>
        <v>0</v>
      </c>
      <c r="N5" s="26">
        <f ca="1">'TUSD BE'!$N$5*'TUSD BF'!$N$58</f>
        <v>0</v>
      </c>
      <c r="O5" s="26">
        <f>'TUSD BE'!$O$5*'TUSD BF'!$O$58</f>
        <v>0</v>
      </c>
      <c r="P5" s="26">
        <f>'TUSD BE'!$P$5*'TUSD BF'!$P$58</f>
        <v>0</v>
      </c>
      <c r="Q5" s="26">
        <f>'TUSD BE'!$Q$5*'TUSD BF'!$Q$58</f>
        <v>0</v>
      </c>
      <c r="R5" s="26">
        <f>'TUSD BE'!$R$5*'TUSD BF'!$R$58</f>
        <v>0</v>
      </c>
      <c r="S5" s="26">
        <f>'TUSD BE'!$R$5*'TUSD BF'!$S$58</f>
        <v>0</v>
      </c>
      <c r="T5" s="26">
        <f ca="1">SUM($L$5:$S$5)</f>
        <v>0</v>
      </c>
      <c r="U5" s="26">
        <f>'TUSD BE'!$U$5*'TUSD BF'!$U$58</f>
        <v>0</v>
      </c>
      <c r="V5" s="26">
        <f>'TUSD BE'!$V$5*'TUSD BF'!$V$58</f>
        <v>0</v>
      </c>
      <c r="W5" s="26">
        <f>'TUSD BE'!$W$5*'TUSD BF'!$W$58</f>
        <v>0</v>
      </c>
      <c r="X5" s="26">
        <f>'TUSD BE'!$X$5*'TUSD BF'!$X$58</f>
        <v>0</v>
      </c>
      <c r="Y5" s="26">
        <f>'TUSD BE'!$Y$5*'TUSD BF'!$Y$58</f>
        <v>0</v>
      </c>
      <c r="Z5" s="26">
        <f>'TUSD BE'!$Z$5*'TUSD BF'!$Z$58</f>
        <v>0</v>
      </c>
      <c r="AA5" s="26">
        <f>'TUSD BE'!$AA$5*'TUSD BF'!$AA$58</f>
        <v>0</v>
      </c>
      <c r="AB5" s="26">
        <f>SUM($U$5:$AA$5)</f>
        <v>0</v>
      </c>
      <c r="AC5" s="26">
        <f>'TUSD BE'!$AC$5*'TUSD BF'!$AC$58</f>
        <v>0</v>
      </c>
      <c r="AD5" s="26">
        <f>SUM($AC$5:$AC$5)</f>
        <v>0</v>
      </c>
      <c r="AE5" s="26">
        <f ca="1">$AO$5*$AO$55</f>
        <v>0</v>
      </c>
      <c r="AF5" s="26">
        <f ca="1">$AP$5*$AP$55</f>
        <v>0</v>
      </c>
      <c r="AG5" s="26">
        <f ca="1">SUM($AE$5:$AF$5)</f>
        <v>0</v>
      </c>
      <c r="AH5" s="26">
        <f>'TUSD BE'!$AH$5*'TUSD BF'!$AH$58</f>
        <v>0</v>
      </c>
      <c r="AI5" s="26">
        <f>'TUSD BE'!$AI$5*'TUSD BF'!$AI$58</f>
        <v>0</v>
      </c>
      <c r="AJ5" s="26">
        <f ca="1">'TUSD BE'!$AJ$5*'TUSD BF'!$AJ$58</f>
        <v>0</v>
      </c>
      <c r="AK5" s="26">
        <f ca="1">'TUSD BE'!$AK$5*'TUSD BF'!$AK$58</f>
        <v>0</v>
      </c>
      <c r="AL5" s="26">
        <f ca="1">SUM($AH$5:$AK$5)</f>
        <v>0</v>
      </c>
      <c r="AM5" s="26">
        <f ca="1">SUMIF($L$4:$AL$4,"SUBTOTAL",$L$5:$AL$5)</f>
        <v>0</v>
      </c>
      <c r="AO5" s="50">
        <f ca="1">+'TUSD BE'!$T$5+'TUSD BE'!$AB$5+'TUSD BE'!$AD$5+'TUSD BE'!$AL$5</f>
        <v>51.206420975873577</v>
      </c>
      <c r="AP5" s="50">
        <f ca="1">+'TUSD BE'!$T$5+'TUSD BE'!$AB$5+'TUSD BE'!$AD$5+'TUSD BE'!$AL$5</f>
        <v>51.206420975873577</v>
      </c>
    </row>
    <row r="6" spans="1:42" ht="11.25" customHeight="1" x14ac:dyDescent="0.25">
      <c r="A6" s="131"/>
      <c r="B6" s="131"/>
      <c r="C6" s="131"/>
      <c r="D6" s="131"/>
      <c r="E6" s="131"/>
      <c r="F6" s="131"/>
      <c r="G6" s="44" t="s">
        <v>81</v>
      </c>
      <c r="H6" s="44" t="s">
        <v>79</v>
      </c>
      <c r="I6" s="44">
        <f>'MERCADO TUSD'!$U$3</f>
        <v>2668</v>
      </c>
      <c r="J6" s="18"/>
      <c r="L6" s="26">
        <f>'TUSD BE'!$L$6*'TUSD BF'!$L$58</f>
        <v>0</v>
      </c>
      <c r="M6" s="26">
        <f>'TUSD BE'!$M$6*'TUSD BF'!$M$58</f>
        <v>0</v>
      </c>
      <c r="N6" s="26">
        <f ca="1">'TUSD BE'!$N$6*'TUSD BF'!$N$58</f>
        <v>0</v>
      </c>
      <c r="O6" s="26">
        <f>'TUSD BE'!$O$6*'TUSD BF'!$O$58</f>
        <v>0</v>
      </c>
      <c r="P6" s="26">
        <f>'TUSD BE'!$P$6*'TUSD BF'!$P$58</f>
        <v>0</v>
      </c>
      <c r="Q6" s="26">
        <f>'TUSD BE'!$Q$6*'TUSD BF'!$Q$58</f>
        <v>0</v>
      </c>
      <c r="R6" s="26">
        <f>'TUSD BE'!$R$6*'TUSD BF'!$R$58</f>
        <v>0</v>
      </c>
      <c r="S6" s="26">
        <f>'TUSD BE'!$R$6*'TUSD BF'!$S$58</f>
        <v>0</v>
      </c>
      <c r="T6" s="26">
        <f ca="1">SUM($L$6:$S$6)</f>
        <v>0</v>
      </c>
      <c r="U6" s="26">
        <f>'TUSD BE'!$U$6*'TUSD BF'!$U$58</f>
        <v>0</v>
      </c>
      <c r="V6" s="26">
        <f>'TUSD BE'!$V$6*'TUSD BF'!$V$58</f>
        <v>0</v>
      </c>
      <c r="W6" s="26">
        <f>'TUSD BE'!$W$6*'TUSD BF'!$W$58</f>
        <v>0</v>
      </c>
      <c r="X6" s="26">
        <f>'TUSD BE'!$X$6*'TUSD BF'!$X$58</f>
        <v>0</v>
      </c>
      <c r="Y6" s="26">
        <f>'TUSD BE'!$Y$6*'TUSD BF'!$Y$58</f>
        <v>0</v>
      </c>
      <c r="Z6" s="26">
        <f>'TUSD BE'!$Z$6*'TUSD BF'!$Z$58</f>
        <v>0</v>
      </c>
      <c r="AA6" s="26">
        <f>'TUSD BE'!$AA$6*'TUSD BF'!$AA$58</f>
        <v>0</v>
      </c>
      <c r="AB6" s="26">
        <f>SUM($U$6:$AA$6)</f>
        <v>0</v>
      </c>
      <c r="AC6" s="26">
        <f>'TUSD BE'!$AC$6*'TUSD BF'!$AC$58</f>
        <v>0</v>
      </c>
      <c r="AD6" s="26">
        <f>SUM($AC$6:$AC$6)</f>
        <v>0</v>
      </c>
      <c r="AE6" s="26">
        <f ca="1">$AO$6*$AO$55</f>
        <v>0</v>
      </c>
      <c r="AF6" s="26">
        <f ca="1">$AP$6*$AP$55</f>
        <v>0</v>
      </c>
      <c r="AG6" s="26">
        <f ca="1">SUM($AE$6:$AF$6)</f>
        <v>0</v>
      </c>
      <c r="AH6" s="26">
        <f>'TUSD BE'!$AH$6*'TUSD BF'!$AH$58</f>
        <v>0</v>
      </c>
      <c r="AI6" s="26">
        <f>'TUSD BE'!$AI$6*'TUSD BF'!$AI$58</f>
        <v>0</v>
      </c>
      <c r="AJ6" s="26">
        <f ca="1">'TUSD BE'!$AJ$6*'TUSD BF'!$AJ$58</f>
        <v>0</v>
      </c>
      <c r="AK6" s="26">
        <f ca="1">'TUSD BE'!$AK$6*'TUSD BF'!$AK$58</f>
        <v>0</v>
      </c>
      <c r="AL6" s="26">
        <f ca="1">SUM($AH$6:$AK$6)</f>
        <v>0</v>
      </c>
      <c r="AM6" s="26">
        <f ca="1">SUMIF($L$4:$AL$4,"SUBTOTAL",$L$6:$AL$6)</f>
        <v>0</v>
      </c>
      <c r="AO6" s="50">
        <f ca="1">+'TUSD BE'!$T$6+'TUSD BE'!$AB$6+'TUSD BE'!$AD$6+'TUSD BE'!$AL$6</f>
        <v>20.709049797902409</v>
      </c>
      <c r="AP6" s="50">
        <f ca="1">+'TUSD BE'!$T$6+'TUSD BE'!$AB$6+'TUSD BE'!$AD$6+'TUSD BE'!$AL$6</f>
        <v>20.709049797902409</v>
      </c>
    </row>
    <row r="7" spans="1:42" ht="11.25" customHeight="1" x14ac:dyDescent="0.25">
      <c r="A7" s="131"/>
      <c r="B7" s="131"/>
      <c r="C7" s="131"/>
      <c r="D7" s="131"/>
      <c r="E7" s="131"/>
      <c r="F7" s="131"/>
      <c r="G7" s="44" t="s">
        <v>82</v>
      </c>
      <c r="H7" s="44" t="s">
        <v>76</v>
      </c>
      <c r="I7" s="44">
        <f>'MERCADO TUSD'!$U$4</f>
        <v>669.6350000000001</v>
      </c>
      <c r="J7" s="18"/>
      <c r="L7" s="26">
        <f>'TUSD BE'!$L$7*'TUSD BF'!$L$58</f>
        <v>0</v>
      </c>
      <c r="M7" s="26">
        <f>'TUSD BE'!$M$7*'TUSD BF'!$M$58</f>
        <v>0</v>
      </c>
      <c r="N7" s="26">
        <f ca="1">'TUSD BE'!$N$7*'TUSD BF'!$N$58</f>
        <v>0</v>
      </c>
      <c r="O7" s="26">
        <f>'TUSD BE'!$O$7*'TUSD BF'!$O$58</f>
        <v>0</v>
      </c>
      <c r="P7" s="26">
        <f>'TUSD BE'!$P$7*'TUSD BF'!$P$58</f>
        <v>0</v>
      </c>
      <c r="Q7" s="26">
        <f>'TUSD BE'!$Q$7*'TUSD BF'!$Q$58</f>
        <v>0</v>
      </c>
      <c r="R7" s="26">
        <f>'TUSD BE'!$R$7*'TUSD BF'!$R$58</f>
        <v>0</v>
      </c>
      <c r="S7" s="26">
        <f>'TUSD BE'!$R$7*'TUSD BF'!$S$58</f>
        <v>0</v>
      </c>
      <c r="T7" s="26">
        <f ca="1">SUM($L$7:$S$7)</f>
        <v>0</v>
      </c>
      <c r="U7" s="26">
        <f>'TUSD BE'!$U$7*'TUSD BF'!$U$58</f>
        <v>0</v>
      </c>
      <c r="V7" s="26">
        <f>'TUSD BE'!$V$7*'TUSD BF'!$V$58</f>
        <v>0</v>
      </c>
      <c r="W7" s="26">
        <f>'TUSD BE'!$W$7*'TUSD BF'!$W$58</f>
        <v>0</v>
      </c>
      <c r="X7" s="26">
        <f>'TUSD BE'!$X$7*'TUSD BF'!$X$58</f>
        <v>0</v>
      </c>
      <c r="Y7" s="26">
        <f>'TUSD BE'!$Y$7*'TUSD BF'!$Y$58</f>
        <v>0</v>
      </c>
      <c r="Z7" s="26">
        <f>'TUSD BE'!$Z$7*'TUSD BF'!$Z$58</f>
        <v>0</v>
      </c>
      <c r="AA7" s="26">
        <f>'TUSD BE'!$AA$7*'TUSD BF'!$AA$58</f>
        <v>0</v>
      </c>
      <c r="AB7" s="26">
        <f>SUM($U$7:$AA$7)</f>
        <v>0</v>
      </c>
      <c r="AC7" s="26">
        <f>'TUSD BE'!$AC$7*'TUSD BF'!$AC$58</f>
        <v>0</v>
      </c>
      <c r="AD7" s="26">
        <f>SUM($AC$7:$AC$7)</f>
        <v>0</v>
      </c>
      <c r="AE7" s="26">
        <f ca="1">$AO$7*$AO$55</f>
        <v>0</v>
      </c>
      <c r="AF7" s="26">
        <f ca="1">$AP$7*$AP$55</f>
        <v>0</v>
      </c>
      <c r="AG7" s="26">
        <f ca="1">SUM($AE$7:$AF$7)</f>
        <v>0</v>
      </c>
      <c r="AH7" s="26">
        <f>'TUSD BE'!$AH$7*'TUSD BF'!$AH$58</f>
        <v>0</v>
      </c>
      <c r="AI7" s="26">
        <f>'TUSD BE'!$AI$7*'TUSD BF'!$AI$58</f>
        <v>0</v>
      </c>
      <c r="AJ7" s="26">
        <f ca="1">'TUSD BE'!$AJ$7*'TUSD BF'!$AJ$58</f>
        <v>0</v>
      </c>
      <c r="AK7" s="26">
        <f ca="1">'TUSD BE'!$AK$7*'TUSD BF'!$AK$58</f>
        <v>0</v>
      </c>
      <c r="AL7" s="26">
        <f ca="1">SUM($AH$7:$AK$7)</f>
        <v>0</v>
      </c>
      <c r="AM7" s="26">
        <f ca="1">SUMIF($L$4:$AL$4,"SUBTOTAL",$L$7:$AL$7)</f>
        <v>0</v>
      </c>
      <c r="AO7" s="50">
        <f ca="1">+'TUSD BE'!$T$7+'TUSD BE'!$AB$7+'TUSD BE'!$AD$7+'TUSD BE'!$AL$7</f>
        <v>97.356232746005105</v>
      </c>
      <c r="AP7" s="50">
        <f ca="1">+'TUSD BE'!$T$7+'TUSD BE'!$AB$7+'TUSD BE'!$AD$7+'TUSD BE'!$AL$7</f>
        <v>97.356232746005105</v>
      </c>
    </row>
    <row r="8" spans="1:42" ht="11.25" customHeight="1" x14ac:dyDescent="0.25">
      <c r="A8" s="131"/>
      <c r="B8" s="131"/>
      <c r="C8" s="131"/>
      <c r="D8" s="131"/>
      <c r="E8" s="48" t="s">
        <v>83</v>
      </c>
      <c r="F8" s="48" t="s">
        <v>25</v>
      </c>
      <c r="G8" s="44" t="s">
        <v>82</v>
      </c>
      <c r="H8" s="44" t="s">
        <v>76</v>
      </c>
      <c r="I8" s="44">
        <f>'MERCADO TUSD'!$U$5</f>
        <v>0</v>
      </c>
      <c r="J8" s="18"/>
      <c r="L8" s="26">
        <f>'TUSD BE'!$L$8*'TUSD BF'!$L$58</f>
        <v>0</v>
      </c>
      <c r="M8" s="26">
        <f>'TUSD BE'!$M$8*'TUSD BF'!$M$58</f>
        <v>0</v>
      </c>
      <c r="N8" s="26">
        <f ca="1">'TUSD BE'!$N$8*'TUSD BF'!$N$58</f>
        <v>0</v>
      </c>
      <c r="O8" s="26">
        <f>'TUSD BE'!$O$8*'TUSD BF'!$O$58</f>
        <v>0</v>
      </c>
      <c r="P8" s="26">
        <f>'TUSD BE'!$P$8*'TUSD BF'!$P$58</f>
        <v>0</v>
      </c>
      <c r="Q8" s="26">
        <f>'TUSD BE'!$Q$8*'TUSD BF'!$Q$58</f>
        <v>0</v>
      </c>
      <c r="R8" s="26">
        <f>'TUSD BE'!$R$8*'TUSD BF'!$R$58</f>
        <v>0</v>
      </c>
      <c r="S8" s="26">
        <f>'TUSD BE'!$R$8*'TUSD BF'!$S$58</f>
        <v>0</v>
      </c>
      <c r="T8" s="26">
        <f ca="1">SUM($L$8:$S$8)</f>
        <v>0</v>
      </c>
      <c r="U8" s="26">
        <f>'TUSD BE'!$U$8*'TUSD BF'!$U$58</f>
        <v>0</v>
      </c>
      <c r="V8" s="26">
        <f>'TUSD BE'!$V$8*'TUSD BF'!$V$58</f>
        <v>0</v>
      </c>
      <c r="W8" s="26">
        <f>'TUSD BE'!$W$8*'TUSD BF'!$W$58</f>
        <v>0</v>
      </c>
      <c r="X8" s="26">
        <f>'TUSD BE'!$X$8*'TUSD BF'!$X$58</f>
        <v>0</v>
      </c>
      <c r="Y8" s="26">
        <f>'TUSD BE'!$Y$8*'TUSD BF'!$Y$58</f>
        <v>0</v>
      </c>
      <c r="Z8" s="26">
        <f>'TUSD BE'!$Z$8*'TUSD BF'!$Z$58</f>
        <v>0</v>
      </c>
      <c r="AA8" s="26">
        <f>'TUSD BE'!$AA$8*'TUSD BF'!$AA$58</f>
        <v>0</v>
      </c>
      <c r="AB8" s="26">
        <f>SUM($U$8:$AA$8)</f>
        <v>0</v>
      </c>
      <c r="AC8" s="26">
        <f>'TUSD BE'!$AC$8*'TUSD BF'!$AC$58</f>
        <v>0</v>
      </c>
      <c r="AD8" s="26">
        <f>SUM($AC$8:$AC$8)</f>
        <v>0</v>
      </c>
      <c r="AE8" s="26">
        <f ca="1">$AO$8*$AO$55</f>
        <v>0</v>
      </c>
      <c r="AF8" s="26">
        <f ca="1">$AP$8*$AP$55</f>
        <v>0</v>
      </c>
      <c r="AG8" s="26">
        <f ca="1">SUM($AE$8:$AF$8)</f>
        <v>0</v>
      </c>
      <c r="AH8" s="26">
        <f>'TUSD BE'!$AH$8*'TUSD BF'!$AH$58</f>
        <v>0</v>
      </c>
      <c r="AI8" s="26">
        <f>'TUSD BE'!$AI$8*'TUSD BF'!$AI$58</f>
        <v>0</v>
      </c>
      <c r="AJ8" s="26">
        <f ca="1">'TUSD BE'!$AJ$8*'TUSD BF'!$AJ$58</f>
        <v>0</v>
      </c>
      <c r="AK8" s="26">
        <f ca="1">'TUSD BE'!$AK$8*'TUSD BF'!$AK$58</f>
        <v>0</v>
      </c>
      <c r="AL8" s="26">
        <f ca="1">SUM($AH$8:$AK$8)</f>
        <v>0</v>
      </c>
      <c r="AM8" s="26">
        <f ca="1">SUMIF($L$4:$AL$4,"SUBTOTAL",$L$8:$AL$8)</f>
        <v>0</v>
      </c>
      <c r="AO8" s="50">
        <f ca="1">+'TUSD BE'!$T$8+'TUSD BE'!$AB$8+'TUSD BE'!$AD$8+'TUSD BE'!$AL$8</f>
        <v>7.1355276919669679</v>
      </c>
      <c r="AP8" s="50">
        <f ca="1">+'TUSD BE'!$T$8+'TUSD BE'!$AB$8+'TUSD BE'!$AD$8+'TUSD BE'!$AL$8</f>
        <v>7.1355276919669679</v>
      </c>
    </row>
    <row r="9" spans="1:42" ht="11.25" customHeight="1" x14ac:dyDescent="0.25">
      <c r="A9" s="131"/>
      <c r="B9" s="48" t="s">
        <v>84</v>
      </c>
      <c r="C9" s="48" t="s">
        <v>25</v>
      </c>
      <c r="D9" s="48" t="s">
        <v>25</v>
      </c>
      <c r="E9" s="48" t="s">
        <v>25</v>
      </c>
      <c r="F9" s="48" t="s">
        <v>25</v>
      </c>
      <c r="G9" s="44" t="s">
        <v>9</v>
      </c>
      <c r="H9" s="44" t="s">
        <v>79</v>
      </c>
      <c r="I9" s="44">
        <f>'MERCADO TUSD'!$U$6</f>
        <v>0</v>
      </c>
      <c r="J9" s="18"/>
      <c r="L9" s="26">
        <f>'TUSD BE'!$L$9*'TUSD BF'!$L$58</f>
        <v>0</v>
      </c>
      <c r="M9" s="26">
        <f>'TUSD BE'!$M$9*'TUSD BF'!$M$58</f>
        <v>0</v>
      </c>
      <c r="N9" s="26">
        <f ca="1">'TUSD BE'!$N$9*'TUSD BF'!$N$58</f>
        <v>0</v>
      </c>
      <c r="O9" s="26">
        <f>'TUSD BE'!$O$9*'TUSD BF'!$O$58</f>
        <v>0</v>
      </c>
      <c r="P9" s="26">
        <f>'TUSD BE'!$P$9*'TUSD BF'!$P$58</f>
        <v>0</v>
      </c>
      <c r="Q9" s="26">
        <f>'TUSD BE'!$Q$9*'TUSD BF'!$Q$58</f>
        <v>0</v>
      </c>
      <c r="R9" s="26">
        <f>'TUSD BE'!$R$9*'TUSD BF'!$R$58</f>
        <v>0</v>
      </c>
      <c r="S9" s="26">
        <f>'TUSD BE'!$R$9*'TUSD BF'!$S$58</f>
        <v>0</v>
      </c>
      <c r="T9" s="26">
        <f ca="1">SUM($L$9:$S$9)</f>
        <v>0</v>
      </c>
      <c r="U9" s="26">
        <f>'TUSD BE'!$U$9*'TUSD BF'!$U$58</f>
        <v>0</v>
      </c>
      <c r="V9" s="26">
        <f>'TUSD BE'!$V$9*'TUSD BF'!$V$58</f>
        <v>0</v>
      </c>
      <c r="W9" s="26">
        <f>'TUSD BE'!$W$9*'TUSD BF'!$W$58</f>
        <v>0</v>
      </c>
      <c r="X9" s="26">
        <f>'TUSD BE'!$X$9*'TUSD BF'!$X$58</f>
        <v>0</v>
      </c>
      <c r="Y9" s="26">
        <f>'TUSD BE'!$Y$9*'TUSD BF'!$Y$58</f>
        <v>0</v>
      </c>
      <c r="Z9" s="26">
        <f>'TUSD BE'!$Z$9*'TUSD BF'!$Z$58</f>
        <v>0</v>
      </c>
      <c r="AA9" s="26">
        <f>'TUSD BE'!$AA$9*'TUSD BF'!$AA$58</f>
        <v>0</v>
      </c>
      <c r="AB9" s="26">
        <f>SUM($U$9:$AA$9)</f>
        <v>0</v>
      </c>
      <c r="AC9" s="26">
        <f>'TUSD BE'!$AC$9*'TUSD BF'!$AC$58</f>
        <v>0</v>
      </c>
      <c r="AD9" s="26">
        <f>SUM($AC$9:$AC$9)</f>
        <v>0</v>
      </c>
      <c r="AE9" s="26">
        <f ca="1">$AO$9*$AO$55</f>
        <v>0</v>
      </c>
      <c r="AF9" s="26">
        <f ca="1">$AP$9*$AP$55</f>
        <v>0</v>
      </c>
      <c r="AG9" s="26">
        <f ca="1">SUM($AE$9:$AF$9)</f>
        <v>0</v>
      </c>
      <c r="AH9" s="26">
        <f>'TUSD BE'!$AH$9*'TUSD BF'!$AH$58</f>
        <v>0</v>
      </c>
      <c r="AI9" s="26">
        <f>'TUSD BE'!$AI$9*'TUSD BF'!$AI$58</f>
        <v>0</v>
      </c>
      <c r="AJ9" s="26">
        <f ca="1">'TUSD BE'!$AJ$9*'TUSD BF'!$AJ$58</f>
        <v>0</v>
      </c>
      <c r="AK9" s="26">
        <f ca="1">'TUSD BE'!$AK$9*'TUSD BF'!$AK$58</f>
        <v>0</v>
      </c>
      <c r="AL9" s="26">
        <f ca="1">SUM($AH$9:$AK$9)</f>
        <v>0</v>
      </c>
      <c r="AM9" s="26">
        <f ca="1">SUMIF($L$4:$AL$4,"SUBTOTAL",$L$9:$AL$9)</f>
        <v>0</v>
      </c>
      <c r="AO9" s="50">
        <f ca="1">+'TUSD BE'!$T$9+'TUSD BE'!$AB$9+'TUSD BE'!$AD$9+'TUSD BE'!$AL$9</f>
        <v>5.2359961986792145</v>
      </c>
      <c r="AP9" s="50">
        <f ca="1">+'TUSD BE'!$T$9+'TUSD BE'!$AB$9+'TUSD BE'!$AD$9+'TUSD BE'!$AL$9</f>
        <v>5.2359961986792145</v>
      </c>
    </row>
    <row r="10" spans="1:42" ht="11.25" customHeight="1" x14ac:dyDescent="0.25">
      <c r="A10" s="131"/>
      <c r="B10" s="131" t="s">
        <v>34</v>
      </c>
      <c r="C10" s="131" t="s">
        <v>25</v>
      </c>
      <c r="D10" s="131" t="s">
        <v>25</v>
      </c>
      <c r="E10" s="131" t="s">
        <v>25</v>
      </c>
      <c r="F10" s="131" t="s">
        <v>25</v>
      </c>
      <c r="G10" s="44" t="s">
        <v>9</v>
      </c>
      <c r="H10" s="44" t="s">
        <v>79</v>
      </c>
      <c r="I10" s="44">
        <f>'MERCADO TUSD'!$U$7</f>
        <v>318117</v>
      </c>
      <c r="J10" s="18"/>
      <c r="L10" s="26">
        <f>'TUSD BE'!$L$10*'TUSD BF'!$L$58</f>
        <v>0</v>
      </c>
      <c r="M10" s="26">
        <f>'TUSD BE'!$M$10*'TUSD BF'!$M$58</f>
        <v>0</v>
      </c>
      <c r="N10" s="26">
        <f ca="1">'TUSD BE'!$N$10*'TUSD BF'!$N$58</f>
        <v>0</v>
      </c>
      <c r="O10" s="26">
        <f>'TUSD BE'!$O$10*'TUSD BF'!$O$58</f>
        <v>0</v>
      </c>
      <c r="P10" s="26">
        <f>'TUSD BE'!$P$10*'TUSD BF'!$P$58</f>
        <v>0</v>
      </c>
      <c r="Q10" s="26">
        <f>'TUSD BE'!$Q$10*'TUSD BF'!$Q$58</f>
        <v>0</v>
      </c>
      <c r="R10" s="26">
        <f>'TUSD BE'!$R$10*'TUSD BF'!$R$58</f>
        <v>0</v>
      </c>
      <c r="S10" s="26">
        <f>'TUSD BE'!$R$10*'TUSD BF'!$S$58</f>
        <v>0</v>
      </c>
      <c r="T10" s="26">
        <f ca="1">SUM($L$10:$S$10)</f>
        <v>0</v>
      </c>
      <c r="U10" s="26">
        <f>'TUSD BE'!$U$10*'TUSD BF'!$U$58</f>
        <v>0</v>
      </c>
      <c r="V10" s="26">
        <f>'TUSD BE'!$V$10*'TUSD BF'!$V$58</f>
        <v>0</v>
      </c>
      <c r="W10" s="26">
        <f>'TUSD BE'!$W$10*'TUSD BF'!$W$58</f>
        <v>0</v>
      </c>
      <c r="X10" s="26">
        <f>'TUSD BE'!$X$10*'TUSD BF'!$X$58</f>
        <v>0</v>
      </c>
      <c r="Y10" s="26">
        <f>'TUSD BE'!$Y$10*'TUSD BF'!$Y$58</f>
        <v>0</v>
      </c>
      <c r="Z10" s="26">
        <f>'TUSD BE'!$Z$10*'TUSD BF'!$Z$58</f>
        <v>0</v>
      </c>
      <c r="AA10" s="26">
        <f>'TUSD BE'!$AA$10*'TUSD BF'!$AA$58</f>
        <v>0</v>
      </c>
      <c r="AB10" s="26">
        <f>SUM($U$10:$AA$10)</f>
        <v>0</v>
      </c>
      <c r="AC10" s="26">
        <f>'TUSD BE'!$AC$10*'TUSD BF'!$AC$58</f>
        <v>0</v>
      </c>
      <c r="AD10" s="26">
        <f>SUM($AC$10:$AC$10)</f>
        <v>0</v>
      </c>
      <c r="AE10" s="26">
        <f ca="1">$AO$10*$AO$55</f>
        <v>0</v>
      </c>
      <c r="AF10" s="26">
        <f ca="1">$AP$10*$AP$55</f>
        <v>0</v>
      </c>
      <c r="AG10" s="26">
        <f ca="1">SUM($AE$10:$AF$10)</f>
        <v>0</v>
      </c>
      <c r="AH10" s="26">
        <f>'TUSD BE'!$AH$10*'TUSD BF'!$AH$58</f>
        <v>0</v>
      </c>
      <c r="AI10" s="26">
        <f>'TUSD BE'!$AI$10*'TUSD BF'!$AI$58</f>
        <v>0</v>
      </c>
      <c r="AJ10" s="26">
        <f ca="1">'TUSD BE'!$AJ$10*'TUSD BF'!$AJ$58</f>
        <v>0</v>
      </c>
      <c r="AK10" s="26">
        <f ca="1">'TUSD BE'!$AK$10*'TUSD BF'!$AK$58</f>
        <v>0</v>
      </c>
      <c r="AL10" s="26">
        <f ca="1">SUM($AH$10:$AK$10)</f>
        <v>0</v>
      </c>
      <c r="AM10" s="26">
        <f ca="1">SUMIF($L$4:$AL$4,"SUBTOTAL",$L$10:$AL$10)</f>
        <v>0</v>
      </c>
      <c r="AO10" s="50">
        <f ca="1">+'TUSD BE'!$T$10+'TUSD BE'!$AB$10+'TUSD BE'!$AD$10+'TUSD BE'!$AL$10</f>
        <v>20.709049797902409</v>
      </c>
      <c r="AP10" s="50">
        <f ca="1">+'TUSD BE'!$T$10+'TUSD BE'!$AB$10+'TUSD BE'!$AD$10+'TUSD BE'!$AL$10</f>
        <v>20.709049797902409</v>
      </c>
    </row>
    <row r="11" spans="1:42" ht="11.25" customHeight="1" x14ac:dyDescent="0.25">
      <c r="A11" s="131"/>
      <c r="B11" s="131"/>
      <c r="C11" s="131"/>
      <c r="D11" s="131"/>
      <c r="E11" s="131"/>
      <c r="F11" s="131"/>
      <c r="G11" s="44" t="s">
        <v>77</v>
      </c>
      <c r="H11" s="44" t="s">
        <v>76</v>
      </c>
      <c r="I11" s="44">
        <f>'MERCADO TUSD'!$U$8</f>
        <v>5116.8689999999997</v>
      </c>
      <c r="J11" s="18"/>
      <c r="L11" s="26">
        <f>'TUSD BE'!$L$11*'TUSD BF'!$L$58</f>
        <v>0</v>
      </c>
      <c r="M11" s="26">
        <f>'TUSD BE'!$M$11*'TUSD BF'!$M$58</f>
        <v>0</v>
      </c>
      <c r="N11" s="26">
        <f ca="1">'TUSD BE'!$N$11*'TUSD BF'!$N$58</f>
        <v>0</v>
      </c>
      <c r="O11" s="26">
        <f>'TUSD BE'!$O$11*'TUSD BF'!$O$58</f>
        <v>0</v>
      </c>
      <c r="P11" s="26">
        <f>'TUSD BE'!$P$11*'TUSD BF'!$P$58</f>
        <v>0</v>
      </c>
      <c r="Q11" s="26">
        <f>'TUSD BE'!$Q$11*'TUSD BF'!$Q$58</f>
        <v>0</v>
      </c>
      <c r="R11" s="26">
        <f>'TUSD BE'!$R$11*'TUSD BF'!$R$58</f>
        <v>0</v>
      </c>
      <c r="S11" s="26">
        <f>'TUSD BE'!$R$11*'TUSD BF'!$S$58</f>
        <v>0</v>
      </c>
      <c r="T11" s="26">
        <f ca="1">SUM($L$11:$S$11)</f>
        <v>0</v>
      </c>
      <c r="U11" s="26">
        <f>'TUSD BE'!$U$11*'TUSD BF'!$U$58</f>
        <v>0</v>
      </c>
      <c r="V11" s="26">
        <f>'TUSD BE'!$V$11*'TUSD BF'!$V$58</f>
        <v>0</v>
      </c>
      <c r="W11" s="26">
        <f>'TUSD BE'!$W$11*'TUSD BF'!$W$58</f>
        <v>0</v>
      </c>
      <c r="X11" s="26">
        <f>'TUSD BE'!$X$11*'TUSD BF'!$X$58</f>
        <v>0</v>
      </c>
      <c r="Y11" s="26">
        <f>'TUSD BE'!$Y$11*'TUSD BF'!$Y$58</f>
        <v>0</v>
      </c>
      <c r="Z11" s="26">
        <f>'TUSD BE'!$Z$11*'TUSD BF'!$Z$58</f>
        <v>0</v>
      </c>
      <c r="AA11" s="26">
        <f>'TUSD BE'!$AA$11*'TUSD BF'!$AA$58</f>
        <v>0</v>
      </c>
      <c r="AB11" s="26">
        <f>SUM($U$11:$AA$11)</f>
        <v>0</v>
      </c>
      <c r="AC11" s="26">
        <f>'TUSD BE'!$AC$11*'TUSD BF'!$AC$58</f>
        <v>0</v>
      </c>
      <c r="AD11" s="26">
        <f>SUM($AC$11:$AC$11)</f>
        <v>0</v>
      </c>
      <c r="AE11" s="26">
        <f ca="1">$AO$11*$AO$55</f>
        <v>0</v>
      </c>
      <c r="AF11" s="26">
        <f ca="1">$AP$11*$AP$55</f>
        <v>0</v>
      </c>
      <c r="AG11" s="26">
        <f ca="1">SUM($AE$11:$AF$11)</f>
        <v>0</v>
      </c>
      <c r="AH11" s="26">
        <f>'TUSD BE'!$AH$11*'TUSD BF'!$AH$58</f>
        <v>0</v>
      </c>
      <c r="AI11" s="26">
        <f>'TUSD BE'!$AI$11*'TUSD BF'!$AI$58</f>
        <v>0</v>
      </c>
      <c r="AJ11" s="26">
        <f ca="1">'TUSD BE'!$AJ$11*'TUSD BF'!$AJ$58</f>
        <v>0</v>
      </c>
      <c r="AK11" s="26">
        <f ca="1">'TUSD BE'!$AK$11*'TUSD BF'!$AK$58</f>
        <v>0</v>
      </c>
      <c r="AL11" s="26">
        <f ca="1">SUM($AH$11:$AK$11)</f>
        <v>0</v>
      </c>
      <c r="AM11" s="26">
        <f ca="1">SUMIF($L$4:$AL$4,"SUBTOTAL",$L$11:$AL$11)</f>
        <v>0</v>
      </c>
      <c r="AO11" s="50">
        <f ca="1">+'TUSD BE'!$T$11+'TUSD BE'!$AB$11+'TUSD BE'!$AD$11+'TUSD BE'!$AL$11</f>
        <v>1328.8707861434486</v>
      </c>
      <c r="AP11" s="50">
        <f ca="1">+'TUSD BE'!$T$11+'TUSD BE'!$AB$11+'TUSD BE'!$AD$11+'TUSD BE'!$AL$11</f>
        <v>1328.8707861434486</v>
      </c>
    </row>
    <row r="12" spans="1:42" ht="11.25" customHeight="1" x14ac:dyDescent="0.25">
      <c r="A12" s="131"/>
      <c r="B12" s="131"/>
      <c r="C12" s="131"/>
      <c r="D12" s="131"/>
      <c r="E12" s="131"/>
      <c r="F12" s="131"/>
      <c r="G12" s="44" t="s">
        <v>78</v>
      </c>
      <c r="H12" s="44" t="s">
        <v>76</v>
      </c>
      <c r="I12" s="44">
        <f>'MERCADO TUSD'!$U$9</f>
        <v>80201.053999999989</v>
      </c>
      <c r="J12" s="18"/>
      <c r="L12" s="26">
        <f>'TUSD BE'!$L$12*'TUSD BF'!$L$58</f>
        <v>0</v>
      </c>
      <c r="M12" s="26">
        <f>'TUSD BE'!$M$12*'TUSD BF'!$M$58</f>
        <v>0</v>
      </c>
      <c r="N12" s="26">
        <f ca="1">'TUSD BE'!$N$12*'TUSD BF'!$N$58</f>
        <v>0</v>
      </c>
      <c r="O12" s="26">
        <f>'TUSD BE'!$O$12*'TUSD BF'!$O$58</f>
        <v>0</v>
      </c>
      <c r="P12" s="26">
        <f>'TUSD BE'!$P$12*'TUSD BF'!$P$58</f>
        <v>0</v>
      </c>
      <c r="Q12" s="26">
        <f>'TUSD BE'!$Q$12*'TUSD BF'!$Q$58</f>
        <v>0</v>
      </c>
      <c r="R12" s="26">
        <f>'TUSD BE'!$R$12*'TUSD BF'!$R$58</f>
        <v>0</v>
      </c>
      <c r="S12" s="26">
        <f>'TUSD BE'!$R$12*'TUSD BF'!$S$58</f>
        <v>0</v>
      </c>
      <c r="T12" s="26">
        <f ca="1">SUM($L$12:$S$12)</f>
        <v>0</v>
      </c>
      <c r="U12" s="26">
        <f>'TUSD BE'!$U$12*'TUSD BF'!$U$58</f>
        <v>0</v>
      </c>
      <c r="V12" s="26">
        <f>'TUSD BE'!$V$12*'TUSD BF'!$V$58</f>
        <v>0</v>
      </c>
      <c r="W12" s="26">
        <f>'TUSD BE'!$W$12*'TUSD BF'!$W$58</f>
        <v>0</v>
      </c>
      <c r="X12" s="26">
        <f>'TUSD BE'!$X$12*'TUSD BF'!$X$58</f>
        <v>0</v>
      </c>
      <c r="Y12" s="26">
        <f>'TUSD BE'!$Y$12*'TUSD BF'!$Y$58</f>
        <v>0</v>
      </c>
      <c r="Z12" s="26">
        <f>'TUSD BE'!$Z$12*'TUSD BF'!$Z$58</f>
        <v>0</v>
      </c>
      <c r="AA12" s="26">
        <f>'TUSD BE'!$AA$12*'TUSD BF'!$AA$58</f>
        <v>0</v>
      </c>
      <c r="AB12" s="26">
        <f>SUM($U$12:$AA$12)</f>
        <v>0</v>
      </c>
      <c r="AC12" s="26">
        <f>'TUSD BE'!$AC$12*'TUSD BF'!$AC$58</f>
        <v>0</v>
      </c>
      <c r="AD12" s="26">
        <f>SUM($AC$12:$AC$12)</f>
        <v>0</v>
      </c>
      <c r="AE12" s="26">
        <f ca="1">$AO$12*$AO$55</f>
        <v>0</v>
      </c>
      <c r="AF12" s="26">
        <f ca="1">$AP$12*$AP$55</f>
        <v>0</v>
      </c>
      <c r="AG12" s="26">
        <f ca="1">SUM($AE$12:$AF$12)</f>
        <v>0</v>
      </c>
      <c r="AH12" s="26">
        <f>'TUSD BE'!$AH$12*'TUSD BF'!$AH$58</f>
        <v>0</v>
      </c>
      <c r="AI12" s="26">
        <f>'TUSD BE'!$AI$12*'TUSD BF'!$AI$58</f>
        <v>0</v>
      </c>
      <c r="AJ12" s="26">
        <f ca="1">'TUSD BE'!$AJ$12*'TUSD BF'!$AJ$58</f>
        <v>0</v>
      </c>
      <c r="AK12" s="26">
        <f ca="1">'TUSD BE'!$AK$12*'TUSD BF'!$AK$58</f>
        <v>0</v>
      </c>
      <c r="AL12" s="26">
        <f ca="1">SUM($AH$12:$AK$12)</f>
        <v>0</v>
      </c>
      <c r="AM12" s="26">
        <f ca="1">SUMIF($L$4:$AL$4,"SUBTOTAL",$L$12:$AL$12)</f>
        <v>0</v>
      </c>
      <c r="AO12" s="50">
        <f ca="1">+'TUSD BE'!$T$12+'TUSD BE'!$AB$12+'TUSD BE'!$AD$12+'TUSD BE'!$AL$12</f>
        <v>97.356232746005105</v>
      </c>
      <c r="AP12" s="50">
        <f ca="1">+'TUSD BE'!$T$12+'TUSD BE'!$AB$12+'TUSD BE'!$AD$12+'TUSD BE'!$AL$12</f>
        <v>97.356232746005105</v>
      </c>
    </row>
    <row r="13" spans="1:42" ht="11.25" customHeight="1" x14ac:dyDescent="0.25">
      <c r="A13" s="131"/>
      <c r="B13" s="131"/>
      <c r="C13" s="131"/>
      <c r="D13" s="131"/>
      <c r="E13" s="131" t="s">
        <v>83</v>
      </c>
      <c r="F13" s="131" t="s">
        <v>25</v>
      </c>
      <c r="G13" s="44" t="s">
        <v>77</v>
      </c>
      <c r="H13" s="44" t="s">
        <v>76</v>
      </c>
      <c r="I13" s="44">
        <f>'MERCADO TUSD'!$U$10</f>
        <v>0</v>
      </c>
      <c r="J13" s="18"/>
      <c r="L13" s="26">
        <f>'TUSD BE'!$L$13*'TUSD BF'!$L$58</f>
        <v>0</v>
      </c>
      <c r="M13" s="26">
        <f>'TUSD BE'!$M$13*'TUSD BF'!$M$58</f>
        <v>0</v>
      </c>
      <c r="N13" s="26">
        <f ca="1">'TUSD BE'!$N$13*'TUSD BF'!$N$58</f>
        <v>0</v>
      </c>
      <c r="O13" s="26">
        <f>'TUSD BE'!$O$13*'TUSD BF'!$O$58</f>
        <v>0</v>
      </c>
      <c r="P13" s="26">
        <f>'TUSD BE'!$P$13*'TUSD BF'!$P$58</f>
        <v>0</v>
      </c>
      <c r="Q13" s="26">
        <f>'TUSD BE'!$Q$13*'TUSD BF'!$Q$58</f>
        <v>0</v>
      </c>
      <c r="R13" s="26">
        <f>'TUSD BE'!$R$13*'TUSD BF'!$R$58</f>
        <v>0</v>
      </c>
      <c r="S13" s="26">
        <f>'TUSD BE'!$R$13*'TUSD BF'!$S$58</f>
        <v>0</v>
      </c>
      <c r="T13" s="26">
        <f ca="1">SUM($L$13:$S$13)</f>
        <v>0</v>
      </c>
      <c r="U13" s="26">
        <f>'TUSD BE'!$U$13*'TUSD BF'!$U$58</f>
        <v>0</v>
      </c>
      <c r="V13" s="26">
        <f>'TUSD BE'!$V$13*'TUSD BF'!$V$58</f>
        <v>0</v>
      </c>
      <c r="W13" s="26">
        <f>'TUSD BE'!$W$13*'TUSD BF'!$W$58</f>
        <v>0</v>
      </c>
      <c r="X13" s="26">
        <f>'TUSD BE'!$X$13*'TUSD BF'!$X$58</f>
        <v>0</v>
      </c>
      <c r="Y13" s="26">
        <f>'TUSD BE'!$Y$13*'TUSD BF'!$Y$58</f>
        <v>0</v>
      </c>
      <c r="Z13" s="26">
        <f>'TUSD BE'!$Z$13*'TUSD BF'!$Z$58</f>
        <v>0</v>
      </c>
      <c r="AA13" s="26">
        <f>'TUSD BE'!$AA$13*'TUSD BF'!$AA$58</f>
        <v>0</v>
      </c>
      <c r="AB13" s="26">
        <f>SUM($U$13:$AA$13)</f>
        <v>0</v>
      </c>
      <c r="AC13" s="26">
        <f>'TUSD BE'!$AC$13*'TUSD BF'!$AC$58</f>
        <v>0</v>
      </c>
      <c r="AD13" s="26">
        <f>SUM($AC$13:$AC$13)</f>
        <v>0</v>
      </c>
      <c r="AE13" s="26">
        <f ca="1">$AO$13*$AO$55</f>
        <v>0</v>
      </c>
      <c r="AF13" s="26">
        <f ca="1">$AP$13*$AP$55</f>
        <v>0</v>
      </c>
      <c r="AG13" s="26">
        <f ca="1">SUM($AE$13:$AF$13)</f>
        <v>0</v>
      </c>
      <c r="AH13" s="26">
        <f>'TUSD BE'!$AH$13*'TUSD BF'!$AH$58</f>
        <v>0</v>
      </c>
      <c r="AI13" s="26">
        <f>'TUSD BE'!$AI$13*'TUSD BF'!$AI$58</f>
        <v>0</v>
      </c>
      <c r="AJ13" s="26">
        <f ca="1">'TUSD BE'!$AJ$13*'TUSD BF'!$AJ$58</f>
        <v>0</v>
      </c>
      <c r="AK13" s="26">
        <f ca="1">'TUSD BE'!$AK$13*'TUSD BF'!$AK$58</f>
        <v>0</v>
      </c>
      <c r="AL13" s="26">
        <f ca="1">SUM($AH$13:$AK$13)</f>
        <v>0</v>
      </c>
      <c r="AM13" s="26">
        <f ca="1">SUMIF($L$4:$AL$4,"SUBTOTAL",$L$13:$AL$13)</f>
        <v>0</v>
      </c>
      <c r="AO13" s="50">
        <f ca="1">+'TUSD BE'!$T$13+'TUSD BE'!$AB$13+'TUSD BE'!$AD$13+'TUSD BE'!$AL$13</f>
        <v>1238.6500810894104</v>
      </c>
      <c r="AP13" s="50">
        <f ca="1">+'TUSD BE'!$T$13+'TUSD BE'!$AB$13+'TUSD BE'!$AD$13+'TUSD BE'!$AL$13</f>
        <v>1238.6500810894104</v>
      </c>
    </row>
    <row r="14" spans="1:42" ht="11.25" customHeight="1" x14ac:dyDescent="0.25">
      <c r="A14" s="131"/>
      <c r="B14" s="131"/>
      <c r="C14" s="131"/>
      <c r="D14" s="131"/>
      <c r="E14" s="131"/>
      <c r="F14" s="131"/>
      <c r="G14" s="44" t="s">
        <v>78</v>
      </c>
      <c r="H14" s="44" t="s">
        <v>76</v>
      </c>
      <c r="I14" s="44">
        <f>'MERCADO TUSD'!$U$11</f>
        <v>0</v>
      </c>
      <c r="J14" s="18"/>
      <c r="L14" s="26">
        <f>'TUSD BE'!$L$14*'TUSD BF'!$L$58</f>
        <v>0</v>
      </c>
      <c r="M14" s="26">
        <f>'TUSD BE'!$M$14*'TUSD BF'!$M$58</f>
        <v>0</v>
      </c>
      <c r="N14" s="26">
        <f ca="1">'TUSD BE'!$N$14*'TUSD BF'!$N$58</f>
        <v>0</v>
      </c>
      <c r="O14" s="26">
        <f>'TUSD BE'!$O$14*'TUSD BF'!$O$58</f>
        <v>0</v>
      </c>
      <c r="P14" s="26">
        <f>'TUSD BE'!$P$14*'TUSD BF'!$P$58</f>
        <v>0</v>
      </c>
      <c r="Q14" s="26">
        <f>'TUSD BE'!$Q$14*'TUSD BF'!$Q$58</f>
        <v>0</v>
      </c>
      <c r="R14" s="26">
        <f>'TUSD BE'!$R$14*'TUSD BF'!$R$58</f>
        <v>0</v>
      </c>
      <c r="S14" s="26">
        <f>'TUSD BE'!$R$14*'TUSD BF'!$S$58</f>
        <v>0</v>
      </c>
      <c r="T14" s="26">
        <f ca="1">SUM($L$14:$S$14)</f>
        <v>0</v>
      </c>
      <c r="U14" s="26">
        <f>'TUSD BE'!$U$14*'TUSD BF'!$U$58</f>
        <v>0</v>
      </c>
      <c r="V14" s="26">
        <f>'TUSD BE'!$V$14*'TUSD BF'!$V$58</f>
        <v>0</v>
      </c>
      <c r="W14" s="26">
        <f>'TUSD BE'!$W$14*'TUSD BF'!$W$58</f>
        <v>0</v>
      </c>
      <c r="X14" s="26">
        <f>'TUSD BE'!$X$14*'TUSD BF'!$X$58</f>
        <v>0</v>
      </c>
      <c r="Y14" s="26">
        <f>'TUSD BE'!$Y$14*'TUSD BF'!$Y$58</f>
        <v>0</v>
      </c>
      <c r="Z14" s="26">
        <f>'TUSD BE'!$Z$14*'TUSD BF'!$Z$58</f>
        <v>0</v>
      </c>
      <c r="AA14" s="26">
        <f>'TUSD BE'!$AA$14*'TUSD BF'!$AA$58</f>
        <v>0</v>
      </c>
      <c r="AB14" s="26">
        <f>SUM($U$14:$AA$14)</f>
        <v>0</v>
      </c>
      <c r="AC14" s="26">
        <f>'TUSD BE'!$AC$14*'TUSD BF'!$AC$58</f>
        <v>0</v>
      </c>
      <c r="AD14" s="26">
        <f>SUM($AC$14:$AC$14)</f>
        <v>0</v>
      </c>
      <c r="AE14" s="26">
        <f ca="1">$AO$14*$AO$55</f>
        <v>0</v>
      </c>
      <c r="AF14" s="26">
        <f ca="1">$AP$14*$AP$55</f>
        <v>0</v>
      </c>
      <c r="AG14" s="26">
        <f ca="1">SUM($AE$14:$AF$14)</f>
        <v>0</v>
      </c>
      <c r="AH14" s="26">
        <f>'TUSD BE'!$AH$14*'TUSD BF'!$AH$58</f>
        <v>0</v>
      </c>
      <c r="AI14" s="26">
        <f>'TUSD BE'!$AI$14*'TUSD BF'!$AI$58</f>
        <v>0</v>
      </c>
      <c r="AJ14" s="26">
        <f ca="1">'TUSD BE'!$AJ$14*'TUSD BF'!$AJ$58</f>
        <v>0</v>
      </c>
      <c r="AK14" s="26">
        <f ca="1">'TUSD BE'!$AK$14*'TUSD BF'!$AK$58</f>
        <v>0</v>
      </c>
      <c r="AL14" s="26">
        <f ca="1">SUM($AH$14:$AK$14)</f>
        <v>0</v>
      </c>
      <c r="AM14" s="26">
        <f ca="1">SUMIF($L$4:$AL$4,"SUBTOTAL",$L$14:$AL$14)</f>
        <v>0</v>
      </c>
      <c r="AO14" s="50">
        <f ca="1">+'TUSD BE'!$T$14+'TUSD BE'!$AB$14+'TUSD BE'!$AD$14+'TUSD BE'!$AL$14</f>
        <v>7.1355276919669679</v>
      </c>
      <c r="AP14" s="50">
        <f ca="1">+'TUSD BE'!$T$14+'TUSD BE'!$AB$14+'TUSD BE'!$AD$14+'TUSD BE'!$AL$14</f>
        <v>7.1355276919669679</v>
      </c>
    </row>
    <row r="15" spans="1:42" ht="11.25" customHeight="1" x14ac:dyDescent="0.25">
      <c r="A15" s="131" t="s">
        <v>85</v>
      </c>
      <c r="B15" s="131" t="s">
        <v>84</v>
      </c>
      <c r="C15" s="131" t="s">
        <v>25</v>
      </c>
      <c r="D15" s="131" t="s">
        <v>25</v>
      </c>
      <c r="E15" s="48" t="s">
        <v>86</v>
      </c>
      <c r="F15" s="48" t="s">
        <v>25</v>
      </c>
      <c r="G15" s="44" t="s">
        <v>9</v>
      </c>
      <c r="H15" s="44" t="s">
        <v>79</v>
      </c>
      <c r="I15" s="44">
        <f>'MERCADO TUSD'!$U$12+0.00000001</f>
        <v>1E-8</v>
      </c>
      <c r="J15" s="18"/>
      <c r="L15" s="26">
        <f>'TUSD BE'!$L$15*'TUSD BF'!$L$58</f>
        <v>0</v>
      </c>
      <c r="M15" s="26">
        <f>'TUSD BE'!$M$15*'TUSD BF'!$M$58</f>
        <v>0</v>
      </c>
      <c r="N15" s="26">
        <f ca="1">'TUSD BE'!$N$15*'TUSD BF'!$N$58</f>
        <v>0</v>
      </c>
      <c r="O15" s="26">
        <f>'TUSD BE'!$O$15*'TUSD BF'!$O$58</f>
        <v>0</v>
      </c>
      <c r="P15" s="26">
        <f>'TUSD BE'!$P$15*'TUSD BF'!$P$58</f>
        <v>0</v>
      </c>
      <c r="Q15" s="26">
        <f>'TUSD BE'!$Q$15*'TUSD BF'!$Q$58</f>
        <v>0</v>
      </c>
      <c r="R15" s="26">
        <f>'TUSD BE'!$R$15*'TUSD BF'!$R$58</f>
        <v>0</v>
      </c>
      <c r="S15" s="26">
        <f>'TUSD BE'!$R$15*'TUSD BF'!$S$58</f>
        <v>0</v>
      </c>
      <c r="T15" s="26">
        <f ca="1">SUM($L$15:$S$15)</f>
        <v>0</v>
      </c>
      <c r="U15" s="26">
        <f>'TUSD BE'!$U$15*'TUSD BF'!$U$58</f>
        <v>0</v>
      </c>
      <c r="V15" s="26">
        <f>'TUSD BE'!$V$15*'TUSD BF'!$V$58</f>
        <v>0</v>
      </c>
      <c r="W15" s="26">
        <f>'TUSD BE'!$W$15*'TUSD BF'!$W$58</f>
        <v>0</v>
      </c>
      <c r="X15" s="26">
        <f>'TUSD BE'!$X$15*'TUSD BF'!$X$58</f>
        <v>0</v>
      </c>
      <c r="Y15" s="26">
        <f>'TUSD BE'!$Y$15*'TUSD BF'!$Y$58</f>
        <v>0</v>
      </c>
      <c r="Z15" s="26">
        <f>'TUSD BE'!$Z$15*'TUSD BF'!$Z$58</f>
        <v>0</v>
      </c>
      <c r="AA15" s="26">
        <f>'TUSD BE'!$AA$15*'TUSD BF'!$AA$58</f>
        <v>0</v>
      </c>
      <c r="AB15" s="26">
        <f>SUM($U$15:$AA$15)</f>
        <v>0</v>
      </c>
      <c r="AC15" s="26">
        <f>'TUSD BE'!$AC$15*'TUSD BF'!$AC$58</f>
        <v>0</v>
      </c>
      <c r="AD15" s="26">
        <f>SUM($AC$15:$AC$15)</f>
        <v>0</v>
      </c>
      <c r="AE15" s="26">
        <f ca="1">$AO$15*$AO$55</f>
        <v>0</v>
      </c>
      <c r="AF15" s="26">
        <f ca="1">$AP$15*$AP$55</f>
        <v>0</v>
      </c>
      <c r="AG15" s="26">
        <f ca="1">SUM($AE$15:$AF$15)</f>
        <v>0</v>
      </c>
      <c r="AH15" s="26">
        <f>'TUSD BE'!$AH$15*'TUSD BF'!$AH$58</f>
        <v>0</v>
      </c>
      <c r="AI15" s="26">
        <f>'TUSD BE'!$AI$15*'TUSD BF'!$AI$58</f>
        <v>0</v>
      </c>
      <c r="AJ15" s="26">
        <f ca="1">'TUSD BE'!$AJ$15*'TUSD BF'!$AJ$58</f>
        <v>0</v>
      </c>
      <c r="AK15" s="26">
        <f ca="1">'TUSD BE'!$AK$15*'TUSD BF'!$AK$58</f>
        <v>0</v>
      </c>
      <c r="AL15" s="26">
        <f ca="1">SUM($AH$15:$AK$15)</f>
        <v>0</v>
      </c>
      <c r="AM15" s="26">
        <f ca="1">SUMIF($L$4:$AL$4,"SUBTOTAL",$L$15:$AL$15)</f>
        <v>0</v>
      </c>
      <c r="AO15" s="50">
        <f ca="1">+'TUSD BE'!$T$15+'TUSD BE'!$AB$15+'TUSD BE'!$AD$15+'TUSD BE'!$AL$15</f>
        <v>5.8477210428984003</v>
      </c>
      <c r="AP15" s="50">
        <f ca="1">+'TUSD BE'!$T$15+'TUSD BE'!$AB$15+'TUSD BE'!$AD$15+'TUSD BE'!$AL$15</f>
        <v>5.8477210428984003</v>
      </c>
    </row>
    <row r="16" spans="1:42" ht="11.25" customHeight="1" x14ac:dyDescent="0.25">
      <c r="A16" s="131"/>
      <c r="B16" s="131"/>
      <c r="C16" s="131"/>
      <c r="D16" s="131"/>
      <c r="E16" s="48" t="s">
        <v>87</v>
      </c>
      <c r="F16" s="48" t="s">
        <v>25</v>
      </c>
      <c r="G16" s="44" t="s">
        <v>9</v>
      </c>
      <c r="H16" s="44" t="s">
        <v>79</v>
      </c>
      <c r="I16" s="44">
        <f>'MERCADO TUSD'!$U$13+0.00000001</f>
        <v>1E-8</v>
      </c>
      <c r="J16" s="18"/>
      <c r="L16" s="26">
        <f>'TUSD BE'!$L$16*'TUSD BF'!$L$58</f>
        <v>0</v>
      </c>
      <c r="M16" s="26">
        <f>'TUSD BE'!$M$16*'TUSD BF'!$M$58</f>
        <v>0</v>
      </c>
      <c r="N16" s="26">
        <f ca="1">'TUSD BE'!$N$16*'TUSD BF'!$N$58</f>
        <v>0</v>
      </c>
      <c r="O16" s="26">
        <f>'TUSD BE'!$O$16*'TUSD BF'!$O$58</f>
        <v>0</v>
      </c>
      <c r="P16" s="26">
        <f>'TUSD BE'!$P$16*'TUSD BF'!$P$58</f>
        <v>0</v>
      </c>
      <c r="Q16" s="26">
        <f>'TUSD BE'!$Q$16*'TUSD BF'!$Q$58</f>
        <v>0</v>
      </c>
      <c r="R16" s="26">
        <f>'TUSD BE'!$R$16*'TUSD BF'!$R$58</f>
        <v>0</v>
      </c>
      <c r="S16" s="26">
        <f>'TUSD BE'!$R$16*'TUSD BF'!$S$58</f>
        <v>0</v>
      </c>
      <c r="T16" s="26">
        <f ca="1">SUM($L$16:$S$16)</f>
        <v>0</v>
      </c>
      <c r="U16" s="26">
        <f>'TUSD BE'!$U$16*'TUSD BF'!$U$58</f>
        <v>0</v>
      </c>
      <c r="V16" s="26">
        <f>'TUSD BE'!$V$16*'TUSD BF'!$V$58</f>
        <v>0</v>
      </c>
      <c r="W16" s="26">
        <f>'TUSD BE'!$W$16*'TUSD BF'!$W$58</f>
        <v>0</v>
      </c>
      <c r="X16" s="26">
        <f>'TUSD BE'!$X$16*'TUSD BF'!$X$58</f>
        <v>0</v>
      </c>
      <c r="Y16" s="26">
        <f>'TUSD BE'!$Y$16*'TUSD BF'!$Y$58</f>
        <v>0</v>
      </c>
      <c r="Z16" s="26">
        <f>'TUSD BE'!$Z$16*'TUSD BF'!$Z$58</f>
        <v>0</v>
      </c>
      <c r="AA16" s="26">
        <f>'TUSD BE'!$AA$16*'TUSD BF'!$AA$58</f>
        <v>0</v>
      </c>
      <c r="AB16" s="26">
        <f>SUM($U$16:$AA$16)</f>
        <v>0</v>
      </c>
      <c r="AC16" s="26">
        <f>'TUSD BE'!$AC$16*'TUSD BF'!$AC$58</f>
        <v>0</v>
      </c>
      <c r="AD16" s="26">
        <f>SUM($AC$16:$AC$16)</f>
        <v>0</v>
      </c>
      <c r="AE16" s="26">
        <f ca="1">$AO$16*$AO$55</f>
        <v>0</v>
      </c>
      <c r="AF16" s="26">
        <f ca="1">$AP$16*$AP$55</f>
        <v>0</v>
      </c>
      <c r="AG16" s="26">
        <f ca="1">SUM($AE$16:$AF$16)</f>
        <v>0</v>
      </c>
      <c r="AH16" s="26">
        <f>'TUSD BE'!$AH$16*'TUSD BF'!$AH$58</f>
        <v>0</v>
      </c>
      <c r="AI16" s="26">
        <f>'TUSD BE'!$AI$16*'TUSD BF'!$AI$58</f>
        <v>0</v>
      </c>
      <c r="AJ16" s="26">
        <f ca="1">'TUSD BE'!$AJ$16*'TUSD BF'!$AJ$58</f>
        <v>0</v>
      </c>
      <c r="AK16" s="26">
        <f ca="1">'TUSD BE'!$AK$16*'TUSD BF'!$AK$58</f>
        <v>0</v>
      </c>
      <c r="AL16" s="26">
        <f ca="1">SUM($AH$16:$AK$16)</f>
        <v>0</v>
      </c>
      <c r="AM16" s="26">
        <f ca="1">SUMIF($L$4:$AL$4,"SUBTOTAL",$L$16:$AL$16)</f>
        <v>0</v>
      </c>
      <c r="AO16" s="50">
        <f ca="1">+'TUSD BE'!$T$16+'TUSD BE'!$AB$16+'TUSD BE'!$AD$16+'TUSD BE'!$AL$16</f>
        <v>11.895824903330581</v>
      </c>
      <c r="AP16" s="50">
        <f ca="1">+'TUSD BE'!$T$16+'TUSD BE'!$AB$16+'TUSD BE'!$AD$16+'TUSD BE'!$AL$16</f>
        <v>11.895824903330581</v>
      </c>
    </row>
    <row r="17" spans="1:42" ht="11.25" customHeight="1" x14ac:dyDescent="0.25">
      <c r="A17" s="131" t="s">
        <v>22</v>
      </c>
      <c r="B17" s="131" t="s">
        <v>37</v>
      </c>
      <c r="C17" s="131" t="s">
        <v>24</v>
      </c>
      <c r="D17" s="131" t="s">
        <v>24</v>
      </c>
      <c r="E17" s="131" t="s">
        <v>25</v>
      </c>
      <c r="F17" s="131" t="s">
        <v>25</v>
      </c>
      <c r="G17" s="44" t="s">
        <v>77</v>
      </c>
      <c r="H17" s="44" t="s">
        <v>76</v>
      </c>
      <c r="I17" s="44">
        <f>'MERCADO TUSD'!$U$14</f>
        <v>4.6139999999999999</v>
      </c>
      <c r="J17" s="18"/>
      <c r="L17" s="26">
        <f>'TUSD BE'!$L$17*'TUSD BF'!$L$58</f>
        <v>0</v>
      </c>
      <c r="M17" s="26">
        <f>'TUSD BE'!$M$17*'TUSD BF'!$M$58</f>
        <v>0</v>
      </c>
      <c r="N17" s="26">
        <f ca="1">'TUSD BE'!$N$17*'TUSD BF'!$N$58</f>
        <v>0</v>
      </c>
      <c r="O17" s="26">
        <f>'TUSD BE'!$O$17*'TUSD BF'!$O$58</f>
        <v>0</v>
      </c>
      <c r="P17" s="26">
        <f>'TUSD BE'!$P$17*'TUSD BF'!$P$58</f>
        <v>0</v>
      </c>
      <c r="Q17" s="26">
        <f>'TUSD BE'!$Q$17*'TUSD BF'!$Q$58</f>
        <v>0</v>
      </c>
      <c r="R17" s="26">
        <f>'TUSD BE'!$R$17*'TUSD BF'!$R$58</f>
        <v>0</v>
      </c>
      <c r="S17" s="26">
        <f>'TUSD BE'!$R$17*'TUSD BF'!$S$58</f>
        <v>0</v>
      </c>
      <c r="T17" s="26">
        <f ca="1">SUM($L$17:$S$17)</f>
        <v>0</v>
      </c>
      <c r="U17" s="26">
        <f>'TUSD BE'!$U$17*'TUSD BF'!$U$58</f>
        <v>0</v>
      </c>
      <c r="V17" s="26">
        <f>'TUSD BE'!$V$17*'TUSD BF'!$V$58</f>
        <v>0</v>
      </c>
      <c r="W17" s="26">
        <f>'TUSD BE'!$W$17*'TUSD BF'!$W$58</f>
        <v>0</v>
      </c>
      <c r="X17" s="26">
        <f>'TUSD BE'!$X$17*'TUSD BF'!$X$58</f>
        <v>0</v>
      </c>
      <c r="Y17" s="26">
        <f>'TUSD BE'!$Y$17*'TUSD BF'!$Y$58</f>
        <v>0</v>
      </c>
      <c r="Z17" s="26">
        <f>'TUSD BE'!$Z$17*'TUSD BF'!$Z$58</f>
        <v>0</v>
      </c>
      <c r="AA17" s="26">
        <f>'TUSD BE'!$AA$17*'TUSD BF'!$AA$58</f>
        <v>0</v>
      </c>
      <c r="AB17" s="26">
        <f>SUM($U$17:$AA$17)</f>
        <v>0</v>
      </c>
      <c r="AC17" s="26">
        <f>'TUSD BE'!$AC$17*'TUSD BF'!$AC$58</f>
        <v>0</v>
      </c>
      <c r="AD17" s="26">
        <f>SUM($AC$17:$AC$17)</f>
        <v>0</v>
      </c>
      <c r="AE17" s="26">
        <f ca="1">$AO$17*$AO$55</f>
        <v>0</v>
      </c>
      <c r="AF17" s="26">
        <f ca="1">$AP$17*$AP$55</f>
        <v>0</v>
      </c>
      <c r="AG17" s="26">
        <f ca="1">SUM($AE$17:$AF$17)</f>
        <v>0</v>
      </c>
      <c r="AH17" s="26">
        <f>'TUSD BE'!$AH$17*'TUSD BF'!$AH$58</f>
        <v>0</v>
      </c>
      <c r="AI17" s="26">
        <f>'TUSD BE'!$AI$17*'TUSD BF'!$AI$58</f>
        <v>0</v>
      </c>
      <c r="AJ17" s="26">
        <f ca="1">'TUSD BE'!$AJ$17*'TUSD BF'!$AJ$58</f>
        <v>0</v>
      </c>
      <c r="AK17" s="26">
        <f ca="1">'TUSD BE'!$AK$17*'TUSD BF'!$AK$58</f>
        <v>0</v>
      </c>
      <c r="AL17" s="26">
        <f ca="1">SUM($AH$17:$AK$17)</f>
        <v>0</v>
      </c>
      <c r="AM17" s="26">
        <f ca="1">SUMIF($L$4:$AL$4,"SUBTOTAL",$L$17:$AL$17)</f>
        <v>0</v>
      </c>
      <c r="AO17" s="50">
        <f ca="1">+'TUSD BE'!$T$17+'TUSD BE'!$AB$17+'TUSD BE'!$AD$17+'TUSD BE'!$AL$17</f>
        <v>814.50359315047251</v>
      </c>
      <c r="AP17" s="50">
        <f ca="1">+'TUSD BE'!$T$17+'TUSD BE'!$AB$17+'TUSD BE'!$AD$17+'TUSD BE'!$AL$17</f>
        <v>814.50359315047251</v>
      </c>
    </row>
    <row r="18" spans="1:42" ht="11.25" customHeight="1" x14ac:dyDescent="0.25">
      <c r="A18" s="131"/>
      <c r="B18" s="131"/>
      <c r="C18" s="131"/>
      <c r="D18" s="131"/>
      <c r="E18" s="131"/>
      <c r="F18" s="131"/>
      <c r="G18" s="44" t="s">
        <v>88</v>
      </c>
      <c r="H18" s="44" t="s">
        <v>76</v>
      </c>
      <c r="I18" s="44">
        <f>'MERCADO TUSD'!$U$15</f>
        <v>7.0189999999999992</v>
      </c>
      <c r="J18" s="18"/>
      <c r="L18" s="26">
        <f>'TUSD BE'!$L$18*'TUSD BF'!$L$58</f>
        <v>0</v>
      </c>
      <c r="M18" s="26">
        <f>'TUSD BE'!$M$18*'TUSD BF'!$M$58</f>
        <v>0</v>
      </c>
      <c r="N18" s="26">
        <f ca="1">'TUSD BE'!$N$18*'TUSD BF'!$N$58</f>
        <v>0</v>
      </c>
      <c r="O18" s="26">
        <f>'TUSD BE'!$O$18*'TUSD BF'!$O$58</f>
        <v>0</v>
      </c>
      <c r="P18" s="26">
        <f>'TUSD BE'!$P$18*'TUSD BF'!$P$58</f>
        <v>0</v>
      </c>
      <c r="Q18" s="26">
        <f>'TUSD BE'!$Q$18*'TUSD BF'!$Q$58</f>
        <v>0</v>
      </c>
      <c r="R18" s="26">
        <f>'TUSD BE'!$R$18*'TUSD BF'!$R$58</f>
        <v>0</v>
      </c>
      <c r="S18" s="26">
        <f>'TUSD BE'!$R$18*'TUSD BF'!$S$58</f>
        <v>0</v>
      </c>
      <c r="T18" s="26">
        <f ca="1">SUM($L$18:$S$18)</f>
        <v>0</v>
      </c>
      <c r="U18" s="26">
        <f>'TUSD BE'!$U$18*'TUSD BF'!$U$58</f>
        <v>0</v>
      </c>
      <c r="V18" s="26">
        <f>'TUSD BE'!$V$18*'TUSD BF'!$V$58</f>
        <v>0</v>
      </c>
      <c r="W18" s="26">
        <f>'TUSD BE'!$W$18*'TUSD BF'!$W$58</f>
        <v>0</v>
      </c>
      <c r="X18" s="26">
        <f>'TUSD BE'!$X$18*'TUSD BF'!$X$58</f>
        <v>0</v>
      </c>
      <c r="Y18" s="26">
        <f>'TUSD BE'!$Y$18*'TUSD BF'!$Y$58</f>
        <v>0</v>
      </c>
      <c r="Z18" s="26">
        <f>'TUSD BE'!$Z$18*'TUSD BF'!$Z$58</f>
        <v>0</v>
      </c>
      <c r="AA18" s="26">
        <f>'TUSD BE'!$AA$18*'TUSD BF'!$AA$58</f>
        <v>0</v>
      </c>
      <c r="AB18" s="26">
        <f>SUM($U$18:$AA$18)</f>
        <v>0</v>
      </c>
      <c r="AC18" s="26">
        <f>'TUSD BE'!$AC$18*'TUSD BF'!$AC$58</f>
        <v>0</v>
      </c>
      <c r="AD18" s="26">
        <f>SUM($AC$18:$AC$18)</f>
        <v>0</v>
      </c>
      <c r="AE18" s="26">
        <f ca="1">$AO$18*$AO$55</f>
        <v>0</v>
      </c>
      <c r="AF18" s="26">
        <f ca="1">$AP$18*$AP$55</f>
        <v>0</v>
      </c>
      <c r="AG18" s="26">
        <f ca="1">SUM($AE$18:$AF$18)</f>
        <v>0</v>
      </c>
      <c r="AH18" s="26">
        <f>'TUSD BE'!$AH$18*'TUSD BF'!$AH$58</f>
        <v>0</v>
      </c>
      <c r="AI18" s="26">
        <f>'TUSD BE'!$AI$18*'TUSD BF'!$AI$58</f>
        <v>0</v>
      </c>
      <c r="AJ18" s="26">
        <f ca="1">'TUSD BE'!$AJ$18*'TUSD BF'!$AJ$58</f>
        <v>0</v>
      </c>
      <c r="AK18" s="26">
        <f ca="1">'TUSD BE'!$AK$18*'TUSD BF'!$AK$58</f>
        <v>0</v>
      </c>
      <c r="AL18" s="26">
        <f ca="1">SUM($AH$18:$AK$18)</f>
        <v>0</v>
      </c>
      <c r="AM18" s="26">
        <f ca="1">SUMIF($L$4:$AL$4,"SUBTOTAL",$L$18:$AL$18)</f>
        <v>0</v>
      </c>
      <c r="AO18" s="50">
        <f ca="1">+'TUSD BE'!$T$18+'TUSD BE'!$AB$18+'TUSD BE'!$AD$18+'TUSD BE'!$AL$18</f>
        <v>537.05755293842265</v>
      </c>
      <c r="AP18" s="50">
        <f ca="1">+'TUSD BE'!$T$18+'TUSD BE'!$AB$18+'TUSD BE'!$AD$18+'TUSD BE'!$AL$18</f>
        <v>537.05755293842265</v>
      </c>
    </row>
    <row r="19" spans="1:42" ht="11.25" customHeight="1" x14ac:dyDescent="0.25">
      <c r="A19" s="131"/>
      <c r="B19" s="131"/>
      <c r="C19" s="131"/>
      <c r="D19" s="131"/>
      <c r="E19" s="131"/>
      <c r="F19" s="131"/>
      <c r="G19" s="44" t="s">
        <v>78</v>
      </c>
      <c r="H19" s="44" t="s">
        <v>76</v>
      </c>
      <c r="I19" s="44">
        <f>'MERCADO TUSD'!$U$16</f>
        <v>29.872</v>
      </c>
      <c r="J19" s="18"/>
      <c r="L19" s="26">
        <f>'TUSD BE'!$L$19*'TUSD BF'!$L$58</f>
        <v>0</v>
      </c>
      <c r="M19" s="26">
        <f>'TUSD BE'!$M$19*'TUSD BF'!$M$58</f>
        <v>0</v>
      </c>
      <c r="N19" s="26">
        <f ca="1">'TUSD BE'!$N$19*'TUSD BF'!$N$58</f>
        <v>0</v>
      </c>
      <c r="O19" s="26">
        <f>'TUSD BE'!$O$19*'TUSD BF'!$O$58</f>
        <v>0</v>
      </c>
      <c r="P19" s="26">
        <f>'TUSD BE'!$P$19*'TUSD BF'!$P$58</f>
        <v>0</v>
      </c>
      <c r="Q19" s="26">
        <f>'TUSD BE'!$Q$19*'TUSD BF'!$Q$58</f>
        <v>0</v>
      </c>
      <c r="R19" s="26">
        <f>'TUSD BE'!$R$19*'TUSD BF'!$R$58</f>
        <v>0</v>
      </c>
      <c r="S19" s="26">
        <f>'TUSD BE'!$R$19*'TUSD BF'!$S$58</f>
        <v>0</v>
      </c>
      <c r="T19" s="26">
        <f ca="1">SUM($L$19:$S$19)</f>
        <v>0</v>
      </c>
      <c r="U19" s="26">
        <f>'TUSD BE'!$U$19*'TUSD BF'!$U$58</f>
        <v>0</v>
      </c>
      <c r="V19" s="26">
        <f>'TUSD BE'!$V$19*'TUSD BF'!$V$58</f>
        <v>0</v>
      </c>
      <c r="W19" s="26">
        <f>'TUSD BE'!$W$19*'TUSD BF'!$W$58</f>
        <v>0</v>
      </c>
      <c r="X19" s="26">
        <f>'TUSD BE'!$X$19*'TUSD BF'!$X$58</f>
        <v>0</v>
      </c>
      <c r="Y19" s="26">
        <f>'TUSD BE'!$Y$19*'TUSD BF'!$Y$58</f>
        <v>0</v>
      </c>
      <c r="Z19" s="26">
        <f>'TUSD BE'!$Z$19*'TUSD BF'!$Z$58</f>
        <v>0</v>
      </c>
      <c r="AA19" s="26">
        <f>'TUSD BE'!$AA$19*'TUSD BF'!$AA$58</f>
        <v>0</v>
      </c>
      <c r="AB19" s="26">
        <f>SUM($U$19:$AA$19)</f>
        <v>0</v>
      </c>
      <c r="AC19" s="26">
        <f>'TUSD BE'!$AC$19*'TUSD BF'!$AC$58</f>
        <v>0</v>
      </c>
      <c r="AD19" s="26">
        <f>SUM($AC$19:$AC$19)</f>
        <v>0</v>
      </c>
      <c r="AE19" s="26">
        <f ca="1">$AO$19*$AO$55</f>
        <v>0</v>
      </c>
      <c r="AF19" s="26">
        <f ca="1">$AP$19*$AP$55</f>
        <v>0</v>
      </c>
      <c r="AG19" s="26">
        <f ca="1">SUM($AE$19:$AF$19)</f>
        <v>0</v>
      </c>
      <c r="AH19" s="26">
        <f>'TUSD BE'!$AH$19*'TUSD BF'!$AH$58</f>
        <v>0</v>
      </c>
      <c r="AI19" s="26">
        <f>'TUSD BE'!$AI$19*'TUSD BF'!$AI$58</f>
        <v>0</v>
      </c>
      <c r="AJ19" s="26">
        <f ca="1">'TUSD BE'!$AJ$19*'TUSD BF'!$AJ$58</f>
        <v>0</v>
      </c>
      <c r="AK19" s="26">
        <f ca="1">'TUSD BE'!$AK$19*'TUSD BF'!$AK$58</f>
        <v>0</v>
      </c>
      <c r="AL19" s="26">
        <f ca="1">SUM($AH$19:$AK$19)</f>
        <v>0</v>
      </c>
      <c r="AM19" s="26">
        <f ca="1">SUMIF($L$4:$AL$4,"SUBTOTAL",$L$19:$AL$19)</f>
        <v>0</v>
      </c>
      <c r="AO19" s="50">
        <f ca="1">+'TUSD BE'!$T$19+'TUSD BE'!$AB$19+'TUSD BE'!$AD$19+'TUSD BE'!$AL$19</f>
        <v>259.61064334264199</v>
      </c>
      <c r="AP19" s="50">
        <f ca="1">+'TUSD BE'!$T$19+'TUSD BE'!$AB$19+'TUSD BE'!$AD$19+'TUSD BE'!$AL$19</f>
        <v>259.61064334264199</v>
      </c>
    </row>
    <row r="20" spans="1:42" ht="11.25" customHeight="1" x14ac:dyDescent="0.25">
      <c r="A20" s="131"/>
      <c r="B20" s="131" t="s">
        <v>23</v>
      </c>
      <c r="C20" s="131" t="s">
        <v>24</v>
      </c>
      <c r="D20" s="48" t="s">
        <v>24</v>
      </c>
      <c r="E20" s="48" t="s">
        <v>25</v>
      </c>
      <c r="F20" s="48" t="s">
        <v>25</v>
      </c>
      <c r="G20" s="44" t="s">
        <v>82</v>
      </c>
      <c r="H20" s="44" t="s">
        <v>76</v>
      </c>
      <c r="I20" s="44">
        <f>'MERCADO TUSD'!$U$17</f>
        <v>25648.588</v>
      </c>
      <c r="J20" s="18"/>
      <c r="L20" s="26">
        <f>'TUSD BE'!$L$20*'TUSD BF'!$L$58</f>
        <v>0</v>
      </c>
      <c r="M20" s="26">
        <f>'TUSD BE'!$M$20*'TUSD BF'!$M$58</f>
        <v>0</v>
      </c>
      <c r="N20" s="26">
        <f ca="1">'TUSD BE'!$N$20*'TUSD BF'!$N$58</f>
        <v>0</v>
      </c>
      <c r="O20" s="26">
        <f>'TUSD BE'!$O$20*'TUSD BF'!$O$58</f>
        <v>0</v>
      </c>
      <c r="P20" s="26">
        <f>'TUSD BE'!$P$20*'TUSD BF'!$P$58</f>
        <v>0</v>
      </c>
      <c r="Q20" s="26">
        <f>'TUSD BE'!$Q$20*'TUSD BF'!$Q$58</f>
        <v>0</v>
      </c>
      <c r="R20" s="26">
        <f>'TUSD BE'!$R$20*'TUSD BF'!$R$58</f>
        <v>0</v>
      </c>
      <c r="S20" s="26">
        <f>'TUSD BE'!$R$20*'TUSD BF'!$S$58</f>
        <v>0</v>
      </c>
      <c r="T20" s="26">
        <f ca="1">SUM($L$20:$S$20)</f>
        <v>0</v>
      </c>
      <c r="U20" s="26">
        <f>'TUSD BE'!$U$20*'TUSD BF'!$U$58</f>
        <v>0</v>
      </c>
      <c r="V20" s="26">
        <f>'TUSD BE'!$V$20*'TUSD BF'!$V$58</f>
        <v>0</v>
      </c>
      <c r="W20" s="26">
        <f>'TUSD BE'!$W$20*'TUSD BF'!$W$58</f>
        <v>0</v>
      </c>
      <c r="X20" s="26">
        <f>'TUSD BE'!$X$20*'TUSD BF'!$X$58</f>
        <v>0</v>
      </c>
      <c r="Y20" s="26">
        <f>'TUSD BE'!$Y$20*'TUSD BF'!$Y$58</f>
        <v>0</v>
      </c>
      <c r="Z20" s="26">
        <f>'TUSD BE'!$Z$20*'TUSD BF'!$Z$58</f>
        <v>0</v>
      </c>
      <c r="AA20" s="26">
        <f>'TUSD BE'!$AA$20*'TUSD BF'!$AA$58</f>
        <v>0</v>
      </c>
      <c r="AB20" s="26">
        <f>SUM($U$20:$AA$20)</f>
        <v>0</v>
      </c>
      <c r="AC20" s="26">
        <f>'TUSD BE'!$AC$20*'TUSD BF'!$AC$58</f>
        <v>0</v>
      </c>
      <c r="AD20" s="26">
        <f>SUM($AC$20:$AC$20)</f>
        <v>0</v>
      </c>
      <c r="AE20" s="26">
        <f ca="1">$AO$20*$AO$55</f>
        <v>0</v>
      </c>
      <c r="AF20" s="26">
        <f ca="1">$AP$20*$AP$55</f>
        <v>0</v>
      </c>
      <c r="AG20" s="26">
        <f ca="1">SUM($AE$20:$AF$20)</f>
        <v>0</v>
      </c>
      <c r="AH20" s="26">
        <f>'TUSD BE'!$AH$20*'TUSD BF'!$AH$58</f>
        <v>0</v>
      </c>
      <c r="AI20" s="26">
        <f>'TUSD BE'!$AI$20*'TUSD BF'!$AI$58</f>
        <v>0</v>
      </c>
      <c r="AJ20" s="26">
        <f ca="1">'TUSD BE'!$AJ$20*'TUSD BF'!$AJ$58</f>
        <v>0</v>
      </c>
      <c r="AK20" s="26">
        <f ca="1">'TUSD BE'!$AK$20*'TUSD BF'!$AK$58</f>
        <v>0</v>
      </c>
      <c r="AL20" s="26">
        <f ca="1">SUM($AH$20:$AK$20)</f>
        <v>0</v>
      </c>
      <c r="AM20" s="26">
        <f ca="1">SUMIF($L$4:$AL$4,"SUBTOTAL",$L$20:$AL$20)</f>
        <v>0</v>
      </c>
      <c r="AO20" s="50">
        <f ca="1">+'TUSD BE'!$T$20+'TUSD BE'!$AB$20+'TUSD BE'!$AD$20+'TUSD BE'!$AL$20</f>
        <v>398.33390532713378</v>
      </c>
      <c r="AP20" s="50">
        <f ca="1">+'TUSD BE'!$T$20+'TUSD BE'!$AB$20+'TUSD BE'!$AD$20+'TUSD BE'!$AL$20</f>
        <v>398.33390532713378</v>
      </c>
    </row>
    <row r="21" spans="1:42" ht="11.25" customHeight="1" x14ac:dyDescent="0.25">
      <c r="A21" s="131"/>
      <c r="B21" s="131"/>
      <c r="C21" s="131"/>
      <c r="D21" s="48" t="s">
        <v>29</v>
      </c>
      <c r="E21" s="48" t="s">
        <v>25</v>
      </c>
      <c r="F21" s="48" t="s">
        <v>25</v>
      </c>
      <c r="G21" s="44" t="s">
        <v>82</v>
      </c>
      <c r="H21" s="44" t="s">
        <v>76</v>
      </c>
      <c r="I21" s="44">
        <f>'MERCADO TUSD'!$U$18</f>
        <v>203.58</v>
      </c>
      <c r="J21" s="18"/>
      <c r="L21" s="26">
        <f>'TUSD BE'!$L$21*'TUSD BF'!$L$58</f>
        <v>0</v>
      </c>
      <c r="M21" s="26">
        <f>'TUSD BE'!$M$21*'TUSD BF'!$M$58</f>
        <v>0</v>
      </c>
      <c r="N21" s="26">
        <f ca="1">'TUSD BE'!$N$21*'TUSD BF'!$N$58</f>
        <v>0</v>
      </c>
      <c r="O21" s="26">
        <f>'TUSD BE'!$O$21*'TUSD BF'!$O$58</f>
        <v>0</v>
      </c>
      <c r="P21" s="26">
        <f>'TUSD BE'!$P$21*'TUSD BF'!$P$58</f>
        <v>0</v>
      </c>
      <c r="Q21" s="26">
        <f>'TUSD BE'!$Q$21*'TUSD BF'!$Q$58</f>
        <v>0</v>
      </c>
      <c r="R21" s="26">
        <f>'TUSD BE'!$R$21*'TUSD BF'!$R$58</f>
        <v>0</v>
      </c>
      <c r="S21" s="26">
        <f>'TUSD BE'!$R$21*'TUSD BF'!$S$58</f>
        <v>0</v>
      </c>
      <c r="T21" s="26">
        <f ca="1">SUM($L$21:$S$21)</f>
        <v>0</v>
      </c>
      <c r="U21" s="26">
        <f>'TUSD BE'!$U$21*'TUSD BF'!$U$58</f>
        <v>0</v>
      </c>
      <c r="V21" s="26">
        <f>'TUSD BE'!$V$21*'TUSD BF'!$V$58</f>
        <v>0</v>
      </c>
      <c r="W21" s="26">
        <f>'TUSD BE'!$W$21*'TUSD BF'!$W$58</f>
        <v>0</v>
      </c>
      <c r="X21" s="26">
        <f>'TUSD BE'!$X$21*'TUSD BF'!$X$58</f>
        <v>0</v>
      </c>
      <c r="Y21" s="26">
        <f>'TUSD BE'!$Y$21*'TUSD BF'!$Y$58</f>
        <v>0</v>
      </c>
      <c r="Z21" s="26">
        <f>'TUSD BE'!$Z$21*'TUSD BF'!$Z$58</f>
        <v>0</v>
      </c>
      <c r="AA21" s="26">
        <f>'TUSD BE'!$AA$21*'TUSD BF'!$AA$58</f>
        <v>0</v>
      </c>
      <c r="AB21" s="26">
        <f>SUM($U$21:$AA$21)</f>
        <v>0</v>
      </c>
      <c r="AC21" s="26">
        <f>'TUSD BE'!$AC$21*'TUSD BF'!$AC$58</f>
        <v>0</v>
      </c>
      <c r="AD21" s="26">
        <f>SUM($AC$21:$AC$21)</f>
        <v>0</v>
      </c>
      <c r="AE21" s="26">
        <f ca="1">$AO$21*$AO$55</f>
        <v>0</v>
      </c>
      <c r="AF21" s="26">
        <f ca="1">$AP$21*$AP$55</f>
        <v>0</v>
      </c>
      <c r="AG21" s="26">
        <f ca="1">SUM($AE$21:$AF$21)</f>
        <v>0</v>
      </c>
      <c r="AH21" s="26">
        <f>'TUSD BE'!$AH$21*'TUSD BF'!$AH$58</f>
        <v>0</v>
      </c>
      <c r="AI21" s="26">
        <f>'TUSD BE'!$AI$21*'TUSD BF'!$AI$58</f>
        <v>0</v>
      </c>
      <c r="AJ21" s="26">
        <f ca="1">'TUSD BE'!$AJ$21*'TUSD BF'!$AJ$58</f>
        <v>0</v>
      </c>
      <c r="AK21" s="26">
        <f ca="1">'TUSD BE'!$AK$21*'TUSD BF'!$AK$58</f>
        <v>0</v>
      </c>
      <c r="AL21" s="26">
        <f ca="1">SUM($AH$21:$AK$21)</f>
        <v>0</v>
      </c>
      <c r="AM21" s="26">
        <f ca="1">SUMIF($L$4:$AL$4,"SUBTOTAL",$L$21:$AL$21)</f>
        <v>0</v>
      </c>
      <c r="AO21" s="50">
        <f ca="1">+'TUSD BE'!$T$21+'TUSD BE'!$AB$21+'TUSD BE'!$AD$21+'TUSD BE'!$AL$21</f>
        <v>293.64874616677952</v>
      </c>
      <c r="AP21" s="50">
        <f ca="1">+'TUSD BE'!$T$21+'TUSD BE'!$AB$21+'TUSD BE'!$AD$21+'TUSD BE'!$AL$21</f>
        <v>293.64874616677952</v>
      </c>
    </row>
    <row r="22" spans="1:42" ht="11.25" customHeight="1" x14ac:dyDescent="0.25">
      <c r="A22" s="131"/>
      <c r="B22" s="131"/>
      <c r="C22" s="131"/>
      <c r="D22" s="48" t="s">
        <v>30</v>
      </c>
      <c r="E22" s="48" t="s">
        <v>25</v>
      </c>
      <c r="F22" s="48" t="s">
        <v>25</v>
      </c>
      <c r="G22" s="44" t="s">
        <v>82</v>
      </c>
      <c r="H22" s="44" t="s">
        <v>76</v>
      </c>
      <c r="I22" s="44">
        <f>'MERCADO TUSD'!$U$19</f>
        <v>441.75700000000001</v>
      </c>
      <c r="J22" s="18"/>
      <c r="L22" s="26">
        <f>'TUSD BE'!$L$22*'TUSD BF'!$L$58</f>
        <v>0</v>
      </c>
      <c r="M22" s="26">
        <f>'TUSD BE'!$M$22*'TUSD BF'!$M$58</f>
        <v>0</v>
      </c>
      <c r="N22" s="26">
        <f ca="1">'TUSD BE'!$N$22*'TUSD BF'!$N$58</f>
        <v>0</v>
      </c>
      <c r="O22" s="26">
        <f>'TUSD BE'!$O$22*'TUSD BF'!$O$58</f>
        <v>0</v>
      </c>
      <c r="P22" s="26">
        <f>'TUSD BE'!$P$22*'TUSD BF'!$P$58</f>
        <v>0</v>
      </c>
      <c r="Q22" s="26">
        <f>'TUSD BE'!$Q$22*'TUSD BF'!$Q$58</f>
        <v>0</v>
      </c>
      <c r="R22" s="26">
        <f>'TUSD BE'!$R$22*'TUSD BF'!$R$58</f>
        <v>0</v>
      </c>
      <c r="S22" s="26">
        <f>'TUSD BE'!$R$22*'TUSD BF'!$S$58</f>
        <v>0</v>
      </c>
      <c r="T22" s="26">
        <f ca="1">SUM($L$22:$S$22)</f>
        <v>0</v>
      </c>
      <c r="U22" s="26">
        <f>'TUSD BE'!$U$22*'TUSD BF'!$U$58</f>
        <v>0</v>
      </c>
      <c r="V22" s="26">
        <f>'TUSD BE'!$V$22*'TUSD BF'!$V$58</f>
        <v>0</v>
      </c>
      <c r="W22" s="26">
        <f>'TUSD BE'!$W$22*'TUSD BF'!$W$58</f>
        <v>0</v>
      </c>
      <c r="X22" s="26">
        <f>'TUSD BE'!$X$22*'TUSD BF'!$X$58</f>
        <v>0</v>
      </c>
      <c r="Y22" s="26">
        <f>'TUSD BE'!$Y$22*'TUSD BF'!$Y$58</f>
        <v>0</v>
      </c>
      <c r="Z22" s="26">
        <f>'TUSD BE'!$Z$22*'TUSD BF'!$Z$58</f>
        <v>0</v>
      </c>
      <c r="AA22" s="26">
        <f>'TUSD BE'!$AA$22*'TUSD BF'!$AA$58</f>
        <v>0</v>
      </c>
      <c r="AB22" s="26">
        <f>SUM($U$22:$AA$22)</f>
        <v>0</v>
      </c>
      <c r="AC22" s="26">
        <f>'TUSD BE'!$AC$22*'TUSD BF'!$AC$58</f>
        <v>0</v>
      </c>
      <c r="AD22" s="26">
        <f>SUM($AC$22:$AC$22)</f>
        <v>0</v>
      </c>
      <c r="AE22" s="26">
        <f ca="1">$AO$22*$AO$55</f>
        <v>0</v>
      </c>
      <c r="AF22" s="26">
        <f ca="1">$AP$22*$AP$55</f>
        <v>0</v>
      </c>
      <c r="AG22" s="26">
        <f ca="1">SUM($AE$22:$AF$22)</f>
        <v>0</v>
      </c>
      <c r="AH22" s="26">
        <f>'TUSD BE'!$AH$22*'TUSD BF'!$AH$58</f>
        <v>0</v>
      </c>
      <c r="AI22" s="26">
        <f>'TUSD BE'!$AI$22*'TUSD BF'!$AI$58</f>
        <v>0</v>
      </c>
      <c r="AJ22" s="26">
        <f ca="1">'TUSD BE'!$AJ$22*'TUSD BF'!$AJ$58</f>
        <v>0</v>
      </c>
      <c r="AK22" s="26">
        <f ca="1">'TUSD BE'!$AK$22*'TUSD BF'!$AK$58</f>
        <v>0</v>
      </c>
      <c r="AL22" s="26">
        <f ca="1">SUM($AH$22:$AK$22)</f>
        <v>0</v>
      </c>
      <c r="AM22" s="26">
        <f ca="1">SUMIF($L$4:$AL$4,"SUBTOTAL",$L$22:$AL$22)</f>
        <v>0</v>
      </c>
      <c r="AO22" s="50">
        <f ca="1">+'TUSD BE'!$T$22+'TUSD BE'!$AB$22+'TUSD BE'!$AD$22+'TUSD BE'!$AL$22</f>
        <v>293.64874616677952</v>
      </c>
      <c r="AP22" s="50">
        <f ca="1">+'TUSD BE'!$T$22+'TUSD BE'!$AB$22+'TUSD BE'!$AD$22+'TUSD BE'!$AL$22</f>
        <v>293.64874616677952</v>
      </c>
    </row>
    <row r="23" spans="1:42" ht="11.25" customHeight="1" x14ac:dyDescent="0.25">
      <c r="A23" s="131"/>
      <c r="B23" s="131"/>
      <c r="C23" s="131"/>
      <c r="D23" s="48" t="s">
        <v>31</v>
      </c>
      <c r="E23" s="48" t="s">
        <v>25</v>
      </c>
      <c r="F23" s="48" t="s">
        <v>25</v>
      </c>
      <c r="G23" s="44" t="s">
        <v>82</v>
      </c>
      <c r="H23" s="44" t="s">
        <v>76</v>
      </c>
      <c r="I23" s="44">
        <f>'MERCADO TUSD'!$U$20</f>
        <v>380.55199999999996</v>
      </c>
      <c r="J23" s="18"/>
      <c r="L23" s="26">
        <f>'TUSD BE'!$L$23*'TUSD BF'!$L$58</f>
        <v>0</v>
      </c>
      <c r="M23" s="26">
        <f>'TUSD BE'!$M$23*'TUSD BF'!$M$58</f>
        <v>0</v>
      </c>
      <c r="N23" s="26">
        <f ca="1">'TUSD BE'!$N$23*'TUSD BF'!$N$58</f>
        <v>0</v>
      </c>
      <c r="O23" s="26">
        <f>'TUSD BE'!$O$23*'TUSD BF'!$O$58</f>
        <v>0</v>
      </c>
      <c r="P23" s="26">
        <f>'TUSD BE'!$P$23*'TUSD BF'!$P$58</f>
        <v>0</v>
      </c>
      <c r="Q23" s="26">
        <f>'TUSD BE'!$Q$23*'TUSD BF'!$Q$58</f>
        <v>0</v>
      </c>
      <c r="R23" s="26">
        <f>'TUSD BE'!$R$23*'TUSD BF'!$R$58</f>
        <v>0</v>
      </c>
      <c r="S23" s="26">
        <f>'TUSD BE'!$R$23*'TUSD BF'!$S$58</f>
        <v>0</v>
      </c>
      <c r="T23" s="26">
        <f ca="1">SUM($L$23:$S$23)</f>
        <v>0</v>
      </c>
      <c r="U23" s="26">
        <f>'TUSD BE'!$U$23*'TUSD BF'!$U$58</f>
        <v>0</v>
      </c>
      <c r="V23" s="26">
        <f>'TUSD BE'!$V$23*'TUSD BF'!$V$58</f>
        <v>0</v>
      </c>
      <c r="W23" s="26">
        <f>'TUSD BE'!$W$23*'TUSD BF'!$W$58</f>
        <v>0</v>
      </c>
      <c r="X23" s="26">
        <f>'TUSD BE'!$X$23*'TUSD BF'!$X$58</f>
        <v>0</v>
      </c>
      <c r="Y23" s="26">
        <f>'TUSD BE'!$Y$23*'TUSD BF'!$Y$58</f>
        <v>0</v>
      </c>
      <c r="Z23" s="26">
        <f>'TUSD BE'!$Z$23*'TUSD BF'!$Z$58</f>
        <v>0</v>
      </c>
      <c r="AA23" s="26">
        <f>'TUSD BE'!$AA$23*'TUSD BF'!$AA$58</f>
        <v>0</v>
      </c>
      <c r="AB23" s="26">
        <f>SUM($U$23:$AA$23)</f>
        <v>0</v>
      </c>
      <c r="AC23" s="26">
        <f>'TUSD BE'!$AC$23*'TUSD BF'!$AC$58</f>
        <v>0</v>
      </c>
      <c r="AD23" s="26">
        <f>SUM($AC$23:$AC$23)</f>
        <v>0</v>
      </c>
      <c r="AE23" s="26">
        <f ca="1">$AO$23*$AO$55</f>
        <v>0</v>
      </c>
      <c r="AF23" s="26">
        <f ca="1">$AP$23*$AP$55</f>
        <v>0</v>
      </c>
      <c r="AG23" s="26">
        <f ca="1">SUM($AE$23:$AF$23)</f>
        <v>0</v>
      </c>
      <c r="AH23" s="26">
        <f>'TUSD BE'!$AH$23*'TUSD BF'!$AH$58</f>
        <v>0</v>
      </c>
      <c r="AI23" s="26">
        <f>'TUSD BE'!$AI$23*'TUSD BF'!$AI$58</f>
        <v>0</v>
      </c>
      <c r="AJ23" s="26">
        <f ca="1">'TUSD BE'!$AJ$23*'TUSD BF'!$AJ$58</f>
        <v>0</v>
      </c>
      <c r="AK23" s="26">
        <f ca="1">'TUSD BE'!$AK$23*'TUSD BF'!$AK$58</f>
        <v>0</v>
      </c>
      <c r="AL23" s="26">
        <f ca="1">SUM($AH$23:$AK$23)</f>
        <v>0</v>
      </c>
      <c r="AM23" s="26">
        <f ca="1">SUMIF($L$4:$AL$4,"SUBTOTAL",$L$23:$AL$23)</f>
        <v>0</v>
      </c>
      <c r="AO23" s="50">
        <f ca="1">+'TUSD BE'!$T$23+'TUSD BE'!$AB$23+'TUSD BE'!$AD$23+'TUSD BE'!$AL$23</f>
        <v>293.64874616677952</v>
      </c>
      <c r="AP23" s="50">
        <f ca="1">+'TUSD BE'!$T$23+'TUSD BE'!$AB$23+'TUSD BE'!$AD$23+'TUSD BE'!$AL$23</f>
        <v>293.64874616677952</v>
      </c>
    </row>
    <row r="24" spans="1:42" ht="11.25" customHeight="1" x14ac:dyDescent="0.25">
      <c r="A24" s="131"/>
      <c r="B24" s="131"/>
      <c r="C24" s="131"/>
      <c r="D24" s="48" t="s">
        <v>32</v>
      </c>
      <c r="E24" s="48" t="s">
        <v>25</v>
      </c>
      <c r="F24" s="48" t="s">
        <v>25</v>
      </c>
      <c r="G24" s="44" t="s">
        <v>82</v>
      </c>
      <c r="H24" s="44" t="s">
        <v>76</v>
      </c>
      <c r="I24" s="44">
        <f>'MERCADO TUSD'!$U$21</f>
        <v>85.721000000000004</v>
      </c>
      <c r="J24" s="18"/>
      <c r="L24" s="26">
        <f>'TUSD BE'!$L$24*'TUSD BF'!$L$58</f>
        <v>0</v>
      </c>
      <c r="M24" s="26">
        <f>'TUSD BE'!$M$24*'TUSD BF'!$M$58</f>
        <v>0</v>
      </c>
      <c r="N24" s="26">
        <f ca="1">'TUSD BE'!$N$24*'TUSD BF'!$N$58</f>
        <v>0</v>
      </c>
      <c r="O24" s="26">
        <f>'TUSD BE'!$O$24*'TUSD BF'!$O$58</f>
        <v>0</v>
      </c>
      <c r="P24" s="26">
        <f>'TUSD BE'!$P$24*'TUSD BF'!$P$58</f>
        <v>0</v>
      </c>
      <c r="Q24" s="26">
        <f>'TUSD BE'!$Q$24*'TUSD BF'!$Q$58</f>
        <v>0</v>
      </c>
      <c r="R24" s="26">
        <f>'TUSD BE'!$R$24*'TUSD BF'!$R$58</f>
        <v>0</v>
      </c>
      <c r="S24" s="26">
        <f>'TUSD BE'!$R$24*'TUSD BF'!$S$58</f>
        <v>0</v>
      </c>
      <c r="T24" s="26">
        <f ca="1">SUM($L$24:$S$24)</f>
        <v>0</v>
      </c>
      <c r="U24" s="26">
        <f>'TUSD BE'!$U$24*'TUSD BF'!$U$58</f>
        <v>0</v>
      </c>
      <c r="V24" s="26">
        <f>'TUSD BE'!$V$24*'TUSD BF'!$V$58</f>
        <v>0</v>
      </c>
      <c r="W24" s="26">
        <f>'TUSD BE'!$W$24*'TUSD BF'!$W$58</f>
        <v>0</v>
      </c>
      <c r="X24" s="26">
        <f>'TUSD BE'!$X$24*'TUSD BF'!$X$58</f>
        <v>0</v>
      </c>
      <c r="Y24" s="26">
        <f>'TUSD BE'!$Y$24*'TUSD BF'!$Y$58</f>
        <v>0</v>
      </c>
      <c r="Z24" s="26">
        <f>'TUSD BE'!$Z$24*'TUSD BF'!$Z$58</f>
        <v>0</v>
      </c>
      <c r="AA24" s="26">
        <f>'TUSD BE'!$AA$24*'TUSD BF'!$AA$58</f>
        <v>0</v>
      </c>
      <c r="AB24" s="26">
        <f>SUM($U$24:$AA$24)</f>
        <v>0</v>
      </c>
      <c r="AC24" s="26">
        <f>'TUSD BE'!$AC$24*'TUSD BF'!$AC$58</f>
        <v>0</v>
      </c>
      <c r="AD24" s="26">
        <f>SUM($AC$24:$AC$24)</f>
        <v>0</v>
      </c>
      <c r="AE24" s="26">
        <f ca="1">$AO$24*$AO$55</f>
        <v>0</v>
      </c>
      <c r="AF24" s="26">
        <f ca="1">$AP$24*$AP$55</f>
        <v>0</v>
      </c>
      <c r="AG24" s="26">
        <f ca="1">SUM($AE$24:$AF$24)</f>
        <v>0</v>
      </c>
      <c r="AH24" s="26">
        <f>'TUSD BE'!$AH$24*'TUSD BF'!$AH$58</f>
        <v>0</v>
      </c>
      <c r="AI24" s="26">
        <f>'TUSD BE'!$AI$24*'TUSD BF'!$AI$58</f>
        <v>0</v>
      </c>
      <c r="AJ24" s="26">
        <f ca="1">'TUSD BE'!$AJ$24*'TUSD BF'!$AJ$58</f>
        <v>0</v>
      </c>
      <c r="AK24" s="26">
        <f ca="1">'TUSD BE'!$AK$24*'TUSD BF'!$AK$58</f>
        <v>0</v>
      </c>
      <c r="AL24" s="26">
        <f ca="1">SUM($AH$24:$AK$24)</f>
        <v>0</v>
      </c>
      <c r="AM24" s="26">
        <f ca="1">SUMIF($L$4:$AL$4,"SUBTOTAL",$L$24:$AL$24)</f>
        <v>0</v>
      </c>
      <c r="AO24" s="50">
        <f ca="1">+'TUSD BE'!$T$24+'TUSD BE'!$AB$24+'TUSD BE'!$AD$24+'TUSD BE'!$AL$24</f>
        <v>293.64874616677952</v>
      </c>
      <c r="AP24" s="50">
        <f ca="1">+'TUSD BE'!$T$24+'TUSD BE'!$AB$24+'TUSD BE'!$AD$24+'TUSD BE'!$AL$24</f>
        <v>293.64874616677952</v>
      </c>
    </row>
    <row r="25" spans="1:42" ht="11.25" customHeight="1" x14ac:dyDescent="0.25">
      <c r="A25" s="131"/>
      <c r="B25" s="131" t="s">
        <v>91</v>
      </c>
      <c r="C25" s="131" t="s">
        <v>24</v>
      </c>
      <c r="D25" s="48" t="s">
        <v>24</v>
      </c>
      <c r="E25" s="48" t="s">
        <v>25</v>
      </c>
      <c r="F25" s="48" t="s">
        <v>25</v>
      </c>
      <c r="G25" s="44" t="s">
        <v>82</v>
      </c>
      <c r="H25" s="44" t="s">
        <v>76</v>
      </c>
      <c r="I25" s="44">
        <f>'MERCADO TUSD'!$U$22</f>
        <v>0</v>
      </c>
      <c r="J25" s="18"/>
      <c r="L25" s="26">
        <f>'TUSD BE'!$L$25*'TUSD BF'!$L$58</f>
        <v>0</v>
      </c>
      <c r="M25" s="26">
        <f>'TUSD BE'!$M$25*'TUSD BF'!$M$58</f>
        <v>0</v>
      </c>
      <c r="N25" s="26">
        <f ca="1">'TUSD BE'!$N$25*'TUSD BF'!$N$58</f>
        <v>0</v>
      </c>
      <c r="O25" s="26">
        <f>'TUSD BE'!$O$25*'TUSD BF'!$O$58</f>
        <v>0</v>
      </c>
      <c r="P25" s="26">
        <f>'TUSD BE'!$P$25*'TUSD BF'!$P$58</f>
        <v>0</v>
      </c>
      <c r="Q25" s="26">
        <f>'TUSD BE'!$Q$25*'TUSD BF'!$Q$58</f>
        <v>0</v>
      </c>
      <c r="R25" s="26">
        <f>'TUSD BE'!$R$25*'TUSD BF'!$R$58</f>
        <v>0</v>
      </c>
      <c r="S25" s="26">
        <f>'TUSD BE'!$R$25*'TUSD BF'!$S$58</f>
        <v>0</v>
      </c>
      <c r="T25" s="26">
        <f ca="1">SUM($L$25:$S$25)</f>
        <v>0</v>
      </c>
      <c r="U25" s="26">
        <f>'TUSD BE'!$U$25*'TUSD BF'!$U$58</f>
        <v>0</v>
      </c>
      <c r="V25" s="26">
        <f>'TUSD BE'!$V$25*'TUSD BF'!$V$58</f>
        <v>0</v>
      </c>
      <c r="W25" s="26">
        <f>'TUSD BE'!$W$25*'TUSD BF'!$W$58</f>
        <v>0</v>
      </c>
      <c r="X25" s="26">
        <f>'TUSD BE'!$X$25*'TUSD BF'!$X$58</f>
        <v>0</v>
      </c>
      <c r="Y25" s="26">
        <f>'TUSD BE'!$Y$25*'TUSD BF'!$Y$58</f>
        <v>0</v>
      </c>
      <c r="Z25" s="26">
        <f>'TUSD BE'!$Z$25*'TUSD BF'!$Z$58</f>
        <v>0</v>
      </c>
      <c r="AA25" s="26">
        <f>'TUSD BE'!$AA$25*'TUSD BF'!$AA$58</f>
        <v>0</v>
      </c>
      <c r="AB25" s="26">
        <f>SUM($U$25:$AA$25)</f>
        <v>0</v>
      </c>
      <c r="AC25" s="26">
        <f>'TUSD BE'!$AC$25*'TUSD BF'!$AC$58</f>
        <v>0</v>
      </c>
      <c r="AD25" s="26">
        <f>SUM($AC$25:$AC$25)</f>
        <v>0</v>
      </c>
      <c r="AE25" s="26">
        <f ca="1">$AO$25*$AO$55</f>
        <v>0</v>
      </c>
      <c r="AF25" s="26">
        <f ca="1">$AP$25*$AP$55</f>
        <v>0</v>
      </c>
      <c r="AG25" s="26">
        <f ca="1">SUM($AE$25:$AF$25)</f>
        <v>0</v>
      </c>
      <c r="AH25" s="26">
        <f>'TUSD BE'!$AH$25*'TUSD BF'!$AH$58</f>
        <v>0</v>
      </c>
      <c r="AI25" s="26">
        <f>'TUSD BE'!$AI$25*'TUSD BF'!$AI$58</f>
        <v>0</v>
      </c>
      <c r="AJ25" s="26">
        <f ca="1">'TUSD BE'!$AJ$25*'TUSD BF'!$AJ$58</f>
        <v>0</v>
      </c>
      <c r="AK25" s="26">
        <f ca="1">'TUSD BE'!$AK$25*'TUSD BF'!$AK$58</f>
        <v>0</v>
      </c>
      <c r="AL25" s="26">
        <f ca="1">SUM($AH$25:$AK$25)</f>
        <v>0</v>
      </c>
      <c r="AM25" s="26">
        <f ca="1">SUMIF($L$4:$AL$4,"SUBTOTAL",$L$25:$AL$25)</f>
        <v>0</v>
      </c>
      <c r="AO25" s="50">
        <f ca="1">+'TUSD BE'!$T$25+'TUSD BE'!$AB$25+'TUSD BE'!$AD$25+'TUSD BE'!$AL$25</f>
        <v>398.33390532713378</v>
      </c>
      <c r="AP25" s="50">
        <f ca="1">+'TUSD BE'!$T$25+'TUSD BE'!$AB$25+'TUSD BE'!$AD$25+'TUSD BE'!$AL$25</f>
        <v>398.33390532713378</v>
      </c>
    </row>
    <row r="26" spans="1:42" ht="11.25" customHeight="1" x14ac:dyDescent="0.25">
      <c r="A26" s="131"/>
      <c r="B26" s="131"/>
      <c r="C26" s="131"/>
      <c r="D26" s="48" t="s">
        <v>29</v>
      </c>
      <c r="E26" s="48" t="s">
        <v>25</v>
      </c>
      <c r="F26" s="48" t="s">
        <v>25</v>
      </c>
      <c r="G26" s="44" t="s">
        <v>82</v>
      </c>
      <c r="H26" s="44" t="s">
        <v>76</v>
      </c>
      <c r="I26" s="44">
        <f>'MERCADO TUSD'!$U$23</f>
        <v>0</v>
      </c>
      <c r="J26" s="18"/>
      <c r="L26" s="26">
        <f>'TUSD BE'!$L$26*'TUSD BF'!$L$58</f>
        <v>0</v>
      </c>
      <c r="M26" s="26">
        <f>'TUSD BE'!$M$26*'TUSD BF'!$M$58</f>
        <v>0</v>
      </c>
      <c r="N26" s="26">
        <f ca="1">'TUSD BE'!$N$26*'TUSD BF'!$N$58</f>
        <v>0</v>
      </c>
      <c r="O26" s="26">
        <f>'TUSD BE'!$O$26*'TUSD BF'!$O$58</f>
        <v>0</v>
      </c>
      <c r="P26" s="26">
        <f>'TUSD BE'!$P$26*'TUSD BF'!$P$58</f>
        <v>0</v>
      </c>
      <c r="Q26" s="26">
        <f>'TUSD BE'!$Q$26*'TUSD BF'!$Q$58</f>
        <v>0</v>
      </c>
      <c r="R26" s="26">
        <f>'TUSD BE'!$R$26*'TUSD BF'!$R$58</f>
        <v>0</v>
      </c>
      <c r="S26" s="26">
        <f>'TUSD BE'!$R$26*'TUSD BF'!$S$58</f>
        <v>0</v>
      </c>
      <c r="T26" s="26">
        <f ca="1">SUM($L$26:$S$26)</f>
        <v>0</v>
      </c>
      <c r="U26" s="26">
        <f>'TUSD BE'!$U$26*'TUSD BF'!$U$58</f>
        <v>0</v>
      </c>
      <c r="V26" s="26">
        <f>'TUSD BE'!$V$26*'TUSD BF'!$V$58</f>
        <v>0</v>
      </c>
      <c r="W26" s="26">
        <f>'TUSD BE'!$W$26*'TUSD BF'!$W$58</f>
        <v>0</v>
      </c>
      <c r="X26" s="26">
        <f>'TUSD BE'!$X$26*'TUSD BF'!$X$58</f>
        <v>0</v>
      </c>
      <c r="Y26" s="26">
        <f>'TUSD BE'!$Y$26*'TUSD BF'!$Y$58</f>
        <v>0</v>
      </c>
      <c r="Z26" s="26">
        <f>'TUSD BE'!$Z$26*'TUSD BF'!$Z$58</f>
        <v>0</v>
      </c>
      <c r="AA26" s="26">
        <f>'TUSD BE'!$AA$26*'TUSD BF'!$AA$58</f>
        <v>0</v>
      </c>
      <c r="AB26" s="26">
        <f>SUM($U$26:$AA$26)</f>
        <v>0</v>
      </c>
      <c r="AC26" s="26">
        <f>'TUSD BE'!$AC$26*'TUSD BF'!$AC$58</f>
        <v>0</v>
      </c>
      <c r="AD26" s="26">
        <f>SUM($AC$26:$AC$26)</f>
        <v>0</v>
      </c>
      <c r="AE26" s="26">
        <f ca="1">$AO$26*$AO$55</f>
        <v>0</v>
      </c>
      <c r="AF26" s="26">
        <f ca="1">$AP$26*$AP$55</f>
        <v>0</v>
      </c>
      <c r="AG26" s="26">
        <f ca="1">SUM($AE$26:$AF$26)</f>
        <v>0</v>
      </c>
      <c r="AH26" s="26">
        <f>'TUSD BE'!$AH$26*'TUSD BF'!$AH$58</f>
        <v>0</v>
      </c>
      <c r="AI26" s="26">
        <f>'TUSD BE'!$AI$26*'TUSD BF'!$AI$58</f>
        <v>0</v>
      </c>
      <c r="AJ26" s="26">
        <f ca="1">'TUSD BE'!$AJ$26*'TUSD BF'!$AJ$58</f>
        <v>0</v>
      </c>
      <c r="AK26" s="26">
        <f ca="1">'TUSD BE'!$AK$26*'TUSD BF'!$AK$58</f>
        <v>0</v>
      </c>
      <c r="AL26" s="26">
        <f ca="1">SUM($AH$26:$AK$26)</f>
        <v>0</v>
      </c>
      <c r="AM26" s="26">
        <f ca="1">SUMIF($L$4:$AL$4,"SUBTOTAL",$L$26:$AL$26)</f>
        <v>0</v>
      </c>
      <c r="AO26" s="50">
        <f ca="1">+'TUSD BE'!$T$26+'TUSD BE'!$AB$26+'TUSD BE'!$AD$26+'TUSD BE'!$AL$26</f>
        <v>293.64874616677952</v>
      </c>
      <c r="AP26" s="50">
        <f ca="1">+'TUSD BE'!$T$26+'TUSD BE'!$AB$26+'TUSD BE'!$AD$26+'TUSD BE'!$AL$26</f>
        <v>293.64874616677952</v>
      </c>
    </row>
    <row r="27" spans="1:42" ht="11.25" customHeight="1" x14ac:dyDescent="0.25">
      <c r="A27" s="131"/>
      <c r="B27" s="131"/>
      <c r="C27" s="131"/>
      <c r="D27" s="48" t="s">
        <v>30</v>
      </c>
      <c r="E27" s="48" t="s">
        <v>25</v>
      </c>
      <c r="F27" s="48" t="s">
        <v>25</v>
      </c>
      <c r="G27" s="44" t="s">
        <v>82</v>
      </c>
      <c r="H27" s="44" t="s">
        <v>76</v>
      </c>
      <c r="I27" s="44">
        <f>'MERCADO TUSD'!$U$24</f>
        <v>0</v>
      </c>
      <c r="J27" s="18"/>
      <c r="L27" s="26">
        <f>'TUSD BE'!$L$27*'TUSD BF'!$L$58</f>
        <v>0</v>
      </c>
      <c r="M27" s="26">
        <f>'TUSD BE'!$M$27*'TUSD BF'!$M$58</f>
        <v>0</v>
      </c>
      <c r="N27" s="26">
        <f ca="1">'TUSD BE'!$N$27*'TUSD BF'!$N$58</f>
        <v>0</v>
      </c>
      <c r="O27" s="26">
        <f>'TUSD BE'!$O$27*'TUSD BF'!$O$58</f>
        <v>0</v>
      </c>
      <c r="P27" s="26">
        <f>'TUSD BE'!$P$27*'TUSD BF'!$P$58</f>
        <v>0</v>
      </c>
      <c r="Q27" s="26">
        <f>'TUSD BE'!$Q$27*'TUSD BF'!$Q$58</f>
        <v>0</v>
      </c>
      <c r="R27" s="26">
        <f>'TUSD BE'!$R$27*'TUSD BF'!$R$58</f>
        <v>0</v>
      </c>
      <c r="S27" s="26">
        <f>'TUSD BE'!$R$27*'TUSD BF'!$S$58</f>
        <v>0</v>
      </c>
      <c r="T27" s="26">
        <f ca="1">SUM($L$27:$S$27)</f>
        <v>0</v>
      </c>
      <c r="U27" s="26">
        <f>'TUSD BE'!$U$27*'TUSD BF'!$U$58</f>
        <v>0</v>
      </c>
      <c r="V27" s="26">
        <f>'TUSD BE'!$V$27*'TUSD BF'!$V$58</f>
        <v>0</v>
      </c>
      <c r="W27" s="26">
        <f>'TUSD BE'!$W$27*'TUSD BF'!$W$58</f>
        <v>0</v>
      </c>
      <c r="X27" s="26">
        <f>'TUSD BE'!$X$27*'TUSD BF'!$X$58</f>
        <v>0</v>
      </c>
      <c r="Y27" s="26">
        <f>'TUSD BE'!$Y$27*'TUSD BF'!$Y$58</f>
        <v>0</v>
      </c>
      <c r="Z27" s="26">
        <f>'TUSD BE'!$Z$27*'TUSD BF'!$Z$58</f>
        <v>0</v>
      </c>
      <c r="AA27" s="26">
        <f>'TUSD BE'!$AA$27*'TUSD BF'!$AA$58</f>
        <v>0</v>
      </c>
      <c r="AB27" s="26">
        <f>SUM($U$27:$AA$27)</f>
        <v>0</v>
      </c>
      <c r="AC27" s="26">
        <f>'TUSD BE'!$AC$27*'TUSD BF'!$AC$58</f>
        <v>0</v>
      </c>
      <c r="AD27" s="26">
        <f>SUM($AC$27:$AC$27)</f>
        <v>0</v>
      </c>
      <c r="AE27" s="26">
        <f ca="1">$AO$27*$AO$55</f>
        <v>0</v>
      </c>
      <c r="AF27" s="26">
        <f ca="1">$AP$27*$AP$55</f>
        <v>0</v>
      </c>
      <c r="AG27" s="26">
        <f ca="1">SUM($AE$27:$AF$27)</f>
        <v>0</v>
      </c>
      <c r="AH27" s="26">
        <f>'TUSD BE'!$AH$27*'TUSD BF'!$AH$58</f>
        <v>0</v>
      </c>
      <c r="AI27" s="26">
        <f>'TUSD BE'!$AI$27*'TUSD BF'!$AI$58</f>
        <v>0</v>
      </c>
      <c r="AJ27" s="26">
        <f ca="1">'TUSD BE'!$AJ$27*'TUSD BF'!$AJ$58</f>
        <v>0</v>
      </c>
      <c r="AK27" s="26">
        <f ca="1">'TUSD BE'!$AK$27*'TUSD BF'!$AK$58</f>
        <v>0</v>
      </c>
      <c r="AL27" s="26">
        <f ca="1">SUM($AH$27:$AK$27)</f>
        <v>0</v>
      </c>
      <c r="AM27" s="26">
        <f ca="1">SUMIF($L$4:$AL$4,"SUBTOTAL",$L$27:$AL$27)</f>
        <v>0</v>
      </c>
      <c r="AO27" s="50">
        <f ca="1">+'TUSD BE'!$T$27+'TUSD BE'!$AB$27+'TUSD BE'!$AD$27+'TUSD BE'!$AL$27</f>
        <v>293.64874616677952</v>
      </c>
      <c r="AP27" s="50">
        <f ca="1">+'TUSD BE'!$T$27+'TUSD BE'!$AB$27+'TUSD BE'!$AD$27+'TUSD BE'!$AL$27</f>
        <v>293.64874616677952</v>
      </c>
    </row>
    <row r="28" spans="1:42" ht="11.25" customHeight="1" x14ac:dyDescent="0.25">
      <c r="A28" s="131"/>
      <c r="B28" s="131"/>
      <c r="C28" s="131"/>
      <c r="D28" s="48" t="s">
        <v>31</v>
      </c>
      <c r="E28" s="48" t="s">
        <v>25</v>
      </c>
      <c r="F28" s="48" t="s">
        <v>25</v>
      </c>
      <c r="G28" s="44" t="s">
        <v>82</v>
      </c>
      <c r="H28" s="44" t="s">
        <v>76</v>
      </c>
      <c r="I28" s="44">
        <f>'MERCADO TUSD'!$U$25</f>
        <v>0</v>
      </c>
      <c r="J28" s="18"/>
      <c r="L28" s="26">
        <f>'TUSD BE'!$L$28*'TUSD BF'!$L$58</f>
        <v>0</v>
      </c>
      <c r="M28" s="26">
        <f>'TUSD BE'!$M$28*'TUSD BF'!$M$58</f>
        <v>0</v>
      </c>
      <c r="N28" s="26">
        <f ca="1">'TUSD BE'!$N$28*'TUSD BF'!$N$58</f>
        <v>0</v>
      </c>
      <c r="O28" s="26">
        <f>'TUSD BE'!$O$28*'TUSD BF'!$O$58</f>
        <v>0</v>
      </c>
      <c r="P28" s="26">
        <f>'TUSD BE'!$P$28*'TUSD BF'!$P$58</f>
        <v>0</v>
      </c>
      <c r="Q28" s="26">
        <f>'TUSD BE'!$Q$28*'TUSD BF'!$Q$58</f>
        <v>0</v>
      </c>
      <c r="R28" s="26">
        <f>'TUSD BE'!$R$28*'TUSD BF'!$R$58</f>
        <v>0</v>
      </c>
      <c r="S28" s="26">
        <f>'TUSD BE'!$R$28*'TUSD BF'!$S$58</f>
        <v>0</v>
      </c>
      <c r="T28" s="26">
        <f ca="1">SUM($L$28:$S$28)</f>
        <v>0</v>
      </c>
      <c r="U28" s="26">
        <f>'TUSD BE'!$U$28*'TUSD BF'!$U$58</f>
        <v>0</v>
      </c>
      <c r="V28" s="26">
        <f>'TUSD BE'!$V$28*'TUSD BF'!$V$58</f>
        <v>0</v>
      </c>
      <c r="W28" s="26">
        <f>'TUSD BE'!$W$28*'TUSD BF'!$W$58</f>
        <v>0</v>
      </c>
      <c r="X28" s="26">
        <f>'TUSD BE'!$X$28*'TUSD BF'!$X$58</f>
        <v>0</v>
      </c>
      <c r="Y28" s="26">
        <f>'TUSD BE'!$Y$28*'TUSD BF'!$Y$58</f>
        <v>0</v>
      </c>
      <c r="Z28" s="26">
        <f>'TUSD BE'!$Z$28*'TUSD BF'!$Z$58</f>
        <v>0</v>
      </c>
      <c r="AA28" s="26">
        <f>'TUSD BE'!$AA$28*'TUSD BF'!$AA$58</f>
        <v>0</v>
      </c>
      <c r="AB28" s="26">
        <f>SUM($U$28:$AA$28)</f>
        <v>0</v>
      </c>
      <c r="AC28" s="26">
        <f>'TUSD BE'!$AC$28*'TUSD BF'!$AC$58</f>
        <v>0</v>
      </c>
      <c r="AD28" s="26">
        <f>SUM($AC$28:$AC$28)</f>
        <v>0</v>
      </c>
      <c r="AE28" s="26">
        <f ca="1">$AO$28*$AO$55</f>
        <v>0</v>
      </c>
      <c r="AF28" s="26">
        <f ca="1">$AP$28*$AP$55</f>
        <v>0</v>
      </c>
      <c r="AG28" s="26">
        <f ca="1">SUM($AE$28:$AF$28)</f>
        <v>0</v>
      </c>
      <c r="AH28" s="26">
        <f>'TUSD BE'!$AH$28*'TUSD BF'!$AH$58</f>
        <v>0</v>
      </c>
      <c r="AI28" s="26">
        <f>'TUSD BE'!$AI$28*'TUSD BF'!$AI$58</f>
        <v>0</v>
      </c>
      <c r="AJ28" s="26">
        <f ca="1">'TUSD BE'!$AJ$28*'TUSD BF'!$AJ$58</f>
        <v>0</v>
      </c>
      <c r="AK28" s="26">
        <f ca="1">'TUSD BE'!$AK$28*'TUSD BF'!$AK$58</f>
        <v>0</v>
      </c>
      <c r="AL28" s="26">
        <f ca="1">SUM($AH$28:$AK$28)</f>
        <v>0</v>
      </c>
      <c r="AM28" s="26">
        <f ca="1">SUMIF($L$4:$AL$4,"SUBTOTAL",$L$28:$AL$28)</f>
        <v>0</v>
      </c>
      <c r="AO28" s="50">
        <f ca="1">+'TUSD BE'!$T$28+'TUSD BE'!$AB$28+'TUSD BE'!$AD$28+'TUSD BE'!$AL$28</f>
        <v>293.64874616677952</v>
      </c>
      <c r="AP28" s="50">
        <f ca="1">+'TUSD BE'!$T$28+'TUSD BE'!$AB$28+'TUSD BE'!$AD$28+'TUSD BE'!$AL$28</f>
        <v>293.64874616677952</v>
      </c>
    </row>
    <row r="29" spans="1:42" ht="11.25" customHeight="1" x14ac:dyDescent="0.25">
      <c r="A29" s="131"/>
      <c r="B29" s="131"/>
      <c r="C29" s="131"/>
      <c r="D29" s="48" t="s">
        <v>32</v>
      </c>
      <c r="E29" s="48" t="s">
        <v>25</v>
      </c>
      <c r="F29" s="48" t="s">
        <v>25</v>
      </c>
      <c r="G29" s="44" t="s">
        <v>82</v>
      </c>
      <c r="H29" s="44" t="s">
        <v>76</v>
      </c>
      <c r="I29" s="44">
        <f>'MERCADO TUSD'!$U$26</f>
        <v>0</v>
      </c>
      <c r="J29" s="18"/>
      <c r="L29" s="26">
        <f>'TUSD BE'!$L$29*'TUSD BF'!$L$58</f>
        <v>0</v>
      </c>
      <c r="M29" s="26">
        <f>'TUSD BE'!$M$29*'TUSD BF'!$M$58</f>
        <v>0</v>
      </c>
      <c r="N29" s="26">
        <f ca="1">'TUSD BE'!$N$29*'TUSD BF'!$N$58</f>
        <v>0</v>
      </c>
      <c r="O29" s="26">
        <f>'TUSD BE'!$O$29*'TUSD BF'!$O$58</f>
        <v>0</v>
      </c>
      <c r="P29" s="26">
        <f>'TUSD BE'!$P$29*'TUSD BF'!$P$58</f>
        <v>0</v>
      </c>
      <c r="Q29" s="26">
        <f>'TUSD BE'!$Q$29*'TUSD BF'!$Q$58</f>
        <v>0</v>
      </c>
      <c r="R29" s="26">
        <f>'TUSD BE'!$R$29*'TUSD BF'!$R$58</f>
        <v>0</v>
      </c>
      <c r="S29" s="26">
        <f>'TUSD BE'!$R$29*'TUSD BF'!$S$58</f>
        <v>0</v>
      </c>
      <c r="T29" s="26">
        <f ca="1">SUM($L$29:$S$29)</f>
        <v>0</v>
      </c>
      <c r="U29" s="26">
        <f>'TUSD BE'!$U$29*'TUSD BF'!$U$58</f>
        <v>0</v>
      </c>
      <c r="V29" s="26">
        <f>'TUSD BE'!$V$29*'TUSD BF'!$V$58</f>
        <v>0</v>
      </c>
      <c r="W29" s="26">
        <f>'TUSD BE'!$W$29*'TUSD BF'!$W$58</f>
        <v>0</v>
      </c>
      <c r="X29" s="26">
        <f>'TUSD BE'!$X$29*'TUSD BF'!$X$58</f>
        <v>0</v>
      </c>
      <c r="Y29" s="26">
        <f>'TUSD BE'!$Y$29*'TUSD BF'!$Y$58</f>
        <v>0</v>
      </c>
      <c r="Z29" s="26">
        <f>'TUSD BE'!$Z$29*'TUSD BF'!$Z$58</f>
        <v>0</v>
      </c>
      <c r="AA29" s="26">
        <f>'TUSD BE'!$AA$29*'TUSD BF'!$AA$58</f>
        <v>0</v>
      </c>
      <c r="AB29" s="26">
        <f>SUM($U$29:$AA$29)</f>
        <v>0</v>
      </c>
      <c r="AC29" s="26">
        <f>'TUSD BE'!$AC$29*'TUSD BF'!$AC$58</f>
        <v>0</v>
      </c>
      <c r="AD29" s="26">
        <f>SUM($AC$29:$AC$29)</f>
        <v>0</v>
      </c>
      <c r="AE29" s="26">
        <f ca="1">$AO$29*$AO$55</f>
        <v>0</v>
      </c>
      <c r="AF29" s="26">
        <f ca="1">$AP$29*$AP$55</f>
        <v>0</v>
      </c>
      <c r="AG29" s="26">
        <f ca="1">SUM($AE$29:$AF$29)</f>
        <v>0</v>
      </c>
      <c r="AH29" s="26">
        <f>'TUSD BE'!$AH$29*'TUSD BF'!$AH$58</f>
        <v>0</v>
      </c>
      <c r="AI29" s="26">
        <f>'TUSD BE'!$AI$29*'TUSD BF'!$AI$58</f>
        <v>0</v>
      </c>
      <c r="AJ29" s="26">
        <f ca="1">'TUSD BE'!$AJ$29*'TUSD BF'!$AJ$58</f>
        <v>0</v>
      </c>
      <c r="AK29" s="26">
        <f ca="1">'TUSD BE'!$AK$29*'TUSD BF'!$AK$58</f>
        <v>0</v>
      </c>
      <c r="AL29" s="26">
        <f ca="1">SUM($AH$29:$AK$29)</f>
        <v>0</v>
      </c>
      <c r="AM29" s="26">
        <f ca="1">SUMIF($L$4:$AL$4,"SUBTOTAL",$L$29:$AL$29)</f>
        <v>0</v>
      </c>
      <c r="AO29" s="50">
        <f ca="1">+'TUSD BE'!$T$29+'TUSD BE'!$AB$29+'TUSD BE'!$AD$29+'TUSD BE'!$AL$29</f>
        <v>293.64874616677952</v>
      </c>
      <c r="AP29" s="50">
        <f ca="1">+'TUSD BE'!$T$29+'TUSD BE'!$AB$29+'TUSD BE'!$AD$29+'TUSD BE'!$AL$29</f>
        <v>293.64874616677952</v>
      </c>
    </row>
    <row r="30" spans="1:42" ht="11.25" customHeight="1" x14ac:dyDescent="0.25">
      <c r="A30" s="131" t="s">
        <v>43</v>
      </c>
      <c r="B30" s="131" t="s">
        <v>37</v>
      </c>
      <c r="C30" s="131" t="s">
        <v>44</v>
      </c>
      <c r="D30" s="131" t="s">
        <v>25</v>
      </c>
      <c r="E30" s="131" t="s">
        <v>25</v>
      </c>
      <c r="F30" s="131" t="s">
        <v>25</v>
      </c>
      <c r="G30" s="44" t="s">
        <v>77</v>
      </c>
      <c r="H30" s="44" t="s">
        <v>76</v>
      </c>
      <c r="I30" s="44">
        <f>'MERCADO TUSD'!$U$27</f>
        <v>0.78900000000000003</v>
      </c>
      <c r="J30" s="18"/>
      <c r="L30" s="26">
        <f>'TUSD BE'!$L$30*'TUSD BF'!$L$58</f>
        <v>0</v>
      </c>
      <c r="M30" s="26">
        <f>'TUSD BE'!$M$30*'TUSD BF'!$M$58</f>
        <v>0</v>
      </c>
      <c r="N30" s="26">
        <f ca="1">'TUSD BE'!$N$30*'TUSD BF'!$N$58</f>
        <v>0</v>
      </c>
      <c r="O30" s="26">
        <f>'TUSD BE'!$O$30*'TUSD BF'!$O$58</f>
        <v>0</v>
      </c>
      <c r="P30" s="26">
        <f>'TUSD BE'!$P$30*'TUSD BF'!$P$58</f>
        <v>0</v>
      </c>
      <c r="Q30" s="26">
        <f>'TUSD BE'!$Q$30*'TUSD BF'!$Q$58</f>
        <v>0</v>
      </c>
      <c r="R30" s="26">
        <f>'TUSD BE'!$R$30*'TUSD BF'!$R$58</f>
        <v>0</v>
      </c>
      <c r="S30" s="26">
        <f>'TUSD BE'!$R$30*'TUSD BF'!$S$58</f>
        <v>0</v>
      </c>
      <c r="T30" s="26">
        <f ca="1">SUM($L$30:$S$30)</f>
        <v>0</v>
      </c>
      <c r="U30" s="26">
        <f>'TUSD BE'!$U$30*'TUSD BF'!$U$58</f>
        <v>0</v>
      </c>
      <c r="V30" s="26">
        <f>'TUSD BE'!$V$30*'TUSD BF'!$V$58</f>
        <v>0</v>
      </c>
      <c r="W30" s="26">
        <f>'TUSD BE'!$W$30*'TUSD BF'!$W$58</f>
        <v>0</v>
      </c>
      <c r="X30" s="26">
        <f>'TUSD BE'!$X$30*'TUSD BF'!$X$58</f>
        <v>0</v>
      </c>
      <c r="Y30" s="26">
        <f>'TUSD BE'!$Y$30*'TUSD BF'!$Y$58</f>
        <v>0</v>
      </c>
      <c r="Z30" s="26">
        <f>'TUSD BE'!$Z$30*'TUSD BF'!$Z$58</f>
        <v>0</v>
      </c>
      <c r="AA30" s="26">
        <f>'TUSD BE'!$AA$30*'TUSD BF'!$AA$58</f>
        <v>0</v>
      </c>
      <c r="AB30" s="26">
        <f>SUM($U$30:$AA$30)</f>
        <v>0</v>
      </c>
      <c r="AC30" s="26">
        <f>'TUSD BE'!$AC$30*'TUSD BF'!$AC$58</f>
        <v>0</v>
      </c>
      <c r="AD30" s="26">
        <f>SUM($AC$30:$AC$30)</f>
        <v>0</v>
      </c>
      <c r="AE30" s="26">
        <f ca="1">$AO$30*$AO$55</f>
        <v>0</v>
      </c>
      <c r="AF30" s="26">
        <f ca="1">$AP$30*$AP$55</f>
        <v>0</v>
      </c>
      <c r="AG30" s="26">
        <f ca="1">SUM($AE$30:$AF$30)</f>
        <v>0</v>
      </c>
      <c r="AH30" s="26">
        <f>'TUSD BE'!$AH$30*'TUSD BF'!$AH$58</f>
        <v>0</v>
      </c>
      <c r="AI30" s="26">
        <f>'TUSD BE'!$AI$30*'TUSD BF'!$AI$58</f>
        <v>0</v>
      </c>
      <c r="AJ30" s="26">
        <f ca="1">'TUSD BE'!$AJ$30*'TUSD BF'!$AJ$58</f>
        <v>0</v>
      </c>
      <c r="AK30" s="26">
        <f ca="1">'TUSD BE'!$AK$30*'TUSD BF'!$AK$58</f>
        <v>0</v>
      </c>
      <c r="AL30" s="26">
        <f ca="1">SUM($AH$30:$AK$30)</f>
        <v>0</v>
      </c>
      <c r="AM30" s="26">
        <f ca="1">SUMIF($L$4:$AL$4,"SUBTOTAL",$L$30:$AL$30)</f>
        <v>0</v>
      </c>
      <c r="AO30" s="50">
        <f ca="1">+'TUSD BE'!$T$30+'TUSD BE'!$AB$30+'TUSD BE'!$AD$30+'TUSD BE'!$AL$30</f>
        <v>883.86584082003822</v>
      </c>
      <c r="AP30" s="50">
        <f ca="1">+'TUSD BE'!$T$30+'TUSD BE'!$AB$30+'TUSD BE'!$AD$30+'TUSD BE'!$AL$30</f>
        <v>883.86584082003822</v>
      </c>
    </row>
    <row r="31" spans="1:42" ht="11.25" customHeight="1" x14ac:dyDescent="0.25">
      <c r="A31" s="131"/>
      <c r="B31" s="131"/>
      <c r="C31" s="131"/>
      <c r="D31" s="131"/>
      <c r="E31" s="131"/>
      <c r="F31" s="131"/>
      <c r="G31" s="44" t="s">
        <v>88</v>
      </c>
      <c r="H31" s="44" t="s">
        <v>76</v>
      </c>
      <c r="I31" s="44">
        <f>'MERCADO TUSD'!$U$28</f>
        <v>0.57700000000000018</v>
      </c>
      <c r="J31" s="18"/>
      <c r="L31" s="26">
        <f>'TUSD BE'!$L$31*'TUSD BF'!$L$58</f>
        <v>0</v>
      </c>
      <c r="M31" s="26">
        <f>'TUSD BE'!$M$31*'TUSD BF'!$M$58</f>
        <v>0</v>
      </c>
      <c r="N31" s="26">
        <f ca="1">'TUSD BE'!$N$31*'TUSD BF'!$N$58</f>
        <v>0</v>
      </c>
      <c r="O31" s="26">
        <f>'TUSD BE'!$O$31*'TUSD BF'!$O$58</f>
        <v>0</v>
      </c>
      <c r="P31" s="26">
        <f>'TUSD BE'!$P$31*'TUSD BF'!$P$58</f>
        <v>0</v>
      </c>
      <c r="Q31" s="26">
        <f>'TUSD BE'!$Q$31*'TUSD BF'!$Q$58</f>
        <v>0</v>
      </c>
      <c r="R31" s="26">
        <f>'TUSD BE'!$R$31*'TUSD BF'!$R$58</f>
        <v>0</v>
      </c>
      <c r="S31" s="26">
        <f>'TUSD BE'!$R$31*'TUSD BF'!$S$58</f>
        <v>0</v>
      </c>
      <c r="T31" s="26">
        <f ca="1">SUM($L$31:$S$31)</f>
        <v>0</v>
      </c>
      <c r="U31" s="26">
        <f>'TUSD BE'!$U$31*'TUSD BF'!$U$58</f>
        <v>0</v>
      </c>
      <c r="V31" s="26">
        <f>'TUSD BE'!$V$31*'TUSD BF'!$V$58</f>
        <v>0</v>
      </c>
      <c r="W31" s="26">
        <f>'TUSD BE'!$W$31*'TUSD BF'!$W$58</f>
        <v>0</v>
      </c>
      <c r="X31" s="26">
        <f>'TUSD BE'!$X$31*'TUSD BF'!$X$58</f>
        <v>0</v>
      </c>
      <c r="Y31" s="26">
        <f>'TUSD BE'!$Y$31*'TUSD BF'!$Y$58</f>
        <v>0</v>
      </c>
      <c r="Z31" s="26">
        <f>'TUSD BE'!$Z$31*'TUSD BF'!$Z$58</f>
        <v>0</v>
      </c>
      <c r="AA31" s="26">
        <f>'TUSD BE'!$AA$31*'TUSD BF'!$AA$58</f>
        <v>0</v>
      </c>
      <c r="AB31" s="26">
        <f>SUM($U$31:$AA$31)</f>
        <v>0</v>
      </c>
      <c r="AC31" s="26">
        <f>'TUSD BE'!$AC$31*'TUSD BF'!$AC$58</f>
        <v>0</v>
      </c>
      <c r="AD31" s="26">
        <f>SUM($AC$31:$AC$31)</f>
        <v>0</v>
      </c>
      <c r="AE31" s="26">
        <f ca="1">$AO$31*$AO$55</f>
        <v>0</v>
      </c>
      <c r="AF31" s="26">
        <f ca="1">$AP$31*$AP$55</f>
        <v>0</v>
      </c>
      <c r="AG31" s="26">
        <f ca="1">SUM($AE$31:$AF$31)</f>
        <v>0</v>
      </c>
      <c r="AH31" s="26">
        <f>'TUSD BE'!$AH$31*'TUSD BF'!$AH$58</f>
        <v>0</v>
      </c>
      <c r="AI31" s="26">
        <f>'TUSD BE'!$AI$31*'TUSD BF'!$AI$58</f>
        <v>0</v>
      </c>
      <c r="AJ31" s="26">
        <f ca="1">'TUSD BE'!$AJ$31*'TUSD BF'!$AJ$58</f>
        <v>0</v>
      </c>
      <c r="AK31" s="26">
        <f ca="1">'TUSD BE'!$AK$31*'TUSD BF'!$AK$58</f>
        <v>0</v>
      </c>
      <c r="AL31" s="26">
        <f ca="1">SUM($AH$31:$AK$31)</f>
        <v>0</v>
      </c>
      <c r="AM31" s="26">
        <f ca="1">SUMIF($L$4:$AL$4,"SUBTOTAL",$L$31:$AL$31)</f>
        <v>0</v>
      </c>
      <c r="AO31" s="50">
        <f ca="1">+'TUSD BE'!$T$31+'TUSD BE'!$AB$31+'TUSD BE'!$AD$31+'TUSD BE'!$AL$31</f>
        <v>578.67430238018267</v>
      </c>
      <c r="AP31" s="50">
        <f ca="1">+'TUSD BE'!$T$31+'TUSD BE'!$AB$31+'TUSD BE'!$AD$31+'TUSD BE'!$AL$31</f>
        <v>578.67430238018267</v>
      </c>
    </row>
    <row r="32" spans="1:42" ht="11.25" customHeight="1" x14ac:dyDescent="0.25">
      <c r="A32" s="131"/>
      <c r="B32" s="131"/>
      <c r="C32" s="131"/>
      <c r="D32" s="131"/>
      <c r="E32" s="131"/>
      <c r="F32" s="131"/>
      <c r="G32" s="44" t="s">
        <v>78</v>
      </c>
      <c r="H32" s="44" t="s">
        <v>76</v>
      </c>
      <c r="I32" s="44">
        <f>'MERCADO TUSD'!$U$29</f>
        <v>5.0960000000000001</v>
      </c>
      <c r="J32" s="18"/>
      <c r="L32" s="26">
        <f>'TUSD BE'!$L$32*'TUSD BF'!$L$58</f>
        <v>0</v>
      </c>
      <c r="M32" s="26">
        <f>'TUSD BE'!$M$32*'TUSD BF'!$M$58</f>
        <v>0</v>
      </c>
      <c r="N32" s="26">
        <f ca="1">'TUSD BE'!$N$32*'TUSD BF'!$N$58</f>
        <v>0</v>
      </c>
      <c r="O32" s="26">
        <f>'TUSD BE'!$O$32*'TUSD BF'!$O$58</f>
        <v>0</v>
      </c>
      <c r="P32" s="26">
        <f>'TUSD BE'!$P$32*'TUSD BF'!$P$58</f>
        <v>0</v>
      </c>
      <c r="Q32" s="26">
        <f>'TUSD BE'!$Q$32*'TUSD BF'!$Q$58</f>
        <v>0</v>
      </c>
      <c r="R32" s="26">
        <f>'TUSD BE'!$R$32*'TUSD BF'!$R$58</f>
        <v>0</v>
      </c>
      <c r="S32" s="26">
        <f>'TUSD BE'!$R$32*'TUSD BF'!$S$58</f>
        <v>0</v>
      </c>
      <c r="T32" s="26">
        <f ca="1">SUM($L$32:$S$32)</f>
        <v>0</v>
      </c>
      <c r="U32" s="26">
        <f>'TUSD BE'!$U$32*'TUSD BF'!$U$58</f>
        <v>0</v>
      </c>
      <c r="V32" s="26">
        <f>'TUSD BE'!$V$32*'TUSD BF'!$V$58</f>
        <v>0</v>
      </c>
      <c r="W32" s="26">
        <f>'TUSD BE'!$W$32*'TUSD BF'!$W$58</f>
        <v>0</v>
      </c>
      <c r="X32" s="26">
        <f>'TUSD BE'!$X$32*'TUSD BF'!$X$58</f>
        <v>0</v>
      </c>
      <c r="Y32" s="26">
        <f>'TUSD BE'!$Y$32*'TUSD BF'!$Y$58</f>
        <v>0</v>
      </c>
      <c r="Z32" s="26">
        <f>'TUSD BE'!$Z$32*'TUSD BF'!$Z$58</f>
        <v>0</v>
      </c>
      <c r="AA32" s="26">
        <f>'TUSD BE'!$AA$32*'TUSD BF'!$AA$58</f>
        <v>0</v>
      </c>
      <c r="AB32" s="26">
        <f>SUM($U$32:$AA$32)</f>
        <v>0</v>
      </c>
      <c r="AC32" s="26">
        <f>'TUSD BE'!$AC$32*'TUSD BF'!$AC$58</f>
        <v>0</v>
      </c>
      <c r="AD32" s="26">
        <f>SUM($AC$32:$AC$32)</f>
        <v>0</v>
      </c>
      <c r="AE32" s="26">
        <f ca="1">$AO$32*$AO$55</f>
        <v>0</v>
      </c>
      <c r="AF32" s="26">
        <f ca="1">$AP$32*$AP$55</f>
        <v>0</v>
      </c>
      <c r="AG32" s="26">
        <f ca="1">SUM($AE$32:$AF$32)</f>
        <v>0</v>
      </c>
      <c r="AH32" s="26">
        <f>'TUSD BE'!$AH$32*'TUSD BF'!$AH$58</f>
        <v>0</v>
      </c>
      <c r="AI32" s="26">
        <f>'TUSD BE'!$AI$32*'TUSD BF'!$AI$58</f>
        <v>0</v>
      </c>
      <c r="AJ32" s="26">
        <f ca="1">'TUSD BE'!$AJ$32*'TUSD BF'!$AJ$58</f>
        <v>0</v>
      </c>
      <c r="AK32" s="26">
        <f ca="1">'TUSD BE'!$AK$32*'TUSD BF'!$AK$58</f>
        <v>0</v>
      </c>
      <c r="AL32" s="26">
        <f ca="1">SUM($AH$32:$AK$32)</f>
        <v>0</v>
      </c>
      <c r="AM32" s="26">
        <f ca="1">SUMIF($L$4:$AL$4,"SUBTOTAL",$L$32:$AL$32)</f>
        <v>0</v>
      </c>
      <c r="AO32" s="50">
        <f ca="1">+'TUSD BE'!$T$32+'TUSD BE'!$AB$32+'TUSD BE'!$AD$32+'TUSD BE'!$AL$32</f>
        <v>273.48293211795982</v>
      </c>
      <c r="AP32" s="50">
        <f ca="1">+'TUSD BE'!$T$32+'TUSD BE'!$AB$32+'TUSD BE'!$AD$32+'TUSD BE'!$AL$32</f>
        <v>273.48293211795982</v>
      </c>
    </row>
    <row r="33" spans="1:42" ht="11.25" customHeight="1" x14ac:dyDescent="0.25">
      <c r="A33" s="131"/>
      <c r="B33" s="48" t="s">
        <v>23</v>
      </c>
      <c r="C33" s="48" t="s">
        <v>44</v>
      </c>
      <c r="D33" s="48" t="s">
        <v>25</v>
      </c>
      <c r="E33" s="48" t="s">
        <v>25</v>
      </c>
      <c r="F33" s="48" t="s">
        <v>25</v>
      </c>
      <c r="G33" s="44" t="s">
        <v>82</v>
      </c>
      <c r="H33" s="44" t="s">
        <v>76</v>
      </c>
      <c r="I33" s="44">
        <f>'MERCADO TUSD'!$U$30</f>
        <v>36373.667999999998</v>
      </c>
      <c r="J33" s="18"/>
      <c r="L33" s="26">
        <f>'TUSD BE'!$L$33*'TUSD BF'!$L$58</f>
        <v>0</v>
      </c>
      <c r="M33" s="26">
        <f>'TUSD BE'!$M$33*'TUSD BF'!$M$58</f>
        <v>0</v>
      </c>
      <c r="N33" s="26">
        <f ca="1">'TUSD BE'!$N$33*'TUSD BF'!$N$58</f>
        <v>0</v>
      </c>
      <c r="O33" s="26">
        <f>'TUSD BE'!$O$33*'TUSD BF'!$O$58</f>
        <v>0</v>
      </c>
      <c r="P33" s="26">
        <f>'TUSD BE'!$P$33*'TUSD BF'!$P$58</f>
        <v>0</v>
      </c>
      <c r="Q33" s="26">
        <f>'TUSD BE'!$Q$33*'TUSD BF'!$Q$58</f>
        <v>0</v>
      </c>
      <c r="R33" s="26">
        <f>'TUSD BE'!$R$33*'TUSD BF'!$R$58</f>
        <v>0</v>
      </c>
      <c r="S33" s="26">
        <f>'TUSD BE'!$R$33*'TUSD BF'!$S$58</f>
        <v>0</v>
      </c>
      <c r="T33" s="26">
        <f ca="1">SUM($L$33:$S$33)</f>
        <v>0</v>
      </c>
      <c r="U33" s="26">
        <f>'TUSD BE'!$U$33*'TUSD BF'!$U$58</f>
        <v>0</v>
      </c>
      <c r="V33" s="26">
        <f>'TUSD BE'!$V$33*'TUSD BF'!$V$58</f>
        <v>0</v>
      </c>
      <c r="W33" s="26">
        <f>'TUSD BE'!$W$33*'TUSD BF'!$W$58</f>
        <v>0</v>
      </c>
      <c r="X33" s="26">
        <f>'TUSD BE'!$X$33*'TUSD BF'!$X$58</f>
        <v>0</v>
      </c>
      <c r="Y33" s="26">
        <f>'TUSD BE'!$Y$33*'TUSD BF'!$Y$58</f>
        <v>0</v>
      </c>
      <c r="Z33" s="26">
        <f>'TUSD BE'!$Z$33*'TUSD BF'!$Z$58</f>
        <v>0</v>
      </c>
      <c r="AA33" s="26">
        <f>'TUSD BE'!$AA$33*'TUSD BF'!$AA$58</f>
        <v>0</v>
      </c>
      <c r="AB33" s="26">
        <f>SUM($U$33:$AA$33)</f>
        <v>0</v>
      </c>
      <c r="AC33" s="26">
        <f>'TUSD BE'!$AC$33*'TUSD BF'!$AC$58</f>
        <v>0</v>
      </c>
      <c r="AD33" s="26">
        <f>SUM($AC$33:$AC$33)</f>
        <v>0</v>
      </c>
      <c r="AE33" s="26">
        <f ca="1">$AO$33*$AO$55</f>
        <v>0</v>
      </c>
      <c r="AF33" s="26">
        <f ca="1">$AP$33*$AP$55</f>
        <v>0</v>
      </c>
      <c r="AG33" s="26">
        <f ca="1">SUM($AE$33:$AF$33)</f>
        <v>0</v>
      </c>
      <c r="AH33" s="26">
        <f>'TUSD BE'!$AH$33*'TUSD BF'!$AH$58</f>
        <v>0</v>
      </c>
      <c r="AI33" s="26">
        <f>'TUSD BE'!$AI$33*'TUSD BF'!$AI$58</f>
        <v>0</v>
      </c>
      <c r="AJ33" s="26">
        <f ca="1">'TUSD BE'!$AJ$33*'TUSD BF'!$AJ$58</f>
        <v>0</v>
      </c>
      <c r="AK33" s="26">
        <f ca="1">'TUSD BE'!$AK$33*'TUSD BF'!$AK$58</f>
        <v>0</v>
      </c>
      <c r="AL33" s="26">
        <f ca="1">SUM($AH$33:$AK$33)</f>
        <v>0</v>
      </c>
      <c r="AM33" s="26">
        <f ca="1">SUMIF($L$4:$AL$4,"SUBTOTAL",$L$33:$AL$33)</f>
        <v>0</v>
      </c>
      <c r="AO33" s="50">
        <f ca="1">+'TUSD BE'!$T$33+'TUSD BE'!$AB$33+'TUSD BE'!$AD$33+'TUSD BE'!$AL$33</f>
        <v>398.33390532713378</v>
      </c>
      <c r="AP33" s="50">
        <f ca="1">+'TUSD BE'!$T$33+'TUSD BE'!$AB$33+'TUSD BE'!$AD$33+'TUSD BE'!$AL$33</f>
        <v>398.33390532713378</v>
      </c>
    </row>
    <row r="34" spans="1:42" ht="11.25" customHeight="1" x14ac:dyDescent="0.25">
      <c r="A34" s="131"/>
      <c r="B34" s="131" t="s">
        <v>37</v>
      </c>
      <c r="C34" s="131" t="s">
        <v>44</v>
      </c>
      <c r="D34" s="131" t="s">
        <v>92</v>
      </c>
      <c r="E34" s="131" t="s">
        <v>25</v>
      </c>
      <c r="F34" s="131" t="s">
        <v>25</v>
      </c>
      <c r="G34" s="44" t="s">
        <v>77</v>
      </c>
      <c r="H34" s="44" t="s">
        <v>76</v>
      </c>
      <c r="I34" s="44">
        <f>'MERCADO TUSD'!$U$31</f>
        <v>0</v>
      </c>
      <c r="J34" s="18"/>
      <c r="L34" s="26">
        <f>'TUSD BE'!$L$34*'TUSD BF'!$L$58</f>
        <v>0</v>
      </c>
      <c r="M34" s="26">
        <f>'TUSD BE'!$M$34*'TUSD BF'!$M$58</f>
        <v>0</v>
      </c>
      <c r="N34" s="26">
        <f ca="1">'TUSD BE'!$N$34*'TUSD BF'!$N$58</f>
        <v>0</v>
      </c>
      <c r="O34" s="26">
        <f>'TUSD BE'!$O$34*'TUSD BF'!$O$58</f>
        <v>0</v>
      </c>
      <c r="P34" s="26">
        <f>'TUSD BE'!$P$34*'TUSD BF'!$P$58</f>
        <v>0</v>
      </c>
      <c r="Q34" s="26">
        <f>'TUSD BE'!$Q$34*'TUSD BF'!$Q$58</f>
        <v>0</v>
      </c>
      <c r="R34" s="26">
        <f>'TUSD BE'!$R$34*'TUSD BF'!$R$58</f>
        <v>0</v>
      </c>
      <c r="S34" s="26">
        <f>'TUSD BE'!$R$34*'TUSD BF'!$S$58</f>
        <v>0</v>
      </c>
      <c r="T34" s="26">
        <f ca="1">SUM($L$34:$S$34)</f>
        <v>0</v>
      </c>
      <c r="U34" s="26">
        <f>'TUSD BE'!$U$34*'TUSD BF'!$U$58</f>
        <v>0</v>
      </c>
      <c r="V34" s="26">
        <f>'TUSD BE'!$V$34*'TUSD BF'!$V$58</f>
        <v>0</v>
      </c>
      <c r="W34" s="26">
        <f>'TUSD BE'!$W$34*'TUSD BF'!$W$58</f>
        <v>0</v>
      </c>
      <c r="X34" s="26">
        <f>'TUSD BE'!$X$34*'TUSD BF'!$X$58</f>
        <v>0</v>
      </c>
      <c r="Y34" s="26">
        <f>'TUSD BE'!$Y$34*'TUSD BF'!$Y$58</f>
        <v>0</v>
      </c>
      <c r="Z34" s="26">
        <f>'TUSD BE'!$Z$34*'TUSD BF'!$Z$58</f>
        <v>0</v>
      </c>
      <c r="AA34" s="26">
        <f>'TUSD BE'!$AA$34*'TUSD BF'!$AA$58</f>
        <v>0</v>
      </c>
      <c r="AB34" s="26">
        <f>SUM($U$34:$AA$34)</f>
        <v>0</v>
      </c>
      <c r="AC34" s="26">
        <f>'TUSD BE'!$AC$34*'TUSD BF'!$AC$58</f>
        <v>0</v>
      </c>
      <c r="AD34" s="26">
        <f>SUM($AC$34:$AC$34)</f>
        <v>0</v>
      </c>
      <c r="AE34" s="26">
        <f ca="1">$AO$34*$AO$55</f>
        <v>0</v>
      </c>
      <c r="AF34" s="26">
        <f ca="1">$AP$34*$AP$55</f>
        <v>0</v>
      </c>
      <c r="AG34" s="26">
        <f ca="1">SUM($AE$34:$AF$34)</f>
        <v>0</v>
      </c>
      <c r="AH34" s="26">
        <f>'TUSD BE'!$AH$34*'TUSD BF'!$AH$58</f>
        <v>0</v>
      </c>
      <c r="AI34" s="26">
        <f>'TUSD BE'!$AI$34*'TUSD BF'!$AI$58</f>
        <v>0</v>
      </c>
      <c r="AJ34" s="26">
        <f ca="1">'TUSD BE'!$AJ$34*'TUSD BF'!$AJ$58</f>
        <v>0</v>
      </c>
      <c r="AK34" s="26">
        <f ca="1">'TUSD BE'!$AK$34*'TUSD BF'!$AK$58</f>
        <v>0</v>
      </c>
      <c r="AL34" s="26">
        <f ca="1">SUM($AH$34:$AK$34)</f>
        <v>0</v>
      </c>
      <c r="AM34" s="26">
        <f ca="1">SUMIF($L$4:$AL$4,"SUBTOTAL",$L$34:$AL$34)</f>
        <v>0</v>
      </c>
      <c r="AO34" s="50">
        <f ca="1">+'TUSD BE'!$T$34+'TUSD BE'!$AB$34+'TUSD BE'!$AD$34+'TUSD BE'!$AL$34</f>
        <v>883.86584082003822</v>
      </c>
      <c r="AP34" s="50">
        <f ca="1">+'TUSD BE'!$T$34+'TUSD BE'!$AB$34+'TUSD BE'!$AD$34+'TUSD BE'!$AL$34</f>
        <v>883.86584082003822</v>
      </c>
    </row>
    <row r="35" spans="1:42" ht="11.25" customHeight="1" x14ac:dyDescent="0.25">
      <c r="A35" s="131"/>
      <c r="B35" s="131"/>
      <c r="C35" s="131"/>
      <c r="D35" s="131"/>
      <c r="E35" s="131"/>
      <c r="F35" s="131"/>
      <c r="G35" s="44" t="s">
        <v>88</v>
      </c>
      <c r="H35" s="44" t="s">
        <v>76</v>
      </c>
      <c r="I35" s="44">
        <f>'MERCADO TUSD'!$U$32</f>
        <v>0</v>
      </c>
      <c r="J35" s="18"/>
      <c r="L35" s="26">
        <f>'TUSD BE'!$L$35*'TUSD BF'!$L$58</f>
        <v>0</v>
      </c>
      <c r="M35" s="26">
        <f>'TUSD BE'!$M$35*'TUSD BF'!$M$58</f>
        <v>0</v>
      </c>
      <c r="N35" s="26">
        <f ca="1">'TUSD BE'!$N$35*'TUSD BF'!$N$58</f>
        <v>0</v>
      </c>
      <c r="O35" s="26">
        <f>'TUSD BE'!$O$35*'TUSD BF'!$O$58</f>
        <v>0</v>
      </c>
      <c r="P35" s="26">
        <f>'TUSD BE'!$P$35*'TUSD BF'!$P$58</f>
        <v>0</v>
      </c>
      <c r="Q35" s="26">
        <f>'TUSD BE'!$Q$35*'TUSD BF'!$Q$58</f>
        <v>0</v>
      </c>
      <c r="R35" s="26">
        <f>'TUSD BE'!$R$35*'TUSD BF'!$R$58</f>
        <v>0</v>
      </c>
      <c r="S35" s="26">
        <f>'TUSD BE'!$R$35*'TUSD BF'!$S$58</f>
        <v>0</v>
      </c>
      <c r="T35" s="26">
        <f ca="1">SUM($L$35:$S$35)</f>
        <v>0</v>
      </c>
      <c r="U35" s="26">
        <f>'TUSD BE'!$U$35*'TUSD BF'!$U$58</f>
        <v>0</v>
      </c>
      <c r="V35" s="26">
        <f>'TUSD BE'!$V$35*'TUSD BF'!$V$58</f>
        <v>0</v>
      </c>
      <c r="W35" s="26">
        <f>'TUSD BE'!$W$35*'TUSD BF'!$W$58</f>
        <v>0</v>
      </c>
      <c r="X35" s="26">
        <f>'TUSD BE'!$X$35*'TUSD BF'!$X$58</f>
        <v>0</v>
      </c>
      <c r="Y35" s="26">
        <f>'TUSD BE'!$Y$35*'TUSD BF'!$Y$58</f>
        <v>0</v>
      </c>
      <c r="Z35" s="26">
        <f>'TUSD BE'!$Z$35*'TUSD BF'!$Z$58</f>
        <v>0</v>
      </c>
      <c r="AA35" s="26">
        <f>'TUSD BE'!$AA$35*'TUSD BF'!$AA$58</f>
        <v>0</v>
      </c>
      <c r="AB35" s="26">
        <f>SUM($U$35:$AA$35)</f>
        <v>0</v>
      </c>
      <c r="AC35" s="26">
        <f>'TUSD BE'!$AC$35*'TUSD BF'!$AC$58</f>
        <v>0</v>
      </c>
      <c r="AD35" s="26">
        <f>SUM($AC$35:$AC$35)</f>
        <v>0</v>
      </c>
      <c r="AE35" s="26">
        <f ca="1">$AO$35*$AO$55</f>
        <v>0</v>
      </c>
      <c r="AF35" s="26">
        <f ca="1">$AP$35*$AP$55</f>
        <v>0</v>
      </c>
      <c r="AG35" s="26">
        <f ca="1">SUM($AE$35:$AF$35)</f>
        <v>0</v>
      </c>
      <c r="AH35" s="26">
        <f>'TUSD BE'!$AH$35*'TUSD BF'!$AH$58</f>
        <v>0</v>
      </c>
      <c r="AI35" s="26">
        <f>'TUSD BE'!$AI$35*'TUSD BF'!$AI$58</f>
        <v>0</v>
      </c>
      <c r="AJ35" s="26">
        <f ca="1">'TUSD BE'!$AJ$35*'TUSD BF'!$AJ$58</f>
        <v>0</v>
      </c>
      <c r="AK35" s="26">
        <f ca="1">'TUSD BE'!$AK$35*'TUSD BF'!$AK$58</f>
        <v>0</v>
      </c>
      <c r="AL35" s="26">
        <f ca="1">SUM($AH$35:$AK$35)</f>
        <v>0</v>
      </c>
      <c r="AM35" s="26">
        <f ca="1">SUMIF($L$4:$AL$4,"SUBTOTAL",$L$35:$AL$35)</f>
        <v>0</v>
      </c>
      <c r="AO35" s="50">
        <f ca="1">+'TUSD BE'!$T$35+'TUSD BE'!$AB$35+'TUSD BE'!$AD$35+'TUSD BE'!$AL$35</f>
        <v>578.67430238018267</v>
      </c>
      <c r="AP35" s="50">
        <f ca="1">+'TUSD BE'!$T$35+'TUSD BE'!$AB$35+'TUSD BE'!$AD$35+'TUSD BE'!$AL$35</f>
        <v>578.67430238018267</v>
      </c>
    </row>
    <row r="36" spans="1:42" ht="11.25" customHeight="1" x14ac:dyDescent="0.25">
      <c r="A36" s="131"/>
      <c r="B36" s="131"/>
      <c r="C36" s="131"/>
      <c r="D36" s="131"/>
      <c r="E36" s="131"/>
      <c r="F36" s="131"/>
      <c r="G36" s="44" t="s">
        <v>78</v>
      </c>
      <c r="H36" s="44" t="s">
        <v>76</v>
      </c>
      <c r="I36" s="44">
        <f>'MERCADO TUSD'!$U$33</f>
        <v>0</v>
      </c>
      <c r="J36" s="18"/>
      <c r="L36" s="26">
        <f>'TUSD BE'!$L$36*'TUSD BF'!$L$58</f>
        <v>0</v>
      </c>
      <c r="M36" s="26">
        <f>'TUSD BE'!$M$36*'TUSD BF'!$M$58</f>
        <v>0</v>
      </c>
      <c r="N36" s="26">
        <f ca="1">'TUSD BE'!$N$36*'TUSD BF'!$N$58</f>
        <v>0</v>
      </c>
      <c r="O36" s="26">
        <f>'TUSD BE'!$O$36*'TUSD BF'!$O$58</f>
        <v>0</v>
      </c>
      <c r="P36" s="26">
        <f>'TUSD BE'!$P$36*'TUSD BF'!$P$58</f>
        <v>0</v>
      </c>
      <c r="Q36" s="26">
        <f>'TUSD BE'!$Q$36*'TUSD BF'!$Q$58</f>
        <v>0</v>
      </c>
      <c r="R36" s="26">
        <f>'TUSD BE'!$R$36*'TUSD BF'!$R$58</f>
        <v>0</v>
      </c>
      <c r="S36" s="26">
        <f>'TUSD BE'!$R$36*'TUSD BF'!$S$58</f>
        <v>0</v>
      </c>
      <c r="T36" s="26">
        <f ca="1">SUM($L$36:$S$36)</f>
        <v>0</v>
      </c>
      <c r="U36" s="26">
        <f>'TUSD BE'!$U$36*'TUSD BF'!$U$58</f>
        <v>0</v>
      </c>
      <c r="V36" s="26">
        <f>'TUSD BE'!$V$36*'TUSD BF'!$V$58</f>
        <v>0</v>
      </c>
      <c r="W36" s="26">
        <f>'TUSD BE'!$W$36*'TUSD BF'!$W$58</f>
        <v>0</v>
      </c>
      <c r="X36" s="26">
        <f>'TUSD BE'!$X$36*'TUSD BF'!$X$58</f>
        <v>0</v>
      </c>
      <c r="Y36" s="26">
        <f>'TUSD BE'!$Y$36*'TUSD BF'!$Y$58</f>
        <v>0</v>
      </c>
      <c r="Z36" s="26">
        <f>'TUSD BE'!$Z$36*'TUSD BF'!$Z$58</f>
        <v>0</v>
      </c>
      <c r="AA36" s="26">
        <f>'TUSD BE'!$AA$36*'TUSD BF'!$AA$58</f>
        <v>0</v>
      </c>
      <c r="AB36" s="26">
        <f>SUM($U$36:$AA$36)</f>
        <v>0</v>
      </c>
      <c r="AC36" s="26">
        <f>'TUSD BE'!$AC$36*'TUSD BF'!$AC$58</f>
        <v>0</v>
      </c>
      <c r="AD36" s="26">
        <f>SUM($AC$36:$AC$36)</f>
        <v>0</v>
      </c>
      <c r="AE36" s="26">
        <f ca="1">$AO$36*$AO$55</f>
        <v>0</v>
      </c>
      <c r="AF36" s="26">
        <f ca="1">$AP$36*$AP$55</f>
        <v>0</v>
      </c>
      <c r="AG36" s="26">
        <f ca="1">SUM($AE$36:$AF$36)</f>
        <v>0</v>
      </c>
      <c r="AH36" s="26">
        <f>'TUSD BE'!$AH$36*'TUSD BF'!$AH$58</f>
        <v>0</v>
      </c>
      <c r="AI36" s="26">
        <f>'TUSD BE'!$AI$36*'TUSD BF'!$AI$58</f>
        <v>0</v>
      </c>
      <c r="AJ36" s="26">
        <f ca="1">'TUSD BE'!$AJ$36*'TUSD BF'!$AJ$58</f>
        <v>0</v>
      </c>
      <c r="AK36" s="26">
        <f ca="1">'TUSD BE'!$AK$36*'TUSD BF'!$AK$58</f>
        <v>0</v>
      </c>
      <c r="AL36" s="26">
        <f ca="1">SUM($AH$36:$AK$36)</f>
        <v>0</v>
      </c>
      <c r="AM36" s="26">
        <f ca="1">SUMIF($L$4:$AL$4,"SUBTOTAL",$L$36:$AL$36)</f>
        <v>0</v>
      </c>
      <c r="AO36" s="50">
        <f ca="1">+'TUSD BE'!$T$36+'TUSD BE'!$AB$36+'TUSD BE'!$AD$36+'TUSD BE'!$AL$36</f>
        <v>273.48293211795982</v>
      </c>
      <c r="AP36" s="50">
        <f ca="1">+'TUSD BE'!$T$36+'TUSD BE'!$AB$36+'TUSD BE'!$AD$36+'TUSD BE'!$AL$36</f>
        <v>273.48293211795982</v>
      </c>
    </row>
    <row r="37" spans="1:42" ht="11.25" customHeight="1" x14ac:dyDescent="0.25">
      <c r="A37" s="131"/>
      <c r="B37" s="48" t="s">
        <v>23</v>
      </c>
      <c r="C37" s="48" t="s">
        <v>44</v>
      </c>
      <c r="D37" s="48" t="s">
        <v>92</v>
      </c>
      <c r="E37" s="48" t="s">
        <v>25</v>
      </c>
      <c r="F37" s="48" t="s">
        <v>25</v>
      </c>
      <c r="G37" s="44" t="s">
        <v>82</v>
      </c>
      <c r="H37" s="44" t="s">
        <v>76</v>
      </c>
      <c r="I37" s="44">
        <f>'MERCADO TUSD'!$U$34</f>
        <v>0</v>
      </c>
      <c r="J37" s="18"/>
      <c r="L37" s="26">
        <f>'TUSD BE'!$L$37*'TUSD BF'!$L$58</f>
        <v>0</v>
      </c>
      <c r="M37" s="26">
        <f>'TUSD BE'!$M$37*'TUSD BF'!$M$58</f>
        <v>0</v>
      </c>
      <c r="N37" s="26">
        <f ca="1">'TUSD BE'!$N$37*'TUSD BF'!$N$58</f>
        <v>0</v>
      </c>
      <c r="O37" s="26">
        <f>'TUSD BE'!$O$37*'TUSD BF'!$O$58</f>
        <v>0</v>
      </c>
      <c r="P37" s="26">
        <f>'TUSD BE'!$P$37*'TUSD BF'!$P$58</f>
        <v>0</v>
      </c>
      <c r="Q37" s="26">
        <f>'TUSD BE'!$Q$37*'TUSD BF'!$Q$58</f>
        <v>0</v>
      </c>
      <c r="R37" s="26">
        <f>'TUSD BE'!$R$37*'TUSD BF'!$R$58</f>
        <v>0</v>
      </c>
      <c r="S37" s="26">
        <f>'TUSD BE'!$R$37*'TUSD BF'!$S$58</f>
        <v>0</v>
      </c>
      <c r="T37" s="26">
        <f ca="1">SUM($L$37:$S$37)</f>
        <v>0</v>
      </c>
      <c r="U37" s="26">
        <f>'TUSD BE'!$U$37*'TUSD BF'!$U$58</f>
        <v>0</v>
      </c>
      <c r="V37" s="26">
        <f>'TUSD BE'!$V$37*'TUSD BF'!$V$58</f>
        <v>0</v>
      </c>
      <c r="W37" s="26">
        <f>'TUSD BE'!$W$37*'TUSD BF'!$W$58</f>
        <v>0</v>
      </c>
      <c r="X37" s="26">
        <f>'TUSD BE'!$X$37*'TUSD BF'!$X$58</f>
        <v>0</v>
      </c>
      <c r="Y37" s="26">
        <f>'TUSD BE'!$Y$37*'TUSD BF'!$Y$58</f>
        <v>0</v>
      </c>
      <c r="Z37" s="26">
        <f>'TUSD BE'!$Z$37*'TUSD BF'!$Z$58</f>
        <v>0</v>
      </c>
      <c r="AA37" s="26">
        <f>'TUSD BE'!$AA$37*'TUSD BF'!$AA$58</f>
        <v>0</v>
      </c>
      <c r="AB37" s="26">
        <f>SUM($U$37:$AA$37)</f>
        <v>0</v>
      </c>
      <c r="AC37" s="26">
        <f>'TUSD BE'!$AC$37*'TUSD BF'!$AC$58</f>
        <v>0</v>
      </c>
      <c r="AD37" s="26">
        <f>SUM($AC$37:$AC$37)</f>
        <v>0</v>
      </c>
      <c r="AE37" s="26">
        <f ca="1">$AO$37*$AO$55</f>
        <v>0</v>
      </c>
      <c r="AF37" s="26">
        <f ca="1">$AP$37*$AP$55</f>
        <v>0</v>
      </c>
      <c r="AG37" s="26">
        <f ca="1">SUM($AE$37:$AF$37)</f>
        <v>0</v>
      </c>
      <c r="AH37" s="26">
        <f>'TUSD BE'!$AH$37*'TUSD BF'!$AH$58</f>
        <v>0</v>
      </c>
      <c r="AI37" s="26">
        <f>'TUSD BE'!$AI$37*'TUSD BF'!$AI$58</f>
        <v>0</v>
      </c>
      <c r="AJ37" s="26">
        <f ca="1">'TUSD BE'!$AJ$37*'TUSD BF'!$AJ$58</f>
        <v>0</v>
      </c>
      <c r="AK37" s="26">
        <f ca="1">'TUSD BE'!$AK$37*'TUSD BF'!$AK$58</f>
        <v>0</v>
      </c>
      <c r="AL37" s="26">
        <f ca="1">SUM($AH$37:$AK$37)</f>
        <v>0</v>
      </c>
      <c r="AM37" s="26">
        <f ca="1">SUMIF($L$4:$AL$4,"SUBTOTAL",$L$37:$AL$37)</f>
        <v>0</v>
      </c>
      <c r="AO37" s="50">
        <f ca="1">+'TUSD BE'!$T$37+'TUSD BE'!$AB$37+'TUSD BE'!$AD$37+'TUSD BE'!$AL$37</f>
        <v>398.33390532713378</v>
      </c>
      <c r="AP37" s="50">
        <f ca="1">+'TUSD BE'!$T$37+'TUSD BE'!$AB$37+'TUSD BE'!$AD$37+'TUSD BE'!$AL$37</f>
        <v>398.33390532713378</v>
      </c>
    </row>
    <row r="38" spans="1:42" ht="11.25" customHeight="1" x14ac:dyDescent="0.25">
      <c r="A38" s="131"/>
      <c r="B38" s="131" t="s">
        <v>37</v>
      </c>
      <c r="C38" s="131" t="s">
        <v>44</v>
      </c>
      <c r="D38" s="131" t="s">
        <v>93</v>
      </c>
      <c r="E38" s="131" t="s">
        <v>25</v>
      </c>
      <c r="F38" s="131" t="s">
        <v>25</v>
      </c>
      <c r="G38" s="44" t="s">
        <v>77</v>
      </c>
      <c r="H38" s="44" t="s">
        <v>76</v>
      </c>
      <c r="I38" s="44">
        <f>'MERCADO TUSD'!$U$35</f>
        <v>0</v>
      </c>
      <c r="J38" s="18"/>
      <c r="L38" s="26">
        <f>'TUSD BE'!$L$38*'TUSD BF'!$L$58</f>
        <v>0</v>
      </c>
      <c r="M38" s="26">
        <f>'TUSD BE'!$M$38*'TUSD BF'!$M$58</f>
        <v>0</v>
      </c>
      <c r="N38" s="26">
        <f ca="1">'TUSD BE'!$N$38*'TUSD BF'!$N$58</f>
        <v>0</v>
      </c>
      <c r="O38" s="26">
        <f>'TUSD BE'!$O$38*'TUSD BF'!$O$58</f>
        <v>0</v>
      </c>
      <c r="P38" s="26">
        <f>'TUSD BE'!$P$38*'TUSD BF'!$P$58</f>
        <v>0</v>
      </c>
      <c r="Q38" s="26">
        <f>'TUSD BE'!$Q$38*'TUSD BF'!$Q$58</f>
        <v>0</v>
      </c>
      <c r="R38" s="26">
        <f>'TUSD BE'!$R$38*'TUSD BF'!$R$58</f>
        <v>0</v>
      </c>
      <c r="S38" s="26">
        <f>'TUSD BE'!$R$38*'TUSD BF'!$S$58</f>
        <v>0</v>
      </c>
      <c r="T38" s="26">
        <f ca="1">SUM($L$38:$S$38)</f>
        <v>0</v>
      </c>
      <c r="U38" s="26">
        <f>'TUSD BE'!$U$38*'TUSD BF'!$U$58</f>
        <v>0</v>
      </c>
      <c r="V38" s="26">
        <f>'TUSD BE'!$V$38*'TUSD BF'!$V$58</f>
        <v>0</v>
      </c>
      <c r="W38" s="26">
        <f>'TUSD BE'!$W$38*'TUSD BF'!$W$58</f>
        <v>0</v>
      </c>
      <c r="X38" s="26">
        <f>'TUSD BE'!$X$38*'TUSD BF'!$X$58</f>
        <v>0</v>
      </c>
      <c r="Y38" s="26">
        <f>'TUSD BE'!$Y$38*'TUSD BF'!$Y$58</f>
        <v>0</v>
      </c>
      <c r="Z38" s="26">
        <f>'TUSD BE'!$Z$38*'TUSD BF'!$Z$58</f>
        <v>0</v>
      </c>
      <c r="AA38" s="26">
        <f>'TUSD BE'!$AA$38*'TUSD BF'!$AA$58</f>
        <v>0</v>
      </c>
      <c r="AB38" s="26">
        <f>SUM($U$38:$AA$38)</f>
        <v>0</v>
      </c>
      <c r="AC38" s="26">
        <f>'TUSD BE'!$AC$38*'TUSD BF'!$AC$58</f>
        <v>0</v>
      </c>
      <c r="AD38" s="26">
        <f>SUM($AC$38:$AC$38)</f>
        <v>0</v>
      </c>
      <c r="AE38" s="26">
        <f ca="1">$AO$38*$AO$55</f>
        <v>0</v>
      </c>
      <c r="AF38" s="26">
        <f ca="1">$AP$38*$AP$55</f>
        <v>0</v>
      </c>
      <c r="AG38" s="26">
        <f ca="1">SUM($AE$38:$AF$38)</f>
        <v>0</v>
      </c>
      <c r="AH38" s="26">
        <f>'TUSD BE'!$AH$38*'TUSD BF'!$AH$58</f>
        <v>0</v>
      </c>
      <c r="AI38" s="26">
        <f>'TUSD BE'!$AI$38*'TUSD BF'!$AI$58</f>
        <v>0</v>
      </c>
      <c r="AJ38" s="26">
        <f ca="1">'TUSD BE'!$AJ$38*'TUSD BF'!$AJ$58</f>
        <v>0</v>
      </c>
      <c r="AK38" s="26">
        <f ca="1">'TUSD BE'!$AK$38*'TUSD BF'!$AK$58</f>
        <v>0</v>
      </c>
      <c r="AL38" s="26">
        <f ca="1">SUM($AH$38:$AK$38)</f>
        <v>0</v>
      </c>
      <c r="AM38" s="26">
        <f ca="1">SUMIF($L$4:$AL$4,"SUBTOTAL",$L$38:$AL$38)</f>
        <v>0</v>
      </c>
      <c r="AO38" s="50">
        <f ca="1">+'TUSD BE'!$T$38+'TUSD BE'!$AB$38+'TUSD BE'!$AD$38+'TUSD BE'!$AL$38</f>
        <v>883.86584082003822</v>
      </c>
      <c r="AP38" s="50">
        <f ca="1">+'TUSD BE'!$T$38+'TUSD BE'!$AB$38+'TUSD BE'!$AD$38+'TUSD BE'!$AL$38</f>
        <v>883.86584082003822</v>
      </c>
    </row>
    <row r="39" spans="1:42" ht="11.25" customHeight="1" x14ac:dyDescent="0.25">
      <c r="A39" s="131"/>
      <c r="B39" s="131"/>
      <c r="C39" s="131"/>
      <c r="D39" s="131"/>
      <c r="E39" s="131"/>
      <c r="F39" s="131"/>
      <c r="G39" s="44" t="s">
        <v>88</v>
      </c>
      <c r="H39" s="44" t="s">
        <v>76</v>
      </c>
      <c r="I39" s="44">
        <f>'MERCADO TUSD'!$U$36</f>
        <v>0</v>
      </c>
      <c r="J39" s="18"/>
      <c r="L39" s="26">
        <f>'TUSD BE'!$L$39*'TUSD BF'!$L$58</f>
        <v>0</v>
      </c>
      <c r="M39" s="26">
        <f>'TUSD BE'!$M$39*'TUSD BF'!$M$58</f>
        <v>0</v>
      </c>
      <c r="N39" s="26">
        <f ca="1">'TUSD BE'!$N$39*'TUSD BF'!$N$58</f>
        <v>0</v>
      </c>
      <c r="O39" s="26">
        <f>'TUSD BE'!$O$39*'TUSD BF'!$O$58</f>
        <v>0</v>
      </c>
      <c r="P39" s="26">
        <f>'TUSD BE'!$P$39*'TUSD BF'!$P$58</f>
        <v>0</v>
      </c>
      <c r="Q39" s="26">
        <f>'TUSD BE'!$Q$39*'TUSD BF'!$Q$58</f>
        <v>0</v>
      </c>
      <c r="R39" s="26">
        <f>'TUSD BE'!$R$39*'TUSD BF'!$R$58</f>
        <v>0</v>
      </c>
      <c r="S39" s="26">
        <f>'TUSD BE'!$R$39*'TUSD BF'!$S$58</f>
        <v>0</v>
      </c>
      <c r="T39" s="26">
        <f ca="1">SUM($L$39:$S$39)</f>
        <v>0</v>
      </c>
      <c r="U39" s="26">
        <f>'TUSD BE'!$U$39*'TUSD BF'!$U$58</f>
        <v>0</v>
      </c>
      <c r="V39" s="26">
        <f>'TUSD BE'!$V$39*'TUSD BF'!$V$58</f>
        <v>0</v>
      </c>
      <c r="W39" s="26">
        <f>'TUSD BE'!$W$39*'TUSD BF'!$W$58</f>
        <v>0</v>
      </c>
      <c r="X39" s="26">
        <f>'TUSD BE'!$X$39*'TUSD BF'!$X$58</f>
        <v>0</v>
      </c>
      <c r="Y39" s="26">
        <f>'TUSD BE'!$Y$39*'TUSD BF'!$Y$58</f>
        <v>0</v>
      </c>
      <c r="Z39" s="26">
        <f>'TUSD BE'!$Z$39*'TUSD BF'!$Z$58</f>
        <v>0</v>
      </c>
      <c r="AA39" s="26">
        <f>'TUSD BE'!$AA$39*'TUSD BF'!$AA$58</f>
        <v>0</v>
      </c>
      <c r="AB39" s="26">
        <f>SUM($U$39:$AA$39)</f>
        <v>0</v>
      </c>
      <c r="AC39" s="26">
        <f>'TUSD BE'!$AC$39*'TUSD BF'!$AC$58</f>
        <v>0</v>
      </c>
      <c r="AD39" s="26">
        <f>SUM($AC$39:$AC$39)</f>
        <v>0</v>
      </c>
      <c r="AE39" s="26">
        <f ca="1">$AO$39*$AO$55</f>
        <v>0</v>
      </c>
      <c r="AF39" s="26">
        <f ca="1">$AP$39*$AP$55</f>
        <v>0</v>
      </c>
      <c r="AG39" s="26">
        <f ca="1">SUM($AE$39:$AF$39)</f>
        <v>0</v>
      </c>
      <c r="AH39" s="26">
        <f>'TUSD BE'!$AH$39*'TUSD BF'!$AH$58</f>
        <v>0</v>
      </c>
      <c r="AI39" s="26">
        <f>'TUSD BE'!$AI$39*'TUSD BF'!$AI$58</f>
        <v>0</v>
      </c>
      <c r="AJ39" s="26">
        <f ca="1">'TUSD BE'!$AJ$39*'TUSD BF'!$AJ$58</f>
        <v>0</v>
      </c>
      <c r="AK39" s="26">
        <f ca="1">'TUSD BE'!$AK$39*'TUSD BF'!$AK$58</f>
        <v>0</v>
      </c>
      <c r="AL39" s="26">
        <f ca="1">SUM($AH$39:$AK$39)</f>
        <v>0</v>
      </c>
      <c r="AM39" s="26">
        <f ca="1">SUMIF($L$4:$AL$4,"SUBTOTAL",$L$39:$AL$39)</f>
        <v>0</v>
      </c>
      <c r="AO39" s="50">
        <f ca="1">+'TUSD BE'!$T$39+'TUSD BE'!$AB$39+'TUSD BE'!$AD$39+'TUSD BE'!$AL$39</f>
        <v>578.67430238018267</v>
      </c>
      <c r="AP39" s="50">
        <f ca="1">+'TUSD BE'!$T$39+'TUSD BE'!$AB$39+'TUSD BE'!$AD$39+'TUSD BE'!$AL$39</f>
        <v>578.67430238018267</v>
      </c>
    </row>
    <row r="40" spans="1:42" ht="11.25" customHeight="1" x14ac:dyDescent="0.25">
      <c r="A40" s="131"/>
      <c r="B40" s="131"/>
      <c r="C40" s="131"/>
      <c r="D40" s="131"/>
      <c r="E40" s="131"/>
      <c r="F40" s="131"/>
      <c r="G40" s="44" t="s">
        <v>78</v>
      </c>
      <c r="H40" s="44" t="s">
        <v>76</v>
      </c>
      <c r="I40" s="44">
        <f>'MERCADO TUSD'!$U$37</f>
        <v>0</v>
      </c>
      <c r="J40" s="18"/>
      <c r="L40" s="26">
        <f>'TUSD BE'!$L$40*'TUSD BF'!$L$58</f>
        <v>0</v>
      </c>
      <c r="M40" s="26">
        <f>'TUSD BE'!$M$40*'TUSD BF'!$M$58</f>
        <v>0</v>
      </c>
      <c r="N40" s="26">
        <f ca="1">'TUSD BE'!$N$40*'TUSD BF'!$N$58</f>
        <v>0</v>
      </c>
      <c r="O40" s="26">
        <f>'TUSD BE'!$O$40*'TUSD BF'!$O$58</f>
        <v>0</v>
      </c>
      <c r="P40" s="26">
        <f>'TUSD BE'!$P$40*'TUSD BF'!$P$58</f>
        <v>0</v>
      </c>
      <c r="Q40" s="26">
        <f>'TUSD BE'!$Q$40*'TUSD BF'!$Q$58</f>
        <v>0</v>
      </c>
      <c r="R40" s="26">
        <f>'TUSD BE'!$R$40*'TUSD BF'!$R$58</f>
        <v>0</v>
      </c>
      <c r="S40" s="26">
        <f>'TUSD BE'!$R$40*'TUSD BF'!$S$58</f>
        <v>0</v>
      </c>
      <c r="T40" s="26">
        <f ca="1">SUM($L$40:$S$40)</f>
        <v>0</v>
      </c>
      <c r="U40" s="26">
        <f>'TUSD BE'!$U$40*'TUSD BF'!$U$58</f>
        <v>0</v>
      </c>
      <c r="V40" s="26">
        <f>'TUSD BE'!$V$40*'TUSD BF'!$V$58</f>
        <v>0</v>
      </c>
      <c r="W40" s="26">
        <f>'TUSD BE'!$W$40*'TUSD BF'!$W$58</f>
        <v>0</v>
      </c>
      <c r="X40" s="26">
        <f>'TUSD BE'!$X$40*'TUSD BF'!$X$58</f>
        <v>0</v>
      </c>
      <c r="Y40" s="26">
        <f>'TUSD BE'!$Y$40*'TUSD BF'!$Y$58</f>
        <v>0</v>
      </c>
      <c r="Z40" s="26">
        <f>'TUSD BE'!$Z$40*'TUSD BF'!$Z$58</f>
        <v>0</v>
      </c>
      <c r="AA40" s="26">
        <f>'TUSD BE'!$AA$40*'TUSD BF'!$AA$58</f>
        <v>0</v>
      </c>
      <c r="AB40" s="26">
        <f>SUM($U$40:$AA$40)</f>
        <v>0</v>
      </c>
      <c r="AC40" s="26">
        <f>'TUSD BE'!$AC$40*'TUSD BF'!$AC$58</f>
        <v>0</v>
      </c>
      <c r="AD40" s="26">
        <f>SUM($AC$40:$AC$40)</f>
        <v>0</v>
      </c>
      <c r="AE40" s="26">
        <f ca="1">$AO$40*$AO$55</f>
        <v>0</v>
      </c>
      <c r="AF40" s="26">
        <f ca="1">$AP$40*$AP$55</f>
        <v>0</v>
      </c>
      <c r="AG40" s="26">
        <f ca="1">SUM($AE$40:$AF$40)</f>
        <v>0</v>
      </c>
      <c r="AH40" s="26">
        <f>'TUSD BE'!$AH$40*'TUSD BF'!$AH$58</f>
        <v>0</v>
      </c>
      <c r="AI40" s="26">
        <f>'TUSD BE'!$AI$40*'TUSD BF'!$AI$58</f>
        <v>0</v>
      </c>
      <c r="AJ40" s="26">
        <f ca="1">'TUSD BE'!$AJ$40*'TUSD BF'!$AJ$58</f>
        <v>0</v>
      </c>
      <c r="AK40" s="26">
        <f ca="1">'TUSD BE'!$AK$40*'TUSD BF'!$AK$58</f>
        <v>0</v>
      </c>
      <c r="AL40" s="26">
        <f ca="1">SUM($AH$40:$AK$40)</f>
        <v>0</v>
      </c>
      <c r="AM40" s="26">
        <f ca="1">SUMIF($L$4:$AL$4,"SUBTOTAL",$L$40:$AL$40)</f>
        <v>0</v>
      </c>
      <c r="AO40" s="50">
        <f ca="1">+'TUSD BE'!$T$40+'TUSD BE'!$AB$40+'TUSD BE'!$AD$40+'TUSD BE'!$AL$40</f>
        <v>273.48293211795982</v>
      </c>
      <c r="AP40" s="50">
        <f ca="1">+'TUSD BE'!$T$40+'TUSD BE'!$AB$40+'TUSD BE'!$AD$40+'TUSD BE'!$AL$40</f>
        <v>273.48293211795982</v>
      </c>
    </row>
    <row r="41" spans="1:42" ht="11.25" customHeight="1" x14ac:dyDescent="0.25">
      <c r="A41" s="131"/>
      <c r="B41" s="48" t="s">
        <v>23</v>
      </c>
      <c r="C41" s="48" t="s">
        <v>44</v>
      </c>
      <c r="D41" s="48" t="s">
        <v>93</v>
      </c>
      <c r="E41" s="48" t="s">
        <v>25</v>
      </c>
      <c r="F41" s="48" t="s">
        <v>25</v>
      </c>
      <c r="G41" s="44" t="s">
        <v>82</v>
      </c>
      <c r="H41" s="44" t="s">
        <v>76</v>
      </c>
      <c r="I41" s="44">
        <f>'MERCADO TUSD'!$U$38</f>
        <v>0</v>
      </c>
      <c r="J41" s="18"/>
      <c r="L41" s="26">
        <f>'TUSD BE'!$L$41*'TUSD BF'!$L$58</f>
        <v>0</v>
      </c>
      <c r="M41" s="26">
        <f>'TUSD BE'!$M$41*'TUSD BF'!$M$58</f>
        <v>0</v>
      </c>
      <c r="N41" s="26">
        <f ca="1">'TUSD BE'!$N$41*'TUSD BF'!$N$58</f>
        <v>0</v>
      </c>
      <c r="O41" s="26">
        <f>'TUSD BE'!$O$41*'TUSD BF'!$O$58</f>
        <v>0</v>
      </c>
      <c r="P41" s="26">
        <f>'TUSD BE'!$P$41*'TUSD BF'!$P$58</f>
        <v>0</v>
      </c>
      <c r="Q41" s="26">
        <f>'TUSD BE'!$Q$41*'TUSD BF'!$Q$58</f>
        <v>0</v>
      </c>
      <c r="R41" s="26">
        <f>'TUSD BE'!$R$41*'TUSD BF'!$R$58</f>
        <v>0</v>
      </c>
      <c r="S41" s="26">
        <f>'TUSD BE'!$R$41*'TUSD BF'!$S$58</f>
        <v>0</v>
      </c>
      <c r="T41" s="26">
        <f ca="1">SUM($L$41:$S$41)</f>
        <v>0</v>
      </c>
      <c r="U41" s="26">
        <f>'TUSD BE'!$U$41*'TUSD BF'!$U$58</f>
        <v>0</v>
      </c>
      <c r="V41" s="26">
        <f>'TUSD BE'!$V$41*'TUSD BF'!$V$58</f>
        <v>0</v>
      </c>
      <c r="W41" s="26">
        <f>'TUSD BE'!$W$41*'TUSD BF'!$W$58</f>
        <v>0</v>
      </c>
      <c r="X41" s="26">
        <f>'TUSD BE'!$X$41*'TUSD BF'!$X$58</f>
        <v>0</v>
      </c>
      <c r="Y41" s="26">
        <f>'TUSD BE'!$Y$41*'TUSD BF'!$Y$58</f>
        <v>0</v>
      </c>
      <c r="Z41" s="26">
        <f>'TUSD BE'!$Z$41*'TUSD BF'!$Z$58</f>
        <v>0</v>
      </c>
      <c r="AA41" s="26">
        <f>'TUSD BE'!$AA$41*'TUSD BF'!$AA$58</f>
        <v>0</v>
      </c>
      <c r="AB41" s="26">
        <f>SUM($U$41:$AA$41)</f>
        <v>0</v>
      </c>
      <c r="AC41" s="26">
        <f>'TUSD BE'!$AC$41*'TUSD BF'!$AC$58</f>
        <v>0</v>
      </c>
      <c r="AD41" s="26">
        <f>SUM($AC$41:$AC$41)</f>
        <v>0</v>
      </c>
      <c r="AE41" s="26">
        <f ca="1">$AO$41*$AO$55</f>
        <v>0</v>
      </c>
      <c r="AF41" s="26">
        <f ca="1">$AP$41*$AP$55</f>
        <v>0</v>
      </c>
      <c r="AG41" s="26">
        <f ca="1">SUM($AE$41:$AF$41)</f>
        <v>0</v>
      </c>
      <c r="AH41" s="26">
        <f>'TUSD BE'!$AH$41*'TUSD BF'!$AH$58</f>
        <v>0</v>
      </c>
      <c r="AI41" s="26">
        <f>'TUSD BE'!$AI$41*'TUSD BF'!$AI$58</f>
        <v>0</v>
      </c>
      <c r="AJ41" s="26">
        <f ca="1">'TUSD BE'!$AJ$41*'TUSD BF'!$AJ$58</f>
        <v>0</v>
      </c>
      <c r="AK41" s="26">
        <f ca="1">'TUSD BE'!$AK$41*'TUSD BF'!$AK$58</f>
        <v>0</v>
      </c>
      <c r="AL41" s="26">
        <f ca="1">SUM($AH$41:$AK$41)</f>
        <v>0</v>
      </c>
      <c r="AM41" s="26">
        <f ca="1">SUMIF($L$4:$AL$4,"SUBTOTAL",$L$41:$AL$41)</f>
        <v>0</v>
      </c>
      <c r="AO41" s="50">
        <f ca="1">+'TUSD BE'!$T$41+'TUSD BE'!$AB$41+'TUSD BE'!$AD$41+'TUSD BE'!$AL$41</f>
        <v>398.33390532713378</v>
      </c>
      <c r="AP41" s="50">
        <f ca="1">+'TUSD BE'!$T$41+'TUSD BE'!$AB$41+'TUSD BE'!$AD$41+'TUSD BE'!$AL$41</f>
        <v>398.33390532713378</v>
      </c>
    </row>
    <row r="42" spans="1:42" ht="11.25" customHeight="1" x14ac:dyDescent="0.25">
      <c r="A42" s="131"/>
      <c r="B42" s="131" t="s">
        <v>91</v>
      </c>
      <c r="C42" s="131" t="s">
        <v>44</v>
      </c>
      <c r="D42" s="48" t="s">
        <v>25</v>
      </c>
      <c r="E42" s="48" t="s">
        <v>25</v>
      </c>
      <c r="F42" s="48" t="s">
        <v>25</v>
      </c>
      <c r="G42" s="44" t="s">
        <v>82</v>
      </c>
      <c r="H42" s="44" t="s">
        <v>76</v>
      </c>
      <c r="I42" s="44">
        <f>'MERCADO TUSD'!$U$39</f>
        <v>0</v>
      </c>
      <c r="J42" s="18"/>
      <c r="L42" s="26">
        <f>'TUSD BE'!$L$42*'TUSD BF'!$L$58</f>
        <v>0</v>
      </c>
      <c r="M42" s="26">
        <f>'TUSD BE'!$M$42*'TUSD BF'!$M$58</f>
        <v>0</v>
      </c>
      <c r="N42" s="26">
        <f ca="1">'TUSD BE'!$N$42*'TUSD BF'!$N$58</f>
        <v>0</v>
      </c>
      <c r="O42" s="26">
        <f>'TUSD BE'!$O$42*'TUSD BF'!$O$58</f>
        <v>0</v>
      </c>
      <c r="P42" s="26">
        <f>'TUSD BE'!$P$42*'TUSD BF'!$P$58</f>
        <v>0</v>
      </c>
      <c r="Q42" s="26">
        <f>'TUSD BE'!$Q$42*'TUSD BF'!$Q$58</f>
        <v>0</v>
      </c>
      <c r="R42" s="26">
        <f>'TUSD BE'!$R$42*'TUSD BF'!$R$58</f>
        <v>0</v>
      </c>
      <c r="S42" s="26">
        <f>'TUSD BE'!$R$42*'TUSD BF'!$S$58</f>
        <v>0</v>
      </c>
      <c r="T42" s="26">
        <f ca="1">SUM($L$42:$S$42)</f>
        <v>0</v>
      </c>
      <c r="U42" s="26">
        <f>'TUSD BE'!$U$42*'TUSD BF'!$U$58</f>
        <v>0</v>
      </c>
      <c r="V42" s="26">
        <f>'TUSD BE'!$V$42*'TUSD BF'!$V$58</f>
        <v>0</v>
      </c>
      <c r="W42" s="26">
        <f>'TUSD BE'!$W$42*'TUSD BF'!$W$58</f>
        <v>0</v>
      </c>
      <c r="X42" s="26">
        <f>'TUSD BE'!$X$42*'TUSD BF'!$X$58</f>
        <v>0</v>
      </c>
      <c r="Y42" s="26">
        <f>'TUSD BE'!$Y$42*'TUSD BF'!$Y$58</f>
        <v>0</v>
      </c>
      <c r="Z42" s="26">
        <f>'TUSD BE'!$Z$42*'TUSD BF'!$Z$58</f>
        <v>0</v>
      </c>
      <c r="AA42" s="26">
        <f>'TUSD BE'!$AA$42*'TUSD BF'!$AA$58</f>
        <v>0</v>
      </c>
      <c r="AB42" s="26">
        <f>SUM($U$42:$AA$42)</f>
        <v>0</v>
      </c>
      <c r="AC42" s="26">
        <f>'TUSD BE'!$AC$42*'TUSD BF'!$AC$58</f>
        <v>0</v>
      </c>
      <c r="AD42" s="26">
        <f>SUM($AC$42:$AC$42)</f>
        <v>0</v>
      </c>
      <c r="AE42" s="26">
        <f ca="1">$AO$42*$AO$55</f>
        <v>0</v>
      </c>
      <c r="AF42" s="26">
        <f ca="1">$AP$42*$AP$55</f>
        <v>0</v>
      </c>
      <c r="AG42" s="26">
        <f ca="1">SUM($AE$42:$AF$42)</f>
        <v>0</v>
      </c>
      <c r="AH42" s="26">
        <f>'TUSD BE'!$AH$42*'TUSD BF'!$AH$58</f>
        <v>0</v>
      </c>
      <c r="AI42" s="26">
        <f>'TUSD BE'!$AI$42*'TUSD BF'!$AI$58</f>
        <v>0</v>
      </c>
      <c r="AJ42" s="26">
        <f ca="1">'TUSD BE'!$AJ$42*'TUSD BF'!$AJ$58</f>
        <v>0</v>
      </c>
      <c r="AK42" s="26">
        <f ca="1">'TUSD BE'!$AK$42*'TUSD BF'!$AK$58</f>
        <v>0</v>
      </c>
      <c r="AL42" s="26">
        <f ca="1">SUM($AH$42:$AK$42)</f>
        <v>0</v>
      </c>
      <c r="AM42" s="26">
        <f ca="1">SUMIF($L$4:$AL$4,"SUBTOTAL",$L$42:$AL$42)</f>
        <v>0</v>
      </c>
      <c r="AO42" s="50">
        <f ca="1">+'TUSD BE'!$T$42+'TUSD BE'!$AB$42+'TUSD BE'!$AD$42+'TUSD BE'!$AL$42</f>
        <v>398.33390532713378</v>
      </c>
      <c r="AP42" s="50">
        <f ca="1">+'TUSD BE'!$T$42+'TUSD BE'!$AB$42+'TUSD BE'!$AD$42+'TUSD BE'!$AL$42</f>
        <v>398.33390532713378</v>
      </c>
    </row>
    <row r="43" spans="1:42" ht="11.25" customHeight="1" x14ac:dyDescent="0.25">
      <c r="A43" s="131"/>
      <c r="B43" s="131"/>
      <c r="C43" s="131"/>
      <c r="D43" s="48" t="s">
        <v>92</v>
      </c>
      <c r="E43" s="48" t="s">
        <v>25</v>
      </c>
      <c r="F43" s="48" t="s">
        <v>25</v>
      </c>
      <c r="G43" s="44" t="s">
        <v>82</v>
      </c>
      <c r="H43" s="44" t="s">
        <v>76</v>
      </c>
      <c r="I43" s="44">
        <f>'MERCADO TUSD'!$U$40</f>
        <v>0</v>
      </c>
      <c r="J43" s="18"/>
      <c r="L43" s="26">
        <f>'TUSD BE'!$L$43*'TUSD BF'!$L$58</f>
        <v>0</v>
      </c>
      <c r="M43" s="26">
        <f>'TUSD BE'!$M$43*'TUSD BF'!$M$58</f>
        <v>0</v>
      </c>
      <c r="N43" s="26">
        <f ca="1">'TUSD BE'!$N$43*'TUSD BF'!$N$58</f>
        <v>0</v>
      </c>
      <c r="O43" s="26">
        <f>'TUSD BE'!$O$43*'TUSD BF'!$O$58</f>
        <v>0</v>
      </c>
      <c r="P43" s="26">
        <f>'TUSD BE'!$P$43*'TUSD BF'!$P$58</f>
        <v>0</v>
      </c>
      <c r="Q43" s="26">
        <f>'TUSD BE'!$Q$43*'TUSD BF'!$Q$58</f>
        <v>0</v>
      </c>
      <c r="R43" s="26">
        <f>'TUSD BE'!$R$43*'TUSD BF'!$R$58</f>
        <v>0</v>
      </c>
      <c r="S43" s="26">
        <f>'TUSD BE'!$R$43*'TUSD BF'!$S$58</f>
        <v>0</v>
      </c>
      <c r="T43" s="26">
        <f ca="1">SUM($L$43:$S$43)</f>
        <v>0</v>
      </c>
      <c r="U43" s="26">
        <f>'TUSD BE'!$U$43*'TUSD BF'!$U$58</f>
        <v>0</v>
      </c>
      <c r="V43" s="26">
        <f>'TUSD BE'!$V$43*'TUSD BF'!$V$58</f>
        <v>0</v>
      </c>
      <c r="W43" s="26">
        <f>'TUSD BE'!$W$43*'TUSD BF'!$W$58</f>
        <v>0</v>
      </c>
      <c r="X43" s="26">
        <f>'TUSD BE'!$X$43*'TUSD BF'!$X$58</f>
        <v>0</v>
      </c>
      <c r="Y43" s="26">
        <f>'TUSD BE'!$Y$43*'TUSD BF'!$Y$58</f>
        <v>0</v>
      </c>
      <c r="Z43" s="26">
        <f>'TUSD BE'!$Z$43*'TUSD BF'!$Z$58</f>
        <v>0</v>
      </c>
      <c r="AA43" s="26">
        <f>'TUSD BE'!$AA$43*'TUSD BF'!$AA$58</f>
        <v>0</v>
      </c>
      <c r="AB43" s="26">
        <f>SUM($U$43:$AA$43)</f>
        <v>0</v>
      </c>
      <c r="AC43" s="26">
        <f>'TUSD BE'!$AC$43*'TUSD BF'!$AC$58</f>
        <v>0</v>
      </c>
      <c r="AD43" s="26">
        <f>SUM($AC$43:$AC$43)</f>
        <v>0</v>
      </c>
      <c r="AE43" s="26">
        <f ca="1">$AO$43*$AO$55</f>
        <v>0</v>
      </c>
      <c r="AF43" s="26">
        <f ca="1">$AP$43*$AP$55</f>
        <v>0</v>
      </c>
      <c r="AG43" s="26">
        <f ca="1">SUM($AE$43:$AF$43)</f>
        <v>0</v>
      </c>
      <c r="AH43" s="26">
        <f>'TUSD BE'!$AH$43*'TUSD BF'!$AH$58</f>
        <v>0</v>
      </c>
      <c r="AI43" s="26">
        <f>'TUSD BE'!$AI$43*'TUSD BF'!$AI$58</f>
        <v>0</v>
      </c>
      <c r="AJ43" s="26">
        <f ca="1">'TUSD BE'!$AJ$43*'TUSD BF'!$AJ$58</f>
        <v>0</v>
      </c>
      <c r="AK43" s="26">
        <f ca="1">'TUSD BE'!$AK$43*'TUSD BF'!$AK$58</f>
        <v>0</v>
      </c>
      <c r="AL43" s="26">
        <f ca="1">SUM($AH$43:$AK$43)</f>
        <v>0</v>
      </c>
      <c r="AM43" s="26">
        <f ca="1">SUMIF($L$4:$AL$4,"SUBTOTAL",$L$43:$AL$43)</f>
        <v>0</v>
      </c>
      <c r="AO43" s="50">
        <f ca="1">+'TUSD BE'!$T$43+'TUSD BE'!$AB$43+'TUSD BE'!$AD$43+'TUSD BE'!$AL$43</f>
        <v>398.33390532713378</v>
      </c>
      <c r="AP43" s="50">
        <f ca="1">+'TUSD BE'!$T$43+'TUSD BE'!$AB$43+'TUSD BE'!$AD$43+'TUSD BE'!$AL$43</f>
        <v>398.33390532713378</v>
      </c>
    </row>
    <row r="44" spans="1:42" ht="11.25" customHeight="1" x14ac:dyDescent="0.25">
      <c r="A44" s="131"/>
      <c r="B44" s="131"/>
      <c r="C44" s="131"/>
      <c r="D44" s="48" t="s">
        <v>93</v>
      </c>
      <c r="E44" s="48" t="s">
        <v>25</v>
      </c>
      <c r="F44" s="48" t="s">
        <v>25</v>
      </c>
      <c r="G44" s="44" t="s">
        <v>82</v>
      </c>
      <c r="H44" s="44" t="s">
        <v>76</v>
      </c>
      <c r="I44" s="44">
        <f>'MERCADO TUSD'!$U$41</f>
        <v>0</v>
      </c>
      <c r="J44" s="18"/>
      <c r="L44" s="26">
        <f>'TUSD BE'!$L$44*'TUSD BF'!$L$58</f>
        <v>0</v>
      </c>
      <c r="M44" s="26">
        <f>'TUSD BE'!$M$44*'TUSD BF'!$M$58</f>
        <v>0</v>
      </c>
      <c r="N44" s="26">
        <f ca="1">'TUSD BE'!$N$44*'TUSD BF'!$N$58</f>
        <v>0</v>
      </c>
      <c r="O44" s="26">
        <f>'TUSD BE'!$O$44*'TUSD BF'!$O$58</f>
        <v>0</v>
      </c>
      <c r="P44" s="26">
        <f>'TUSD BE'!$P$44*'TUSD BF'!$P$58</f>
        <v>0</v>
      </c>
      <c r="Q44" s="26">
        <f>'TUSD BE'!$Q$44*'TUSD BF'!$Q$58</f>
        <v>0</v>
      </c>
      <c r="R44" s="26">
        <f>'TUSD BE'!$R$44*'TUSD BF'!$R$58</f>
        <v>0</v>
      </c>
      <c r="S44" s="26">
        <f>'TUSD BE'!$R$44*'TUSD BF'!$S$58</f>
        <v>0</v>
      </c>
      <c r="T44" s="26">
        <f ca="1">SUM($L$44:$S$44)</f>
        <v>0</v>
      </c>
      <c r="U44" s="26">
        <f>'TUSD BE'!$U$44*'TUSD BF'!$U$58</f>
        <v>0</v>
      </c>
      <c r="V44" s="26">
        <f>'TUSD BE'!$V$44*'TUSD BF'!$V$58</f>
        <v>0</v>
      </c>
      <c r="W44" s="26">
        <f>'TUSD BE'!$W$44*'TUSD BF'!$W$58</f>
        <v>0</v>
      </c>
      <c r="X44" s="26">
        <f>'TUSD BE'!$X$44*'TUSD BF'!$X$58</f>
        <v>0</v>
      </c>
      <c r="Y44" s="26">
        <f>'TUSD BE'!$Y$44*'TUSD BF'!$Y$58</f>
        <v>0</v>
      </c>
      <c r="Z44" s="26">
        <f>'TUSD BE'!$Z$44*'TUSD BF'!$Z$58</f>
        <v>0</v>
      </c>
      <c r="AA44" s="26">
        <f>'TUSD BE'!$AA$44*'TUSD BF'!$AA$58</f>
        <v>0</v>
      </c>
      <c r="AB44" s="26">
        <f>SUM($U$44:$AA$44)</f>
        <v>0</v>
      </c>
      <c r="AC44" s="26">
        <f>'TUSD BE'!$AC$44*'TUSD BF'!$AC$58</f>
        <v>0</v>
      </c>
      <c r="AD44" s="26">
        <f>SUM($AC$44:$AC$44)</f>
        <v>0</v>
      </c>
      <c r="AE44" s="26">
        <f ca="1">$AO$44*$AO$55</f>
        <v>0</v>
      </c>
      <c r="AF44" s="26">
        <f ca="1">$AP$44*$AP$55</f>
        <v>0</v>
      </c>
      <c r="AG44" s="26">
        <f ca="1">SUM($AE$44:$AF$44)</f>
        <v>0</v>
      </c>
      <c r="AH44" s="26">
        <f>'TUSD BE'!$AH$44*'TUSD BF'!$AH$58</f>
        <v>0</v>
      </c>
      <c r="AI44" s="26">
        <f>'TUSD BE'!$AI$44*'TUSD BF'!$AI$58</f>
        <v>0</v>
      </c>
      <c r="AJ44" s="26">
        <f ca="1">'TUSD BE'!$AJ$44*'TUSD BF'!$AJ$58</f>
        <v>0</v>
      </c>
      <c r="AK44" s="26">
        <f ca="1">'TUSD BE'!$AK$44*'TUSD BF'!$AK$58</f>
        <v>0</v>
      </c>
      <c r="AL44" s="26">
        <f ca="1">SUM($AH$44:$AK$44)</f>
        <v>0</v>
      </c>
      <c r="AM44" s="26">
        <f ca="1">SUMIF($L$4:$AL$4,"SUBTOTAL",$L$44:$AL$44)</f>
        <v>0</v>
      </c>
      <c r="AO44" s="50">
        <f ca="1">+'TUSD BE'!$T$44+'TUSD BE'!$AB$44+'TUSD BE'!$AD$44+'TUSD BE'!$AL$44</f>
        <v>398.33390532713378</v>
      </c>
      <c r="AP44" s="50">
        <f ca="1">+'TUSD BE'!$T$44+'TUSD BE'!$AB$44+'TUSD BE'!$AD$44+'TUSD BE'!$AL$44</f>
        <v>398.33390532713378</v>
      </c>
    </row>
    <row r="45" spans="1:42" ht="11.25" customHeight="1" x14ac:dyDescent="0.25">
      <c r="A45" s="131" t="s">
        <v>39</v>
      </c>
      <c r="B45" s="131" t="s">
        <v>37</v>
      </c>
      <c r="C45" s="131" t="s">
        <v>25</v>
      </c>
      <c r="D45" s="131" t="s">
        <v>25</v>
      </c>
      <c r="E45" s="131" t="s">
        <v>25</v>
      </c>
      <c r="F45" s="131" t="s">
        <v>25</v>
      </c>
      <c r="G45" s="44" t="s">
        <v>77</v>
      </c>
      <c r="H45" s="44" t="s">
        <v>76</v>
      </c>
      <c r="I45" s="44">
        <f>'MERCADO TUSD'!$U$42</f>
        <v>0.80500000000000171</v>
      </c>
      <c r="J45" s="18"/>
      <c r="L45" s="26">
        <f>'TUSD BE'!$L$45*'TUSD BF'!$L$58</f>
        <v>0</v>
      </c>
      <c r="M45" s="26">
        <f>'TUSD BE'!$M$45*'TUSD BF'!$M$58</f>
        <v>0</v>
      </c>
      <c r="N45" s="26">
        <f ca="1">'TUSD BE'!$N$45*'TUSD BF'!$N$58</f>
        <v>0</v>
      </c>
      <c r="O45" s="26">
        <f>'TUSD BE'!$O$45*'TUSD BF'!$O$58</f>
        <v>0</v>
      </c>
      <c r="P45" s="26">
        <f>'TUSD BE'!$P$45*'TUSD BF'!$P$58</f>
        <v>0</v>
      </c>
      <c r="Q45" s="26">
        <f>'TUSD BE'!$Q$45*'TUSD BF'!$Q$58</f>
        <v>0</v>
      </c>
      <c r="R45" s="26">
        <f>'TUSD BE'!$R$45*'TUSD BF'!$R$58</f>
        <v>0</v>
      </c>
      <c r="S45" s="26">
        <f>'TUSD BE'!$R$45*'TUSD BF'!$S$58</f>
        <v>0</v>
      </c>
      <c r="T45" s="26">
        <f ca="1">SUM($L$45:$S$45)</f>
        <v>0</v>
      </c>
      <c r="U45" s="26">
        <f>'TUSD BE'!$U$45*'TUSD BF'!$U$58</f>
        <v>0</v>
      </c>
      <c r="V45" s="26">
        <f>'TUSD BE'!$V$45*'TUSD BF'!$V$58</f>
        <v>0</v>
      </c>
      <c r="W45" s="26">
        <f>'TUSD BE'!$W$45*'TUSD BF'!$W$58</f>
        <v>0</v>
      </c>
      <c r="X45" s="26">
        <f>'TUSD BE'!$X$45*'TUSD BF'!$X$58</f>
        <v>0</v>
      </c>
      <c r="Y45" s="26">
        <f>'TUSD BE'!$Y$45*'TUSD BF'!$Y$58</f>
        <v>0</v>
      </c>
      <c r="Z45" s="26">
        <f>'TUSD BE'!$Z$45*'TUSD BF'!$Z$58</f>
        <v>0</v>
      </c>
      <c r="AA45" s="26">
        <f>'TUSD BE'!$AA$45*'TUSD BF'!$AA$58</f>
        <v>0</v>
      </c>
      <c r="AB45" s="26">
        <f>SUM($U$45:$AA$45)</f>
        <v>0</v>
      </c>
      <c r="AC45" s="26">
        <f>'TUSD BE'!$AC$45*'TUSD BF'!$AC$58</f>
        <v>0</v>
      </c>
      <c r="AD45" s="26">
        <f>SUM($AC$45:$AC$45)</f>
        <v>0</v>
      </c>
      <c r="AE45" s="26">
        <f ca="1">$AO$45*$AO$55</f>
        <v>0</v>
      </c>
      <c r="AF45" s="26">
        <f ca="1">$AP$45*$AP$55</f>
        <v>0</v>
      </c>
      <c r="AG45" s="26">
        <f ca="1">SUM($AE$45:$AF$45)</f>
        <v>0</v>
      </c>
      <c r="AH45" s="26">
        <f>'TUSD BE'!$AH$45*'TUSD BF'!$AH$58</f>
        <v>0</v>
      </c>
      <c r="AI45" s="26">
        <f>'TUSD BE'!$AI$45*'TUSD BF'!$AI$58</f>
        <v>0</v>
      </c>
      <c r="AJ45" s="26">
        <f ca="1">'TUSD BE'!$AJ$45*'TUSD BF'!$AJ$58</f>
        <v>0</v>
      </c>
      <c r="AK45" s="26">
        <f ca="1">'TUSD BE'!$AK$45*'TUSD BF'!$AK$58</f>
        <v>0</v>
      </c>
      <c r="AL45" s="26">
        <f ca="1">SUM($AH$45:$AK$45)</f>
        <v>0</v>
      </c>
      <c r="AM45" s="26">
        <f ca="1">SUMIF($L$4:$AL$4,"SUBTOTAL",$L$45:$AL$45)</f>
        <v>0</v>
      </c>
      <c r="AO45" s="50">
        <f ca="1">+'TUSD BE'!$T$45+'TUSD BE'!$AB$45+'TUSD BE'!$AD$45+'TUSD BE'!$AL$45</f>
        <v>980.97195913467351</v>
      </c>
      <c r="AP45" s="50">
        <f ca="1">+'TUSD BE'!$T$45+'TUSD BE'!$AB$45+'TUSD BE'!$AD$45+'TUSD BE'!$AL$45</f>
        <v>980.97195913467351</v>
      </c>
    </row>
    <row r="46" spans="1:42" ht="11.25" customHeight="1" x14ac:dyDescent="0.25">
      <c r="A46" s="131"/>
      <c r="B46" s="131"/>
      <c r="C46" s="131"/>
      <c r="D46" s="131"/>
      <c r="E46" s="131"/>
      <c r="F46" s="131"/>
      <c r="G46" s="44" t="s">
        <v>88</v>
      </c>
      <c r="H46" s="44" t="s">
        <v>76</v>
      </c>
      <c r="I46" s="44">
        <f>'MERCADO TUSD'!$U$43</f>
        <v>1.23</v>
      </c>
      <c r="J46" s="18"/>
      <c r="L46" s="26">
        <f>'TUSD BE'!$L$46*'TUSD BF'!$L$58</f>
        <v>0</v>
      </c>
      <c r="M46" s="26">
        <f>'TUSD BE'!$M$46*'TUSD BF'!$M$58</f>
        <v>0</v>
      </c>
      <c r="N46" s="26">
        <f ca="1">'TUSD BE'!$N$46*'TUSD BF'!$N$58</f>
        <v>0</v>
      </c>
      <c r="O46" s="26">
        <f>'TUSD BE'!$O$46*'TUSD BF'!$O$58</f>
        <v>0</v>
      </c>
      <c r="P46" s="26">
        <f>'TUSD BE'!$P$46*'TUSD BF'!$P$58</f>
        <v>0</v>
      </c>
      <c r="Q46" s="26">
        <f>'TUSD BE'!$Q$46*'TUSD BF'!$Q$58</f>
        <v>0</v>
      </c>
      <c r="R46" s="26">
        <f>'TUSD BE'!$R$46*'TUSD BF'!$R$58</f>
        <v>0</v>
      </c>
      <c r="S46" s="26">
        <f>'TUSD BE'!$R$46*'TUSD BF'!$S$58</f>
        <v>0</v>
      </c>
      <c r="T46" s="26">
        <f ca="1">SUM($L$46:$S$46)</f>
        <v>0</v>
      </c>
      <c r="U46" s="26">
        <f>'TUSD BE'!$U$46*'TUSD BF'!$U$58</f>
        <v>0</v>
      </c>
      <c r="V46" s="26">
        <f>'TUSD BE'!$V$46*'TUSD BF'!$V$58</f>
        <v>0</v>
      </c>
      <c r="W46" s="26">
        <f>'TUSD BE'!$W$46*'TUSD BF'!$W$58</f>
        <v>0</v>
      </c>
      <c r="X46" s="26">
        <f>'TUSD BE'!$X$46*'TUSD BF'!$X$58</f>
        <v>0</v>
      </c>
      <c r="Y46" s="26">
        <f>'TUSD BE'!$Y$46*'TUSD BF'!$Y$58</f>
        <v>0</v>
      </c>
      <c r="Z46" s="26">
        <f>'TUSD BE'!$Z$46*'TUSD BF'!$Z$58</f>
        <v>0</v>
      </c>
      <c r="AA46" s="26">
        <f>'TUSD BE'!$AA$46*'TUSD BF'!$AA$58</f>
        <v>0</v>
      </c>
      <c r="AB46" s="26">
        <f>SUM($U$46:$AA$46)</f>
        <v>0</v>
      </c>
      <c r="AC46" s="26">
        <f>'TUSD BE'!$AC$46*'TUSD BF'!$AC$58</f>
        <v>0</v>
      </c>
      <c r="AD46" s="26">
        <f>SUM($AC$46:$AC$46)</f>
        <v>0</v>
      </c>
      <c r="AE46" s="26">
        <f ca="1">$AO$46*$AO$55</f>
        <v>0</v>
      </c>
      <c r="AF46" s="26">
        <f ca="1">$AP$46*$AP$55</f>
        <v>0</v>
      </c>
      <c r="AG46" s="26">
        <f ca="1">SUM($AE$46:$AF$46)</f>
        <v>0</v>
      </c>
      <c r="AH46" s="26">
        <f>'TUSD BE'!$AH$46*'TUSD BF'!$AH$58</f>
        <v>0</v>
      </c>
      <c r="AI46" s="26">
        <f>'TUSD BE'!$AI$46*'TUSD BF'!$AI$58</f>
        <v>0</v>
      </c>
      <c r="AJ46" s="26">
        <f ca="1">'TUSD BE'!$AJ$46*'TUSD BF'!$AJ$58</f>
        <v>0</v>
      </c>
      <c r="AK46" s="26">
        <f ca="1">'TUSD BE'!$AK$46*'TUSD BF'!$AK$58</f>
        <v>0</v>
      </c>
      <c r="AL46" s="26">
        <f ca="1">SUM($AH$46:$AK$46)</f>
        <v>0</v>
      </c>
      <c r="AM46" s="26">
        <f ca="1">SUMIF($L$4:$AL$4,"SUBTOTAL",$L$46:$AL$46)</f>
        <v>0</v>
      </c>
      <c r="AO46" s="50">
        <f ca="1">+'TUSD BE'!$T$46+'TUSD BE'!$AB$46+'TUSD BE'!$AD$46+'TUSD BE'!$AL$46</f>
        <v>636.93791106099889</v>
      </c>
      <c r="AP46" s="50">
        <f ca="1">+'TUSD BE'!$T$46+'TUSD BE'!$AB$46+'TUSD BE'!$AD$46+'TUSD BE'!$AL$46</f>
        <v>636.93791106099889</v>
      </c>
    </row>
    <row r="47" spans="1:42" ht="11.25" customHeight="1" x14ac:dyDescent="0.25">
      <c r="A47" s="131"/>
      <c r="B47" s="131"/>
      <c r="C47" s="131"/>
      <c r="D47" s="131"/>
      <c r="E47" s="131"/>
      <c r="F47" s="131"/>
      <c r="G47" s="44" t="s">
        <v>78</v>
      </c>
      <c r="H47" s="44" t="s">
        <v>76</v>
      </c>
      <c r="I47" s="44">
        <f>'MERCADO TUSD'!$U$44</f>
        <v>18.96</v>
      </c>
      <c r="J47" s="18"/>
      <c r="L47" s="26">
        <f>'TUSD BE'!$L$47*'TUSD BF'!$L$58</f>
        <v>0</v>
      </c>
      <c r="M47" s="26">
        <f>'TUSD BE'!$M$47*'TUSD BF'!$M$58</f>
        <v>0</v>
      </c>
      <c r="N47" s="26">
        <f ca="1">'TUSD BE'!$N$47*'TUSD BF'!$N$58</f>
        <v>0</v>
      </c>
      <c r="O47" s="26">
        <f>'TUSD BE'!$O$47*'TUSD BF'!$O$58</f>
        <v>0</v>
      </c>
      <c r="P47" s="26">
        <f>'TUSD BE'!$P$47*'TUSD BF'!$P$58</f>
        <v>0</v>
      </c>
      <c r="Q47" s="26">
        <f>'TUSD BE'!$Q$47*'TUSD BF'!$Q$58</f>
        <v>0</v>
      </c>
      <c r="R47" s="26">
        <f>'TUSD BE'!$R$47*'TUSD BF'!$R$58</f>
        <v>0</v>
      </c>
      <c r="S47" s="26">
        <f>'TUSD BE'!$R$47*'TUSD BF'!$S$58</f>
        <v>0</v>
      </c>
      <c r="T47" s="26">
        <f ca="1">SUM($L$47:$S$47)</f>
        <v>0</v>
      </c>
      <c r="U47" s="26">
        <f>'TUSD BE'!$U$47*'TUSD BF'!$U$58</f>
        <v>0</v>
      </c>
      <c r="V47" s="26">
        <f>'TUSD BE'!$V$47*'TUSD BF'!$V$58</f>
        <v>0</v>
      </c>
      <c r="W47" s="26">
        <f>'TUSD BE'!$W$47*'TUSD BF'!$W$58</f>
        <v>0</v>
      </c>
      <c r="X47" s="26">
        <f>'TUSD BE'!$X$47*'TUSD BF'!$X$58</f>
        <v>0</v>
      </c>
      <c r="Y47" s="26">
        <f>'TUSD BE'!$Y$47*'TUSD BF'!$Y$58</f>
        <v>0</v>
      </c>
      <c r="Z47" s="26">
        <f>'TUSD BE'!$Z$47*'TUSD BF'!$Z$58</f>
        <v>0</v>
      </c>
      <c r="AA47" s="26">
        <f>'TUSD BE'!$AA$47*'TUSD BF'!$AA$58</f>
        <v>0</v>
      </c>
      <c r="AB47" s="26">
        <f>SUM($U$47:$AA$47)</f>
        <v>0</v>
      </c>
      <c r="AC47" s="26">
        <f>'TUSD BE'!$AC$47*'TUSD BF'!$AC$58</f>
        <v>0</v>
      </c>
      <c r="AD47" s="26">
        <f>SUM($AC$47:$AC$47)</f>
        <v>0</v>
      </c>
      <c r="AE47" s="26">
        <f ca="1">$AO$47*$AO$55</f>
        <v>0</v>
      </c>
      <c r="AF47" s="26">
        <f ca="1">$AP$47*$AP$55</f>
        <v>0</v>
      </c>
      <c r="AG47" s="26">
        <f ca="1">SUM($AE$47:$AF$47)</f>
        <v>0</v>
      </c>
      <c r="AH47" s="26">
        <f>'TUSD BE'!$AH$47*'TUSD BF'!$AH$58</f>
        <v>0</v>
      </c>
      <c r="AI47" s="26">
        <f>'TUSD BE'!$AI$47*'TUSD BF'!$AI$58</f>
        <v>0</v>
      </c>
      <c r="AJ47" s="26">
        <f ca="1">'TUSD BE'!$AJ$47*'TUSD BF'!$AJ$58</f>
        <v>0</v>
      </c>
      <c r="AK47" s="26">
        <f ca="1">'TUSD BE'!$AK$47*'TUSD BF'!$AK$58</f>
        <v>0</v>
      </c>
      <c r="AL47" s="26">
        <f ca="1">SUM($AH$47:$AK$47)</f>
        <v>0</v>
      </c>
      <c r="AM47" s="26">
        <f ca="1">SUMIF($L$4:$AL$4,"SUBTOTAL",$L$47:$AL$47)</f>
        <v>0</v>
      </c>
      <c r="AO47" s="50">
        <f ca="1">+'TUSD BE'!$T$47+'TUSD BE'!$AB$47+'TUSD BE'!$AD$47+'TUSD BE'!$AL$47</f>
        <v>292.90396759265792</v>
      </c>
      <c r="AP47" s="50">
        <f ca="1">+'TUSD BE'!$T$47+'TUSD BE'!$AB$47+'TUSD BE'!$AD$47+'TUSD BE'!$AL$47</f>
        <v>292.90396759265792</v>
      </c>
    </row>
    <row r="48" spans="1:42" ht="11.25" customHeight="1" x14ac:dyDescent="0.25">
      <c r="A48" s="131"/>
      <c r="B48" s="48" t="s">
        <v>23</v>
      </c>
      <c r="C48" s="48" t="s">
        <v>25</v>
      </c>
      <c r="D48" s="48" t="s">
        <v>25</v>
      </c>
      <c r="E48" s="48" t="s">
        <v>25</v>
      </c>
      <c r="F48" s="48" t="s">
        <v>25</v>
      </c>
      <c r="G48" s="44" t="s">
        <v>82</v>
      </c>
      <c r="H48" s="44" t="s">
        <v>76</v>
      </c>
      <c r="I48" s="44">
        <f>'MERCADO TUSD'!$U$45</f>
        <v>17010.552</v>
      </c>
      <c r="J48" s="18"/>
      <c r="L48" s="26">
        <f>'TUSD BE'!$L$48*'TUSD BF'!$L$58</f>
        <v>0</v>
      </c>
      <c r="M48" s="26">
        <f>'TUSD BE'!$M$48*'TUSD BF'!$M$58</f>
        <v>0</v>
      </c>
      <c r="N48" s="26">
        <f ca="1">'TUSD BE'!$N$48*'TUSD BF'!$N$58</f>
        <v>0</v>
      </c>
      <c r="O48" s="26">
        <f>'TUSD BE'!$O$48*'TUSD BF'!$O$58</f>
        <v>0</v>
      </c>
      <c r="P48" s="26">
        <f>'TUSD BE'!$P$48*'TUSD BF'!$P$58</f>
        <v>0</v>
      </c>
      <c r="Q48" s="26">
        <f>'TUSD BE'!$Q$48*'TUSD BF'!$Q$58</f>
        <v>0</v>
      </c>
      <c r="R48" s="26">
        <f>'TUSD BE'!$R$48*'TUSD BF'!$R$58</f>
        <v>0</v>
      </c>
      <c r="S48" s="26">
        <f>'TUSD BE'!$R$48*'TUSD BF'!$S$58</f>
        <v>0</v>
      </c>
      <c r="T48" s="26">
        <f ca="1">SUM($L$48:$S$48)</f>
        <v>0</v>
      </c>
      <c r="U48" s="26">
        <f>'TUSD BE'!$U$48*'TUSD BF'!$U$58</f>
        <v>0</v>
      </c>
      <c r="V48" s="26">
        <f>'TUSD BE'!$V$48*'TUSD BF'!$V$58</f>
        <v>0</v>
      </c>
      <c r="W48" s="26">
        <f>'TUSD BE'!$W$48*'TUSD BF'!$W$58</f>
        <v>0</v>
      </c>
      <c r="X48" s="26">
        <f>'TUSD BE'!$X$48*'TUSD BF'!$X$58</f>
        <v>0</v>
      </c>
      <c r="Y48" s="26">
        <f>'TUSD BE'!$Y$48*'TUSD BF'!$Y$58</f>
        <v>0</v>
      </c>
      <c r="Z48" s="26">
        <f>'TUSD BE'!$Z$48*'TUSD BF'!$Z$58</f>
        <v>0</v>
      </c>
      <c r="AA48" s="26">
        <f>'TUSD BE'!$AA$48*'TUSD BF'!$AA$58</f>
        <v>0</v>
      </c>
      <c r="AB48" s="26">
        <f>SUM($U$48:$AA$48)</f>
        <v>0</v>
      </c>
      <c r="AC48" s="26">
        <f>'TUSD BE'!$AC$48*'TUSD BF'!$AC$58</f>
        <v>0</v>
      </c>
      <c r="AD48" s="26">
        <f>SUM($AC$48:$AC$48)</f>
        <v>0</v>
      </c>
      <c r="AE48" s="26">
        <f ca="1">$AO$48*$AO$55</f>
        <v>0</v>
      </c>
      <c r="AF48" s="26">
        <f ca="1">$AP$48*$AP$55</f>
        <v>0</v>
      </c>
      <c r="AG48" s="26">
        <f ca="1">SUM($AE$48:$AF$48)</f>
        <v>0</v>
      </c>
      <c r="AH48" s="26">
        <f>'TUSD BE'!$AH$48*'TUSD BF'!$AH$58</f>
        <v>0</v>
      </c>
      <c r="AI48" s="26">
        <f>'TUSD BE'!$AI$48*'TUSD BF'!$AI$58</f>
        <v>0</v>
      </c>
      <c r="AJ48" s="26">
        <f ca="1">'TUSD BE'!$AJ$48*'TUSD BF'!$AJ$58</f>
        <v>0</v>
      </c>
      <c r="AK48" s="26">
        <f ca="1">'TUSD BE'!$AK$48*'TUSD BF'!$AK$58</f>
        <v>0</v>
      </c>
      <c r="AL48" s="26">
        <f ca="1">SUM($AH$48:$AK$48)</f>
        <v>0</v>
      </c>
      <c r="AM48" s="26">
        <f ca="1">SUMIF($L$4:$AL$4,"SUBTOTAL",$L$48:$AL$48)</f>
        <v>0</v>
      </c>
      <c r="AO48" s="50">
        <f ca="1">+'TUSD BE'!$T$48+'TUSD BE'!$AB$48+'TUSD BE'!$AD$48+'TUSD BE'!$AL$48</f>
        <v>398.33390532713378</v>
      </c>
      <c r="AP48" s="50">
        <f ca="1">+'TUSD BE'!$T$48+'TUSD BE'!$AB$48+'TUSD BE'!$AD$48+'TUSD BE'!$AL$48</f>
        <v>398.33390532713378</v>
      </c>
    </row>
    <row r="49" spans="1:42" ht="11.25" customHeight="1" x14ac:dyDescent="0.25">
      <c r="A49" s="131"/>
      <c r="B49" s="48" t="s">
        <v>91</v>
      </c>
      <c r="C49" s="48" t="s">
        <v>25</v>
      </c>
      <c r="D49" s="48" t="s">
        <v>25</v>
      </c>
      <c r="E49" s="48" t="s">
        <v>25</v>
      </c>
      <c r="F49" s="48" t="s">
        <v>25</v>
      </c>
      <c r="G49" s="44" t="s">
        <v>82</v>
      </c>
      <c r="H49" s="44" t="s">
        <v>76</v>
      </c>
      <c r="I49" s="44">
        <f>'MERCADO TUSD'!$U$46</f>
        <v>0</v>
      </c>
      <c r="J49" s="18"/>
      <c r="L49" s="26">
        <f>'TUSD BE'!$L$49*'TUSD BF'!$L$58</f>
        <v>0</v>
      </c>
      <c r="M49" s="26">
        <f>'TUSD BE'!$M$49*'TUSD BF'!$M$58</f>
        <v>0</v>
      </c>
      <c r="N49" s="26">
        <f ca="1">'TUSD BE'!$N$49*'TUSD BF'!$N$58</f>
        <v>0</v>
      </c>
      <c r="O49" s="26">
        <f>'TUSD BE'!$O$49*'TUSD BF'!$O$58</f>
        <v>0</v>
      </c>
      <c r="P49" s="26">
        <f>'TUSD BE'!$P$49*'TUSD BF'!$P$58</f>
        <v>0</v>
      </c>
      <c r="Q49" s="26">
        <f>'TUSD BE'!$Q$49*'TUSD BF'!$Q$58</f>
        <v>0</v>
      </c>
      <c r="R49" s="26">
        <f>'TUSD BE'!$R$49*'TUSD BF'!$R$58</f>
        <v>0</v>
      </c>
      <c r="S49" s="26">
        <f>'TUSD BE'!$R$49*'TUSD BF'!$S$58</f>
        <v>0</v>
      </c>
      <c r="T49" s="26">
        <f ca="1">SUM($L$49:$S$49)</f>
        <v>0</v>
      </c>
      <c r="U49" s="26">
        <f>'TUSD BE'!$U$49*'TUSD BF'!$U$58</f>
        <v>0</v>
      </c>
      <c r="V49" s="26">
        <f>'TUSD BE'!$V$49*'TUSD BF'!$V$58</f>
        <v>0</v>
      </c>
      <c r="W49" s="26">
        <f>'TUSD BE'!$W$49*'TUSD BF'!$W$58</f>
        <v>0</v>
      </c>
      <c r="X49" s="26">
        <f>'TUSD BE'!$X$49*'TUSD BF'!$X$58</f>
        <v>0</v>
      </c>
      <c r="Y49" s="26">
        <f>'TUSD BE'!$Y$49*'TUSD BF'!$Y$58</f>
        <v>0</v>
      </c>
      <c r="Z49" s="26">
        <f>'TUSD BE'!$Z$49*'TUSD BF'!$Z$58</f>
        <v>0</v>
      </c>
      <c r="AA49" s="26">
        <f>'TUSD BE'!$AA$49*'TUSD BF'!$AA$58</f>
        <v>0</v>
      </c>
      <c r="AB49" s="26">
        <f>SUM($U$49:$AA$49)</f>
        <v>0</v>
      </c>
      <c r="AC49" s="26">
        <f>'TUSD BE'!$AC$49*'TUSD BF'!$AC$58</f>
        <v>0</v>
      </c>
      <c r="AD49" s="26">
        <f>SUM($AC$49:$AC$49)</f>
        <v>0</v>
      </c>
      <c r="AE49" s="26">
        <f ca="1">$AO$49*$AO$55</f>
        <v>0</v>
      </c>
      <c r="AF49" s="26">
        <f ca="1">$AP$49*$AP$55</f>
        <v>0</v>
      </c>
      <c r="AG49" s="26">
        <f ca="1">SUM($AE$49:$AF$49)</f>
        <v>0</v>
      </c>
      <c r="AH49" s="26">
        <f>'TUSD BE'!$AH$49*'TUSD BF'!$AH$58</f>
        <v>0</v>
      </c>
      <c r="AI49" s="26">
        <f>'TUSD BE'!$AI$49*'TUSD BF'!$AI$58</f>
        <v>0</v>
      </c>
      <c r="AJ49" s="26">
        <f ca="1">'TUSD BE'!$AJ$49*'TUSD BF'!$AJ$58</f>
        <v>0</v>
      </c>
      <c r="AK49" s="26">
        <f ca="1">'TUSD BE'!$AK$49*'TUSD BF'!$AK$58</f>
        <v>0</v>
      </c>
      <c r="AL49" s="26">
        <f ca="1">SUM($AH$49:$AK$49)</f>
        <v>0</v>
      </c>
      <c r="AM49" s="26">
        <f ca="1">SUMIF($L$4:$AL$4,"SUBTOTAL",$L$49:$AL$49)</f>
        <v>0</v>
      </c>
      <c r="AO49" s="50">
        <f ca="1">+'TUSD BE'!$T$49+'TUSD BE'!$AB$49+'TUSD BE'!$AD$49+'TUSD BE'!$AL$49</f>
        <v>398.33390532713378</v>
      </c>
      <c r="AP49" s="50">
        <f ca="1">+'TUSD BE'!$T$49+'TUSD BE'!$AB$49+'TUSD BE'!$AD$49+'TUSD BE'!$AL$49</f>
        <v>398.33390532713378</v>
      </c>
    </row>
    <row r="50" spans="1:42" ht="11.25" customHeight="1" x14ac:dyDescent="0.25">
      <c r="A50" s="131" t="s">
        <v>46</v>
      </c>
      <c r="B50" s="131" t="s">
        <v>23</v>
      </c>
      <c r="C50" s="131" t="s">
        <v>47</v>
      </c>
      <c r="D50" s="48" t="s">
        <v>48</v>
      </c>
      <c r="E50" s="48" t="s">
        <v>25</v>
      </c>
      <c r="F50" s="48" t="s">
        <v>25</v>
      </c>
      <c r="G50" s="44" t="s">
        <v>82</v>
      </c>
      <c r="H50" s="44" t="s">
        <v>76</v>
      </c>
      <c r="I50" s="44">
        <f>'MERCADO TUSD'!$U$47</f>
        <v>3708.9960000000001</v>
      </c>
      <c r="J50" s="18"/>
      <c r="L50" s="26">
        <f>'TUSD BE'!$L$50*'TUSD BF'!$L$58</f>
        <v>0</v>
      </c>
      <c r="M50" s="26">
        <f>'TUSD BE'!$M$50*'TUSD BF'!$M$58</f>
        <v>0</v>
      </c>
      <c r="N50" s="26">
        <f ca="1">'TUSD BE'!$N$50*'TUSD BF'!$N$58</f>
        <v>0</v>
      </c>
      <c r="O50" s="26">
        <f>'TUSD BE'!$O$50*'TUSD BF'!$O$58</f>
        <v>0</v>
      </c>
      <c r="P50" s="26">
        <f>'TUSD BE'!$P$50*'TUSD BF'!$P$58</f>
        <v>0</v>
      </c>
      <c r="Q50" s="26">
        <f>'TUSD BE'!$Q$50*'TUSD BF'!$Q$58</f>
        <v>0</v>
      </c>
      <c r="R50" s="26">
        <f>'TUSD BE'!$R$50*'TUSD BF'!$R$58</f>
        <v>0</v>
      </c>
      <c r="S50" s="26">
        <f>'TUSD BE'!$R$50*'TUSD BF'!$S$58</f>
        <v>0</v>
      </c>
      <c r="T50" s="26">
        <f ca="1">SUM($L$50:$S$50)</f>
        <v>0</v>
      </c>
      <c r="U50" s="26">
        <f>'TUSD BE'!$U$50*'TUSD BF'!$U$58</f>
        <v>0</v>
      </c>
      <c r="V50" s="26">
        <f>'TUSD BE'!$V$50*'TUSD BF'!$V$58</f>
        <v>0</v>
      </c>
      <c r="W50" s="26">
        <f>'TUSD BE'!$W$50*'TUSD BF'!$W$58</f>
        <v>0</v>
      </c>
      <c r="X50" s="26">
        <f>'TUSD BE'!$X$50*'TUSD BF'!$X$58</f>
        <v>0</v>
      </c>
      <c r="Y50" s="26">
        <f>'TUSD BE'!$Y$50*'TUSD BF'!$Y$58</f>
        <v>0</v>
      </c>
      <c r="Z50" s="26">
        <f>'TUSD BE'!$Z$50*'TUSD BF'!$Z$58</f>
        <v>0</v>
      </c>
      <c r="AA50" s="26">
        <f>'TUSD BE'!$AA$50*'TUSD BF'!$AA$58</f>
        <v>0</v>
      </c>
      <c r="AB50" s="26">
        <f>SUM($U$50:$AA$50)</f>
        <v>0</v>
      </c>
      <c r="AC50" s="26">
        <f>'TUSD BE'!$AC$50*'TUSD BF'!$AC$58</f>
        <v>0</v>
      </c>
      <c r="AD50" s="26">
        <f>SUM($AC$50:$AC$50)</f>
        <v>0</v>
      </c>
      <c r="AE50" s="26">
        <f ca="1">$AO$50*$AO$55</f>
        <v>0</v>
      </c>
      <c r="AF50" s="26">
        <f ca="1">$AP$50*$AP$55</f>
        <v>0</v>
      </c>
      <c r="AG50" s="26">
        <f ca="1">SUM($AE$50:$AF$50)</f>
        <v>0</v>
      </c>
      <c r="AH50" s="26">
        <f>'TUSD BE'!$AH$50*'TUSD BF'!$AH$58</f>
        <v>0</v>
      </c>
      <c r="AI50" s="26">
        <f>'TUSD BE'!$AI$50*'TUSD BF'!$AI$58</f>
        <v>0</v>
      </c>
      <c r="AJ50" s="26">
        <f ca="1">'TUSD BE'!$AJ$50*'TUSD BF'!$AJ$58</f>
        <v>0</v>
      </c>
      <c r="AK50" s="26">
        <f ca="1">'TUSD BE'!$AK$50*'TUSD BF'!$AK$58</f>
        <v>0</v>
      </c>
      <c r="AL50" s="26">
        <f ca="1">SUM($AH$50:$AK$50)</f>
        <v>0</v>
      </c>
      <c r="AM50" s="26">
        <f ca="1">SUMIF($L$4:$AL$4,"SUBTOTAL",$L$50:$AL$50)</f>
        <v>0</v>
      </c>
      <c r="AO50" s="50">
        <f ca="1">+'TUSD BE'!$T$50+'TUSD BE'!$AB$50+'TUSD BE'!$AD$50+'TUSD BE'!$AL$50</f>
        <v>219.08364792992359</v>
      </c>
      <c r="AP50" s="50">
        <f ca="1">+'TUSD BE'!$T$50+'TUSD BE'!$AB$50+'TUSD BE'!$AD$50+'TUSD BE'!$AL$50</f>
        <v>219.08364792992359</v>
      </c>
    </row>
    <row r="51" spans="1:42" ht="11.25" customHeight="1" x14ac:dyDescent="0.25">
      <c r="A51" s="131"/>
      <c r="B51" s="131"/>
      <c r="C51" s="131"/>
      <c r="D51" s="44" t="s">
        <v>49</v>
      </c>
      <c r="E51" s="44" t="s">
        <v>25</v>
      </c>
      <c r="F51" s="44" t="s">
        <v>25</v>
      </c>
      <c r="G51" s="44" t="s">
        <v>82</v>
      </c>
      <c r="H51" s="44" t="s">
        <v>76</v>
      </c>
      <c r="I51" s="44">
        <f>'MERCADO TUSD'!$U$48</f>
        <v>336.95</v>
      </c>
      <c r="J51" s="18"/>
      <c r="L51" s="26">
        <f>'TUSD BE'!$L$51*'TUSD BF'!$L$58</f>
        <v>0</v>
      </c>
      <c r="M51" s="26">
        <f>'TUSD BE'!$M$51*'TUSD BF'!$M$58</f>
        <v>0</v>
      </c>
      <c r="N51" s="26">
        <f ca="1">'TUSD BE'!$N$51*'TUSD BF'!$N$58</f>
        <v>0</v>
      </c>
      <c r="O51" s="26">
        <f>'TUSD BE'!$O$51*'TUSD BF'!$O$58</f>
        <v>0</v>
      </c>
      <c r="P51" s="26">
        <f>'TUSD BE'!$P$51*'TUSD BF'!$P$58</f>
        <v>0</v>
      </c>
      <c r="Q51" s="26">
        <f>'TUSD BE'!$Q$51*'TUSD BF'!$Q$58</f>
        <v>0</v>
      </c>
      <c r="R51" s="26">
        <f>'TUSD BE'!$R$51*'TUSD BF'!$R$58</f>
        <v>0</v>
      </c>
      <c r="S51" s="26">
        <f>'TUSD BE'!$R$51*'TUSD BF'!$S$58</f>
        <v>0</v>
      </c>
      <c r="T51" s="26">
        <f ca="1">SUM($L$51:$S$51)</f>
        <v>0</v>
      </c>
      <c r="U51" s="26">
        <f>'TUSD BE'!$U$51*'TUSD BF'!$U$58</f>
        <v>0</v>
      </c>
      <c r="V51" s="26">
        <f>'TUSD BE'!$V$51*'TUSD BF'!$V$58</f>
        <v>0</v>
      </c>
      <c r="W51" s="26">
        <f>'TUSD BE'!$W$51*'TUSD BF'!$W$58</f>
        <v>0</v>
      </c>
      <c r="X51" s="26">
        <f>'TUSD BE'!$X$51*'TUSD BF'!$X$58</f>
        <v>0</v>
      </c>
      <c r="Y51" s="26">
        <f>'TUSD BE'!$Y$51*'TUSD BF'!$Y$58</f>
        <v>0</v>
      </c>
      <c r="Z51" s="26">
        <f>'TUSD BE'!$Z$51*'TUSD BF'!$Z$58</f>
        <v>0</v>
      </c>
      <c r="AA51" s="26">
        <f>'TUSD BE'!$AA$51*'TUSD BF'!$AA$58</f>
        <v>0</v>
      </c>
      <c r="AB51" s="26">
        <f>SUM($U$51:$AA$51)</f>
        <v>0</v>
      </c>
      <c r="AC51" s="26">
        <f>'TUSD BE'!$AC$51*'TUSD BF'!$AC$58</f>
        <v>0</v>
      </c>
      <c r="AD51" s="26">
        <f>SUM($AC$51:$AC$51)</f>
        <v>0</v>
      </c>
      <c r="AE51" s="26">
        <f ca="1">$AO$51*$AO$55</f>
        <v>0</v>
      </c>
      <c r="AF51" s="26">
        <f ca="1">$AP$51*$AP$55</f>
        <v>0</v>
      </c>
      <c r="AG51" s="26">
        <f ca="1">SUM($AE$51:$AF$51)</f>
        <v>0</v>
      </c>
      <c r="AH51" s="26">
        <f>'TUSD BE'!$AH$51*'TUSD BF'!$AH$58</f>
        <v>0</v>
      </c>
      <c r="AI51" s="26">
        <f>'TUSD BE'!$AI$51*'TUSD BF'!$AI$58</f>
        <v>0</v>
      </c>
      <c r="AJ51" s="26">
        <f ca="1">'TUSD BE'!$AJ$51*'TUSD BF'!$AJ$58</f>
        <v>0</v>
      </c>
      <c r="AK51" s="26">
        <f ca="1">'TUSD BE'!$AK$51*'TUSD BF'!$AK$58</f>
        <v>0</v>
      </c>
      <c r="AL51" s="26">
        <f ca="1">SUM($AH$51:$AK$51)</f>
        <v>0</v>
      </c>
      <c r="AM51" s="26">
        <f ca="1">SUMIF($L$4:$AL$4,"SUBTOTAL",$L$51:$AL$51)</f>
        <v>0</v>
      </c>
      <c r="AO51" s="50">
        <f ca="1">+'TUSD BE'!$T$51+'TUSD BE'!$AB$51+'TUSD BE'!$AD$51+'TUSD BE'!$AL$51</f>
        <v>239.00034319628023</v>
      </c>
      <c r="AP51" s="50">
        <f ca="1">+'TUSD BE'!$T$51+'TUSD BE'!$AB$51+'TUSD BE'!$AD$51+'TUSD BE'!$AL$51</f>
        <v>239.00034319628023</v>
      </c>
    </row>
    <row r="53" spans="1:42" ht="11.25" customHeight="1" x14ac:dyDescent="0.25">
      <c r="K53" s="46" t="s">
        <v>726</v>
      </c>
      <c r="L53" s="26">
        <f>SUMPRODUCT($I$5:$I51,$L$5:$L51)</f>
        <v>0</v>
      </c>
      <c r="M53" s="26">
        <f>SUMPRODUCT($I$5:$I51,$M$5:$M51)</f>
        <v>0</v>
      </c>
      <c r="N53" s="26">
        <f ca="1">SUMPRODUCT($I$5:$I51,$N$5:$N51)</f>
        <v>0</v>
      </c>
      <c r="O53" s="26">
        <f>SUMPRODUCT($I$5:$I51,$O$5:$O51)</f>
        <v>0</v>
      </c>
      <c r="P53" s="26">
        <f>SUMPRODUCT($I$5:$I51,$P$5:$P51)</f>
        <v>0</v>
      </c>
      <c r="Q53" s="26">
        <f>SUMPRODUCT($I$5:$I51,$Q$5:$Q51)</f>
        <v>0</v>
      </c>
      <c r="R53" s="26">
        <f>SUMPRODUCT($I$5:$I51,$R$5:$R51)</f>
        <v>0</v>
      </c>
      <c r="S53" s="26">
        <f>SUMPRODUCT($I$5:$I51,$S$5:$S51)</f>
        <v>0</v>
      </c>
      <c r="T53" s="26">
        <f ca="1">SUMPRODUCT($I$5:$I51,$T$5:$T51)</f>
        <v>0</v>
      </c>
      <c r="U53" s="26">
        <f>SUMPRODUCT($I$5:$I51,$U$5:$U51)</f>
        <v>0</v>
      </c>
      <c r="V53" s="26">
        <f>SUMPRODUCT($I$5:$I51,$V$5:$V51)</f>
        <v>0</v>
      </c>
      <c r="W53" s="26">
        <f>SUMPRODUCT($I$5:$I51,$W$5:$W51)</f>
        <v>0</v>
      </c>
      <c r="X53" s="26">
        <f>SUMPRODUCT($I$5:$I51,$X$5:$X51)</f>
        <v>0</v>
      </c>
      <c r="Y53" s="26">
        <f>SUMPRODUCT($I$5:$I51,$Y$5:$Y51)</f>
        <v>0</v>
      </c>
      <c r="Z53" s="26">
        <f>SUMPRODUCT($I$5:$I51,$Z$5:$Z51)</f>
        <v>0</v>
      </c>
      <c r="AA53" s="26">
        <f>SUMPRODUCT($I$5:$I51,$AA$5:$AA51)</f>
        <v>0</v>
      </c>
      <c r="AB53" s="26">
        <f>SUMPRODUCT($I$5:$I51,$AB$5:$AB51)</f>
        <v>0</v>
      </c>
      <c r="AC53" s="26">
        <f>SUMPRODUCT($I$5:$I51,$AC$5:$AC51)</f>
        <v>0</v>
      </c>
      <c r="AD53" s="26">
        <f>SUMPRODUCT($I$5:$I51,$AD$5:$AD51)</f>
        <v>0</v>
      </c>
      <c r="AE53" s="26">
        <f ca="1">SUMPRODUCT($I$5:$I51,$AE$5:$AE51)</f>
        <v>0</v>
      </c>
      <c r="AF53" s="26">
        <f ca="1">SUMPRODUCT($I$5:$I51,$AF$5:$AF51)</f>
        <v>0</v>
      </c>
      <c r="AG53" s="26">
        <f ca="1">SUMPRODUCT($I$5:$I51,$AG$5:$AG51)</f>
        <v>0</v>
      </c>
      <c r="AH53" s="26">
        <f>SUMPRODUCT($I$5:$I51,$AH$5:$AH51)</f>
        <v>0</v>
      </c>
      <c r="AI53" s="26">
        <f>SUMPRODUCT($I$5:$I51,$AI$5:$AI51)</f>
        <v>0</v>
      </c>
      <c r="AJ53" s="26">
        <f ca="1">SUMPRODUCT($I$5:$I51,$AJ$5:$AJ51)</f>
        <v>0</v>
      </c>
      <c r="AK53" s="26">
        <f ca="1">SUMPRODUCT($I$5:$I51,$AK$5:$AK51)</f>
        <v>0</v>
      </c>
      <c r="AL53" s="26">
        <f ca="1">SUMPRODUCT($I$5:$I51,$AL$5:$AL51)</f>
        <v>0</v>
      </c>
      <c r="AM53" s="26">
        <f ca="1">SUMPRODUCT($I$5:$I51,$AM$5:$AM51)</f>
        <v>0</v>
      </c>
      <c r="AO53" s="44">
        <f ca="1">SUMPRODUCT($I$5:$I51,$AO$5:$AO51)</f>
        <v>54151831.88351284</v>
      </c>
      <c r="AP53" s="44">
        <f ca="1">SUMPRODUCT($I$5:$I51,$AP$5:$AP51)</f>
        <v>54151831.88351284</v>
      </c>
    </row>
    <row r="54" spans="1:42" ht="11.25" customHeight="1" x14ac:dyDescent="0.25">
      <c r="K54" s="46" t="s">
        <v>658</v>
      </c>
      <c r="L54" s="26">
        <f>'TR TUSD'!$L$56</f>
        <v>0</v>
      </c>
      <c r="M54" s="26">
        <f>'TR TUSD'!$M$56</f>
        <v>137495.02281363407</v>
      </c>
      <c r="N54" s="26">
        <f>'TR TUSD'!$N$56</f>
        <v>0</v>
      </c>
      <c r="O54" s="26">
        <f>'TR TUSD'!$O$56</f>
        <v>0</v>
      </c>
      <c r="P54" s="26">
        <f>'TR TUSD'!$P$56</f>
        <v>0</v>
      </c>
      <c r="Q54" s="26">
        <f>'TR TUSD'!$Q$56</f>
        <v>13883474.528079998</v>
      </c>
      <c r="R54" s="26">
        <f>'TR TUSD'!$R$56</f>
        <v>2389881.4216200002</v>
      </c>
      <c r="S54" s="26">
        <f>'TR TUSD'!$S$56</f>
        <v>0</v>
      </c>
      <c r="T54" s="26">
        <f>'TR TUSD'!$T$56</f>
        <v>16410850.972513633</v>
      </c>
      <c r="U54" s="26">
        <f>'TR TUSD'!$U$56</f>
        <v>2865872</v>
      </c>
      <c r="V54" s="26">
        <f>'TR TUSD'!$V$56</f>
        <v>2266000.7999999998</v>
      </c>
      <c r="W54" s="26">
        <f>'TR TUSD'!$W$56</f>
        <v>0</v>
      </c>
      <c r="X54" s="26">
        <f>'TR TUSD'!$X$56</f>
        <v>0</v>
      </c>
      <c r="Y54" s="26">
        <f>'TR TUSD'!$Y$56</f>
        <v>3624914.5317399995</v>
      </c>
      <c r="Z54" s="26">
        <f>'TR TUSD'!$Z$56</f>
        <v>0</v>
      </c>
      <c r="AA54" s="26">
        <f>'TR TUSD'!$AA$56</f>
        <v>0</v>
      </c>
      <c r="AB54" s="26">
        <f>'TR TUSD'!$AB$56</f>
        <v>8756787.3317399994</v>
      </c>
      <c r="AC54" s="26">
        <f>'TR TUSD'!$AC$56</f>
        <v>27172167.598823659</v>
      </c>
      <c r="AD54" s="26">
        <f>'TR TUSD'!$AD$56</f>
        <v>27172167.598823659</v>
      </c>
      <c r="AE54" s="26">
        <f>'TR TUSD'!$AE$56</f>
        <v>0</v>
      </c>
      <c r="AF54" s="26">
        <f>'TR TUSD'!$AF$56</f>
        <v>0</v>
      </c>
      <c r="AG54" s="26">
        <f>'TR TUSD'!$AG$56</f>
        <v>0</v>
      </c>
      <c r="AH54" s="26">
        <f>'TR TUSD'!$AH$56</f>
        <v>1798253.1148419045</v>
      </c>
      <c r="AI54" s="26">
        <f>'TR TUSD'!$AI$56</f>
        <v>13772.865593633205</v>
      </c>
      <c r="AJ54" s="26">
        <f>'TR TUSD'!$AJ$56</f>
        <v>0</v>
      </c>
      <c r="AK54" s="26">
        <f>'TR TUSD'!$AK$56</f>
        <v>0</v>
      </c>
      <c r="AL54" s="26">
        <f>'TR TUSD'!$AL$56</f>
        <v>1812025.9804355376</v>
      </c>
      <c r="AM54" s="26">
        <f>CUSTOS!$D$29</f>
        <v>54151831.883512825</v>
      </c>
      <c r="AO54" s="44">
        <f>$AE$56</f>
        <v>0</v>
      </c>
      <c r="AP54" s="44">
        <f>$AF$56</f>
        <v>0</v>
      </c>
    </row>
    <row r="55" spans="1:42" ht="11.25" customHeight="1" x14ac:dyDescent="0.25">
      <c r="K55" s="46" t="s">
        <v>659</v>
      </c>
      <c r="L55" s="26">
        <f>CUSTOS!$E$2</f>
        <v>0</v>
      </c>
      <c r="M55" s="26">
        <f>CUSTOS!$E$3</f>
        <v>2351.5564917225506</v>
      </c>
      <c r="N55" s="26">
        <f>CUSTOS!$E$4</f>
        <v>0</v>
      </c>
      <c r="O55" s="26">
        <f>CUSTOS!$E$5</f>
        <v>0</v>
      </c>
      <c r="P55" s="26">
        <f>CUSTOS!$E$6</f>
        <v>0</v>
      </c>
      <c r="Q55" s="26">
        <f>CUSTOS!$E$7</f>
        <v>285752.56803565449</v>
      </c>
      <c r="R55" s="26">
        <f>CUSTOS!$E$8</f>
        <v>50072.856508614503</v>
      </c>
      <c r="S55" s="26">
        <f>CUSTOS!$E$9</f>
        <v>0</v>
      </c>
      <c r="T55" s="26">
        <f>CUSTOS!$E$10</f>
        <v>338176.98103599151</v>
      </c>
      <c r="U55" s="26">
        <f>CUSTOS!$E$11</f>
        <v>-264180.63454462652</v>
      </c>
      <c r="V55" s="26">
        <f>CUSTOS!$E$12</f>
        <v>-208883.55419315005</v>
      </c>
      <c r="W55" s="26">
        <f>CUSTOS!$E$13</f>
        <v>0</v>
      </c>
      <c r="X55" s="26">
        <f>CUSTOS!$E$14</f>
        <v>0</v>
      </c>
      <c r="Y55" s="26">
        <f>CUSTOS!$E$15</f>
        <v>107304.24743100881</v>
      </c>
      <c r="Z55" s="26">
        <f>CUSTOS!$E$16</f>
        <v>0</v>
      </c>
      <c r="AA55" s="26">
        <f>CUSTOS!$E$17</f>
        <v>0</v>
      </c>
      <c r="AB55" s="26">
        <f>CUSTOS!$E$18</f>
        <v>-365759.94130676775</v>
      </c>
      <c r="AC55" s="26">
        <f>CUSTOS!$E$19</f>
        <v>-9615460.4931933079</v>
      </c>
      <c r="AD55" s="26">
        <f>CUSTOS!$E$20</f>
        <v>-9615460.4931933079</v>
      </c>
      <c r="AE55" s="26">
        <f>CUSTOS!$E$21</f>
        <v>0</v>
      </c>
      <c r="AF55" s="26">
        <f>CUSTOS!$E$22</f>
        <v>0</v>
      </c>
      <c r="AG55" s="26">
        <f>CUSTOS!$E$23</f>
        <v>0</v>
      </c>
      <c r="AH55" s="26">
        <f>CUSTOS!$E$24</f>
        <v>302956.989624632</v>
      </c>
      <c r="AI55" s="26">
        <f>CUSTOS!$E$25</f>
        <v>2320.3551626371705</v>
      </c>
      <c r="AJ55" s="26">
        <f>CUSTOS!$E$26</f>
        <v>0</v>
      </c>
      <c r="AK55" s="26">
        <f>CUSTOS!$E$27</f>
        <v>0</v>
      </c>
      <c r="AL55" s="26">
        <f>CUSTOS!$E$28</f>
        <v>305277.34478726919</v>
      </c>
      <c r="AM55" s="26">
        <f>CUSTOS!$E$29</f>
        <v>-9337766.1086768135</v>
      </c>
      <c r="AO55" s="44">
        <f ca="1">IF(AO53&lt;&gt;0,AO54/AO53,0)</f>
        <v>0</v>
      </c>
      <c r="AP55" s="44">
        <f ca="1">IF(AP53&lt;&gt;0,AP54/AP53,0)</f>
        <v>0</v>
      </c>
    </row>
    <row r="56" spans="1:42" ht="11.25" customHeight="1" x14ac:dyDescent="0.25">
      <c r="K56" s="46" t="s">
        <v>660</v>
      </c>
      <c r="L56" s="26">
        <f>CUSTOS!$F$2</f>
        <v>0</v>
      </c>
      <c r="M56" s="26">
        <f>CUSTOS!$F$3</f>
        <v>0</v>
      </c>
      <c r="N56" s="26">
        <f>CUSTOS!$F$4</f>
        <v>0</v>
      </c>
      <c r="O56" s="26">
        <f>CUSTOS!$F$5</f>
        <v>0</v>
      </c>
      <c r="P56" s="26">
        <f>CUSTOS!$F$6</f>
        <v>0</v>
      </c>
      <c r="Q56" s="26">
        <f>CUSTOS!$F$7</f>
        <v>0</v>
      </c>
      <c r="R56" s="26">
        <f>CUSTOS!$F$8</f>
        <v>0</v>
      </c>
      <c r="S56" s="26">
        <f>CUSTOS!$F$9</f>
        <v>0</v>
      </c>
      <c r="T56" s="26">
        <f>CUSTOS!$F$10</f>
        <v>0</v>
      </c>
      <c r="U56" s="26">
        <f>CUSTOS!$F$11</f>
        <v>0</v>
      </c>
      <c r="V56" s="26">
        <f>CUSTOS!$F$12</f>
        <v>0</v>
      </c>
      <c r="W56" s="26">
        <f>CUSTOS!$F$13</f>
        <v>0</v>
      </c>
      <c r="X56" s="26">
        <f>CUSTOS!$F$14</f>
        <v>0</v>
      </c>
      <c r="Y56" s="26">
        <f>CUSTOS!$F$15</f>
        <v>0</v>
      </c>
      <c r="Z56" s="26">
        <f>CUSTOS!$F$16</f>
        <v>0</v>
      </c>
      <c r="AA56" s="26">
        <f>CUSTOS!$F$17</f>
        <v>0</v>
      </c>
      <c r="AB56" s="26">
        <f>CUSTOS!$F$18</f>
        <v>0</v>
      </c>
      <c r="AC56" s="26">
        <f>CUSTOS!$F$19</f>
        <v>0</v>
      </c>
      <c r="AD56" s="26">
        <f>CUSTOS!$F$20</f>
        <v>0</v>
      </c>
      <c r="AE56" s="26">
        <f>CUSTOS!$F$21</f>
        <v>0</v>
      </c>
      <c r="AF56" s="26">
        <f>CUSTOS!$F$22</f>
        <v>0</v>
      </c>
      <c r="AG56" s="26">
        <f>CUSTOS!$F$23</f>
        <v>0</v>
      </c>
      <c r="AH56" s="26">
        <f>CUSTOS!$F$24</f>
        <v>0</v>
      </c>
      <c r="AI56" s="26">
        <f>CUSTOS!$F$25</f>
        <v>0</v>
      </c>
      <c r="AJ56" s="26">
        <f>CUSTOS!$F$26</f>
        <v>0</v>
      </c>
      <c r="AK56" s="26">
        <f>CUSTOS!$F$27</f>
        <v>0</v>
      </c>
      <c r="AL56" s="26">
        <f>CUSTOS!$F$28</f>
        <v>0</v>
      </c>
      <c r="AM56" s="26">
        <f>CUSTOS!$F$29</f>
        <v>0</v>
      </c>
    </row>
    <row r="57" spans="1:42" ht="11.25" customHeight="1" x14ac:dyDescent="0.25">
      <c r="K57" s="46" t="s">
        <v>723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/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/>
      <c r="AC57" s="26">
        <v>0</v>
      </c>
      <c r="AD57" s="26"/>
      <c r="AE57" s="26">
        <v>0</v>
      </c>
      <c r="AF57" s="26">
        <v>0</v>
      </c>
      <c r="AG57" s="26"/>
      <c r="AH57" s="26">
        <v>0</v>
      </c>
      <c r="AI57" s="26">
        <v>0</v>
      </c>
      <c r="AJ57" s="26">
        <v>0</v>
      </c>
      <c r="AK57" s="26">
        <v>0</v>
      </c>
      <c r="AL57" s="26"/>
      <c r="AM57" s="26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971" priority="55" operator="notEqual">
      <formula>$L$56</formula>
    </cfRule>
    <cfRule type="cellIs" dxfId="970" priority="56" operator="equal">
      <formula>$L$56</formula>
    </cfRule>
  </conditionalFormatting>
  <conditionalFormatting sqref="M53">
    <cfRule type="cellIs" dxfId="969" priority="53" operator="notEqual">
      <formula>$M$56</formula>
    </cfRule>
    <cfRule type="cellIs" dxfId="968" priority="54" operator="equal">
      <formula>$M$56</formula>
    </cfRule>
  </conditionalFormatting>
  <conditionalFormatting sqref="N53">
    <cfRule type="cellIs" dxfId="967" priority="51" operator="notEqual">
      <formula>$N$56</formula>
    </cfRule>
    <cfRule type="cellIs" dxfId="966" priority="52" operator="equal">
      <formula>$N$56</formula>
    </cfRule>
  </conditionalFormatting>
  <conditionalFormatting sqref="O53">
    <cfRule type="cellIs" dxfId="965" priority="49" operator="notEqual">
      <formula>$O$56</formula>
    </cfRule>
    <cfRule type="cellIs" dxfId="964" priority="50" operator="equal">
      <formula>$O$56</formula>
    </cfRule>
  </conditionalFormatting>
  <conditionalFormatting sqref="P53">
    <cfRule type="cellIs" dxfId="963" priority="47" operator="notEqual">
      <formula>$P$56</formula>
    </cfRule>
    <cfRule type="cellIs" dxfId="962" priority="48" operator="equal">
      <formula>$P$56</formula>
    </cfRule>
  </conditionalFormatting>
  <conditionalFormatting sqref="Q53">
    <cfRule type="cellIs" dxfId="961" priority="45" operator="notEqual">
      <formula>$Q$56</formula>
    </cfRule>
    <cfRule type="cellIs" dxfId="960" priority="46" operator="equal">
      <formula>$Q$56</formula>
    </cfRule>
  </conditionalFormatting>
  <conditionalFormatting sqref="R53">
    <cfRule type="cellIs" dxfId="959" priority="43" operator="notEqual">
      <formula>$R$56</formula>
    </cfRule>
    <cfRule type="cellIs" dxfId="958" priority="44" operator="equal">
      <formula>$R$56</formula>
    </cfRule>
  </conditionalFormatting>
  <conditionalFormatting sqref="S53">
    <cfRule type="cellIs" dxfId="957" priority="41" operator="notEqual">
      <formula>$S$56</formula>
    </cfRule>
    <cfRule type="cellIs" dxfId="956" priority="42" operator="equal">
      <formula>$S$56</formula>
    </cfRule>
  </conditionalFormatting>
  <conditionalFormatting sqref="T53">
    <cfRule type="cellIs" dxfId="955" priority="39" operator="notEqual">
      <formula>$T$56</formula>
    </cfRule>
    <cfRule type="cellIs" dxfId="954" priority="40" operator="equal">
      <formula>$T$56</formula>
    </cfRule>
  </conditionalFormatting>
  <conditionalFormatting sqref="U53">
    <cfRule type="cellIs" dxfId="953" priority="37" operator="notEqual">
      <formula>$U$56</formula>
    </cfRule>
    <cfRule type="cellIs" dxfId="952" priority="38" operator="equal">
      <formula>$U$56</formula>
    </cfRule>
  </conditionalFormatting>
  <conditionalFormatting sqref="V53">
    <cfRule type="cellIs" dxfId="951" priority="35" operator="notEqual">
      <formula>$V$56</formula>
    </cfRule>
    <cfRule type="cellIs" dxfId="950" priority="36" operator="equal">
      <formula>$V$56</formula>
    </cfRule>
  </conditionalFormatting>
  <conditionalFormatting sqref="W53">
    <cfRule type="cellIs" dxfId="949" priority="33" operator="notEqual">
      <formula>$W$56</formula>
    </cfRule>
    <cfRule type="cellIs" dxfId="948" priority="34" operator="equal">
      <formula>$W$56</formula>
    </cfRule>
  </conditionalFormatting>
  <conditionalFormatting sqref="X53">
    <cfRule type="cellIs" dxfId="947" priority="31" operator="notEqual">
      <formula>$X$56</formula>
    </cfRule>
    <cfRule type="cellIs" dxfId="946" priority="32" operator="equal">
      <formula>$X$56</formula>
    </cfRule>
  </conditionalFormatting>
  <conditionalFormatting sqref="Y53">
    <cfRule type="cellIs" dxfId="945" priority="29" operator="notEqual">
      <formula>$Y$56</formula>
    </cfRule>
    <cfRule type="cellIs" dxfId="944" priority="30" operator="equal">
      <formula>$Y$56</formula>
    </cfRule>
  </conditionalFormatting>
  <conditionalFormatting sqref="Z53">
    <cfRule type="cellIs" dxfId="943" priority="27" operator="notEqual">
      <formula>$Z$56</formula>
    </cfRule>
    <cfRule type="cellIs" dxfId="942" priority="28" operator="equal">
      <formula>$Z$56</formula>
    </cfRule>
  </conditionalFormatting>
  <conditionalFormatting sqref="AA53">
    <cfRule type="cellIs" dxfId="941" priority="25" operator="notEqual">
      <formula>$AA$56</formula>
    </cfRule>
    <cfRule type="cellIs" dxfId="940" priority="26" operator="equal">
      <formula>$AA$56</formula>
    </cfRule>
  </conditionalFormatting>
  <conditionalFormatting sqref="AB53">
    <cfRule type="cellIs" dxfId="939" priority="23" operator="notEqual">
      <formula>$AB$56</formula>
    </cfRule>
    <cfRule type="cellIs" dxfId="938" priority="24" operator="equal">
      <formula>$AB$56</formula>
    </cfRule>
  </conditionalFormatting>
  <conditionalFormatting sqref="AC53">
    <cfRule type="cellIs" dxfId="937" priority="21" operator="notEqual">
      <formula>$AC$56</formula>
    </cfRule>
    <cfRule type="cellIs" dxfId="936" priority="22" operator="equal">
      <formula>$AC$56</formula>
    </cfRule>
  </conditionalFormatting>
  <conditionalFormatting sqref="AD53">
    <cfRule type="cellIs" dxfId="935" priority="19" operator="notEqual">
      <formula>$AD$56</formula>
    </cfRule>
    <cfRule type="cellIs" dxfId="934" priority="20" operator="equal">
      <formula>$AD$56</formula>
    </cfRule>
  </conditionalFormatting>
  <conditionalFormatting sqref="AE53">
    <cfRule type="cellIs" dxfId="933" priority="17" operator="notEqual">
      <formula>$AE$56</formula>
    </cfRule>
    <cfRule type="cellIs" dxfId="932" priority="18" operator="equal">
      <formula>$AE$56</formula>
    </cfRule>
  </conditionalFormatting>
  <conditionalFormatting sqref="AF53">
    <cfRule type="cellIs" dxfId="931" priority="16" operator="equal">
      <formula>$AF$56</formula>
    </cfRule>
  </conditionalFormatting>
  <conditionalFormatting sqref="AF53">
    <cfRule type="cellIs" dxfId="930" priority="15" operator="notEqual">
      <formula>$AF$56</formula>
    </cfRule>
  </conditionalFormatting>
  <conditionalFormatting sqref="AG53">
    <cfRule type="cellIs" dxfId="929" priority="14" operator="equal">
      <formula>$AG$56</formula>
    </cfRule>
  </conditionalFormatting>
  <conditionalFormatting sqref="AG53">
    <cfRule type="cellIs" dxfId="928" priority="13" operator="notEqual">
      <formula>$AG$56</formula>
    </cfRule>
  </conditionalFormatting>
  <conditionalFormatting sqref="AH53">
    <cfRule type="cellIs" dxfId="927" priority="12" operator="equal">
      <formula>$AH$56</formula>
    </cfRule>
  </conditionalFormatting>
  <conditionalFormatting sqref="AH53">
    <cfRule type="cellIs" dxfId="926" priority="11" operator="notEqual">
      <formula>$AH$56</formula>
    </cfRule>
  </conditionalFormatting>
  <conditionalFormatting sqref="AI53">
    <cfRule type="cellIs" dxfId="925" priority="10" operator="equal">
      <formula>$AI$56</formula>
    </cfRule>
  </conditionalFormatting>
  <conditionalFormatting sqref="AI53">
    <cfRule type="cellIs" dxfId="924" priority="9" operator="notEqual">
      <formula>$AI$56</formula>
    </cfRule>
  </conditionalFormatting>
  <conditionalFormatting sqref="AJ53">
    <cfRule type="cellIs" dxfId="923" priority="8" operator="equal">
      <formula>$AJ$56</formula>
    </cfRule>
  </conditionalFormatting>
  <conditionalFormatting sqref="AJ53">
    <cfRule type="cellIs" dxfId="922" priority="7" operator="notEqual">
      <formula>$AJ$56</formula>
    </cfRule>
  </conditionalFormatting>
  <conditionalFormatting sqref="AK53">
    <cfRule type="cellIs" dxfId="921" priority="6" operator="equal">
      <formula>$AK$56</formula>
    </cfRule>
  </conditionalFormatting>
  <conditionalFormatting sqref="AK53">
    <cfRule type="cellIs" dxfId="920" priority="5" operator="notEqual">
      <formula>$AK$56</formula>
    </cfRule>
  </conditionalFormatting>
  <conditionalFormatting sqref="AL53">
    <cfRule type="cellIs" dxfId="919" priority="4" operator="equal">
      <formula>$AL$56</formula>
    </cfRule>
  </conditionalFormatting>
  <conditionalFormatting sqref="AL53">
    <cfRule type="cellIs" dxfId="918" priority="3" operator="notEqual">
      <formula>$AL$56</formula>
    </cfRule>
  </conditionalFormatting>
  <conditionalFormatting sqref="AM53">
    <cfRule type="cellIs" dxfId="917" priority="2" operator="equal">
      <formula>$AM$56</formula>
    </cfRule>
  </conditionalFormatting>
  <conditionalFormatting sqref="AM53">
    <cfRule type="cellIs" dxfId="916" priority="1" operator="notEqual">
      <formula>$AM$56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4F66-98DB-48B8-9BE3-64DC155BBA8B}">
  <dimension ref="A1:AA49"/>
  <sheetViews>
    <sheetView showGridLines="0" workbookViewId="0">
      <selection activeCell="K43" sqref="K43:AA4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0.855468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41" t="s">
        <v>66</v>
      </c>
      <c r="B1" s="141" t="s">
        <v>67</v>
      </c>
      <c r="C1" s="141" t="s">
        <v>68</v>
      </c>
      <c r="D1" s="141" t="s">
        <v>69</v>
      </c>
      <c r="E1" s="141" t="s">
        <v>70</v>
      </c>
      <c r="F1" s="141" t="s">
        <v>15</v>
      </c>
      <c r="G1" s="141" t="s">
        <v>72</v>
      </c>
      <c r="H1" s="141" t="s">
        <v>73</v>
      </c>
      <c r="I1" s="141" t="s">
        <v>717</v>
      </c>
      <c r="J1" s="126"/>
      <c r="L1" s="139" t="s">
        <v>732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</row>
    <row r="2" spans="1:27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6"/>
      <c r="L2" s="139" t="s">
        <v>645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</row>
    <row r="3" spans="1:27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6"/>
      <c r="L3" s="139" t="s">
        <v>618</v>
      </c>
      <c r="M3" s="139"/>
      <c r="N3" s="139"/>
      <c r="O3" s="139"/>
      <c r="P3" s="139"/>
      <c r="Q3" s="139" t="s">
        <v>648</v>
      </c>
      <c r="R3" s="139"/>
      <c r="S3" s="139" t="s">
        <v>627</v>
      </c>
      <c r="T3" s="139"/>
      <c r="U3" s="139"/>
      <c r="V3" s="139"/>
      <c r="W3" s="139" t="s">
        <v>637</v>
      </c>
      <c r="X3" s="139"/>
      <c r="Y3" s="139" t="s">
        <v>640</v>
      </c>
      <c r="Z3" s="139"/>
      <c r="AA3" s="139" t="s">
        <v>626</v>
      </c>
    </row>
    <row r="4" spans="1:27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6"/>
      <c r="L4" s="54" t="s">
        <v>620</v>
      </c>
      <c r="M4" s="54" t="s">
        <v>646</v>
      </c>
      <c r="N4" s="54" t="s">
        <v>647</v>
      </c>
      <c r="O4" s="54" t="s">
        <v>705</v>
      </c>
      <c r="P4" s="54" t="s">
        <v>626</v>
      </c>
      <c r="Q4" s="54" t="s">
        <v>649</v>
      </c>
      <c r="R4" s="54" t="s">
        <v>626</v>
      </c>
      <c r="S4" s="54" t="s">
        <v>650</v>
      </c>
      <c r="T4" s="54" t="s">
        <v>651</v>
      </c>
      <c r="U4" s="54" t="s">
        <v>652</v>
      </c>
      <c r="V4" s="54" t="s">
        <v>626</v>
      </c>
      <c r="W4" s="54" t="s">
        <v>638</v>
      </c>
      <c r="X4" s="54" t="s">
        <v>626</v>
      </c>
      <c r="Y4" s="54" t="s">
        <v>653</v>
      </c>
      <c r="Z4" s="54" t="s">
        <v>626</v>
      </c>
      <c r="AA4" s="140"/>
    </row>
    <row r="5" spans="1:27" ht="11.25" customHeight="1" x14ac:dyDescent="0.25">
      <c r="A5" s="142" t="s">
        <v>33</v>
      </c>
      <c r="B5" s="142" t="s">
        <v>75</v>
      </c>
      <c r="C5" s="142" t="s">
        <v>25</v>
      </c>
      <c r="D5" s="142" t="s">
        <v>25</v>
      </c>
      <c r="E5" s="142" t="s">
        <v>25</v>
      </c>
      <c r="F5" s="142" t="s">
        <v>25</v>
      </c>
      <c r="G5" s="52" t="s">
        <v>77</v>
      </c>
      <c r="H5" s="52" t="s">
        <v>76</v>
      </c>
      <c r="I5" s="52">
        <f>'MERCADO TE'!$U$2</f>
        <v>2264.5189999999998</v>
      </c>
      <c r="J5" s="18"/>
      <c r="L5" s="50">
        <v>1</v>
      </c>
      <c r="M5" s="50">
        <v>1</v>
      </c>
      <c r="N5" s="50">
        <v>1</v>
      </c>
      <c r="O5" s="50">
        <v>1</v>
      </c>
      <c r="P5" s="50"/>
      <c r="Q5" s="50">
        <v>1</v>
      </c>
      <c r="R5" s="50"/>
      <c r="S5" s="50">
        <v>1</v>
      </c>
      <c r="T5" s="50">
        <v>1</v>
      </c>
      <c r="U5" s="50">
        <v>1</v>
      </c>
      <c r="V5" s="50"/>
      <c r="W5" s="50"/>
      <c r="X5" s="50"/>
      <c r="Y5" s="50">
        <v>1</v>
      </c>
      <c r="Z5" s="50"/>
      <c r="AA5" s="50"/>
    </row>
    <row r="6" spans="1:27" ht="11.25" customHeight="1" x14ac:dyDescent="0.25">
      <c r="A6" s="142"/>
      <c r="B6" s="142"/>
      <c r="C6" s="142"/>
      <c r="D6" s="142"/>
      <c r="E6" s="142"/>
      <c r="F6" s="142"/>
      <c r="G6" s="52" t="s">
        <v>78</v>
      </c>
      <c r="H6" s="52" t="s">
        <v>76</v>
      </c>
      <c r="I6" s="52">
        <f>'MERCADO TE'!$U$3</f>
        <v>42745.164999999994</v>
      </c>
      <c r="J6" s="18"/>
      <c r="L6" s="50">
        <v>1</v>
      </c>
      <c r="M6" s="50">
        <v>1</v>
      </c>
      <c r="N6" s="50">
        <v>1</v>
      </c>
      <c r="O6" s="50">
        <v>1</v>
      </c>
      <c r="P6" s="50"/>
      <c r="Q6" s="50">
        <v>1</v>
      </c>
      <c r="R6" s="50"/>
      <c r="S6" s="50">
        <v>1</v>
      </c>
      <c r="T6" s="50">
        <v>1</v>
      </c>
      <c r="U6" s="50">
        <v>1</v>
      </c>
      <c r="V6" s="50"/>
      <c r="W6" s="50"/>
      <c r="X6" s="50"/>
      <c r="Y6" s="50">
        <v>1</v>
      </c>
      <c r="Z6" s="50"/>
      <c r="AA6" s="50"/>
    </row>
    <row r="7" spans="1:27" ht="11.25" customHeight="1" x14ac:dyDescent="0.25">
      <c r="A7" s="142" t="s">
        <v>22</v>
      </c>
      <c r="B7" s="142" t="s">
        <v>75</v>
      </c>
      <c r="C7" s="142" t="s">
        <v>24</v>
      </c>
      <c r="D7" s="142" t="s">
        <v>24</v>
      </c>
      <c r="E7" s="142" t="s">
        <v>25</v>
      </c>
      <c r="F7" s="142" t="s">
        <v>25</v>
      </c>
      <c r="G7" s="52" t="s">
        <v>77</v>
      </c>
      <c r="H7" s="52" t="s">
        <v>76</v>
      </c>
      <c r="I7" s="52">
        <f>'MERCADO TE'!$U$4</f>
        <v>4.6139999999999999</v>
      </c>
      <c r="J7" s="18"/>
      <c r="L7" s="50">
        <v>1</v>
      </c>
      <c r="M7" s="50">
        <v>1</v>
      </c>
      <c r="N7" s="50">
        <v>1</v>
      </c>
      <c r="O7" s="50">
        <v>1</v>
      </c>
      <c r="P7" s="50"/>
      <c r="Q7" s="50">
        <v>1</v>
      </c>
      <c r="R7" s="50"/>
      <c r="S7" s="50">
        <v>1</v>
      </c>
      <c r="T7" s="50">
        <v>1</v>
      </c>
      <c r="U7" s="50">
        <v>1</v>
      </c>
      <c r="V7" s="50"/>
      <c r="W7" s="50"/>
      <c r="X7" s="50"/>
      <c r="Y7" s="50">
        <v>1</v>
      </c>
      <c r="Z7" s="50"/>
      <c r="AA7" s="50"/>
    </row>
    <row r="8" spans="1:27" ht="11.25" customHeight="1" x14ac:dyDescent="0.25">
      <c r="A8" s="142"/>
      <c r="B8" s="142"/>
      <c r="C8" s="142"/>
      <c r="D8" s="142"/>
      <c r="E8" s="142"/>
      <c r="F8" s="142"/>
      <c r="G8" s="52" t="s">
        <v>88</v>
      </c>
      <c r="H8" s="52" t="s">
        <v>76</v>
      </c>
      <c r="I8" s="52">
        <f>'MERCADO TE'!$U$5</f>
        <v>7.0189999999999992</v>
      </c>
      <c r="J8" s="18"/>
      <c r="L8" s="50">
        <v>1</v>
      </c>
      <c r="M8" s="50">
        <v>1</v>
      </c>
      <c r="N8" s="50">
        <v>1</v>
      </c>
      <c r="O8" s="50">
        <v>1</v>
      </c>
      <c r="P8" s="50"/>
      <c r="Q8" s="50">
        <v>1</v>
      </c>
      <c r="R8" s="50"/>
      <c r="S8" s="50">
        <v>1</v>
      </c>
      <c r="T8" s="50">
        <v>1</v>
      </c>
      <c r="U8" s="50">
        <v>1</v>
      </c>
      <c r="V8" s="50"/>
      <c r="W8" s="50"/>
      <c r="X8" s="50"/>
      <c r="Y8" s="50">
        <v>1</v>
      </c>
      <c r="Z8" s="50"/>
      <c r="AA8" s="50"/>
    </row>
    <row r="9" spans="1:27" ht="11.25" customHeight="1" x14ac:dyDescent="0.25">
      <c r="A9" s="142"/>
      <c r="B9" s="142"/>
      <c r="C9" s="142"/>
      <c r="D9" s="142"/>
      <c r="E9" s="142"/>
      <c r="F9" s="142"/>
      <c r="G9" s="52" t="s">
        <v>78</v>
      </c>
      <c r="H9" s="52" t="s">
        <v>76</v>
      </c>
      <c r="I9" s="52">
        <f>'MERCADO TE'!$U$6</f>
        <v>29.872</v>
      </c>
      <c r="J9" s="18"/>
      <c r="L9" s="50">
        <v>1</v>
      </c>
      <c r="M9" s="50">
        <v>1</v>
      </c>
      <c r="N9" s="50">
        <v>1</v>
      </c>
      <c r="O9" s="50">
        <v>1</v>
      </c>
      <c r="P9" s="50"/>
      <c r="Q9" s="50">
        <v>1</v>
      </c>
      <c r="R9" s="50"/>
      <c r="S9" s="50">
        <v>1</v>
      </c>
      <c r="T9" s="50">
        <v>1</v>
      </c>
      <c r="U9" s="50">
        <v>1</v>
      </c>
      <c r="V9" s="50"/>
      <c r="W9" s="50"/>
      <c r="X9" s="50"/>
      <c r="Y9" s="50">
        <v>1</v>
      </c>
      <c r="Z9" s="50"/>
      <c r="AA9" s="50"/>
    </row>
    <row r="10" spans="1:27" ht="11.25" customHeight="1" x14ac:dyDescent="0.25">
      <c r="A10" s="142"/>
      <c r="B10" s="142" t="s">
        <v>89</v>
      </c>
      <c r="C10" s="142" t="s">
        <v>24</v>
      </c>
      <c r="D10" s="53" t="s">
        <v>24</v>
      </c>
      <c r="E10" s="53" t="s">
        <v>25</v>
      </c>
      <c r="F10" s="53" t="s">
        <v>25</v>
      </c>
      <c r="G10" s="52" t="s">
        <v>82</v>
      </c>
      <c r="H10" s="52" t="s">
        <v>76</v>
      </c>
      <c r="I10" s="52">
        <f>'MERCADO TE'!$U$7</f>
        <v>25648.588</v>
      </c>
      <c r="J10" s="18"/>
      <c r="L10" s="50">
        <v>1</v>
      </c>
      <c r="M10" s="50">
        <v>1</v>
      </c>
      <c r="N10" s="50">
        <v>1</v>
      </c>
      <c r="O10" s="50">
        <v>1</v>
      </c>
      <c r="P10" s="50"/>
      <c r="Q10" s="50">
        <v>1</v>
      </c>
      <c r="R10" s="50"/>
      <c r="S10" s="50">
        <v>1</v>
      </c>
      <c r="T10" s="50">
        <v>1</v>
      </c>
      <c r="U10" s="50">
        <v>1</v>
      </c>
      <c r="V10" s="50"/>
      <c r="W10" s="50"/>
      <c r="X10" s="50"/>
      <c r="Y10" s="50">
        <v>1</v>
      </c>
      <c r="Z10" s="50"/>
      <c r="AA10" s="50"/>
    </row>
    <row r="11" spans="1:27" ht="11.25" customHeight="1" x14ac:dyDescent="0.25">
      <c r="A11" s="142"/>
      <c r="B11" s="142"/>
      <c r="C11" s="142"/>
      <c r="D11" s="53" t="s">
        <v>29</v>
      </c>
      <c r="E11" s="53" t="s">
        <v>25</v>
      </c>
      <c r="F11" s="53" t="s">
        <v>25</v>
      </c>
      <c r="G11" s="52" t="s">
        <v>82</v>
      </c>
      <c r="H11" s="52" t="s">
        <v>76</v>
      </c>
      <c r="I11" s="52">
        <f>'MERCADO TE'!$U$8</f>
        <v>203.58</v>
      </c>
      <c r="J11" s="18"/>
      <c r="L11" s="50">
        <f>1 - CUSTOS!$M$24</f>
        <v>1</v>
      </c>
      <c r="M11" s="50">
        <f>1 - CUSTOS!$M$24</f>
        <v>1</v>
      </c>
      <c r="N11" s="50">
        <f>1 - CUSTOS!$M$24</f>
        <v>1</v>
      </c>
      <c r="O11" s="50">
        <f>1 - CUSTOS!$M$24</f>
        <v>1</v>
      </c>
      <c r="P11" s="50"/>
      <c r="Q11" s="50">
        <f>(1 - CUSTOS!$M$24)*1</f>
        <v>1</v>
      </c>
      <c r="R11" s="50"/>
      <c r="S11" s="50">
        <f>1 - CUSTOS!$M$24</f>
        <v>1</v>
      </c>
      <c r="T11" s="50">
        <f>1 - CUSTOS!$M$24</f>
        <v>1</v>
      </c>
      <c r="U11" s="50">
        <f>1 - CUSTOS!$M$24</f>
        <v>1</v>
      </c>
      <c r="V11" s="50"/>
      <c r="W11" s="50"/>
      <c r="X11" s="50"/>
      <c r="Y11" s="50">
        <f>1 - CUSTOS!$M$24</f>
        <v>1</v>
      </c>
      <c r="Z11" s="50"/>
      <c r="AA11" s="50"/>
    </row>
    <row r="12" spans="1:27" ht="11.25" customHeight="1" x14ac:dyDescent="0.25">
      <c r="A12" s="142"/>
      <c r="B12" s="142"/>
      <c r="C12" s="142"/>
      <c r="D12" s="53" t="s">
        <v>30</v>
      </c>
      <c r="E12" s="53" t="s">
        <v>25</v>
      </c>
      <c r="F12" s="53" t="s">
        <v>25</v>
      </c>
      <c r="G12" s="52" t="s">
        <v>82</v>
      </c>
      <c r="H12" s="52" t="s">
        <v>76</v>
      </c>
      <c r="I12" s="52">
        <f>'MERCADO TE'!$U$9</f>
        <v>441.75700000000001</v>
      </c>
      <c r="J12" s="18"/>
      <c r="L12" s="50">
        <f>1 - CUSTOS!$M$25</f>
        <v>1</v>
      </c>
      <c r="M12" s="50">
        <f>1 - CUSTOS!$M$25</f>
        <v>1</v>
      </c>
      <c r="N12" s="50">
        <f>1 - CUSTOS!$M$25</f>
        <v>1</v>
      </c>
      <c r="O12" s="50">
        <f>1 - CUSTOS!$M$25</f>
        <v>1</v>
      </c>
      <c r="P12" s="50"/>
      <c r="Q12" s="50">
        <f>(1 - CUSTOS!$M$25)*1</f>
        <v>1</v>
      </c>
      <c r="R12" s="50"/>
      <c r="S12" s="50">
        <f>1 - CUSTOS!$M$25</f>
        <v>1</v>
      </c>
      <c r="T12" s="50">
        <f>1 - CUSTOS!$M$25</f>
        <v>1</v>
      </c>
      <c r="U12" s="50">
        <f>1 - CUSTOS!$M$25</f>
        <v>1</v>
      </c>
      <c r="V12" s="50"/>
      <c r="W12" s="50"/>
      <c r="X12" s="50"/>
      <c r="Y12" s="50">
        <f>1 - CUSTOS!$M$25</f>
        <v>1</v>
      </c>
      <c r="Z12" s="50"/>
      <c r="AA12" s="50"/>
    </row>
    <row r="13" spans="1:27" ht="11.25" customHeight="1" x14ac:dyDescent="0.25">
      <c r="A13" s="142"/>
      <c r="B13" s="142"/>
      <c r="C13" s="142"/>
      <c r="D13" s="53" t="s">
        <v>31</v>
      </c>
      <c r="E13" s="53" t="s">
        <v>25</v>
      </c>
      <c r="F13" s="53" t="s">
        <v>25</v>
      </c>
      <c r="G13" s="52" t="s">
        <v>82</v>
      </c>
      <c r="H13" s="52" t="s">
        <v>76</v>
      </c>
      <c r="I13" s="52">
        <f>'MERCADO TE'!$U$10</f>
        <v>380.55199999999996</v>
      </c>
      <c r="J13" s="18"/>
      <c r="L13" s="50">
        <f>1 - CUSTOS!$M$26</f>
        <v>1</v>
      </c>
      <c r="M13" s="50">
        <f>1 - CUSTOS!$M$26</f>
        <v>1</v>
      </c>
      <c r="N13" s="50">
        <f>1 - CUSTOS!$M$26</f>
        <v>1</v>
      </c>
      <c r="O13" s="50">
        <f>1 - CUSTOS!$M$26</f>
        <v>1</v>
      </c>
      <c r="P13" s="50"/>
      <c r="Q13" s="50">
        <f>(1 - CUSTOS!$M$26)*1</f>
        <v>1</v>
      </c>
      <c r="R13" s="50"/>
      <c r="S13" s="50">
        <f>1 - CUSTOS!$M$26</f>
        <v>1</v>
      </c>
      <c r="T13" s="50">
        <f>1 - CUSTOS!$M$26</f>
        <v>1</v>
      </c>
      <c r="U13" s="50">
        <f>1 - CUSTOS!$M$26</f>
        <v>1</v>
      </c>
      <c r="V13" s="50"/>
      <c r="W13" s="50"/>
      <c r="X13" s="50"/>
      <c r="Y13" s="50">
        <f>1 - CUSTOS!$M$26</f>
        <v>1</v>
      </c>
      <c r="Z13" s="50"/>
      <c r="AA13" s="50"/>
    </row>
    <row r="14" spans="1:27" ht="11.25" customHeight="1" x14ac:dyDescent="0.25">
      <c r="A14" s="142"/>
      <c r="B14" s="142"/>
      <c r="C14" s="142"/>
      <c r="D14" s="53" t="s">
        <v>32</v>
      </c>
      <c r="E14" s="53" t="s">
        <v>25</v>
      </c>
      <c r="F14" s="53" t="s">
        <v>25</v>
      </c>
      <c r="G14" s="52" t="s">
        <v>82</v>
      </c>
      <c r="H14" s="52" t="s">
        <v>76</v>
      </c>
      <c r="I14" s="52">
        <f>'MERCADO TE'!$U$11</f>
        <v>85.721000000000004</v>
      </c>
      <c r="J14" s="18"/>
      <c r="L14" s="50">
        <f>1 - CUSTOS!$M$27</f>
        <v>1</v>
      </c>
      <c r="M14" s="50">
        <f>1 - CUSTOS!$M$27</f>
        <v>1</v>
      </c>
      <c r="N14" s="50">
        <f>1 - CUSTOS!$M$27</f>
        <v>1</v>
      </c>
      <c r="O14" s="50">
        <f>1 - CUSTOS!$M$27</f>
        <v>1</v>
      </c>
      <c r="P14" s="50"/>
      <c r="Q14" s="50">
        <f>(1 - CUSTOS!$M$27)*1</f>
        <v>1</v>
      </c>
      <c r="R14" s="50"/>
      <c r="S14" s="50">
        <f>1 - CUSTOS!$M$27</f>
        <v>1</v>
      </c>
      <c r="T14" s="50">
        <f>1 - CUSTOS!$M$27</f>
        <v>1</v>
      </c>
      <c r="U14" s="50">
        <f>1 - CUSTOS!$M$27</f>
        <v>1</v>
      </c>
      <c r="V14" s="50"/>
      <c r="W14" s="50"/>
      <c r="X14" s="50"/>
      <c r="Y14" s="50">
        <f>1 - CUSTOS!$M$27</f>
        <v>1</v>
      </c>
      <c r="Z14" s="50"/>
      <c r="AA14" s="50"/>
    </row>
    <row r="15" spans="1:27" ht="11.25" customHeight="1" x14ac:dyDescent="0.25">
      <c r="A15" s="142"/>
      <c r="B15" s="142" t="s">
        <v>90</v>
      </c>
      <c r="C15" s="142" t="s">
        <v>24</v>
      </c>
      <c r="D15" s="53" t="s">
        <v>24</v>
      </c>
      <c r="E15" s="53" t="s">
        <v>25</v>
      </c>
      <c r="F15" s="53" t="s">
        <v>25</v>
      </c>
      <c r="G15" s="52" t="s">
        <v>82</v>
      </c>
      <c r="H15" s="52" t="s">
        <v>76</v>
      </c>
      <c r="I15" s="52">
        <f>'MERCADO TE'!$U$12</f>
        <v>0</v>
      </c>
      <c r="J15" s="18"/>
      <c r="L15" s="50">
        <v>1</v>
      </c>
      <c r="M15" s="50">
        <v>1</v>
      </c>
      <c r="N15" s="50">
        <v>1</v>
      </c>
      <c r="O15" s="50">
        <v>1</v>
      </c>
      <c r="P15" s="50"/>
      <c r="Q15" s="50">
        <v>1</v>
      </c>
      <c r="R15" s="50"/>
      <c r="S15" s="50">
        <v>1</v>
      </c>
      <c r="T15" s="50">
        <v>1</v>
      </c>
      <c r="U15" s="50">
        <v>1</v>
      </c>
      <c r="V15" s="50"/>
      <c r="W15" s="50"/>
      <c r="X15" s="50"/>
      <c r="Y15" s="50">
        <v>1</v>
      </c>
      <c r="Z15" s="50"/>
      <c r="AA15" s="50"/>
    </row>
    <row r="16" spans="1:27" ht="11.25" customHeight="1" x14ac:dyDescent="0.25">
      <c r="A16" s="142"/>
      <c r="B16" s="142"/>
      <c r="C16" s="142"/>
      <c r="D16" s="53" t="s">
        <v>29</v>
      </c>
      <c r="E16" s="53" t="s">
        <v>25</v>
      </c>
      <c r="F16" s="53" t="s">
        <v>25</v>
      </c>
      <c r="G16" s="52" t="s">
        <v>82</v>
      </c>
      <c r="H16" s="52" t="s">
        <v>76</v>
      </c>
      <c r="I16" s="52">
        <f>'MERCADO TE'!$U$13</f>
        <v>0</v>
      </c>
      <c r="J16" s="18"/>
      <c r="L16" s="50">
        <f>1 - CUSTOS!$M$24</f>
        <v>1</v>
      </c>
      <c r="M16" s="50">
        <f>1 - CUSTOS!$M$24</f>
        <v>1</v>
      </c>
      <c r="N16" s="50">
        <f>1 - CUSTOS!$M$24</f>
        <v>1</v>
      </c>
      <c r="O16" s="50">
        <f>1 - CUSTOS!$M$24</f>
        <v>1</v>
      </c>
      <c r="P16" s="50"/>
      <c r="Q16" s="50">
        <f>(1 - CUSTOS!$M$24)*1</f>
        <v>1</v>
      </c>
      <c r="R16" s="50"/>
      <c r="S16" s="50">
        <f>1 - CUSTOS!$M$24</f>
        <v>1</v>
      </c>
      <c r="T16" s="50">
        <f>1 - CUSTOS!$M$24</f>
        <v>1</v>
      </c>
      <c r="U16" s="50">
        <f>1 - CUSTOS!$M$24</f>
        <v>1</v>
      </c>
      <c r="V16" s="50"/>
      <c r="W16" s="50"/>
      <c r="X16" s="50"/>
      <c r="Y16" s="50">
        <f>1 - CUSTOS!$M$24</f>
        <v>1</v>
      </c>
      <c r="Z16" s="50"/>
      <c r="AA16" s="50"/>
    </row>
    <row r="17" spans="1:27" ht="11.25" customHeight="1" x14ac:dyDescent="0.25">
      <c r="A17" s="142"/>
      <c r="B17" s="142"/>
      <c r="C17" s="142"/>
      <c r="D17" s="53" t="s">
        <v>30</v>
      </c>
      <c r="E17" s="53" t="s">
        <v>25</v>
      </c>
      <c r="F17" s="53" t="s">
        <v>25</v>
      </c>
      <c r="G17" s="52" t="s">
        <v>82</v>
      </c>
      <c r="H17" s="52" t="s">
        <v>76</v>
      </c>
      <c r="I17" s="52">
        <f>'MERCADO TE'!$U$14</f>
        <v>0</v>
      </c>
      <c r="J17" s="18"/>
      <c r="L17" s="50">
        <f>1 - CUSTOS!$M$25</f>
        <v>1</v>
      </c>
      <c r="M17" s="50">
        <f>1 - CUSTOS!$M$25</f>
        <v>1</v>
      </c>
      <c r="N17" s="50">
        <f>1 - CUSTOS!$M$25</f>
        <v>1</v>
      </c>
      <c r="O17" s="50">
        <f>1 - CUSTOS!$M$25</f>
        <v>1</v>
      </c>
      <c r="P17" s="50"/>
      <c r="Q17" s="50">
        <f>(1 - CUSTOS!$M$25)*1</f>
        <v>1</v>
      </c>
      <c r="R17" s="50"/>
      <c r="S17" s="50">
        <f>1 - CUSTOS!$M$25</f>
        <v>1</v>
      </c>
      <c r="T17" s="50">
        <f>1 - CUSTOS!$M$25</f>
        <v>1</v>
      </c>
      <c r="U17" s="50">
        <f>1 - CUSTOS!$M$25</f>
        <v>1</v>
      </c>
      <c r="V17" s="50"/>
      <c r="W17" s="50"/>
      <c r="X17" s="50"/>
      <c r="Y17" s="50">
        <f>1 - CUSTOS!$M$25</f>
        <v>1</v>
      </c>
      <c r="Z17" s="50"/>
      <c r="AA17" s="50"/>
    </row>
    <row r="18" spans="1:27" ht="11.25" customHeight="1" x14ac:dyDescent="0.25">
      <c r="A18" s="142"/>
      <c r="B18" s="142"/>
      <c r="C18" s="142"/>
      <c r="D18" s="53" t="s">
        <v>31</v>
      </c>
      <c r="E18" s="53" t="s">
        <v>25</v>
      </c>
      <c r="F18" s="53" t="s">
        <v>25</v>
      </c>
      <c r="G18" s="52" t="s">
        <v>82</v>
      </c>
      <c r="H18" s="52" t="s">
        <v>76</v>
      </c>
      <c r="I18" s="52">
        <f>'MERCADO TE'!$U$15</f>
        <v>0</v>
      </c>
      <c r="J18" s="18"/>
      <c r="L18" s="50">
        <f>1 - CUSTOS!$M$26</f>
        <v>1</v>
      </c>
      <c r="M18" s="50">
        <f>1 - CUSTOS!$M$26</f>
        <v>1</v>
      </c>
      <c r="N18" s="50">
        <f>1 - CUSTOS!$M$26</f>
        <v>1</v>
      </c>
      <c r="O18" s="50">
        <f>1 - CUSTOS!$M$26</f>
        <v>1</v>
      </c>
      <c r="P18" s="50"/>
      <c r="Q18" s="50">
        <f>(1 - CUSTOS!$M$26)*1</f>
        <v>1</v>
      </c>
      <c r="R18" s="50"/>
      <c r="S18" s="50">
        <f>1 - CUSTOS!$M$26</f>
        <v>1</v>
      </c>
      <c r="T18" s="50">
        <f>1 - CUSTOS!$M$26</f>
        <v>1</v>
      </c>
      <c r="U18" s="50">
        <f>1 - CUSTOS!$M$26</f>
        <v>1</v>
      </c>
      <c r="V18" s="50"/>
      <c r="W18" s="50"/>
      <c r="X18" s="50"/>
      <c r="Y18" s="50">
        <f>1 - CUSTOS!$M$26</f>
        <v>1</v>
      </c>
      <c r="Z18" s="50"/>
      <c r="AA18" s="50"/>
    </row>
    <row r="19" spans="1:27" ht="11.25" customHeight="1" x14ac:dyDescent="0.25">
      <c r="A19" s="142"/>
      <c r="B19" s="142"/>
      <c r="C19" s="142"/>
      <c r="D19" s="53" t="s">
        <v>32</v>
      </c>
      <c r="E19" s="53" t="s">
        <v>25</v>
      </c>
      <c r="F19" s="53" t="s">
        <v>25</v>
      </c>
      <c r="G19" s="52" t="s">
        <v>82</v>
      </c>
      <c r="H19" s="52" t="s">
        <v>76</v>
      </c>
      <c r="I19" s="52">
        <f>'MERCADO TE'!$U$16</f>
        <v>0</v>
      </c>
      <c r="J19" s="18"/>
      <c r="L19" s="50">
        <f>1 - CUSTOS!$M$27</f>
        <v>1</v>
      </c>
      <c r="M19" s="50">
        <f>1 - CUSTOS!$M$27</f>
        <v>1</v>
      </c>
      <c r="N19" s="50">
        <f>1 - CUSTOS!$M$27</f>
        <v>1</v>
      </c>
      <c r="O19" s="50">
        <f>1 - CUSTOS!$M$27</f>
        <v>1</v>
      </c>
      <c r="P19" s="50"/>
      <c r="Q19" s="50">
        <f>(1 - CUSTOS!$M$27)*1</f>
        <v>1</v>
      </c>
      <c r="R19" s="50"/>
      <c r="S19" s="50">
        <f>1 - CUSTOS!$M$27</f>
        <v>1</v>
      </c>
      <c r="T19" s="50">
        <f>1 - CUSTOS!$M$27</f>
        <v>1</v>
      </c>
      <c r="U19" s="50">
        <f>1 - CUSTOS!$M$27</f>
        <v>1</v>
      </c>
      <c r="V19" s="50"/>
      <c r="W19" s="50"/>
      <c r="X19" s="50"/>
      <c r="Y19" s="50">
        <f>1 - CUSTOS!$M$27</f>
        <v>1</v>
      </c>
      <c r="Z19" s="50"/>
      <c r="AA19" s="50"/>
    </row>
    <row r="20" spans="1:27" ht="11.25" customHeight="1" x14ac:dyDescent="0.25">
      <c r="A20" s="142" t="s">
        <v>43</v>
      </c>
      <c r="B20" s="142" t="s">
        <v>75</v>
      </c>
      <c r="C20" s="142" t="s">
        <v>44</v>
      </c>
      <c r="D20" s="142" t="s">
        <v>25</v>
      </c>
      <c r="E20" s="142" t="s">
        <v>25</v>
      </c>
      <c r="F20" s="142" t="s">
        <v>25</v>
      </c>
      <c r="G20" s="52" t="s">
        <v>77</v>
      </c>
      <c r="H20" s="52" t="s">
        <v>76</v>
      </c>
      <c r="I20" s="52">
        <f>'MERCADO TE'!$U$17</f>
        <v>0.78900000000000003</v>
      </c>
      <c r="J20" s="18"/>
      <c r="L20" s="50">
        <f>1 - CUSTOS!$M$28</f>
        <v>1</v>
      </c>
      <c r="M20" s="50">
        <f>1 - CUSTOS!$M$28</f>
        <v>1</v>
      </c>
      <c r="N20" s="50">
        <f>1 - CUSTOS!$M$28</f>
        <v>1</v>
      </c>
      <c r="O20" s="50">
        <f>1 - CUSTOS!$M$28</f>
        <v>1</v>
      </c>
      <c r="P20" s="50"/>
      <c r="Q20" s="50">
        <f>(1 - CUSTOS!$M$28)*1</f>
        <v>1</v>
      </c>
      <c r="R20" s="50"/>
      <c r="S20" s="50">
        <f>1 - CUSTOS!$M$28</f>
        <v>1</v>
      </c>
      <c r="T20" s="50">
        <f>1 - CUSTOS!$M$28</f>
        <v>1</v>
      </c>
      <c r="U20" s="50">
        <f>1 - CUSTOS!$M$28</f>
        <v>1</v>
      </c>
      <c r="V20" s="50"/>
      <c r="W20" s="50"/>
      <c r="X20" s="50"/>
      <c r="Y20" s="50">
        <f>1 - CUSTOS!$M$28</f>
        <v>1</v>
      </c>
      <c r="Z20" s="50"/>
      <c r="AA20" s="50"/>
    </row>
    <row r="21" spans="1:27" ht="11.25" customHeight="1" x14ac:dyDescent="0.25">
      <c r="A21" s="142"/>
      <c r="B21" s="142"/>
      <c r="C21" s="142"/>
      <c r="D21" s="142"/>
      <c r="E21" s="142"/>
      <c r="F21" s="142"/>
      <c r="G21" s="52" t="s">
        <v>88</v>
      </c>
      <c r="H21" s="52" t="s">
        <v>76</v>
      </c>
      <c r="I21" s="52">
        <f>'MERCADO TE'!$U$18</f>
        <v>0.57700000000000018</v>
      </c>
      <c r="J21" s="18"/>
      <c r="L21" s="50">
        <f>1 - CUSTOS!$M$28</f>
        <v>1</v>
      </c>
      <c r="M21" s="50">
        <f>1 - CUSTOS!$M$28</f>
        <v>1</v>
      </c>
      <c r="N21" s="50">
        <f>1 - CUSTOS!$M$28</f>
        <v>1</v>
      </c>
      <c r="O21" s="50">
        <f>1 - CUSTOS!$M$28</f>
        <v>1</v>
      </c>
      <c r="P21" s="50"/>
      <c r="Q21" s="50">
        <f>(1 - CUSTOS!$M$28)*1</f>
        <v>1</v>
      </c>
      <c r="R21" s="50"/>
      <c r="S21" s="50">
        <f>1 - CUSTOS!$M$28</f>
        <v>1</v>
      </c>
      <c r="T21" s="50">
        <f>1 - CUSTOS!$M$28</f>
        <v>1</v>
      </c>
      <c r="U21" s="50">
        <f>1 - CUSTOS!$M$28</f>
        <v>1</v>
      </c>
      <c r="V21" s="50"/>
      <c r="W21" s="50"/>
      <c r="X21" s="50"/>
      <c r="Y21" s="50">
        <f>1 - CUSTOS!$M$28</f>
        <v>1</v>
      </c>
      <c r="Z21" s="50"/>
      <c r="AA21" s="50"/>
    </row>
    <row r="22" spans="1:27" ht="11.25" customHeight="1" x14ac:dyDescent="0.25">
      <c r="A22" s="142"/>
      <c r="B22" s="142"/>
      <c r="C22" s="142"/>
      <c r="D22" s="142"/>
      <c r="E22" s="142"/>
      <c r="F22" s="142"/>
      <c r="G22" s="52" t="s">
        <v>78</v>
      </c>
      <c r="H22" s="52" t="s">
        <v>76</v>
      </c>
      <c r="I22" s="52">
        <f>'MERCADO TE'!$U$19</f>
        <v>5.0960000000000001</v>
      </c>
      <c r="J22" s="18"/>
      <c r="L22" s="50">
        <f>1 - CUSTOS!$M$28</f>
        <v>1</v>
      </c>
      <c r="M22" s="50">
        <f>1 - CUSTOS!$M$28</f>
        <v>1</v>
      </c>
      <c r="N22" s="50">
        <f>1 - CUSTOS!$M$28</f>
        <v>1</v>
      </c>
      <c r="O22" s="50">
        <f>1 - CUSTOS!$M$28</f>
        <v>1</v>
      </c>
      <c r="P22" s="50"/>
      <c r="Q22" s="50">
        <f>(1 - CUSTOS!$M$28)*1</f>
        <v>1</v>
      </c>
      <c r="R22" s="50"/>
      <c r="S22" s="50">
        <f>1 - CUSTOS!$M$28</f>
        <v>1</v>
      </c>
      <c r="T22" s="50">
        <f>1 - CUSTOS!$M$28</f>
        <v>1</v>
      </c>
      <c r="U22" s="50">
        <f>1 - CUSTOS!$M$28</f>
        <v>1</v>
      </c>
      <c r="V22" s="50"/>
      <c r="W22" s="50"/>
      <c r="X22" s="50"/>
      <c r="Y22" s="50">
        <f>1 - CUSTOS!$M$28</f>
        <v>1</v>
      </c>
      <c r="Z22" s="50"/>
      <c r="AA22" s="50"/>
    </row>
    <row r="23" spans="1:27" ht="11.25" customHeight="1" x14ac:dyDescent="0.25">
      <c r="A23" s="142"/>
      <c r="B23" s="53" t="s">
        <v>89</v>
      </c>
      <c r="C23" s="53" t="s">
        <v>44</v>
      </c>
      <c r="D23" s="53" t="s">
        <v>25</v>
      </c>
      <c r="E23" s="53" t="s">
        <v>25</v>
      </c>
      <c r="F23" s="53" t="s">
        <v>25</v>
      </c>
      <c r="G23" s="52" t="s">
        <v>82</v>
      </c>
      <c r="H23" s="52" t="s">
        <v>76</v>
      </c>
      <c r="I23" s="52">
        <f>'MERCADO TE'!$U$20</f>
        <v>36373.667999999998</v>
      </c>
      <c r="J23" s="18"/>
      <c r="L23" s="50">
        <f>1 - CUSTOS!$M$28</f>
        <v>1</v>
      </c>
      <c r="M23" s="50">
        <f>1 - CUSTOS!$M$28</f>
        <v>1</v>
      </c>
      <c r="N23" s="50">
        <f>1 - CUSTOS!$M$28</f>
        <v>1</v>
      </c>
      <c r="O23" s="50">
        <f>1 - CUSTOS!$M$28</f>
        <v>1</v>
      </c>
      <c r="P23" s="50"/>
      <c r="Q23" s="50">
        <f>(1 - CUSTOS!$M$28)*1</f>
        <v>1</v>
      </c>
      <c r="R23" s="50"/>
      <c r="S23" s="50">
        <f>1 - CUSTOS!$M$28</f>
        <v>1</v>
      </c>
      <c r="T23" s="50">
        <f>1 - CUSTOS!$M$28</f>
        <v>1</v>
      </c>
      <c r="U23" s="50">
        <f>1 - CUSTOS!$M$28</f>
        <v>1</v>
      </c>
      <c r="V23" s="50"/>
      <c r="W23" s="50"/>
      <c r="X23" s="50"/>
      <c r="Y23" s="50">
        <f>1 - CUSTOS!$M$28</f>
        <v>1</v>
      </c>
      <c r="Z23" s="50"/>
      <c r="AA23" s="50"/>
    </row>
    <row r="24" spans="1:27" ht="11.25" customHeight="1" x14ac:dyDescent="0.25">
      <c r="A24" s="142"/>
      <c r="B24" s="142" t="s">
        <v>75</v>
      </c>
      <c r="C24" s="142" t="s">
        <v>44</v>
      </c>
      <c r="D24" s="142" t="s">
        <v>92</v>
      </c>
      <c r="E24" s="142" t="s">
        <v>25</v>
      </c>
      <c r="F24" s="142" t="s">
        <v>25</v>
      </c>
      <c r="G24" s="52" t="s">
        <v>77</v>
      </c>
      <c r="H24" s="52" t="s">
        <v>76</v>
      </c>
      <c r="I24" s="52">
        <f>'MERCADO TE'!$U$21</f>
        <v>0</v>
      </c>
      <c r="J24" s="18"/>
      <c r="L24" s="50">
        <f>1 - CUSTOS!$M$29</f>
        <v>1</v>
      </c>
      <c r="M24" s="50">
        <f>1 - CUSTOS!$M$29</f>
        <v>1</v>
      </c>
      <c r="N24" s="50">
        <f>1 - CUSTOS!$M$29</f>
        <v>1</v>
      </c>
      <c r="O24" s="50">
        <f>1 - CUSTOS!$M$29</f>
        <v>1</v>
      </c>
      <c r="P24" s="50"/>
      <c r="Q24" s="50">
        <f>(1 - CUSTOS!$M$29)*1</f>
        <v>1</v>
      </c>
      <c r="R24" s="50"/>
      <c r="S24" s="50">
        <f>1 - CUSTOS!$M$29</f>
        <v>1</v>
      </c>
      <c r="T24" s="50">
        <f>1 - CUSTOS!$M$29</f>
        <v>1</v>
      </c>
      <c r="U24" s="50">
        <f>1 - CUSTOS!$M$29</f>
        <v>1</v>
      </c>
      <c r="V24" s="50"/>
      <c r="W24" s="50"/>
      <c r="X24" s="50"/>
      <c r="Y24" s="50">
        <f>1 - CUSTOS!$M$29</f>
        <v>1</v>
      </c>
      <c r="Z24" s="50"/>
      <c r="AA24" s="50"/>
    </row>
    <row r="25" spans="1:27" ht="11.25" customHeight="1" x14ac:dyDescent="0.25">
      <c r="A25" s="142"/>
      <c r="B25" s="142"/>
      <c r="C25" s="142"/>
      <c r="D25" s="142"/>
      <c r="E25" s="142"/>
      <c r="F25" s="142"/>
      <c r="G25" s="52" t="s">
        <v>88</v>
      </c>
      <c r="H25" s="52" t="s">
        <v>76</v>
      </c>
      <c r="I25" s="52">
        <f>'MERCADO TE'!$U$22</f>
        <v>0</v>
      </c>
      <c r="J25" s="18"/>
      <c r="L25" s="50">
        <f>1 - CUSTOS!$M$29</f>
        <v>1</v>
      </c>
      <c r="M25" s="50">
        <f>1 - CUSTOS!$M$29</f>
        <v>1</v>
      </c>
      <c r="N25" s="50">
        <f>1 - CUSTOS!$M$29</f>
        <v>1</v>
      </c>
      <c r="O25" s="50">
        <f>1 - CUSTOS!$M$29</f>
        <v>1</v>
      </c>
      <c r="P25" s="50"/>
      <c r="Q25" s="50">
        <f>(1 - CUSTOS!$M$29)*1</f>
        <v>1</v>
      </c>
      <c r="R25" s="50"/>
      <c r="S25" s="50">
        <f>1 - CUSTOS!$M$29</f>
        <v>1</v>
      </c>
      <c r="T25" s="50">
        <f>1 - CUSTOS!$M$29</f>
        <v>1</v>
      </c>
      <c r="U25" s="50">
        <f>1 - CUSTOS!$M$29</f>
        <v>1</v>
      </c>
      <c r="V25" s="50"/>
      <c r="W25" s="50"/>
      <c r="X25" s="50"/>
      <c r="Y25" s="50">
        <f>1 - CUSTOS!$M$29</f>
        <v>1</v>
      </c>
      <c r="Z25" s="50"/>
      <c r="AA25" s="50"/>
    </row>
    <row r="26" spans="1:27" ht="11.25" customHeight="1" x14ac:dyDescent="0.25">
      <c r="A26" s="142"/>
      <c r="B26" s="142"/>
      <c r="C26" s="142"/>
      <c r="D26" s="142"/>
      <c r="E26" s="142"/>
      <c r="F26" s="142"/>
      <c r="G26" s="52" t="s">
        <v>78</v>
      </c>
      <c r="H26" s="52" t="s">
        <v>76</v>
      </c>
      <c r="I26" s="52">
        <f>'MERCADO TE'!$U$23</f>
        <v>0</v>
      </c>
      <c r="J26" s="18"/>
      <c r="L26" s="50">
        <f>1 - CUSTOS!$M$29</f>
        <v>1</v>
      </c>
      <c r="M26" s="50">
        <f>1 - CUSTOS!$M$29</f>
        <v>1</v>
      </c>
      <c r="N26" s="50">
        <f>1 - CUSTOS!$M$29</f>
        <v>1</v>
      </c>
      <c r="O26" s="50">
        <f>1 - CUSTOS!$M$29</f>
        <v>1</v>
      </c>
      <c r="P26" s="50"/>
      <c r="Q26" s="50">
        <f>(1 - CUSTOS!$M$29)*1</f>
        <v>1</v>
      </c>
      <c r="R26" s="50"/>
      <c r="S26" s="50">
        <f>1 - CUSTOS!$M$29</f>
        <v>1</v>
      </c>
      <c r="T26" s="50">
        <f>1 - CUSTOS!$M$29</f>
        <v>1</v>
      </c>
      <c r="U26" s="50">
        <f>1 - CUSTOS!$M$29</f>
        <v>1</v>
      </c>
      <c r="V26" s="50"/>
      <c r="W26" s="50"/>
      <c r="X26" s="50"/>
      <c r="Y26" s="50">
        <f>1 - CUSTOS!$M$29</f>
        <v>1</v>
      </c>
      <c r="Z26" s="50"/>
      <c r="AA26" s="50"/>
    </row>
    <row r="27" spans="1:27" ht="11.25" customHeight="1" x14ac:dyDescent="0.25">
      <c r="A27" s="142"/>
      <c r="B27" s="53" t="s">
        <v>89</v>
      </c>
      <c r="C27" s="53" t="s">
        <v>44</v>
      </c>
      <c r="D27" s="53" t="s">
        <v>92</v>
      </c>
      <c r="E27" s="53" t="s">
        <v>25</v>
      </c>
      <c r="F27" s="53" t="s">
        <v>25</v>
      </c>
      <c r="G27" s="52" t="s">
        <v>82</v>
      </c>
      <c r="H27" s="52" t="s">
        <v>76</v>
      </c>
      <c r="I27" s="52">
        <f>'MERCADO TE'!$U$24</f>
        <v>0</v>
      </c>
      <c r="J27" s="18"/>
      <c r="L27" s="50">
        <f>1 - CUSTOS!$M$29</f>
        <v>1</v>
      </c>
      <c r="M27" s="50">
        <f>1 - CUSTOS!$M$29</f>
        <v>1</v>
      </c>
      <c r="N27" s="50">
        <f>1 - CUSTOS!$M$29</f>
        <v>1</v>
      </c>
      <c r="O27" s="50">
        <f>1 - CUSTOS!$M$29</f>
        <v>1</v>
      </c>
      <c r="P27" s="50"/>
      <c r="Q27" s="50">
        <f>(1 - CUSTOS!$M$29)*1</f>
        <v>1</v>
      </c>
      <c r="R27" s="50"/>
      <c r="S27" s="50">
        <f>1 - CUSTOS!$M$29</f>
        <v>1</v>
      </c>
      <c r="T27" s="50">
        <f>1 - CUSTOS!$M$29</f>
        <v>1</v>
      </c>
      <c r="U27" s="50">
        <f>1 - CUSTOS!$M$29</f>
        <v>1</v>
      </c>
      <c r="V27" s="50"/>
      <c r="W27" s="50"/>
      <c r="X27" s="50"/>
      <c r="Y27" s="50">
        <f>1 - CUSTOS!$M$29</f>
        <v>1</v>
      </c>
      <c r="Z27" s="50"/>
      <c r="AA27" s="50"/>
    </row>
    <row r="28" spans="1:27" ht="11.25" customHeight="1" x14ac:dyDescent="0.25">
      <c r="A28" s="142"/>
      <c r="B28" s="142" t="s">
        <v>75</v>
      </c>
      <c r="C28" s="142" t="s">
        <v>44</v>
      </c>
      <c r="D28" s="142" t="s">
        <v>93</v>
      </c>
      <c r="E28" s="142" t="s">
        <v>25</v>
      </c>
      <c r="F28" s="142" t="s">
        <v>25</v>
      </c>
      <c r="G28" s="52" t="s">
        <v>77</v>
      </c>
      <c r="H28" s="52" t="s">
        <v>76</v>
      </c>
      <c r="I28" s="52">
        <f>'MERCADO TE'!$U$25</f>
        <v>0</v>
      </c>
      <c r="J28" s="18"/>
      <c r="L28" s="50">
        <f>1 - CUSTOS!$M$30</f>
        <v>1</v>
      </c>
      <c r="M28" s="50">
        <f>1 - CUSTOS!$M$30</f>
        <v>1</v>
      </c>
      <c r="N28" s="50">
        <f>1 - CUSTOS!$M$30</f>
        <v>1</v>
      </c>
      <c r="O28" s="50">
        <f>1 - CUSTOS!$M$30</f>
        <v>1</v>
      </c>
      <c r="P28" s="50"/>
      <c r="Q28" s="50">
        <f>(1 - CUSTOS!$M$30)*1</f>
        <v>1</v>
      </c>
      <c r="R28" s="50"/>
      <c r="S28" s="50">
        <f>1 - CUSTOS!$M$30</f>
        <v>1</v>
      </c>
      <c r="T28" s="50">
        <f>1 - CUSTOS!$M$30</f>
        <v>1</v>
      </c>
      <c r="U28" s="50">
        <f>1 - CUSTOS!$M$30</f>
        <v>1</v>
      </c>
      <c r="V28" s="50"/>
      <c r="W28" s="50"/>
      <c r="X28" s="50"/>
      <c r="Y28" s="50">
        <f>1 - CUSTOS!$M$30</f>
        <v>1</v>
      </c>
      <c r="Z28" s="50"/>
      <c r="AA28" s="50"/>
    </row>
    <row r="29" spans="1:27" ht="11.25" customHeight="1" x14ac:dyDescent="0.25">
      <c r="A29" s="142"/>
      <c r="B29" s="142"/>
      <c r="C29" s="142"/>
      <c r="D29" s="142"/>
      <c r="E29" s="142"/>
      <c r="F29" s="142"/>
      <c r="G29" s="52" t="s">
        <v>88</v>
      </c>
      <c r="H29" s="52" t="s">
        <v>76</v>
      </c>
      <c r="I29" s="52">
        <f>'MERCADO TE'!$U$26</f>
        <v>0</v>
      </c>
      <c r="J29" s="18"/>
      <c r="L29" s="50">
        <f>1 - CUSTOS!$M$30</f>
        <v>1</v>
      </c>
      <c r="M29" s="50">
        <f>1 - CUSTOS!$M$30</f>
        <v>1</v>
      </c>
      <c r="N29" s="50">
        <f>1 - CUSTOS!$M$30</f>
        <v>1</v>
      </c>
      <c r="O29" s="50">
        <f>1 - CUSTOS!$M$30</f>
        <v>1</v>
      </c>
      <c r="P29" s="50"/>
      <c r="Q29" s="50">
        <f>(1 - CUSTOS!$M$30)*1</f>
        <v>1</v>
      </c>
      <c r="R29" s="50"/>
      <c r="S29" s="50">
        <f>1 - CUSTOS!$M$30</f>
        <v>1</v>
      </c>
      <c r="T29" s="50">
        <f>1 - CUSTOS!$M$30</f>
        <v>1</v>
      </c>
      <c r="U29" s="50">
        <f>1 - CUSTOS!$M$30</f>
        <v>1</v>
      </c>
      <c r="V29" s="50"/>
      <c r="W29" s="50"/>
      <c r="X29" s="50"/>
      <c r="Y29" s="50">
        <f>1 - CUSTOS!$M$30</f>
        <v>1</v>
      </c>
      <c r="Z29" s="50"/>
      <c r="AA29" s="50"/>
    </row>
    <row r="30" spans="1:27" ht="11.25" customHeight="1" x14ac:dyDescent="0.25">
      <c r="A30" s="142"/>
      <c r="B30" s="142"/>
      <c r="C30" s="142"/>
      <c r="D30" s="142"/>
      <c r="E30" s="142"/>
      <c r="F30" s="142"/>
      <c r="G30" s="52" t="s">
        <v>78</v>
      </c>
      <c r="H30" s="52" t="s">
        <v>76</v>
      </c>
      <c r="I30" s="52">
        <f>'MERCADO TE'!$U$27</f>
        <v>0</v>
      </c>
      <c r="J30" s="18"/>
      <c r="L30" s="50">
        <f>1 - CUSTOS!$M$30</f>
        <v>1</v>
      </c>
      <c r="M30" s="50">
        <f>1 - CUSTOS!$M$30</f>
        <v>1</v>
      </c>
      <c r="N30" s="50">
        <f>1 - CUSTOS!$M$30</f>
        <v>1</v>
      </c>
      <c r="O30" s="50">
        <f>1 - CUSTOS!$M$30</f>
        <v>1</v>
      </c>
      <c r="P30" s="50"/>
      <c r="Q30" s="50">
        <f>(1 - CUSTOS!$M$30)*1</f>
        <v>1</v>
      </c>
      <c r="R30" s="50"/>
      <c r="S30" s="50">
        <f>1 - CUSTOS!$M$30</f>
        <v>1</v>
      </c>
      <c r="T30" s="50">
        <f>1 - CUSTOS!$M$30</f>
        <v>1</v>
      </c>
      <c r="U30" s="50">
        <f>1 - CUSTOS!$M$30</f>
        <v>1</v>
      </c>
      <c r="V30" s="50"/>
      <c r="W30" s="50"/>
      <c r="X30" s="50"/>
      <c r="Y30" s="50">
        <f>1 - CUSTOS!$M$30</f>
        <v>1</v>
      </c>
      <c r="Z30" s="50"/>
      <c r="AA30" s="50"/>
    </row>
    <row r="31" spans="1:27" ht="11.25" customHeight="1" x14ac:dyDescent="0.25">
      <c r="A31" s="142"/>
      <c r="B31" s="53" t="s">
        <v>89</v>
      </c>
      <c r="C31" s="53" t="s">
        <v>44</v>
      </c>
      <c r="D31" s="53" t="s">
        <v>93</v>
      </c>
      <c r="E31" s="53" t="s">
        <v>25</v>
      </c>
      <c r="F31" s="53" t="s">
        <v>25</v>
      </c>
      <c r="G31" s="52" t="s">
        <v>82</v>
      </c>
      <c r="H31" s="52" t="s">
        <v>76</v>
      </c>
      <c r="I31" s="52">
        <f>'MERCADO TE'!$U$28</f>
        <v>0</v>
      </c>
      <c r="J31" s="18"/>
      <c r="L31" s="50">
        <f>1 - CUSTOS!$M$30</f>
        <v>1</v>
      </c>
      <c r="M31" s="50">
        <f>1 - CUSTOS!$M$30</f>
        <v>1</v>
      </c>
      <c r="N31" s="50">
        <f>1 - CUSTOS!$M$30</f>
        <v>1</v>
      </c>
      <c r="O31" s="50">
        <f>1 - CUSTOS!$M$30</f>
        <v>1</v>
      </c>
      <c r="P31" s="50"/>
      <c r="Q31" s="50">
        <f>(1 - CUSTOS!$M$30)*1</f>
        <v>1</v>
      </c>
      <c r="R31" s="50"/>
      <c r="S31" s="50">
        <f>1 - CUSTOS!$M$30</f>
        <v>1</v>
      </c>
      <c r="T31" s="50">
        <f>1 - CUSTOS!$M$30</f>
        <v>1</v>
      </c>
      <c r="U31" s="50">
        <f>1 - CUSTOS!$M$30</f>
        <v>1</v>
      </c>
      <c r="V31" s="50"/>
      <c r="W31" s="50"/>
      <c r="X31" s="50"/>
      <c r="Y31" s="50">
        <f>1 - CUSTOS!$M$30</f>
        <v>1</v>
      </c>
      <c r="Z31" s="50"/>
      <c r="AA31" s="50"/>
    </row>
    <row r="32" spans="1:27" ht="11.25" customHeight="1" x14ac:dyDescent="0.25">
      <c r="A32" s="142"/>
      <c r="B32" s="142" t="s">
        <v>90</v>
      </c>
      <c r="C32" s="142" t="s">
        <v>44</v>
      </c>
      <c r="D32" s="53" t="s">
        <v>25</v>
      </c>
      <c r="E32" s="53" t="s">
        <v>25</v>
      </c>
      <c r="F32" s="53" t="s">
        <v>25</v>
      </c>
      <c r="G32" s="52" t="s">
        <v>82</v>
      </c>
      <c r="H32" s="52" t="s">
        <v>76</v>
      </c>
      <c r="I32" s="52">
        <f>'MERCADO TE'!$U$29</f>
        <v>0</v>
      </c>
      <c r="J32" s="18"/>
      <c r="L32" s="50">
        <f>1 - CUSTOS!$M$28</f>
        <v>1</v>
      </c>
      <c r="M32" s="50">
        <f>1 - CUSTOS!$M$28</f>
        <v>1</v>
      </c>
      <c r="N32" s="50">
        <f>1 - CUSTOS!$M$28</f>
        <v>1</v>
      </c>
      <c r="O32" s="50">
        <f>1 - CUSTOS!$M$28</f>
        <v>1</v>
      </c>
      <c r="P32" s="50"/>
      <c r="Q32" s="50">
        <f>(1 - CUSTOS!$M$28)*1</f>
        <v>1</v>
      </c>
      <c r="R32" s="50"/>
      <c r="S32" s="50">
        <f>1 - CUSTOS!$M$28</f>
        <v>1</v>
      </c>
      <c r="T32" s="50">
        <f>1 - CUSTOS!$M$28</f>
        <v>1</v>
      </c>
      <c r="U32" s="50">
        <f>1 - CUSTOS!$M$28</f>
        <v>1</v>
      </c>
      <c r="V32" s="50"/>
      <c r="W32" s="50"/>
      <c r="X32" s="50"/>
      <c r="Y32" s="50">
        <f>1 - CUSTOS!$M$28</f>
        <v>1</v>
      </c>
      <c r="Z32" s="50"/>
      <c r="AA32" s="50"/>
    </row>
    <row r="33" spans="1:27" ht="11.25" customHeight="1" x14ac:dyDescent="0.25">
      <c r="A33" s="142"/>
      <c r="B33" s="142"/>
      <c r="C33" s="142"/>
      <c r="D33" s="53" t="s">
        <v>92</v>
      </c>
      <c r="E33" s="53" t="s">
        <v>25</v>
      </c>
      <c r="F33" s="53" t="s">
        <v>25</v>
      </c>
      <c r="G33" s="52" t="s">
        <v>82</v>
      </c>
      <c r="H33" s="52" t="s">
        <v>76</v>
      </c>
      <c r="I33" s="52">
        <f>'MERCADO TE'!$U$30</f>
        <v>0</v>
      </c>
      <c r="J33" s="18"/>
      <c r="L33" s="50">
        <f>1 - CUSTOS!$M$29</f>
        <v>1</v>
      </c>
      <c r="M33" s="50">
        <f>1 - CUSTOS!$M$29</f>
        <v>1</v>
      </c>
      <c r="N33" s="50">
        <f>1 - CUSTOS!$M$29</f>
        <v>1</v>
      </c>
      <c r="O33" s="50">
        <f>1 - CUSTOS!$M$29</f>
        <v>1</v>
      </c>
      <c r="P33" s="50"/>
      <c r="Q33" s="50">
        <f>(1 - CUSTOS!$M$29)*1</f>
        <v>1</v>
      </c>
      <c r="R33" s="50"/>
      <c r="S33" s="50">
        <f>1 - CUSTOS!$M$29</f>
        <v>1</v>
      </c>
      <c r="T33" s="50">
        <f>1 - CUSTOS!$M$29</f>
        <v>1</v>
      </c>
      <c r="U33" s="50">
        <f>1 - CUSTOS!$M$29</f>
        <v>1</v>
      </c>
      <c r="V33" s="50"/>
      <c r="W33" s="50"/>
      <c r="X33" s="50"/>
      <c r="Y33" s="50">
        <f>1 - CUSTOS!$M$29</f>
        <v>1</v>
      </c>
      <c r="Z33" s="50"/>
      <c r="AA33" s="50"/>
    </row>
    <row r="34" spans="1:27" ht="11.25" customHeight="1" x14ac:dyDescent="0.25">
      <c r="A34" s="142"/>
      <c r="B34" s="142"/>
      <c r="C34" s="142"/>
      <c r="D34" s="53" t="s">
        <v>93</v>
      </c>
      <c r="E34" s="53" t="s">
        <v>25</v>
      </c>
      <c r="F34" s="53" t="s">
        <v>25</v>
      </c>
      <c r="G34" s="52" t="s">
        <v>82</v>
      </c>
      <c r="H34" s="52" t="s">
        <v>76</v>
      </c>
      <c r="I34" s="52">
        <f>'MERCADO TE'!$U$31</f>
        <v>0</v>
      </c>
      <c r="J34" s="18"/>
      <c r="L34" s="50">
        <f>1 - CUSTOS!$M$30</f>
        <v>1</v>
      </c>
      <c r="M34" s="50">
        <f>1 - CUSTOS!$M$30</f>
        <v>1</v>
      </c>
      <c r="N34" s="50">
        <f>1 - CUSTOS!$M$30</f>
        <v>1</v>
      </c>
      <c r="O34" s="50">
        <f>1 - CUSTOS!$M$30</f>
        <v>1</v>
      </c>
      <c r="P34" s="50"/>
      <c r="Q34" s="50">
        <f>(1 - CUSTOS!$M$30)*1</f>
        <v>1</v>
      </c>
      <c r="R34" s="50"/>
      <c r="S34" s="50">
        <f>1 - CUSTOS!$M$30</f>
        <v>1</v>
      </c>
      <c r="T34" s="50">
        <f>1 - CUSTOS!$M$30</f>
        <v>1</v>
      </c>
      <c r="U34" s="50">
        <f>1 - CUSTOS!$M$30</f>
        <v>1</v>
      </c>
      <c r="V34" s="50"/>
      <c r="W34" s="50"/>
      <c r="X34" s="50"/>
      <c r="Y34" s="50">
        <f>1 - CUSTOS!$M$30</f>
        <v>1</v>
      </c>
      <c r="Z34" s="50"/>
      <c r="AA34" s="50"/>
    </row>
    <row r="35" spans="1:27" ht="11.25" customHeight="1" x14ac:dyDescent="0.25">
      <c r="A35" s="142" t="s">
        <v>39</v>
      </c>
      <c r="B35" s="142" t="s">
        <v>75</v>
      </c>
      <c r="C35" s="142" t="s">
        <v>25</v>
      </c>
      <c r="D35" s="142" t="s">
        <v>25</v>
      </c>
      <c r="E35" s="142" t="s">
        <v>25</v>
      </c>
      <c r="F35" s="142" t="s">
        <v>25</v>
      </c>
      <c r="G35" s="52" t="s">
        <v>77</v>
      </c>
      <c r="H35" s="52" t="s">
        <v>76</v>
      </c>
      <c r="I35" s="52">
        <f>'MERCADO TE'!$U$32</f>
        <v>0.80500000000000171</v>
      </c>
      <c r="J35" s="18"/>
      <c r="L35" s="50">
        <f>1 - CUSTOS!$M$31</f>
        <v>1</v>
      </c>
      <c r="M35" s="50">
        <f>1 - CUSTOS!$M$31</f>
        <v>1</v>
      </c>
      <c r="N35" s="50">
        <f>1 - CUSTOS!$M$31</f>
        <v>1</v>
      </c>
      <c r="O35" s="50">
        <f>1 - CUSTOS!$M$31</f>
        <v>1</v>
      </c>
      <c r="P35" s="50"/>
      <c r="Q35" s="50">
        <f>(1 - CUSTOS!$M$31)*1</f>
        <v>1</v>
      </c>
      <c r="R35" s="50"/>
      <c r="S35" s="50">
        <f>1 - CUSTOS!$M$31</f>
        <v>1</v>
      </c>
      <c r="T35" s="50">
        <f>1 - CUSTOS!$M$31</f>
        <v>1</v>
      </c>
      <c r="U35" s="50">
        <f>1 - CUSTOS!$M$31</f>
        <v>1</v>
      </c>
      <c r="V35" s="50"/>
      <c r="W35" s="50"/>
      <c r="X35" s="50"/>
      <c r="Y35" s="50">
        <f>1 - CUSTOS!$M$31</f>
        <v>1</v>
      </c>
      <c r="Z35" s="50"/>
      <c r="AA35" s="50"/>
    </row>
    <row r="36" spans="1:27" ht="11.25" customHeight="1" x14ac:dyDescent="0.25">
      <c r="A36" s="142"/>
      <c r="B36" s="142"/>
      <c r="C36" s="142"/>
      <c r="D36" s="142"/>
      <c r="E36" s="142"/>
      <c r="F36" s="142"/>
      <c r="G36" s="52" t="s">
        <v>88</v>
      </c>
      <c r="H36" s="52" t="s">
        <v>76</v>
      </c>
      <c r="I36" s="52">
        <f>'MERCADO TE'!$U$33</f>
        <v>1.23</v>
      </c>
      <c r="J36" s="18"/>
      <c r="L36" s="50">
        <f>1 - CUSTOS!$M$31</f>
        <v>1</v>
      </c>
      <c r="M36" s="50">
        <f>1 - CUSTOS!$M$31</f>
        <v>1</v>
      </c>
      <c r="N36" s="50">
        <f>1 - CUSTOS!$M$31</f>
        <v>1</v>
      </c>
      <c r="O36" s="50">
        <f>1 - CUSTOS!$M$31</f>
        <v>1</v>
      </c>
      <c r="P36" s="50"/>
      <c r="Q36" s="50">
        <f>(1 - CUSTOS!$M$31)*1</f>
        <v>1</v>
      </c>
      <c r="R36" s="50"/>
      <c r="S36" s="50">
        <f>1 - CUSTOS!$M$31</f>
        <v>1</v>
      </c>
      <c r="T36" s="50">
        <f>1 - CUSTOS!$M$31</f>
        <v>1</v>
      </c>
      <c r="U36" s="50">
        <f>1 - CUSTOS!$M$31</f>
        <v>1</v>
      </c>
      <c r="V36" s="50"/>
      <c r="W36" s="50"/>
      <c r="X36" s="50"/>
      <c r="Y36" s="50">
        <f>1 - CUSTOS!$M$31</f>
        <v>1</v>
      </c>
      <c r="Z36" s="50"/>
      <c r="AA36" s="50"/>
    </row>
    <row r="37" spans="1:27" ht="11.25" customHeight="1" x14ac:dyDescent="0.25">
      <c r="A37" s="142"/>
      <c r="B37" s="142"/>
      <c r="C37" s="142"/>
      <c r="D37" s="142"/>
      <c r="E37" s="142"/>
      <c r="F37" s="142"/>
      <c r="G37" s="52" t="s">
        <v>78</v>
      </c>
      <c r="H37" s="52" t="s">
        <v>76</v>
      </c>
      <c r="I37" s="52">
        <f>'MERCADO TE'!$U$34</f>
        <v>18.96</v>
      </c>
      <c r="J37" s="18"/>
      <c r="L37" s="50">
        <f>1 - CUSTOS!$M$31</f>
        <v>1</v>
      </c>
      <c r="M37" s="50">
        <f>1 - CUSTOS!$M$31</f>
        <v>1</v>
      </c>
      <c r="N37" s="50">
        <f>1 - CUSTOS!$M$31</f>
        <v>1</v>
      </c>
      <c r="O37" s="50">
        <f>1 - CUSTOS!$M$31</f>
        <v>1</v>
      </c>
      <c r="P37" s="50"/>
      <c r="Q37" s="50">
        <f>(1 - CUSTOS!$M$31)*1</f>
        <v>1</v>
      </c>
      <c r="R37" s="50"/>
      <c r="S37" s="50">
        <f>1 - CUSTOS!$M$31</f>
        <v>1</v>
      </c>
      <c r="T37" s="50">
        <f>1 - CUSTOS!$M$31</f>
        <v>1</v>
      </c>
      <c r="U37" s="50">
        <f>1 - CUSTOS!$M$31</f>
        <v>1</v>
      </c>
      <c r="V37" s="50"/>
      <c r="W37" s="50"/>
      <c r="X37" s="50"/>
      <c r="Y37" s="50">
        <f>1 - CUSTOS!$M$31</f>
        <v>1</v>
      </c>
      <c r="Z37" s="50"/>
      <c r="AA37" s="50"/>
    </row>
    <row r="38" spans="1:27" ht="11.25" customHeight="1" x14ac:dyDescent="0.25">
      <c r="A38" s="142"/>
      <c r="B38" s="53" t="s">
        <v>89</v>
      </c>
      <c r="C38" s="53" t="s">
        <v>25</v>
      </c>
      <c r="D38" s="53" t="s">
        <v>25</v>
      </c>
      <c r="E38" s="53" t="s">
        <v>25</v>
      </c>
      <c r="F38" s="53" t="s">
        <v>25</v>
      </c>
      <c r="G38" s="52" t="s">
        <v>82</v>
      </c>
      <c r="H38" s="52" t="s">
        <v>76</v>
      </c>
      <c r="I38" s="52">
        <f>'MERCADO TE'!$U$35</f>
        <v>17010.552</v>
      </c>
      <c r="J38" s="18"/>
      <c r="L38" s="50">
        <f>1 - CUSTOS!$M$31</f>
        <v>1</v>
      </c>
      <c r="M38" s="50">
        <f>1 - CUSTOS!$M$31</f>
        <v>1</v>
      </c>
      <c r="N38" s="50">
        <f>1 - CUSTOS!$M$31</f>
        <v>1</v>
      </c>
      <c r="O38" s="50">
        <f>1 - CUSTOS!$M$31</f>
        <v>1</v>
      </c>
      <c r="P38" s="50"/>
      <c r="Q38" s="50">
        <f>(1 - CUSTOS!$M$31)*1</f>
        <v>1</v>
      </c>
      <c r="R38" s="50"/>
      <c r="S38" s="50">
        <f>1 - CUSTOS!$M$31</f>
        <v>1</v>
      </c>
      <c r="T38" s="50">
        <f>1 - CUSTOS!$M$31</f>
        <v>1</v>
      </c>
      <c r="U38" s="50">
        <f>1 - CUSTOS!$M$31</f>
        <v>1</v>
      </c>
      <c r="V38" s="50"/>
      <c r="W38" s="50"/>
      <c r="X38" s="50"/>
      <c r="Y38" s="50">
        <f>1 - CUSTOS!$M$31</f>
        <v>1</v>
      </c>
      <c r="Z38" s="50"/>
      <c r="AA38" s="50"/>
    </row>
    <row r="39" spans="1:27" ht="11.25" customHeight="1" x14ac:dyDescent="0.25">
      <c r="A39" s="142"/>
      <c r="B39" s="53" t="s">
        <v>90</v>
      </c>
      <c r="C39" s="53" t="s">
        <v>25</v>
      </c>
      <c r="D39" s="53" t="s">
        <v>25</v>
      </c>
      <c r="E39" s="53" t="s">
        <v>25</v>
      </c>
      <c r="F39" s="53" t="s">
        <v>25</v>
      </c>
      <c r="G39" s="52" t="s">
        <v>82</v>
      </c>
      <c r="H39" s="52" t="s">
        <v>76</v>
      </c>
      <c r="I39" s="52">
        <f>'MERCADO TE'!$U$36</f>
        <v>0</v>
      </c>
      <c r="J39" s="18"/>
      <c r="L39" s="50">
        <f>1 - CUSTOS!$M$31</f>
        <v>1</v>
      </c>
      <c r="M39" s="50">
        <f>1 - CUSTOS!$M$31</f>
        <v>1</v>
      </c>
      <c r="N39" s="50">
        <f>1 - CUSTOS!$M$31</f>
        <v>1</v>
      </c>
      <c r="O39" s="50">
        <f>1 - CUSTOS!$M$31</f>
        <v>1</v>
      </c>
      <c r="P39" s="50"/>
      <c r="Q39" s="50">
        <f>(1 - CUSTOS!$M$31)*1</f>
        <v>1</v>
      </c>
      <c r="R39" s="50"/>
      <c r="S39" s="50">
        <f>1 - CUSTOS!$M$31</f>
        <v>1</v>
      </c>
      <c r="T39" s="50">
        <f>1 - CUSTOS!$M$31</f>
        <v>1</v>
      </c>
      <c r="U39" s="50">
        <f>1 - CUSTOS!$M$31</f>
        <v>1</v>
      </c>
      <c r="V39" s="50"/>
      <c r="W39" s="50"/>
      <c r="X39" s="50"/>
      <c r="Y39" s="50">
        <f>1 - CUSTOS!$M$31</f>
        <v>1</v>
      </c>
      <c r="Z39" s="50"/>
      <c r="AA39" s="50"/>
    </row>
    <row r="40" spans="1:27" ht="11.25" customHeight="1" x14ac:dyDescent="0.25">
      <c r="A40" s="142" t="s">
        <v>46</v>
      </c>
      <c r="B40" s="142" t="s">
        <v>89</v>
      </c>
      <c r="C40" s="142" t="s">
        <v>47</v>
      </c>
      <c r="D40" s="53" t="s">
        <v>48</v>
      </c>
      <c r="E40" s="53" t="s">
        <v>25</v>
      </c>
      <c r="F40" s="53" t="s">
        <v>25</v>
      </c>
      <c r="G40" s="52" t="s">
        <v>82</v>
      </c>
      <c r="H40" s="52" t="s">
        <v>76</v>
      </c>
      <c r="I40" s="52">
        <f>'MERCADO TE'!$U$37</f>
        <v>3708.9960000000001</v>
      </c>
      <c r="J40" s="18"/>
      <c r="L40" s="50">
        <f>1 - CUSTOS!$M$32</f>
        <v>0.55000000000000004</v>
      </c>
      <c r="M40" s="50">
        <f>1 - CUSTOS!$M$32</f>
        <v>0.55000000000000004</v>
      </c>
      <c r="N40" s="50">
        <f>1 - CUSTOS!$M$32</f>
        <v>0.55000000000000004</v>
      </c>
      <c r="O40" s="50">
        <f>1 - CUSTOS!$M$32</f>
        <v>0.55000000000000004</v>
      </c>
      <c r="P40" s="50"/>
      <c r="Q40" s="50">
        <f>(1 - CUSTOS!$M$32)*1</f>
        <v>0.55000000000000004</v>
      </c>
      <c r="R40" s="50"/>
      <c r="S40" s="50">
        <f>1 - CUSTOS!$M$32</f>
        <v>0.55000000000000004</v>
      </c>
      <c r="T40" s="50">
        <f>1 - CUSTOS!$M$32</f>
        <v>0.55000000000000004</v>
      </c>
      <c r="U40" s="50">
        <f>1 - CUSTOS!$M$32</f>
        <v>0.55000000000000004</v>
      </c>
      <c r="V40" s="50"/>
      <c r="W40" s="50"/>
      <c r="X40" s="50"/>
      <c r="Y40" s="50">
        <f>1 - CUSTOS!$M$32</f>
        <v>0.55000000000000004</v>
      </c>
      <c r="Z40" s="50"/>
      <c r="AA40" s="50"/>
    </row>
    <row r="41" spans="1:27" ht="11.25" customHeight="1" x14ac:dyDescent="0.25">
      <c r="A41" s="142"/>
      <c r="B41" s="142"/>
      <c r="C41" s="142"/>
      <c r="D41" s="52" t="s">
        <v>49</v>
      </c>
      <c r="E41" s="52" t="s">
        <v>25</v>
      </c>
      <c r="F41" s="52" t="s">
        <v>25</v>
      </c>
      <c r="G41" s="52" t="s">
        <v>82</v>
      </c>
      <c r="H41" s="52" t="s">
        <v>76</v>
      </c>
      <c r="I41" s="52">
        <f>'MERCADO TE'!$U$38</f>
        <v>336.95</v>
      </c>
      <c r="J41" s="18"/>
      <c r="L41" s="50">
        <f>1 - CUSTOS!$M$33</f>
        <v>0.6</v>
      </c>
      <c r="M41" s="50">
        <f>1 - CUSTOS!$M$33</f>
        <v>0.6</v>
      </c>
      <c r="N41" s="50">
        <f>1 - CUSTOS!$M$33</f>
        <v>0.6</v>
      </c>
      <c r="O41" s="50">
        <f>1 - CUSTOS!$M$33</f>
        <v>0.6</v>
      </c>
      <c r="P41" s="50"/>
      <c r="Q41" s="50">
        <f>(1 - CUSTOS!$M$33)*1</f>
        <v>0.6</v>
      </c>
      <c r="R41" s="50"/>
      <c r="S41" s="50">
        <f>1 - CUSTOS!$M$33</f>
        <v>0.6</v>
      </c>
      <c r="T41" s="50">
        <f>1 - CUSTOS!$M$33</f>
        <v>0.6</v>
      </c>
      <c r="U41" s="50">
        <f>1 - CUSTOS!$M$33</f>
        <v>0.6</v>
      </c>
      <c r="V41" s="50"/>
      <c r="W41" s="50"/>
      <c r="X41" s="50"/>
      <c r="Y41" s="50">
        <f>1 - CUSTOS!$M$33</f>
        <v>0.6</v>
      </c>
      <c r="Z41" s="50"/>
      <c r="AA41" s="50"/>
    </row>
    <row r="43" spans="1:27" ht="11.25" customHeight="1" x14ac:dyDescent="0.25">
      <c r="K43" s="55" t="s">
        <v>733</v>
      </c>
      <c r="L43" s="50">
        <f t="shared" ref="L43:AA43" si="0">SUMPRODUCT($I$5:$I$41,L$5:L$41)</f>
        <v>127465.18180000001</v>
      </c>
      <c r="M43" s="50">
        <f t="shared" si="0"/>
        <v>127465.18180000001</v>
      </c>
      <c r="N43" s="50">
        <f t="shared" si="0"/>
        <v>127465.18180000001</v>
      </c>
      <c r="O43" s="50">
        <f t="shared" si="0"/>
        <v>127465.18180000001</v>
      </c>
      <c r="P43" s="50">
        <f t="shared" si="0"/>
        <v>0</v>
      </c>
      <c r="Q43" s="50">
        <f t="shared" si="0"/>
        <v>127465.18180000001</v>
      </c>
      <c r="R43" s="50">
        <f t="shared" si="0"/>
        <v>0</v>
      </c>
      <c r="S43" s="50">
        <f t="shared" si="0"/>
        <v>127465.18180000001</v>
      </c>
      <c r="T43" s="50">
        <f t="shared" si="0"/>
        <v>127465.18180000001</v>
      </c>
      <c r="U43" s="50">
        <f t="shared" si="0"/>
        <v>127465.18180000001</v>
      </c>
      <c r="V43" s="50">
        <f t="shared" si="0"/>
        <v>0</v>
      </c>
      <c r="W43" s="50">
        <f t="shared" si="0"/>
        <v>0</v>
      </c>
      <c r="X43" s="50">
        <f t="shared" si="0"/>
        <v>0</v>
      </c>
      <c r="Y43" s="50">
        <f t="shared" si="0"/>
        <v>127465.18180000001</v>
      </c>
      <c r="Z43" s="50">
        <f t="shared" si="0"/>
        <v>0</v>
      </c>
      <c r="AA43" s="50">
        <f t="shared" si="0"/>
        <v>0</v>
      </c>
    </row>
    <row r="44" spans="1:27" ht="11.25" customHeight="1" x14ac:dyDescent="0.25">
      <c r="K44" s="55" t="s">
        <v>658</v>
      </c>
      <c r="L44" s="50">
        <f>CUSTOS!$D$30</f>
        <v>0</v>
      </c>
      <c r="M44" s="50">
        <f>CUSTOS!$D$31</f>
        <v>1679157.6937069311</v>
      </c>
      <c r="N44" s="50">
        <f>CUSTOS!$D$32</f>
        <v>0</v>
      </c>
      <c r="O44" s="50">
        <f>CUSTOS!$D$33</f>
        <v>0</v>
      </c>
      <c r="P44" s="50">
        <f>CUSTOS!$D$34</f>
        <v>1679157.6937069311</v>
      </c>
      <c r="Q44" s="50">
        <f>CUSTOS!$D$35</f>
        <v>21318377.612188999</v>
      </c>
      <c r="R44" s="50">
        <f>CUSTOS!$D$36</f>
        <v>21318377.612188999</v>
      </c>
      <c r="S44" s="50">
        <f>CUSTOS!$D$37</f>
        <v>0</v>
      </c>
      <c r="T44" s="50">
        <f>CUSTOS!$D$38</f>
        <v>0</v>
      </c>
      <c r="U44" s="50">
        <f>CUSTOS!$D$39</f>
        <v>0</v>
      </c>
      <c r="V44" s="50">
        <f>CUSTOS!$D$40</f>
        <v>0</v>
      </c>
      <c r="W44" s="50">
        <f>CUSTOS!$D$41</f>
        <v>0</v>
      </c>
      <c r="X44" s="50">
        <f>CUSTOS!$D$42</f>
        <v>0</v>
      </c>
      <c r="Y44" s="50">
        <f>CUSTOS!$D$43</f>
        <v>163277.98745551557</v>
      </c>
      <c r="Z44" s="50">
        <f>CUSTOS!$D$44</f>
        <v>163277.98745551557</v>
      </c>
      <c r="AA44" s="50">
        <f>CUSTOS!$D$45</f>
        <v>23160813.293351445</v>
      </c>
    </row>
    <row r="45" spans="1:27" ht="11.25" customHeight="1" x14ac:dyDescent="0.25">
      <c r="K45" s="55" t="s">
        <v>659</v>
      </c>
      <c r="L45" s="50">
        <f>CUSTOS!$E$30</f>
        <v>0</v>
      </c>
      <c r="M45" s="50">
        <f>CUSTOS!$E$31</f>
        <v>69881.719465040325</v>
      </c>
      <c r="N45" s="50">
        <f>CUSTOS!$E$32</f>
        <v>0</v>
      </c>
      <c r="O45" s="50">
        <f>CUSTOS!$E$33</f>
        <v>0</v>
      </c>
      <c r="P45" s="50">
        <f>CUSTOS!$E$34</f>
        <v>69881.719465040325</v>
      </c>
      <c r="Q45" s="50">
        <f>CUSTOS!$E$35</f>
        <v>3591569.7583194454</v>
      </c>
      <c r="R45" s="50">
        <f>CUSTOS!$E$36</f>
        <v>3591569.7583194454</v>
      </c>
      <c r="S45" s="50">
        <f>CUSTOS!$E$37</f>
        <v>0</v>
      </c>
      <c r="T45" s="50">
        <f>CUSTOS!$E$38</f>
        <v>0</v>
      </c>
      <c r="U45" s="50">
        <f>CUSTOS!$E$39</f>
        <v>0</v>
      </c>
      <c r="V45" s="50">
        <f>CUSTOS!$E$40</f>
        <v>0</v>
      </c>
      <c r="W45" s="50">
        <f>CUSTOS!$E$41</f>
        <v>0</v>
      </c>
      <c r="X45" s="50">
        <f>CUSTOS!$E$42</f>
        <v>0</v>
      </c>
      <c r="Y45" s="50">
        <f>CUSTOS!$E$43</f>
        <v>27507.922629590605</v>
      </c>
      <c r="Z45" s="50">
        <f>CUSTOS!$E$44</f>
        <v>27507.922629590605</v>
      </c>
      <c r="AA45" s="50">
        <f>CUSTOS!$E$45</f>
        <v>3688959.4004140762</v>
      </c>
    </row>
    <row r="46" spans="1:27" ht="11.25" customHeight="1" x14ac:dyDescent="0.25">
      <c r="K46" s="55" t="s">
        <v>660</v>
      </c>
      <c r="L46" s="50">
        <f>CUSTOS!$F$30</f>
        <v>0</v>
      </c>
      <c r="M46" s="50">
        <f>CUSTOS!$F$31</f>
        <v>0</v>
      </c>
      <c r="N46" s="50">
        <f>CUSTOS!$F$32</f>
        <v>0</v>
      </c>
      <c r="O46" s="50">
        <f>CUSTOS!$F$33</f>
        <v>0</v>
      </c>
      <c r="P46" s="50">
        <f>CUSTOS!$F$34</f>
        <v>0</v>
      </c>
      <c r="Q46" s="50">
        <f>CUSTOS!$F$35</f>
        <v>0</v>
      </c>
      <c r="R46" s="50">
        <f>CUSTOS!$F$36</f>
        <v>0</v>
      </c>
      <c r="S46" s="50">
        <f>CUSTOS!$F$37</f>
        <v>0</v>
      </c>
      <c r="T46" s="50">
        <f>CUSTOS!$F$38</f>
        <v>0</v>
      </c>
      <c r="U46" s="50">
        <f>CUSTOS!$F$39</f>
        <v>0</v>
      </c>
      <c r="V46" s="50">
        <f>CUSTOS!$F$40</f>
        <v>0</v>
      </c>
      <c r="W46" s="50">
        <f>CUSTOS!$F$41</f>
        <v>0</v>
      </c>
      <c r="X46" s="50">
        <f>CUSTOS!$F$42</f>
        <v>0</v>
      </c>
      <c r="Y46" s="50">
        <f>CUSTOS!$F$43</f>
        <v>0</v>
      </c>
      <c r="Z46" s="50">
        <f>CUSTOS!$F$44</f>
        <v>0</v>
      </c>
      <c r="AA46" s="50">
        <f>CUSTOS!$F$45</f>
        <v>0</v>
      </c>
    </row>
    <row r="47" spans="1:27" ht="11.25" customHeight="1" x14ac:dyDescent="0.25">
      <c r="K47" s="55" t="s">
        <v>734</v>
      </c>
      <c r="L47" s="50">
        <f>IF(SUMPRODUCT($I$5:$I$41,$L$5:$L$41)&lt;&gt;0,L44/SUMPRODUCT($I$5:$I$41,$L$5:$L$41),0)</f>
        <v>0</v>
      </c>
      <c r="M47" s="50">
        <f>IF(SUMPRODUCT($I$5:$I$41,$M$5:$M$41)&lt;&gt;0,M44/SUMPRODUCT($I$5:$I$41,$M$5:$M$41),0)</f>
        <v>13.173461724956571</v>
      </c>
      <c r="N47" s="50">
        <f>IF(SUMPRODUCT($I$5:$I$41,$N$5:$N$41)&lt;&gt;0,N44/SUMPRODUCT($I$5:$I$41,$N$5:$N$41),0)</f>
        <v>0</v>
      </c>
      <c r="O47" s="50">
        <f>IF(SUMPRODUCT($I$5:$I$41,$O$5:$O$41)&lt;&gt;0,O44/SUMPRODUCT($I$5:$I$41,$O$5:$O$41),0)</f>
        <v>0</v>
      </c>
      <c r="P47" s="50"/>
      <c r="Q47" s="50">
        <f>IF((CUSTOS!$M$12-CUSTOS!$M$13)&lt;&gt;0,(CUSTOS!$M$12*CUSTOS!$M$14)/(CUSTOS!$M$12-CUSTOS!$M$13),0)</f>
        <v>167.98005254563915</v>
      </c>
      <c r="R47" s="50"/>
      <c r="S47" s="50">
        <f>IF(SUMPRODUCT($I$5:$I$41,$S$5:$S$41)&lt;&gt;0,S44/SUMPRODUCT($I$5:$I$41,$S$5:$S$41),0)</f>
        <v>0</v>
      </c>
      <c r="T47" s="50">
        <f>IF(SUMPRODUCT($I$5:$I$41,$T$5:$T$41)&lt;&gt;0,T44/SUMPRODUCT($I$5:$I$41,$T$5:$T$41),0)</f>
        <v>0</v>
      </c>
      <c r="U47" s="50">
        <f>IF(SUMPRODUCT($I$5:$I$41,$U$5:$U$41)&lt;&gt;0,U44/SUMPRODUCT($I$5:$I$41,$U$5:$U$41),0)</f>
        <v>0</v>
      </c>
      <c r="V47" s="50"/>
      <c r="W47" s="50">
        <f>IF(SUMPRODUCT($I$5:$I$41,$W$5:$W$41)&lt;&gt;0,W44/SUMPRODUCT($I$5:$I$41,$W$5:$W$41),0)</f>
        <v>0</v>
      </c>
      <c r="X47" s="50"/>
      <c r="Y47" s="50">
        <f>IF(SUMPRODUCT($I$5:$I$41,$Y$5:$Y$41)&lt;&gt;0,Y44/SUMPRODUCT($I$5:$I$41,$Y$5:$Y$41),0)</f>
        <v>1.2809614763010957</v>
      </c>
      <c r="Z47" s="50"/>
      <c r="AA47" s="50"/>
    </row>
    <row r="48" spans="1:27" ht="11.25" customHeight="1" x14ac:dyDescent="0.25">
      <c r="K48" s="55" t="s">
        <v>735</v>
      </c>
      <c r="L48" s="50">
        <f>IF(L43&lt;&gt;0,(L44-L47*0)/(L43-0),0)</f>
        <v>0</v>
      </c>
      <c r="M48" s="50">
        <f>IF(M43&lt;&gt;0,(M44-M47*0)/(M43-0),0)</f>
        <v>13.173461724956571</v>
      </c>
      <c r="N48" s="50">
        <f>IF(N43&lt;&gt;0,(N44-N47*0)/(N43-0),0)</f>
        <v>0</v>
      </c>
      <c r="O48" s="50">
        <f>IF(O43&lt;&gt;0,(O44-O47*0)/(O43-0),0)</f>
        <v>0</v>
      </c>
      <c r="P48" s="50"/>
      <c r="Q48" s="50">
        <f>IF(Q43&lt;&gt;0,(Q44-Q47*0)/(Q43-0),0)</f>
        <v>167.24863457723478</v>
      </c>
      <c r="R48" s="50"/>
      <c r="S48" s="50">
        <f>IF(S43&lt;&gt;0,(S44-S47*0)/(S43-0),0)</f>
        <v>0</v>
      </c>
      <c r="T48" s="50">
        <f>IF(T43&lt;&gt;0,(T44-T47*0)/(T43-0),0)</f>
        <v>0</v>
      </c>
      <c r="U48" s="50">
        <f>IF(U43&lt;&gt;0,(U44-U47*0)/(U43-0),0)</f>
        <v>0</v>
      </c>
      <c r="V48" s="50"/>
      <c r="W48" s="50">
        <f>IF(W43&lt;&gt;0,(W44-W47*0)/(W43-0),0)</f>
        <v>0</v>
      </c>
      <c r="X48" s="50"/>
      <c r="Y48" s="50">
        <f>IF(Y43&lt;&gt;0,(Y44-Y47*0)/(Y43-0),0)</f>
        <v>1.2809614763010957</v>
      </c>
      <c r="Z48" s="50"/>
      <c r="AA48" s="50"/>
    </row>
    <row r="49" spans="11:27" ht="11.25" customHeight="1" x14ac:dyDescent="0.25">
      <c r="K49" s="55" t="s">
        <v>736</v>
      </c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</row>
  </sheetData>
  <mergeCells count="61">
    <mergeCell ref="F5:F6"/>
    <mergeCell ref="A5:A6"/>
    <mergeCell ref="B5:B6"/>
    <mergeCell ref="C5:C6"/>
    <mergeCell ref="D5:D6"/>
    <mergeCell ref="E5:E6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E28:E30"/>
    <mergeCell ref="F28:F30"/>
    <mergeCell ref="A20:A34"/>
    <mergeCell ref="B20:B22"/>
    <mergeCell ref="C20:C22"/>
    <mergeCell ref="D20:D22"/>
    <mergeCell ref="E20:E22"/>
    <mergeCell ref="F20:F22"/>
    <mergeCell ref="B24:B26"/>
    <mergeCell ref="C24:C26"/>
    <mergeCell ref="D24:D26"/>
    <mergeCell ref="E24:E26"/>
    <mergeCell ref="F1:F4"/>
    <mergeCell ref="E35:E37"/>
    <mergeCell ref="F35:F37"/>
    <mergeCell ref="A40:A41"/>
    <mergeCell ref="B40:B41"/>
    <mergeCell ref="C40:C41"/>
    <mergeCell ref="B32:B34"/>
    <mergeCell ref="C32:C34"/>
    <mergeCell ref="A35:A39"/>
    <mergeCell ref="B35:B37"/>
    <mergeCell ref="C35:C37"/>
    <mergeCell ref="D35:D37"/>
    <mergeCell ref="F24:F26"/>
    <mergeCell ref="B28:B30"/>
    <mergeCell ref="C28:C30"/>
    <mergeCell ref="D28:D30"/>
    <mergeCell ref="A1:A4"/>
    <mergeCell ref="B1:B4"/>
    <mergeCell ref="C1:C4"/>
    <mergeCell ref="D1:D4"/>
    <mergeCell ref="E1:E4"/>
    <mergeCell ref="Y3:Z3"/>
    <mergeCell ref="AA3:AA4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062EB-7918-46D0-BF6D-3588C92BDC80}">
  <dimension ref="A1:AA49"/>
  <sheetViews>
    <sheetView showGridLines="0" topLeftCell="L1" workbookViewId="0">
      <selection activeCell="AA43" sqref="AA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0.855468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41" t="s">
        <v>66</v>
      </c>
      <c r="B1" s="141" t="s">
        <v>67</v>
      </c>
      <c r="C1" s="141" t="s">
        <v>68</v>
      </c>
      <c r="D1" s="141" t="s">
        <v>69</v>
      </c>
      <c r="E1" s="141" t="s">
        <v>70</v>
      </c>
      <c r="F1" s="141" t="s">
        <v>15</v>
      </c>
      <c r="G1" s="141" t="s">
        <v>72</v>
      </c>
      <c r="H1" s="141" t="s">
        <v>73</v>
      </c>
      <c r="I1" s="141" t="s">
        <v>717</v>
      </c>
      <c r="J1" s="126"/>
      <c r="L1" s="139" t="s">
        <v>737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</row>
    <row r="2" spans="1:27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6"/>
      <c r="L2" s="139" t="s">
        <v>645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</row>
    <row r="3" spans="1:27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6"/>
      <c r="L3" s="139" t="s">
        <v>618</v>
      </c>
      <c r="M3" s="139"/>
      <c r="N3" s="139"/>
      <c r="O3" s="139"/>
      <c r="P3" s="139"/>
      <c r="Q3" s="139" t="s">
        <v>648</v>
      </c>
      <c r="R3" s="139"/>
      <c r="S3" s="139" t="s">
        <v>627</v>
      </c>
      <c r="T3" s="139"/>
      <c r="U3" s="139"/>
      <c r="V3" s="139"/>
      <c r="W3" s="139" t="s">
        <v>637</v>
      </c>
      <c r="X3" s="139"/>
      <c r="Y3" s="139" t="s">
        <v>640</v>
      </c>
      <c r="Z3" s="139"/>
      <c r="AA3" s="139" t="s">
        <v>626</v>
      </c>
    </row>
    <row r="4" spans="1:27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6"/>
      <c r="L4" s="54" t="s">
        <v>620</v>
      </c>
      <c r="M4" s="54" t="s">
        <v>646</v>
      </c>
      <c r="N4" s="54" t="s">
        <v>647</v>
      </c>
      <c r="O4" s="54" t="s">
        <v>705</v>
      </c>
      <c r="P4" s="54" t="s">
        <v>626</v>
      </c>
      <c r="Q4" s="54" t="s">
        <v>649</v>
      </c>
      <c r="R4" s="54" t="s">
        <v>626</v>
      </c>
      <c r="S4" s="54" t="s">
        <v>650</v>
      </c>
      <c r="T4" s="54" t="s">
        <v>651</v>
      </c>
      <c r="U4" s="54" t="s">
        <v>652</v>
      </c>
      <c r="V4" s="54" t="s">
        <v>626</v>
      </c>
      <c r="W4" s="54" t="s">
        <v>638</v>
      </c>
      <c r="X4" s="54" t="s">
        <v>626</v>
      </c>
      <c r="Y4" s="54" t="s">
        <v>653</v>
      </c>
      <c r="Z4" s="54" t="s">
        <v>626</v>
      </c>
      <c r="AA4" s="140"/>
    </row>
    <row r="5" spans="1:27" ht="11.25" customHeight="1" x14ac:dyDescent="0.25">
      <c r="A5" s="142" t="s">
        <v>33</v>
      </c>
      <c r="B5" s="142" t="s">
        <v>75</v>
      </c>
      <c r="C5" s="142" t="s">
        <v>25</v>
      </c>
      <c r="D5" s="142" t="s">
        <v>25</v>
      </c>
      <c r="E5" s="142" t="s">
        <v>25</v>
      </c>
      <c r="F5" s="142" t="s">
        <v>25</v>
      </c>
      <c r="G5" s="52" t="s">
        <v>77</v>
      </c>
      <c r="H5" s="52" t="s">
        <v>76</v>
      </c>
      <c r="I5" s="52">
        <f>'MERCADO TE'!$U$2</f>
        <v>2264.5189999999998</v>
      </c>
      <c r="J5" s="18"/>
      <c r="L5" s="50">
        <f>'TR TE'!$L$5*'TR TE'!$L$48</f>
        <v>0</v>
      </c>
      <c r="M5" s="50">
        <f>'TR TE'!$M$5*'TR TE'!$M$48</f>
        <v>13.173461724956571</v>
      </c>
      <c r="N5" s="50">
        <f>'TR TE'!$N$5*'TR TE'!$N$48</f>
        <v>0</v>
      </c>
      <c r="O5" s="50">
        <f>'TR TE'!$O$5*'TR TE'!$O$48</f>
        <v>0</v>
      </c>
      <c r="P5" s="50">
        <f>SUM($L$5:$O$5)</f>
        <v>13.173461724956571</v>
      </c>
      <c r="Q5" s="50">
        <f>'TR TE'!$Q$5*'TR TE'!$Q$48</f>
        <v>167.24863457723478</v>
      </c>
      <c r="R5" s="50">
        <f>SUM($Q$5:$Q$5)</f>
        <v>167.24863457723478</v>
      </c>
      <c r="S5" s="50">
        <f>'TR TE'!$S$5*'TR TE'!$S$48</f>
        <v>0</v>
      </c>
      <c r="T5" s="50">
        <f>'TR TE'!$T$5*'TR TE'!$T$48</f>
        <v>0</v>
      </c>
      <c r="U5" s="50">
        <f>'TR TE'!$U$5*'TR TE'!$U$48</f>
        <v>0</v>
      </c>
      <c r="V5" s="50">
        <f>SUM($S$5:$U$5)</f>
        <v>0</v>
      </c>
      <c r="W5" s="50"/>
      <c r="X5" s="50">
        <f>SUM($W$5:$W$5)</f>
        <v>0</v>
      </c>
      <c r="Y5" s="50">
        <f>'TR TE'!$Y$5*'TR TE'!$Y$48</f>
        <v>1.2809614763010957</v>
      </c>
      <c r="Z5" s="50">
        <f>SUM($Y$5:$Y$5)</f>
        <v>1.2809614763010957</v>
      </c>
      <c r="AA5" s="50">
        <f>SUMIF($L$4:$Z$4,"SUBTOTAL",$L$5:$Z$5)</f>
        <v>181.70305777849245</v>
      </c>
    </row>
    <row r="6" spans="1:27" ht="11.25" customHeight="1" x14ac:dyDescent="0.25">
      <c r="A6" s="142"/>
      <c r="B6" s="142"/>
      <c r="C6" s="142"/>
      <c r="D6" s="142"/>
      <c r="E6" s="142"/>
      <c r="F6" s="142"/>
      <c r="G6" s="52" t="s">
        <v>78</v>
      </c>
      <c r="H6" s="52" t="s">
        <v>76</v>
      </c>
      <c r="I6" s="52">
        <f>'MERCADO TE'!$U$3</f>
        <v>42745.164999999994</v>
      </c>
      <c r="J6" s="18"/>
      <c r="L6" s="50">
        <f>'TR TE'!$L$6*'TR TE'!$L$48</f>
        <v>0</v>
      </c>
      <c r="M6" s="50">
        <f>'TR TE'!$M$6*'TR TE'!$M$48</f>
        <v>13.173461724956571</v>
      </c>
      <c r="N6" s="50">
        <f>'TR TE'!$N$6*'TR TE'!$N$48</f>
        <v>0</v>
      </c>
      <c r="O6" s="50">
        <f>'TR TE'!$O$6*'TR TE'!$O$48</f>
        <v>0</v>
      </c>
      <c r="P6" s="50">
        <f>SUM($L$6:$O$6)</f>
        <v>13.173461724956571</v>
      </c>
      <c r="Q6" s="50">
        <f>'TR TE'!$Q$6*'TR TE'!$Q$48</f>
        <v>167.24863457723478</v>
      </c>
      <c r="R6" s="50">
        <f>SUM($Q$6:$Q$6)</f>
        <v>167.24863457723478</v>
      </c>
      <c r="S6" s="50">
        <f>'TR TE'!$S$6*'TR TE'!$S$48</f>
        <v>0</v>
      </c>
      <c r="T6" s="50">
        <f>'TR TE'!$T$6*'TR TE'!$T$48</f>
        <v>0</v>
      </c>
      <c r="U6" s="50">
        <f>'TR TE'!$U$6*'TR TE'!$U$48</f>
        <v>0</v>
      </c>
      <c r="V6" s="50">
        <f>SUM($S$6:$U$6)</f>
        <v>0</v>
      </c>
      <c r="W6" s="50"/>
      <c r="X6" s="50">
        <f>SUM($W$6:$W$6)</f>
        <v>0</v>
      </c>
      <c r="Y6" s="50">
        <f>'TR TE'!$Y$6*'TR TE'!$Y$48</f>
        <v>1.2809614763010957</v>
      </c>
      <c r="Z6" s="50">
        <f>SUM($Y$6:$Y$6)</f>
        <v>1.2809614763010957</v>
      </c>
      <c r="AA6" s="50">
        <f>SUMIF($L$4:$Z$4,"SUBTOTAL",$L$6:$Z$6)</f>
        <v>181.70305777849245</v>
      </c>
    </row>
    <row r="7" spans="1:27" ht="11.25" customHeight="1" x14ac:dyDescent="0.25">
      <c r="A7" s="142" t="s">
        <v>22</v>
      </c>
      <c r="B7" s="142" t="s">
        <v>75</v>
      </c>
      <c r="C7" s="142" t="s">
        <v>24</v>
      </c>
      <c r="D7" s="142" t="s">
        <v>24</v>
      </c>
      <c r="E7" s="142" t="s">
        <v>25</v>
      </c>
      <c r="F7" s="142" t="s">
        <v>25</v>
      </c>
      <c r="G7" s="52" t="s">
        <v>77</v>
      </c>
      <c r="H7" s="52" t="s">
        <v>76</v>
      </c>
      <c r="I7" s="52">
        <f>'MERCADO TE'!$U$4</f>
        <v>4.6139999999999999</v>
      </c>
      <c r="J7" s="18"/>
      <c r="L7" s="50">
        <f>'TR TE'!$L$7*'TR TE'!$L$48</f>
        <v>0</v>
      </c>
      <c r="M7" s="50">
        <f>'TR TE'!$M$7*'TR TE'!$M$48</f>
        <v>13.173461724956571</v>
      </c>
      <c r="N7" s="50">
        <f>'TR TE'!$N$7*'TR TE'!$N$48</f>
        <v>0</v>
      </c>
      <c r="O7" s="50">
        <f>'TR TE'!$O$7*'TR TE'!$O$48</f>
        <v>0</v>
      </c>
      <c r="P7" s="50">
        <f>SUM($L$7:$O$7)</f>
        <v>13.173461724956571</v>
      </c>
      <c r="Q7" s="50">
        <f>'TR TE'!$Q$7*'TR TE'!$Q$48</f>
        <v>167.24863457723478</v>
      </c>
      <c r="R7" s="50">
        <f>SUM($Q$7:$Q$7)</f>
        <v>167.24863457723478</v>
      </c>
      <c r="S7" s="50">
        <f>'TR TE'!$S$7*'TR TE'!$S$48</f>
        <v>0</v>
      </c>
      <c r="T7" s="50">
        <f>'TR TE'!$T$7*'TR TE'!$T$48</f>
        <v>0</v>
      </c>
      <c r="U7" s="50">
        <f>'TR TE'!$U$7*'TR TE'!$U$48</f>
        <v>0</v>
      </c>
      <c r="V7" s="50">
        <f>SUM($S$7:$U$7)</f>
        <v>0</v>
      </c>
      <c r="W7" s="50"/>
      <c r="X7" s="50">
        <f>SUM($W$7:$W$7)</f>
        <v>0</v>
      </c>
      <c r="Y7" s="50">
        <f>'TR TE'!$Y$7*'TR TE'!$Y$48</f>
        <v>1.2809614763010957</v>
      </c>
      <c r="Z7" s="50">
        <f>SUM($Y$7:$Y$7)</f>
        <v>1.2809614763010957</v>
      </c>
      <c r="AA7" s="50">
        <f>SUMIF($L$4:$Z$4,"SUBTOTAL",$L$7:$Z$7)</f>
        <v>181.70305777849245</v>
      </c>
    </row>
    <row r="8" spans="1:27" ht="11.25" customHeight="1" x14ac:dyDescent="0.25">
      <c r="A8" s="142"/>
      <c r="B8" s="142"/>
      <c r="C8" s="142"/>
      <c r="D8" s="142"/>
      <c r="E8" s="142"/>
      <c r="F8" s="142"/>
      <c r="G8" s="52" t="s">
        <v>88</v>
      </c>
      <c r="H8" s="52" t="s">
        <v>76</v>
      </c>
      <c r="I8" s="52">
        <f>'MERCADO TE'!$U$5</f>
        <v>7.0189999999999992</v>
      </c>
      <c r="J8" s="18"/>
      <c r="L8" s="50">
        <f>'TR TE'!$L$8*'TR TE'!$L$48</f>
        <v>0</v>
      </c>
      <c r="M8" s="50">
        <f>'TR TE'!$M$8*'TR TE'!$M$48</f>
        <v>13.173461724956571</v>
      </c>
      <c r="N8" s="50">
        <f>'TR TE'!$N$8*'TR TE'!$N$48</f>
        <v>0</v>
      </c>
      <c r="O8" s="50">
        <f>'TR TE'!$O$8*'TR TE'!$O$48</f>
        <v>0</v>
      </c>
      <c r="P8" s="50">
        <f>SUM($L$8:$O$8)</f>
        <v>13.173461724956571</v>
      </c>
      <c r="Q8" s="50">
        <f>'TR TE'!$Q$8*'TR TE'!$Q$48</f>
        <v>167.24863457723478</v>
      </c>
      <c r="R8" s="50">
        <f>SUM($Q$8:$Q$8)</f>
        <v>167.24863457723478</v>
      </c>
      <c r="S8" s="50">
        <f>'TR TE'!$S$8*'TR TE'!$S$48</f>
        <v>0</v>
      </c>
      <c r="T8" s="50">
        <f>'TR TE'!$T$8*'TR TE'!$T$48</f>
        <v>0</v>
      </c>
      <c r="U8" s="50">
        <f>'TR TE'!$U$8*'TR TE'!$U$48</f>
        <v>0</v>
      </c>
      <c r="V8" s="50">
        <f>SUM($S$8:$U$8)</f>
        <v>0</v>
      </c>
      <c r="W8" s="50"/>
      <c r="X8" s="50">
        <f>SUM($W$8:$W$8)</f>
        <v>0</v>
      </c>
      <c r="Y8" s="50">
        <f>'TR TE'!$Y$8*'TR TE'!$Y$48</f>
        <v>1.2809614763010957</v>
      </c>
      <c r="Z8" s="50">
        <f>SUM($Y$8:$Y$8)</f>
        <v>1.2809614763010957</v>
      </c>
      <c r="AA8" s="50">
        <f>SUMIF($L$4:$Z$4,"SUBTOTAL",$L$8:$Z$8)</f>
        <v>181.70305777849245</v>
      </c>
    </row>
    <row r="9" spans="1:27" ht="11.25" customHeight="1" x14ac:dyDescent="0.25">
      <c r="A9" s="142"/>
      <c r="B9" s="142"/>
      <c r="C9" s="142"/>
      <c r="D9" s="142"/>
      <c r="E9" s="142"/>
      <c r="F9" s="142"/>
      <c r="G9" s="52" t="s">
        <v>78</v>
      </c>
      <c r="H9" s="52" t="s">
        <v>76</v>
      </c>
      <c r="I9" s="52">
        <f>'MERCADO TE'!$U$6</f>
        <v>29.872</v>
      </c>
      <c r="J9" s="18"/>
      <c r="L9" s="50">
        <f>'TR TE'!$L$9*'TR TE'!$L$48</f>
        <v>0</v>
      </c>
      <c r="M9" s="50">
        <f>'TR TE'!$M$9*'TR TE'!$M$48</f>
        <v>13.173461724956571</v>
      </c>
      <c r="N9" s="50">
        <f>'TR TE'!$N$9*'TR TE'!$N$48</f>
        <v>0</v>
      </c>
      <c r="O9" s="50">
        <f>'TR TE'!$O$9*'TR TE'!$O$48</f>
        <v>0</v>
      </c>
      <c r="P9" s="50">
        <f>SUM($L$9:$O$9)</f>
        <v>13.173461724956571</v>
      </c>
      <c r="Q9" s="50">
        <f>'TR TE'!$Q$9*'TR TE'!$Q$48</f>
        <v>167.24863457723478</v>
      </c>
      <c r="R9" s="50">
        <f>SUM($Q$9:$Q$9)</f>
        <v>167.24863457723478</v>
      </c>
      <c r="S9" s="50">
        <f>'TR TE'!$S$9*'TR TE'!$S$48</f>
        <v>0</v>
      </c>
      <c r="T9" s="50">
        <f>'TR TE'!$T$9*'TR TE'!$T$48</f>
        <v>0</v>
      </c>
      <c r="U9" s="50">
        <f>'TR TE'!$U$9*'TR TE'!$U$48</f>
        <v>0</v>
      </c>
      <c r="V9" s="50">
        <f>SUM($S$9:$U$9)</f>
        <v>0</v>
      </c>
      <c r="W9" s="50"/>
      <c r="X9" s="50">
        <f>SUM($W$9:$W$9)</f>
        <v>0</v>
      </c>
      <c r="Y9" s="50">
        <f>'TR TE'!$Y$9*'TR TE'!$Y$48</f>
        <v>1.2809614763010957</v>
      </c>
      <c r="Z9" s="50">
        <f>SUM($Y$9:$Y$9)</f>
        <v>1.2809614763010957</v>
      </c>
      <c r="AA9" s="50">
        <f>SUMIF($L$4:$Z$4,"SUBTOTAL",$L$9:$Z$9)</f>
        <v>181.70305777849245</v>
      </c>
    </row>
    <row r="10" spans="1:27" ht="11.25" customHeight="1" x14ac:dyDescent="0.25">
      <c r="A10" s="142"/>
      <c r="B10" s="142" t="s">
        <v>89</v>
      </c>
      <c r="C10" s="142" t="s">
        <v>24</v>
      </c>
      <c r="D10" s="53" t="s">
        <v>24</v>
      </c>
      <c r="E10" s="53" t="s">
        <v>25</v>
      </c>
      <c r="F10" s="53" t="s">
        <v>25</v>
      </c>
      <c r="G10" s="52" t="s">
        <v>82</v>
      </c>
      <c r="H10" s="52" t="s">
        <v>76</v>
      </c>
      <c r="I10" s="52">
        <f>'MERCADO TE'!$U$7</f>
        <v>25648.588</v>
      </c>
      <c r="J10" s="18"/>
      <c r="L10" s="50">
        <f>'TR TE'!$L$10*'TR TE'!$L$48</f>
        <v>0</v>
      </c>
      <c r="M10" s="50">
        <f>'TR TE'!$M$10*'TR TE'!$M$48</f>
        <v>13.173461724956571</v>
      </c>
      <c r="N10" s="50">
        <f>'TR TE'!$N$10*'TR TE'!$N$48</f>
        <v>0</v>
      </c>
      <c r="O10" s="50">
        <f>'TR TE'!$O$10*'TR TE'!$O$48</f>
        <v>0</v>
      </c>
      <c r="P10" s="50">
        <f>SUM($L$10:$O$10)</f>
        <v>13.173461724956571</v>
      </c>
      <c r="Q10" s="50">
        <f>'TR TE'!$Q$10*'TR TE'!$Q$48</f>
        <v>167.24863457723478</v>
      </c>
      <c r="R10" s="50">
        <f>SUM($Q$10:$Q$10)</f>
        <v>167.24863457723478</v>
      </c>
      <c r="S10" s="50">
        <f>'TR TE'!$S$10*'TR TE'!$S$48</f>
        <v>0</v>
      </c>
      <c r="T10" s="50">
        <f>'TR TE'!$T$10*'TR TE'!$T$48</f>
        <v>0</v>
      </c>
      <c r="U10" s="50">
        <f>'TR TE'!$U$10*'TR TE'!$U$48</f>
        <v>0</v>
      </c>
      <c r="V10" s="50">
        <f>SUM($S$10:$U$10)</f>
        <v>0</v>
      </c>
      <c r="W10" s="50"/>
      <c r="X10" s="50">
        <f>SUM($W$10:$W$10)</f>
        <v>0</v>
      </c>
      <c r="Y10" s="50">
        <f>'TR TE'!$Y$10*'TR TE'!$Y$48</f>
        <v>1.2809614763010957</v>
      </c>
      <c r="Z10" s="50">
        <f>SUM($Y$10:$Y$10)</f>
        <v>1.2809614763010957</v>
      </c>
      <c r="AA10" s="50">
        <f>SUMIF($L$4:$Z$4,"SUBTOTAL",$L$10:$Z$10)</f>
        <v>181.70305777849245</v>
      </c>
    </row>
    <row r="11" spans="1:27" ht="11.25" customHeight="1" x14ac:dyDescent="0.25">
      <c r="A11" s="142"/>
      <c r="B11" s="142"/>
      <c r="C11" s="142"/>
      <c r="D11" s="53" t="s">
        <v>29</v>
      </c>
      <c r="E11" s="53" t="s">
        <v>25</v>
      </c>
      <c r="F11" s="53" t="s">
        <v>25</v>
      </c>
      <c r="G11" s="52" t="s">
        <v>82</v>
      </c>
      <c r="H11" s="52" t="s">
        <v>76</v>
      </c>
      <c r="I11" s="52">
        <f>'MERCADO TE'!$U$8</f>
        <v>203.58</v>
      </c>
      <c r="J11" s="18"/>
      <c r="L11" s="50">
        <f>'TR TE'!$L$11*'TR TE'!$L$48</f>
        <v>0</v>
      </c>
      <c r="M11" s="50">
        <f>'TR TE'!$M$11*'TR TE'!$M$48</f>
        <v>13.173461724956571</v>
      </c>
      <c r="N11" s="50">
        <f>'TR TE'!$N$11*'TR TE'!$N$48</f>
        <v>0</v>
      </c>
      <c r="O11" s="50">
        <f>'TR TE'!$O$11*'TR TE'!$O$48</f>
        <v>0</v>
      </c>
      <c r="P11" s="50">
        <f>SUM($L$11:$O$11)</f>
        <v>13.173461724956571</v>
      </c>
      <c r="Q11" s="50">
        <f>'TR TE'!$Q$11*'TR TE'!$Q$48</f>
        <v>167.24863457723478</v>
      </c>
      <c r="R11" s="50">
        <f>SUM($Q$11:$Q$11)</f>
        <v>167.24863457723478</v>
      </c>
      <c r="S11" s="50">
        <f>'TR TE'!$S$11*'TR TE'!$S$48</f>
        <v>0</v>
      </c>
      <c r="T11" s="50">
        <f>'TR TE'!$T$11*'TR TE'!$T$48</f>
        <v>0</v>
      </c>
      <c r="U11" s="50">
        <f>'TR TE'!$U$11*'TR TE'!$U$48</f>
        <v>0</v>
      </c>
      <c r="V11" s="50">
        <f>SUM($S$11:$U$11)</f>
        <v>0</v>
      </c>
      <c r="W11" s="50"/>
      <c r="X11" s="50">
        <f>SUM($W$11:$W$11)</f>
        <v>0</v>
      </c>
      <c r="Y11" s="50">
        <f>'TR TE'!$Y$11*'TR TE'!$Y$48</f>
        <v>1.2809614763010957</v>
      </c>
      <c r="Z11" s="50">
        <f>SUM($Y$11:$Y$11)</f>
        <v>1.2809614763010957</v>
      </c>
      <c r="AA11" s="50">
        <f>SUMIF($L$4:$Z$4,"SUBTOTAL",$L$11:$Z$11)</f>
        <v>181.70305777849245</v>
      </c>
    </row>
    <row r="12" spans="1:27" ht="11.25" customHeight="1" x14ac:dyDescent="0.25">
      <c r="A12" s="142"/>
      <c r="B12" s="142"/>
      <c r="C12" s="142"/>
      <c r="D12" s="53" t="s">
        <v>30</v>
      </c>
      <c r="E12" s="53" t="s">
        <v>25</v>
      </c>
      <c r="F12" s="53" t="s">
        <v>25</v>
      </c>
      <c r="G12" s="52" t="s">
        <v>82</v>
      </c>
      <c r="H12" s="52" t="s">
        <v>76</v>
      </c>
      <c r="I12" s="52">
        <f>'MERCADO TE'!$U$9</f>
        <v>441.75700000000001</v>
      </c>
      <c r="J12" s="18"/>
      <c r="L12" s="50">
        <f>'TR TE'!$L$12*'TR TE'!$L$48</f>
        <v>0</v>
      </c>
      <c r="M12" s="50">
        <f>'TR TE'!$M$12*'TR TE'!$M$48</f>
        <v>13.173461724956571</v>
      </c>
      <c r="N12" s="50">
        <f>'TR TE'!$N$12*'TR TE'!$N$48</f>
        <v>0</v>
      </c>
      <c r="O12" s="50">
        <f>'TR TE'!$O$12*'TR TE'!$O$48</f>
        <v>0</v>
      </c>
      <c r="P12" s="50">
        <f>SUM($L$12:$O$12)</f>
        <v>13.173461724956571</v>
      </c>
      <c r="Q12" s="50">
        <f>'TR TE'!$Q$12*'TR TE'!$Q$48</f>
        <v>167.24863457723478</v>
      </c>
      <c r="R12" s="50">
        <f>SUM($Q$12:$Q$12)</f>
        <v>167.24863457723478</v>
      </c>
      <c r="S12" s="50">
        <f>'TR TE'!$S$12*'TR TE'!$S$48</f>
        <v>0</v>
      </c>
      <c r="T12" s="50">
        <f>'TR TE'!$T$12*'TR TE'!$T$48</f>
        <v>0</v>
      </c>
      <c r="U12" s="50">
        <f>'TR TE'!$U$12*'TR TE'!$U$48</f>
        <v>0</v>
      </c>
      <c r="V12" s="50">
        <f>SUM($S$12:$U$12)</f>
        <v>0</v>
      </c>
      <c r="W12" s="50"/>
      <c r="X12" s="50">
        <f>SUM($W$12:$W$12)</f>
        <v>0</v>
      </c>
      <c r="Y12" s="50">
        <f>'TR TE'!$Y$12*'TR TE'!$Y$48</f>
        <v>1.2809614763010957</v>
      </c>
      <c r="Z12" s="50">
        <f>SUM($Y$12:$Y$12)</f>
        <v>1.2809614763010957</v>
      </c>
      <c r="AA12" s="50">
        <f>SUMIF($L$4:$Z$4,"SUBTOTAL",$L$12:$Z$12)</f>
        <v>181.70305777849245</v>
      </c>
    </row>
    <row r="13" spans="1:27" ht="11.25" customHeight="1" x14ac:dyDescent="0.25">
      <c r="A13" s="142"/>
      <c r="B13" s="142"/>
      <c r="C13" s="142"/>
      <c r="D13" s="53" t="s">
        <v>31</v>
      </c>
      <c r="E13" s="53" t="s">
        <v>25</v>
      </c>
      <c r="F13" s="53" t="s">
        <v>25</v>
      </c>
      <c r="G13" s="52" t="s">
        <v>82</v>
      </c>
      <c r="H13" s="52" t="s">
        <v>76</v>
      </c>
      <c r="I13" s="52">
        <f>'MERCADO TE'!$U$10</f>
        <v>380.55199999999996</v>
      </c>
      <c r="J13" s="18"/>
      <c r="L13" s="50">
        <f>'TR TE'!$L$13*'TR TE'!$L$48</f>
        <v>0</v>
      </c>
      <c r="M13" s="50">
        <f>'TR TE'!$M$13*'TR TE'!$M$48</f>
        <v>13.173461724956571</v>
      </c>
      <c r="N13" s="50">
        <f>'TR TE'!$N$13*'TR TE'!$N$48</f>
        <v>0</v>
      </c>
      <c r="O13" s="50">
        <f>'TR TE'!$O$13*'TR TE'!$O$48</f>
        <v>0</v>
      </c>
      <c r="P13" s="50">
        <f>SUM($L$13:$O$13)</f>
        <v>13.173461724956571</v>
      </c>
      <c r="Q13" s="50">
        <f>'TR TE'!$Q$13*'TR TE'!$Q$48</f>
        <v>167.24863457723478</v>
      </c>
      <c r="R13" s="50">
        <f>SUM($Q$13:$Q$13)</f>
        <v>167.24863457723478</v>
      </c>
      <c r="S13" s="50">
        <f>'TR TE'!$S$13*'TR TE'!$S$48</f>
        <v>0</v>
      </c>
      <c r="T13" s="50">
        <f>'TR TE'!$T$13*'TR TE'!$T$48</f>
        <v>0</v>
      </c>
      <c r="U13" s="50">
        <f>'TR TE'!$U$13*'TR TE'!$U$48</f>
        <v>0</v>
      </c>
      <c r="V13" s="50">
        <f>SUM($S$13:$U$13)</f>
        <v>0</v>
      </c>
      <c r="W13" s="50"/>
      <c r="X13" s="50">
        <f>SUM($W$13:$W$13)</f>
        <v>0</v>
      </c>
      <c r="Y13" s="50">
        <f>'TR TE'!$Y$13*'TR TE'!$Y$48</f>
        <v>1.2809614763010957</v>
      </c>
      <c r="Z13" s="50">
        <f>SUM($Y$13:$Y$13)</f>
        <v>1.2809614763010957</v>
      </c>
      <c r="AA13" s="50">
        <f>SUMIF($L$4:$Z$4,"SUBTOTAL",$L$13:$Z$13)</f>
        <v>181.70305777849245</v>
      </c>
    </row>
    <row r="14" spans="1:27" ht="11.25" customHeight="1" x14ac:dyDescent="0.25">
      <c r="A14" s="142"/>
      <c r="B14" s="142"/>
      <c r="C14" s="142"/>
      <c r="D14" s="53" t="s">
        <v>32</v>
      </c>
      <c r="E14" s="53" t="s">
        <v>25</v>
      </c>
      <c r="F14" s="53" t="s">
        <v>25</v>
      </c>
      <c r="G14" s="52" t="s">
        <v>82</v>
      </c>
      <c r="H14" s="52" t="s">
        <v>76</v>
      </c>
      <c r="I14" s="52">
        <f>'MERCADO TE'!$U$11</f>
        <v>85.721000000000004</v>
      </c>
      <c r="J14" s="18"/>
      <c r="L14" s="50">
        <f>'TR TE'!$L$14*'TR TE'!$L$48</f>
        <v>0</v>
      </c>
      <c r="M14" s="50">
        <f>'TR TE'!$M$14*'TR TE'!$M$48</f>
        <v>13.173461724956571</v>
      </c>
      <c r="N14" s="50">
        <f>'TR TE'!$N$14*'TR TE'!$N$48</f>
        <v>0</v>
      </c>
      <c r="O14" s="50">
        <f>'TR TE'!$O$14*'TR TE'!$O$48</f>
        <v>0</v>
      </c>
      <c r="P14" s="50">
        <f>SUM($L$14:$O$14)</f>
        <v>13.173461724956571</v>
      </c>
      <c r="Q14" s="50">
        <f>'TR TE'!$Q$14*'TR TE'!$Q$48</f>
        <v>167.24863457723478</v>
      </c>
      <c r="R14" s="50">
        <f>SUM($Q$14:$Q$14)</f>
        <v>167.24863457723478</v>
      </c>
      <c r="S14" s="50">
        <f>'TR TE'!$S$14*'TR TE'!$S$48</f>
        <v>0</v>
      </c>
      <c r="T14" s="50">
        <f>'TR TE'!$T$14*'TR TE'!$T$48</f>
        <v>0</v>
      </c>
      <c r="U14" s="50">
        <f>'TR TE'!$U$14*'TR TE'!$U$48</f>
        <v>0</v>
      </c>
      <c r="V14" s="50">
        <f>SUM($S$14:$U$14)</f>
        <v>0</v>
      </c>
      <c r="W14" s="50"/>
      <c r="X14" s="50">
        <f>SUM($W$14:$W$14)</f>
        <v>0</v>
      </c>
      <c r="Y14" s="50">
        <f>'TR TE'!$Y$14*'TR TE'!$Y$48</f>
        <v>1.2809614763010957</v>
      </c>
      <c r="Z14" s="50">
        <f>SUM($Y$14:$Y$14)</f>
        <v>1.2809614763010957</v>
      </c>
      <c r="AA14" s="50">
        <f>SUMIF($L$4:$Z$4,"SUBTOTAL",$L$14:$Z$14)</f>
        <v>181.70305777849245</v>
      </c>
    </row>
    <row r="15" spans="1:27" ht="11.25" customHeight="1" x14ac:dyDescent="0.25">
      <c r="A15" s="142"/>
      <c r="B15" s="142" t="s">
        <v>90</v>
      </c>
      <c r="C15" s="142" t="s">
        <v>24</v>
      </c>
      <c r="D15" s="53" t="s">
        <v>24</v>
      </c>
      <c r="E15" s="53" t="s">
        <v>25</v>
      </c>
      <c r="F15" s="53" t="s">
        <v>25</v>
      </c>
      <c r="G15" s="52" t="s">
        <v>82</v>
      </c>
      <c r="H15" s="52" t="s">
        <v>76</v>
      </c>
      <c r="I15" s="52">
        <f>'MERCADO TE'!$U$12</f>
        <v>0</v>
      </c>
      <c r="J15" s="18"/>
      <c r="L15" s="50">
        <f>'TR TE'!$L$15*'TR TE'!$L$48</f>
        <v>0</v>
      </c>
      <c r="M15" s="50">
        <f>'TR TE'!$M$15*'TR TE'!$M$48</f>
        <v>13.173461724956571</v>
      </c>
      <c r="N15" s="50">
        <f>'TR TE'!$N$15*'TR TE'!$N$48</f>
        <v>0</v>
      </c>
      <c r="O15" s="50">
        <f>'TR TE'!$O$15*'TR TE'!$O$48</f>
        <v>0</v>
      </c>
      <c r="P15" s="50">
        <f>SUM($L$15:$O$15)</f>
        <v>13.173461724956571</v>
      </c>
      <c r="Q15" s="50">
        <f>'TR TE'!$Q$15*'TR TE'!$Q$48</f>
        <v>167.24863457723478</v>
      </c>
      <c r="R15" s="50">
        <f>SUM($Q$15:$Q$15)</f>
        <v>167.24863457723478</v>
      </c>
      <c r="S15" s="50">
        <f>'TR TE'!$S$15*'TR TE'!$S$48</f>
        <v>0</v>
      </c>
      <c r="T15" s="50">
        <f>'TR TE'!$T$15*'TR TE'!$T$48</f>
        <v>0</v>
      </c>
      <c r="U15" s="50">
        <f>'TR TE'!$U$15*'TR TE'!$U$48</f>
        <v>0</v>
      </c>
      <c r="V15" s="50">
        <f>SUM($S$15:$U$15)</f>
        <v>0</v>
      </c>
      <c r="W15" s="50"/>
      <c r="X15" s="50">
        <f>SUM($W$15:$W$15)</f>
        <v>0</v>
      </c>
      <c r="Y15" s="50">
        <f>'TR TE'!$Y$15*'TR TE'!$Y$48</f>
        <v>1.2809614763010957</v>
      </c>
      <c r="Z15" s="50">
        <f>SUM($Y$15:$Y$15)</f>
        <v>1.2809614763010957</v>
      </c>
      <c r="AA15" s="50">
        <f>SUMIF($L$4:$Z$4,"SUBTOTAL",$L$15:$Z$15)</f>
        <v>181.70305777849245</v>
      </c>
    </row>
    <row r="16" spans="1:27" ht="11.25" customHeight="1" x14ac:dyDescent="0.25">
      <c r="A16" s="142"/>
      <c r="B16" s="142"/>
      <c r="C16" s="142"/>
      <c r="D16" s="53" t="s">
        <v>29</v>
      </c>
      <c r="E16" s="53" t="s">
        <v>25</v>
      </c>
      <c r="F16" s="53" t="s">
        <v>25</v>
      </c>
      <c r="G16" s="52" t="s">
        <v>82</v>
      </c>
      <c r="H16" s="52" t="s">
        <v>76</v>
      </c>
      <c r="I16" s="52">
        <f>'MERCADO TE'!$U$13</f>
        <v>0</v>
      </c>
      <c r="J16" s="18"/>
      <c r="L16" s="50">
        <f>'TR TE'!$L$16*'TR TE'!$L$48</f>
        <v>0</v>
      </c>
      <c r="M16" s="50">
        <f>'TR TE'!$M$16*'TR TE'!$M$48</f>
        <v>13.173461724956571</v>
      </c>
      <c r="N16" s="50">
        <f>'TR TE'!$N$16*'TR TE'!$N$48</f>
        <v>0</v>
      </c>
      <c r="O16" s="50">
        <f>'TR TE'!$O$16*'TR TE'!$O$48</f>
        <v>0</v>
      </c>
      <c r="P16" s="50">
        <f>SUM($L$16:$O$16)</f>
        <v>13.173461724956571</v>
      </c>
      <c r="Q16" s="50">
        <f>'TR TE'!$Q$16*'TR TE'!$Q$48</f>
        <v>167.24863457723478</v>
      </c>
      <c r="R16" s="50">
        <f>SUM($Q$16:$Q$16)</f>
        <v>167.24863457723478</v>
      </c>
      <c r="S16" s="50">
        <f>'TR TE'!$S$16*'TR TE'!$S$48</f>
        <v>0</v>
      </c>
      <c r="T16" s="50">
        <f>'TR TE'!$T$16*'TR TE'!$T$48</f>
        <v>0</v>
      </c>
      <c r="U16" s="50">
        <f>'TR TE'!$U$16*'TR TE'!$U$48</f>
        <v>0</v>
      </c>
      <c r="V16" s="50">
        <f>SUM($S$16:$U$16)</f>
        <v>0</v>
      </c>
      <c r="W16" s="50"/>
      <c r="X16" s="50">
        <f>SUM($W$16:$W$16)</f>
        <v>0</v>
      </c>
      <c r="Y16" s="50">
        <f>'TR TE'!$Y$16*'TR TE'!$Y$48</f>
        <v>1.2809614763010957</v>
      </c>
      <c r="Z16" s="50">
        <f>SUM($Y$16:$Y$16)</f>
        <v>1.2809614763010957</v>
      </c>
      <c r="AA16" s="50">
        <f>SUMIF($L$4:$Z$4,"SUBTOTAL",$L$16:$Z$16)</f>
        <v>181.70305777849245</v>
      </c>
    </row>
    <row r="17" spans="1:27" ht="11.25" customHeight="1" x14ac:dyDescent="0.25">
      <c r="A17" s="142"/>
      <c r="B17" s="142"/>
      <c r="C17" s="142"/>
      <c r="D17" s="53" t="s">
        <v>30</v>
      </c>
      <c r="E17" s="53" t="s">
        <v>25</v>
      </c>
      <c r="F17" s="53" t="s">
        <v>25</v>
      </c>
      <c r="G17" s="52" t="s">
        <v>82</v>
      </c>
      <c r="H17" s="52" t="s">
        <v>76</v>
      </c>
      <c r="I17" s="52">
        <f>'MERCADO TE'!$U$14</f>
        <v>0</v>
      </c>
      <c r="J17" s="18"/>
      <c r="L17" s="50">
        <f>'TR TE'!$L$17*'TR TE'!$L$48</f>
        <v>0</v>
      </c>
      <c r="M17" s="50">
        <f>'TR TE'!$M$17*'TR TE'!$M$48</f>
        <v>13.173461724956571</v>
      </c>
      <c r="N17" s="50">
        <f>'TR TE'!$N$17*'TR TE'!$N$48</f>
        <v>0</v>
      </c>
      <c r="O17" s="50">
        <f>'TR TE'!$O$17*'TR TE'!$O$48</f>
        <v>0</v>
      </c>
      <c r="P17" s="50">
        <f>SUM($L$17:$O$17)</f>
        <v>13.173461724956571</v>
      </c>
      <c r="Q17" s="50">
        <f>'TR TE'!$Q$17*'TR TE'!$Q$48</f>
        <v>167.24863457723478</v>
      </c>
      <c r="R17" s="50">
        <f>SUM($Q$17:$Q$17)</f>
        <v>167.24863457723478</v>
      </c>
      <c r="S17" s="50">
        <f>'TR TE'!$S$17*'TR TE'!$S$48</f>
        <v>0</v>
      </c>
      <c r="T17" s="50">
        <f>'TR TE'!$T$17*'TR TE'!$T$48</f>
        <v>0</v>
      </c>
      <c r="U17" s="50">
        <f>'TR TE'!$U$17*'TR TE'!$U$48</f>
        <v>0</v>
      </c>
      <c r="V17" s="50">
        <f>SUM($S$17:$U$17)</f>
        <v>0</v>
      </c>
      <c r="W17" s="50"/>
      <c r="X17" s="50">
        <f>SUM($W$17:$W$17)</f>
        <v>0</v>
      </c>
      <c r="Y17" s="50">
        <f>'TR TE'!$Y$17*'TR TE'!$Y$48</f>
        <v>1.2809614763010957</v>
      </c>
      <c r="Z17" s="50">
        <f>SUM($Y$17:$Y$17)</f>
        <v>1.2809614763010957</v>
      </c>
      <c r="AA17" s="50">
        <f>SUMIF($L$4:$Z$4,"SUBTOTAL",$L$17:$Z$17)</f>
        <v>181.70305777849245</v>
      </c>
    </row>
    <row r="18" spans="1:27" ht="11.25" customHeight="1" x14ac:dyDescent="0.25">
      <c r="A18" s="142"/>
      <c r="B18" s="142"/>
      <c r="C18" s="142"/>
      <c r="D18" s="53" t="s">
        <v>31</v>
      </c>
      <c r="E18" s="53" t="s">
        <v>25</v>
      </c>
      <c r="F18" s="53" t="s">
        <v>25</v>
      </c>
      <c r="G18" s="52" t="s">
        <v>82</v>
      </c>
      <c r="H18" s="52" t="s">
        <v>76</v>
      </c>
      <c r="I18" s="52">
        <f>'MERCADO TE'!$U$15</f>
        <v>0</v>
      </c>
      <c r="J18" s="18"/>
      <c r="L18" s="50">
        <f>'TR TE'!$L$18*'TR TE'!$L$48</f>
        <v>0</v>
      </c>
      <c r="M18" s="50">
        <f>'TR TE'!$M$18*'TR TE'!$M$48</f>
        <v>13.173461724956571</v>
      </c>
      <c r="N18" s="50">
        <f>'TR TE'!$N$18*'TR TE'!$N$48</f>
        <v>0</v>
      </c>
      <c r="O18" s="50">
        <f>'TR TE'!$O$18*'TR TE'!$O$48</f>
        <v>0</v>
      </c>
      <c r="P18" s="50">
        <f>SUM($L$18:$O$18)</f>
        <v>13.173461724956571</v>
      </c>
      <c r="Q18" s="50">
        <f>'TR TE'!$Q$18*'TR TE'!$Q$48</f>
        <v>167.24863457723478</v>
      </c>
      <c r="R18" s="50">
        <f>SUM($Q$18:$Q$18)</f>
        <v>167.24863457723478</v>
      </c>
      <c r="S18" s="50">
        <f>'TR TE'!$S$18*'TR TE'!$S$48</f>
        <v>0</v>
      </c>
      <c r="T18" s="50">
        <f>'TR TE'!$T$18*'TR TE'!$T$48</f>
        <v>0</v>
      </c>
      <c r="U18" s="50">
        <f>'TR TE'!$U$18*'TR TE'!$U$48</f>
        <v>0</v>
      </c>
      <c r="V18" s="50">
        <f>SUM($S$18:$U$18)</f>
        <v>0</v>
      </c>
      <c r="W18" s="50"/>
      <c r="X18" s="50">
        <f>SUM($W$18:$W$18)</f>
        <v>0</v>
      </c>
      <c r="Y18" s="50">
        <f>'TR TE'!$Y$18*'TR TE'!$Y$48</f>
        <v>1.2809614763010957</v>
      </c>
      <c r="Z18" s="50">
        <f>SUM($Y$18:$Y$18)</f>
        <v>1.2809614763010957</v>
      </c>
      <c r="AA18" s="50">
        <f>SUMIF($L$4:$Z$4,"SUBTOTAL",$L$18:$Z$18)</f>
        <v>181.70305777849245</v>
      </c>
    </row>
    <row r="19" spans="1:27" ht="11.25" customHeight="1" x14ac:dyDescent="0.25">
      <c r="A19" s="142"/>
      <c r="B19" s="142"/>
      <c r="C19" s="142"/>
      <c r="D19" s="53" t="s">
        <v>32</v>
      </c>
      <c r="E19" s="53" t="s">
        <v>25</v>
      </c>
      <c r="F19" s="53" t="s">
        <v>25</v>
      </c>
      <c r="G19" s="52" t="s">
        <v>82</v>
      </c>
      <c r="H19" s="52" t="s">
        <v>76</v>
      </c>
      <c r="I19" s="52">
        <f>'MERCADO TE'!$U$16</f>
        <v>0</v>
      </c>
      <c r="J19" s="18"/>
      <c r="L19" s="50">
        <f>'TR TE'!$L$19*'TR TE'!$L$48</f>
        <v>0</v>
      </c>
      <c r="M19" s="50">
        <f>'TR TE'!$M$19*'TR TE'!$M$48</f>
        <v>13.173461724956571</v>
      </c>
      <c r="N19" s="50">
        <f>'TR TE'!$N$19*'TR TE'!$N$48</f>
        <v>0</v>
      </c>
      <c r="O19" s="50">
        <f>'TR TE'!$O$19*'TR TE'!$O$48</f>
        <v>0</v>
      </c>
      <c r="P19" s="50">
        <f>SUM($L$19:$O$19)</f>
        <v>13.173461724956571</v>
      </c>
      <c r="Q19" s="50">
        <f>'TR TE'!$Q$19*'TR TE'!$Q$48</f>
        <v>167.24863457723478</v>
      </c>
      <c r="R19" s="50">
        <f>SUM($Q$19:$Q$19)</f>
        <v>167.24863457723478</v>
      </c>
      <c r="S19" s="50">
        <f>'TR TE'!$S$19*'TR TE'!$S$48</f>
        <v>0</v>
      </c>
      <c r="T19" s="50">
        <f>'TR TE'!$T$19*'TR TE'!$T$48</f>
        <v>0</v>
      </c>
      <c r="U19" s="50">
        <f>'TR TE'!$U$19*'TR TE'!$U$48</f>
        <v>0</v>
      </c>
      <c r="V19" s="50">
        <f>SUM($S$19:$U$19)</f>
        <v>0</v>
      </c>
      <c r="W19" s="50"/>
      <c r="X19" s="50">
        <f>SUM($W$19:$W$19)</f>
        <v>0</v>
      </c>
      <c r="Y19" s="50">
        <f>'TR TE'!$Y$19*'TR TE'!$Y$48</f>
        <v>1.2809614763010957</v>
      </c>
      <c r="Z19" s="50">
        <f>SUM($Y$19:$Y$19)</f>
        <v>1.2809614763010957</v>
      </c>
      <c r="AA19" s="50">
        <f>SUMIF($L$4:$Z$4,"SUBTOTAL",$L$19:$Z$19)</f>
        <v>181.70305777849245</v>
      </c>
    </row>
    <row r="20" spans="1:27" ht="11.25" customHeight="1" x14ac:dyDescent="0.25">
      <c r="A20" s="142" t="s">
        <v>43</v>
      </c>
      <c r="B20" s="142" t="s">
        <v>75</v>
      </c>
      <c r="C20" s="142" t="s">
        <v>44</v>
      </c>
      <c r="D20" s="142" t="s">
        <v>25</v>
      </c>
      <c r="E20" s="142" t="s">
        <v>25</v>
      </c>
      <c r="F20" s="142" t="s">
        <v>25</v>
      </c>
      <c r="G20" s="52" t="s">
        <v>77</v>
      </c>
      <c r="H20" s="52" t="s">
        <v>76</v>
      </c>
      <c r="I20" s="52">
        <f>'MERCADO TE'!$U$17</f>
        <v>0.78900000000000003</v>
      </c>
      <c r="J20" s="18"/>
      <c r="L20" s="50">
        <f>'TR TE'!$L$20*'TR TE'!$L$48</f>
        <v>0</v>
      </c>
      <c r="M20" s="50">
        <f>'TR TE'!$M$20*'TR TE'!$M$48</f>
        <v>13.173461724956571</v>
      </c>
      <c r="N20" s="50">
        <f>'TR TE'!$N$20*'TR TE'!$N$48</f>
        <v>0</v>
      </c>
      <c r="O20" s="50">
        <f>'TR TE'!$O$20*'TR TE'!$O$48</f>
        <v>0</v>
      </c>
      <c r="P20" s="50">
        <f>SUM($L$20:$O$20)</f>
        <v>13.173461724956571</v>
      </c>
      <c r="Q20" s="50">
        <f>'TR TE'!$Q$20*'TR TE'!$Q$48</f>
        <v>167.24863457723478</v>
      </c>
      <c r="R20" s="50">
        <f>SUM($Q$20:$Q$20)</f>
        <v>167.24863457723478</v>
      </c>
      <c r="S20" s="50">
        <f>'TR TE'!$S$20*'TR TE'!$S$48</f>
        <v>0</v>
      </c>
      <c r="T20" s="50">
        <f>'TR TE'!$T$20*'TR TE'!$T$48</f>
        <v>0</v>
      </c>
      <c r="U20" s="50">
        <f>'TR TE'!$U$20*'TR TE'!$U$48</f>
        <v>0</v>
      </c>
      <c r="V20" s="50">
        <f>SUM($S$20:$U$20)</f>
        <v>0</v>
      </c>
      <c r="W20" s="50"/>
      <c r="X20" s="50">
        <f>SUM($W$20:$W$20)</f>
        <v>0</v>
      </c>
      <c r="Y20" s="50">
        <f>'TR TE'!$Y$20*'TR TE'!$Y$48</f>
        <v>1.2809614763010957</v>
      </c>
      <c r="Z20" s="50">
        <f>SUM($Y$20:$Y$20)</f>
        <v>1.2809614763010957</v>
      </c>
      <c r="AA20" s="50">
        <f>SUMIF($L$4:$Z$4,"SUBTOTAL",$L$20:$Z$20)</f>
        <v>181.70305777849245</v>
      </c>
    </row>
    <row r="21" spans="1:27" ht="11.25" customHeight="1" x14ac:dyDescent="0.25">
      <c r="A21" s="142"/>
      <c r="B21" s="142"/>
      <c r="C21" s="142"/>
      <c r="D21" s="142"/>
      <c r="E21" s="142"/>
      <c r="F21" s="142"/>
      <c r="G21" s="52" t="s">
        <v>88</v>
      </c>
      <c r="H21" s="52" t="s">
        <v>76</v>
      </c>
      <c r="I21" s="52">
        <f>'MERCADO TE'!$U$18</f>
        <v>0.57700000000000018</v>
      </c>
      <c r="J21" s="18"/>
      <c r="L21" s="50">
        <f>'TR TE'!$L$21*'TR TE'!$L$48</f>
        <v>0</v>
      </c>
      <c r="M21" s="50">
        <f>'TR TE'!$M$21*'TR TE'!$M$48</f>
        <v>13.173461724956571</v>
      </c>
      <c r="N21" s="50">
        <f>'TR TE'!$N$21*'TR TE'!$N$48</f>
        <v>0</v>
      </c>
      <c r="O21" s="50">
        <f>'TR TE'!$O$21*'TR TE'!$O$48</f>
        <v>0</v>
      </c>
      <c r="P21" s="50">
        <f>SUM($L$21:$O$21)</f>
        <v>13.173461724956571</v>
      </c>
      <c r="Q21" s="50">
        <f>'TR TE'!$Q$21*'TR TE'!$Q$48</f>
        <v>167.24863457723478</v>
      </c>
      <c r="R21" s="50">
        <f>SUM($Q$21:$Q$21)</f>
        <v>167.24863457723478</v>
      </c>
      <c r="S21" s="50">
        <f>'TR TE'!$S$21*'TR TE'!$S$48</f>
        <v>0</v>
      </c>
      <c r="T21" s="50">
        <f>'TR TE'!$T$21*'TR TE'!$T$48</f>
        <v>0</v>
      </c>
      <c r="U21" s="50">
        <f>'TR TE'!$U$21*'TR TE'!$U$48</f>
        <v>0</v>
      </c>
      <c r="V21" s="50">
        <f>SUM($S$21:$U$21)</f>
        <v>0</v>
      </c>
      <c r="W21" s="50"/>
      <c r="X21" s="50">
        <f>SUM($W$21:$W$21)</f>
        <v>0</v>
      </c>
      <c r="Y21" s="50">
        <f>'TR TE'!$Y$21*'TR TE'!$Y$48</f>
        <v>1.2809614763010957</v>
      </c>
      <c r="Z21" s="50">
        <f>SUM($Y$21:$Y$21)</f>
        <v>1.2809614763010957</v>
      </c>
      <c r="AA21" s="50">
        <f>SUMIF($L$4:$Z$4,"SUBTOTAL",$L$21:$Z$21)</f>
        <v>181.70305777849245</v>
      </c>
    </row>
    <row r="22" spans="1:27" ht="11.25" customHeight="1" x14ac:dyDescent="0.25">
      <c r="A22" s="142"/>
      <c r="B22" s="142"/>
      <c r="C22" s="142"/>
      <c r="D22" s="142"/>
      <c r="E22" s="142"/>
      <c r="F22" s="142"/>
      <c r="G22" s="52" t="s">
        <v>78</v>
      </c>
      <c r="H22" s="52" t="s">
        <v>76</v>
      </c>
      <c r="I22" s="52">
        <f>'MERCADO TE'!$U$19</f>
        <v>5.0960000000000001</v>
      </c>
      <c r="J22" s="18"/>
      <c r="L22" s="50">
        <f>'TR TE'!$L$22*'TR TE'!$L$48</f>
        <v>0</v>
      </c>
      <c r="M22" s="50">
        <f>'TR TE'!$M$22*'TR TE'!$M$48</f>
        <v>13.173461724956571</v>
      </c>
      <c r="N22" s="50">
        <f>'TR TE'!$N$22*'TR TE'!$N$48</f>
        <v>0</v>
      </c>
      <c r="O22" s="50">
        <f>'TR TE'!$O$22*'TR TE'!$O$48</f>
        <v>0</v>
      </c>
      <c r="P22" s="50">
        <f>SUM($L$22:$O$22)</f>
        <v>13.173461724956571</v>
      </c>
      <c r="Q22" s="50">
        <f>'TR TE'!$Q$22*'TR TE'!$Q$48</f>
        <v>167.24863457723478</v>
      </c>
      <c r="R22" s="50">
        <f>SUM($Q$22:$Q$22)</f>
        <v>167.24863457723478</v>
      </c>
      <c r="S22" s="50">
        <f>'TR TE'!$S$22*'TR TE'!$S$48</f>
        <v>0</v>
      </c>
      <c r="T22" s="50">
        <f>'TR TE'!$T$22*'TR TE'!$T$48</f>
        <v>0</v>
      </c>
      <c r="U22" s="50">
        <f>'TR TE'!$U$22*'TR TE'!$U$48</f>
        <v>0</v>
      </c>
      <c r="V22" s="50">
        <f>SUM($S$22:$U$22)</f>
        <v>0</v>
      </c>
      <c r="W22" s="50"/>
      <c r="X22" s="50">
        <f>SUM($W$22:$W$22)</f>
        <v>0</v>
      </c>
      <c r="Y22" s="50">
        <f>'TR TE'!$Y$22*'TR TE'!$Y$48</f>
        <v>1.2809614763010957</v>
      </c>
      <c r="Z22" s="50">
        <f>SUM($Y$22:$Y$22)</f>
        <v>1.2809614763010957</v>
      </c>
      <c r="AA22" s="50">
        <f>SUMIF($L$4:$Z$4,"SUBTOTAL",$L$22:$Z$22)</f>
        <v>181.70305777849245</v>
      </c>
    </row>
    <row r="23" spans="1:27" ht="11.25" customHeight="1" x14ac:dyDescent="0.25">
      <c r="A23" s="142"/>
      <c r="B23" s="53" t="s">
        <v>89</v>
      </c>
      <c r="C23" s="53" t="s">
        <v>44</v>
      </c>
      <c r="D23" s="53" t="s">
        <v>25</v>
      </c>
      <c r="E23" s="53" t="s">
        <v>25</v>
      </c>
      <c r="F23" s="53" t="s">
        <v>25</v>
      </c>
      <c r="G23" s="52" t="s">
        <v>82</v>
      </c>
      <c r="H23" s="52" t="s">
        <v>76</v>
      </c>
      <c r="I23" s="52">
        <f>'MERCADO TE'!$U$20</f>
        <v>36373.667999999998</v>
      </c>
      <c r="J23" s="18"/>
      <c r="L23" s="50">
        <f>'TR TE'!$L$23*'TR TE'!$L$48</f>
        <v>0</v>
      </c>
      <c r="M23" s="50">
        <f>'TR TE'!$M$23*'TR TE'!$M$48</f>
        <v>13.173461724956571</v>
      </c>
      <c r="N23" s="50">
        <f>'TR TE'!$N$23*'TR TE'!$N$48</f>
        <v>0</v>
      </c>
      <c r="O23" s="50">
        <f>'TR TE'!$O$23*'TR TE'!$O$48</f>
        <v>0</v>
      </c>
      <c r="P23" s="50">
        <f>SUM($L$23:$O$23)</f>
        <v>13.173461724956571</v>
      </c>
      <c r="Q23" s="50">
        <f>'TR TE'!$Q$23*'TR TE'!$Q$48</f>
        <v>167.24863457723478</v>
      </c>
      <c r="R23" s="50">
        <f>SUM($Q$23:$Q$23)</f>
        <v>167.24863457723478</v>
      </c>
      <c r="S23" s="50">
        <f>'TR TE'!$S$23*'TR TE'!$S$48</f>
        <v>0</v>
      </c>
      <c r="T23" s="50">
        <f>'TR TE'!$T$23*'TR TE'!$T$48</f>
        <v>0</v>
      </c>
      <c r="U23" s="50">
        <f>'TR TE'!$U$23*'TR TE'!$U$48</f>
        <v>0</v>
      </c>
      <c r="V23" s="50">
        <f>SUM($S$23:$U$23)</f>
        <v>0</v>
      </c>
      <c r="W23" s="50"/>
      <c r="X23" s="50">
        <f>SUM($W$23:$W$23)</f>
        <v>0</v>
      </c>
      <c r="Y23" s="50">
        <f>'TR TE'!$Y$23*'TR TE'!$Y$48</f>
        <v>1.2809614763010957</v>
      </c>
      <c r="Z23" s="50">
        <f>SUM($Y$23:$Y$23)</f>
        <v>1.2809614763010957</v>
      </c>
      <c r="AA23" s="50">
        <f>SUMIF($L$4:$Z$4,"SUBTOTAL",$L$23:$Z$23)</f>
        <v>181.70305777849245</v>
      </c>
    </row>
    <row r="24" spans="1:27" ht="11.25" customHeight="1" x14ac:dyDescent="0.25">
      <c r="A24" s="142"/>
      <c r="B24" s="142" t="s">
        <v>75</v>
      </c>
      <c r="C24" s="142" t="s">
        <v>44</v>
      </c>
      <c r="D24" s="142" t="s">
        <v>92</v>
      </c>
      <c r="E24" s="142" t="s">
        <v>25</v>
      </c>
      <c r="F24" s="142" t="s">
        <v>25</v>
      </c>
      <c r="G24" s="52" t="s">
        <v>77</v>
      </c>
      <c r="H24" s="52" t="s">
        <v>76</v>
      </c>
      <c r="I24" s="52">
        <f>'MERCADO TE'!$U$21</f>
        <v>0</v>
      </c>
      <c r="J24" s="18"/>
      <c r="L24" s="50">
        <f>'TR TE'!$L$24*'TR TE'!$L$48</f>
        <v>0</v>
      </c>
      <c r="M24" s="50">
        <f>'TR TE'!$M$24*'TR TE'!$M$48</f>
        <v>13.173461724956571</v>
      </c>
      <c r="N24" s="50">
        <f>'TR TE'!$N$24*'TR TE'!$N$48</f>
        <v>0</v>
      </c>
      <c r="O24" s="50">
        <f>'TR TE'!$O$24*'TR TE'!$O$48</f>
        <v>0</v>
      </c>
      <c r="P24" s="50">
        <f>SUM($L$24:$O$24)</f>
        <v>13.173461724956571</v>
      </c>
      <c r="Q24" s="50">
        <f>'TR TE'!$Q$24*'TR TE'!$Q$48</f>
        <v>167.24863457723478</v>
      </c>
      <c r="R24" s="50">
        <f>SUM($Q$24:$Q$24)</f>
        <v>167.24863457723478</v>
      </c>
      <c r="S24" s="50">
        <f>'TR TE'!$S$24*'TR TE'!$S$48</f>
        <v>0</v>
      </c>
      <c r="T24" s="50">
        <f>'TR TE'!$T$24*'TR TE'!$T$48</f>
        <v>0</v>
      </c>
      <c r="U24" s="50">
        <f>'TR TE'!$U$24*'TR TE'!$U$48</f>
        <v>0</v>
      </c>
      <c r="V24" s="50">
        <f>SUM($S$24:$U$24)</f>
        <v>0</v>
      </c>
      <c r="W24" s="50"/>
      <c r="X24" s="50">
        <f>SUM($W$24:$W$24)</f>
        <v>0</v>
      </c>
      <c r="Y24" s="50">
        <f>'TR TE'!$Y$24*'TR TE'!$Y$48</f>
        <v>1.2809614763010957</v>
      </c>
      <c r="Z24" s="50">
        <f>SUM($Y$24:$Y$24)</f>
        <v>1.2809614763010957</v>
      </c>
      <c r="AA24" s="50">
        <f>SUMIF($L$4:$Z$4,"SUBTOTAL",$L$24:$Z$24)</f>
        <v>181.70305777849245</v>
      </c>
    </row>
    <row r="25" spans="1:27" ht="11.25" customHeight="1" x14ac:dyDescent="0.25">
      <c r="A25" s="142"/>
      <c r="B25" s="142"/>
      <c r="C25" s="142"/>
      <c r="D25" s="142"/>
      <c r="E25" s="142"/>
      <c r="F25" s="142"/>
      <c r="G25" s="52" t="s">
        <v>88</v>
      </c>
      <c r="H25" s="52" t="s">
        <v>76</v>
      </c>
      <c r="I25" s="52">
        <f>'MERCADO TE'!$U$22</f>
        <v>0</v>
      </c>
      <c r="J25" s="18"/>
      <c r="L25" s="50">
        <f>'TR TE'!$L$25*'TR TE'!$L$48</f>
        <v>0</v>
      </c>
      <c r="M25" s="50">
        <f>'TR TE'!$M$25*'TR TE'!$M$48</f>
        <v>13.173461724956571</v>
      </c>
      <c r="N25" s="50">
        <f>'TR TE'!$N$25*'TR TE'!$N$48</f>
        <v>0</v>
      </c>
      <c r="O25" s="50">
        <f>'TR TE'!$O$25*'TR TE'!$O$48</f>
        <v>0</v>
      </c>
      <c r="P25" s="50">
        <f>SUM($L$25:$O$25)</f>
        <v>13.173461724956571</v>
      </c>
      <c r="Q25" s="50">
        <f>'TR TE'!$Q$25*'TR TE'!$Q$48</f>
        <v>167.24863457723478</v>
      </c>
      <c r="R25" s="50">
        <f>SUM($Q$25:$Q$25)</f>
        <v>167.24863457723478</v>
      </c>
      <c r="S25" s="50">
        <f>'TR TE'!$S$25*'TR TE'!$S$48</f>
        <v>0</v>
      </c>
      <c r="T25" s="50">
        <f>'TR TE'!$T$25*'TR TE'!$T$48</f>
        <v>0</v>
      </c>
      <c r="U25" s="50">
        <f>'TR TE'!$U$25*'TR TE'!$U$48</f>
        <v>0</v>
      </c>
      <c r="V25" s="50">
        <f>SUM($S$25:$U$25)</f>
        <v>0</v>
      </c>
      <c r="W25" s="50"/>
      <c r="X25" s="50">
        <f>SUM($W$25:$W$25)</f>
        <v>0</v>
      </c>
      <c r="Y25" s="50">
        <f>'TR TE'!$Y$25*'TR TE'!$Y$48</f>
        <v>1.2809614763010957</v>
      </c>
      <c r="Z25" s="50">
        <f>SUM($Y$25:$Y$25)</f>
        <v>1.2809614763010957</v>
      </c>
      <c r="AA25" s="50">
        <f>SUMIF($L$4:$Z$4,"SUBTOTAL",$L$25:$Z$25)</f>
        <v>181.70305777849245</v>
      </c>
    </row>
    <row r="26" spans="1:27" ht="11.25" customHeight="1" x14ac:dyDescent="0.25">
      <c r="A26" s="142"/>
      <c r="B26" s="142"/>
      <c r="C26" s="142"/>
      <c r="D26" s="142"/>
      <c r="E26" s="142"/>
      <c r="F26" s="142"/>
      <c r="G26" s="52" t="s">
        <v>78</v>
      </c>
      <c r="H26" s="52" t="s">
        <v>76</v>
      </c>
      <c r="I26" s="52">
        <f>'MERCADO TE'!$U$23</f>
        <v>0</v>
      </c>
      <c r="J26" s="18"/>
      <c r="L26" s="50">
        <f>'TR TE'!$L$26*'TR TE'!$L$48</f>
        <v>0</v>
      </c>
      <c r="M26" s="50">
        <f>'TR TE'!$M$26*'TR TE'!$M$48</f>
        <v>13.173461724956571</v>
      </c>
      <c r="N26" s="50">
        <f>'TR TE'!$N$26*'TR TE'!$N$48</f>
        <v>0</v>
      </c>
      <c r="O26" s="50">
        <f>'TR TE'!$O$26*'TR TE'!$O$48</f>
        <v>0</v>
      </c>
      <c r="P26" s="50">
        <f>SUM($L$26:$O$26)</f>
        <v>13.173461724956571</v>
      </c>
      <c r="Q26" s="50">
        <f>'TR TE'!$Q$26*'TR TE'!$Q$48</f>
        <v>167.24863457723478</v>
      </c>
      <c r="R26" s="50">
        <f>SUM($Q$26:$Q$26)</f>
        <v>167.24863457723478</v>
      </c>
      <c r="S26" s="50">
        <f>'TR TE'!$S$26*'TR TE'!$S$48</f>
        <v>0</v>
      </c>
      <c r="T26" s="50">
        <f>'TR TE'!$T$26*'TR TE'!$T$48</f>
        <v>0</v>
      </c>
      <c r="U26" s="50">
        <f>'TR TE'!$U$26*'TR TE'!$U$48</f>
        <v>0</v>
      </c>
      <c r="V26" s="50">
        <f>SUM($S$26:$U$26)</f>
        <v>0</v>
      </c>
      <c r="W26" s="50"/>
      <c r="X26" s="50">
        <f>SUM($W$26:$W$26)</f>
        <v>0</v>
      </c>
      <c r="Y26" s="50">
        <f>'TR TE'!$Y$26*'TR TE'!$Y$48</f>
        <v>1.2809614763010957</v>
      </c>
      <c r="Z26" s="50">
        <f>SUM($Y$26:$Y$26)</f>
        <v>1.2809614763010957</v>
      </c>
      <c r="AA26" s="50">
        <f>SUMIF($L$4:$Z$4,"SUBTOTAL",$L$26:$Z$26)</f>
        <v>181.70305777849245</v>
      </c>
    </row>
    <row r="27" spans="1:27" ht="11.25" customHeight="1" x14ac:dyDescent="0.25">
      <c r="A27" s="142"/>
      <c r="B27" s="53" t="s">
        <v>89</v>
      </c>
      <c r="C27" s="53" t="s">
        <v>44</v>
      </c>
      <c r="D27" s="53" t="s">
        <v>92</v>
      </c>
      <c r="E27" s="53" t="s">
        <v>25</v>
      </c>
      <c r="F27" s="53" t="s">
        <v>25</v>
      </c>
      <c r="G27" s="52" t="s">
        <v>82</v>
      </c>
      <c r="H27" s="52" t="s">
        <v>76</v>
      </c>
      <c r="I27" s="52">
        <f>'MERCADO TE'!$U$24</f>
        <v>0</v>
      </c>
      <c r="J27" s="18"/>
      <c r="L27" s="50">
        <f>'TR TE'!$L$27*'TR TE'!$L$48</f>
        <v>0</v>
      </c>
      <c r="M27" s="50">
        <f>'TR TE'!$M$27*'TR TE'!$M$48</f>
        <v>13.173461724956571</v>
      </c>
      <c r="N27" s="50">
        <f>'TR TE'!$N$27*'TR TE'!$N$48</f>
        <v>0</v>
      </c>
      <c r="O27" s="50">
        <f>'TR TE'!$O$27*'TR TE'!$O$48</f>
        <v>0</v>
      </c>
      <c r="P27" s="50">
        <f>SUM($L$27:$O$27)</f>
        <v>13.173461724956571</v>
      </c>
      <c r="Q27" s="50">
        <f>'TR TE'!$Q$27*'TR TE'!$Q$48</f>
        <v>167.24863457723478</v>
      </c>
      <c r="R27" s="50">
        <f>SUM($Q$27:$Q$27)</f>
        <v>167.24863457723478</v>
      </c>
      <c r="S27" s="50">
        <f>'TR TE'!$S$27*'TR TE'!$S$48</f>
        <v>0</v>
      </c>
      <c r="T27" s="50">
        <f>'TR TE'!$T$27*'TR TE'!$T$48</f>
        <v>0</v>
      </c>
      <c r="U27" s="50">
        <f>'TR TE'!$U$27*'TR TE'!$U$48</f>
        <v>0</v>
      </c>
      <c r="V27" s="50">
        <f>SUM($S$27:$U$27)</f>
        <v>0</v>
      </c>
      <c r="W27" s="50"/>
      <c r="X27" s="50">
        <f>SUM($W$27:$W$27)</f>
        <v>0</v>
      </c>
      <c r="Y27" s="50">
        <f>'TR TE'!$Y$27*'TR TE'!$Y$48</f>
        <v>1.2809614763010957</v>
      </c>
      <c r="Z27" s="50">
        <f>SUM($Y$27:$Y$27)</f>
        <v>1.2809614763010957</v>
      </c>
      <c r="AA27" s="50">
        <f>SUMIF($L$4:$Z$4,"SUBTOTAL",$L$27:$Z$27)</f>
        <v>181.70305777849245</v>
      </c>
    </row>
    <row r="28" spans="1:27" ht="11.25" customHeight="1" x14ac:dyDescent="0.25">
      <c r="A28" s="142"/>
      <c r="B28" s="142" t="s">
        <v>75</v>
      </c>
      <c r="C28" s="142" t="s">
        <v>44</v>
      </c>
      <c r="D28" s="142" t="s">
        <v>93</v>
      </c>
      <c r="E28" s="142" t="s">
        <v>25</v>
      </c>
      <c r="F28" s="142" t="s">
        <v>25</v>
      </c>
      <c r="G28" s="52" t="s">
        <v>77</v>
      </c>
      <c r="H28" s="52" t="s">
        <v>76</v>
      </c>
      <c r="I28" s="52">
        <f>'MERCADO TE'!$U$25</f>
        <v>0</v>
      </c>
      <c r="J28" s="18"/>
      <c r="L28" s="50">
        <f>'TR TE'!$L$28*'TR TE'!$L$48</f>
        <v>0</v>
      </c>
      <c r="M28" s="50">
        <f>'TR TE'!$M$28*'TR TE'!$M$48</f>
        <v>13.173461724956571</v>
      </c>
      <c r="N28" s="50">
        <f>'TR TE'!$N$28*'TR TE'!$N$48</f>
        <v>0</v>
      </c>
      <c r="O28" s="50">
        <f>'TR TE'!$O$28*'TR TE'!$O$48</f>
        <v>0</v>
      </c>
      <c r="P28" s="50">
        <f>SUM($L$28:$O$28)</f>
        <v>13.173461724956571</v>
      </c>
      <c r="Q28" s="50">
        <f>'TR TE'!$Q$28*'TR TE'!$Q$48</f>
        <v>167.24863457723478</v>
      </c>
      <c r="R28" s="50">
        <f>SUM($Q$28:$Q$28)</f>
        <v>167.24863457723478</v>
      </c>
      <c r="S28" s="50">
        <f>'TR TE'!$S$28*'TR TE'!$S$48</f>
        <v>0</v>
      </c>
      <c r="T28" s="50">
        <f>'TR TE'!$T$28*'TR TE'!$T$48</f>
        <v>0</v>
      </c>
      <c r="U28" s="50">
        <f>'TR TE'!$U$28*'TR TE'!$U$48</f>
        <v>0</v>
      </c>
      <c r="V28" s="50">
        <f>SUM($S$28:$U$28)</f>
        <v>0</v>
      </c>
      <c r="W28" s="50"/>
      <c r="X28" s="50">
        <f>SUM($W$28:$W$28)</f>
        <v>0</v>
      </c>
      <c r="Y28" s="50">
        <f>'TR TE'!$Y$28*'TR TE'!$Y$48</f>
        <v>1.2809614763010957</v>
      </c>
      <c r="Z28" s="50">
        <f>SUM($Y$28:$Y$28)</f>
        <v>1.2809614763010957</v>
      </c>
      <c r="AA28" s="50">
        <f>SUMIF($L$4:$Z$4,"SUBTOTAL",$L$28:$Z$28)</f>
        <v>181.70305777849245</v>
      </c>
    </row>
    <row r="29" spans="1:27" ht="11.25" customHeight="1" x14ac:dyDescent="0.25">
      <c r="A29" s="142"/>
      <c r="B29" s="142"/>
      <c r="C29" s="142"/>
      <c r="D29" s="142"/>
      <c r="E29" s="142"/>
      <c r="F29" s="142"/>
      <c r="G29" s="52" t="s">
        <v>88</v>
      </c>
      <c r="H29" s="52" t="s">
        <v>76</v>
      </c>
      <c r="I29" s="52">
        <f>'MERCADO TE'!$U$26</f>
        <v>0</v>
      </c>
      <c r="J29" s="18"/>
      <c r="L29" s="50">
        <f>'TR TE'!$L$29*'TR TE'!$L$48</f>
        <v>0</v>
      </c>
      <c r="M29" s="50">
        <f>'TR TE'!$M$29*'TR TE'!$M$48</f>
        <v>13.173461724956571</v>
      </c>
      <c r="N29" s="50">
        <f>'TR TE'!$N$29*'TR TE'!$N$48</f>
        <v>0</v>
      </c>
      <c r="O29" s="50">
        <f>'TR TE'!$O$29*'TR TE'!$O$48</f>
        <v>0</v>
      </c>
      <c r="P29" s="50">
        <f>SUM($L$29:$O$29)</f>
        <v>13.173461724956571</v>
      </c>
      <c r="Q29" s="50">
        <f>'TR TE'!$Q$29*'TR TE'!$Q$48</f>
        <v>167.24863457723478</v>
      </c>
      <c r="R29" s="50">
        <f>SUM($Q$29:$Q$29)</f>
        <v>167.24863457723478</v>
      </c>
      <c r="S29" s="50">
        <f>'TR TE'!$S$29*'TR TE'!$S$48</f>
        <v>0</v>
      </c>
      <c r="T29" s="50">
        <f>'TR TE'!$T$29*'TR TE'!$T$48</f>
        <v>0</v>
      </c>
      <c r="U29" s="50">
        <f>'TR TE'!$U$29*'TR TE'!$U$48</f>
        <v>0</v>
      </c>
      <c r="V29" s="50">
        <f>SUM($S$29:$U$29)</f>
        <v>0</v>
      </c>
      <c r="W29" s="50"/>
      <c r="X29" s="50">
        <f>SUM($W$29:$W$29)</f>
        <v>0</v>
      </c>
      <c r="Y29" s="50">
        <f>'TR TE'!$Y$29*'TR TE'!$Y$48</f>
        <v>1.2809614763010957</v>
      </c>
      <c r="Z29" s="50">
        <f>SUM($Y$29:$Y$29)</f>
        <v>1.2809614763010957</v>
      </c>
      <c r="AA29" s="50">
        <f>SUMIF($L$4:$Z$4,"SUBTOTAL",$L$29:$Z$29)</f>
        <v>181.70305777849245</v>
      </c>
    </row>
    <row r="30" spans="1:27" ht="11.25" customHeight="1" x14ac:dyDescent="0.25">
      <c r="A30" s="142"/>
      <c r="B30" s="142"/>
      <c r="C30" s="142"/>
      <c r="D30" s="142"/>
      <c r="E30" s="142"/>
      <c r="F30" s="142"/>
      <c r="G30" s="52" t="s">
        <v>78</v>
      </c>
      <c r="H30" s="52" t="s">
        <v>76</v>
      </c>
      <c r="I30" s="52">
        <f>'MERCADO TE'!$U$27</f>
        <v>0</v>
      </c>
      <c r="J30" s="18"/>
      <c r="L30" s="50">
        <f>'TR TE'!$L$30*'TR TE'!$L$48</f>
        <v>0</v>
      </c>
      <c r="M30" s="50">
        <f>'TR TE'!$M$30*'TR TE'!$M$48</f>
        <v>13.173461724956571</v>
      </c>
      <c r="N30" s="50">
        <f>'TR TE'!$N$30*'TR TE'!$N$48</f>
        <v>0</v>
      </c>
      <c r="O30" s="50">
        <f>'TR TE'!$O$30*'TR TE'!$O$48</f>
        <v>0</v>
      </c>
      <c r="P30" s="50">
        <f>SUM($L$30:$O$30)</f>
        <v>13.173461724956571</v>
      </c>
      <c r="Q30" s="50">
        <f>'TR TE'!$Q$30*'TR TE'!$Q$48</f>
        <v>167.24863457723478</v>
      </c>
      <c r="R30" s="50">
        <f>SUM($Q$30:$Q$30)</f>
        <v>167.24863457723478</v>
      </c>
      <c r="S30" s="50">
        <f>'TR TE'!$S$30*'TR TE'!$S$48</f>
        <v>0</v>
      </c>
      <c r="T30" s="50">
        <f>'TR TE'!$T$30*'TR TE'!$T$48</f>
        <v>0</v>
      </c>
      <c r="U30" s="50">
        <f>'TR TE'!$U$30*'TR TE'!$U$48</f>
        <v>0</v>
      </c>
      <c r="V30" s="50">
        <f>SUM($S$30:$U$30)</f>
        <v>0</v>
      </c>
      <c r="W30" s="50"/>
      <c r="X30" s="50">
        <f>SUM($W$30:$W$30)</f>
        <v>0</v>
      </c>
      <c r="Y30" s="50">
        <f>'TR TE'!$Y$30*'TR TE'!$Y$48</f>
        <v>1.2809614763010957</v>
      </c>
      <c r="Z30" s="50">
        <f>SUM($Y$30:$Y$30)</f>
        <v>1.2809614763010957</v>
      </c>
      <c r="AA30" s="50">
        <f>SUMIF($L$4:$Z$4,"SUBTOTAL",$L$30:$Z$30)</f>
        <v>181.70305777849245</v>
      </c>
    </row>
    <row r="31" spans="1:27" ht="11.25" customHeight="1" x14ac:dyDescent="0.25">
      <c r="A31" s="142"/>
      <c r="B31" s="53" t="s">
        <v>89</v>
      </c>
      <c r="C31" s="53" t="s">
        <v>44</v>
      </c>
      <c r="D31" s="53" t="s">
        <v>93</v>
      </c>
      <c r="E31" s="53" t="s">
        <v>25</v>
      </c>
      <c r="F31" s="53" t="s">
        <v>25</v>
      </c>
      <c r="G31" s="52" t="s">
        <v>82</v>
      </c>
      <c r="H31" s="52" t="s">
        <v>76</v>
      </c>
      <c r="I31" s="52">
        <f>'MERCADO TE'!$U$28</f>
        <v>0</v>
      </c>
      <c r="J31" s="18"/>
      <c r="L31" s="50">
        <f>'TR TE'!$L$31*'TR TE'!$L$48</f>
        <v>0</v>
      </c>
      <c r="M31" s="50">
        <f>'TR TE'!$M$31*'TR TE'!$M$48</f>
        <v>13.173461724956571</v>
      </c>
      <c r="N31" s="50">
        <f>'TR TE'!$N$31*'TR TE'!$N$48</f>
        <v>0</v>
      </c>
      <c r="O31" s="50">
        <f>'TR TE'!$O$31*'TR TE'!$O$48</f>
        <v>0</v>
      </c>
      <c r="P31" s="50">
        <f>SUM($L$31:$O$31)</f>
        <v>13.173461724956571</v>
      </c>
      <c r="Q31" s="50">
        <f>'TR TE'!$Q$31*'TR TE'!$Q$48</f>
        <v>167.24863457723478</v>
      </c>
      <c r="R31" s="50">
        <f>SUM($Q$31:$Q$31)</f>
        <v>167.24863457723478</v>
      </c>
      <c r="S31" s="50">
        <f>'TR TE'!$S$31*'TR TE'!$S$48</f>
        <v>0</v>
      </c>
      <c r="T31" s="50">
        <f>'TR TE'!$T$31*'TR TE'!$T$48</f>
        <v>0</v>
      </c>
      <c r="U31" s="50">
        <f>'TR TE'!$U$31*'TR TE'!$U$48</f>
        <v>0</v>
      </c>
      <c r="V31" s="50">
        <f>SUM($S$31:$U$31)</f>
        <v>0</v>
      </c>
      <c r="W31" s="50"/>
      <c r="X31" s="50">
        <f>SUM($W$31:$W$31)</f>
        <v>0</v>
      </c>
      <c r="Y31" s="50">
        <f>'TR TE'!$Y$31*'TR TE'!$Y$48</f>
        <v>1.2809614763010957</v>
      </c>
      <c r="Z31" s="50">
        <f>SUM($Y$31:$Y$31)</f>
        <v>1.2809614763010957</v>
      </c>
      <c r="AA31" s="50">
        <f>SUMIF($L$4:$Z$4,"SUBTOTAL",$L$31:$Z$31)</f>
        <v>181.70305777849245</v>
      </c>
    </row>
    <row r="32" spans="1:27" ht="11.25" customHeight="1" x14ac:dyDescent="0.25">
      <c r="A32" s="142"/>
      <c r="B32" s="142" t="s">
        <v>90</v>
      </c>
      <c r="C32" s="142" t="s">
        <v>44</v>
      </c>
      <c r="D32" s="53" t="s">
        <v>25</v>
      </c>
      <c r="E32" s="53" t="s">
        <v>25</v>
      </c>
      <c r="F32" s="53" t="s">
        <v>25</v>
      </c>
      <c r="G32" s="52" t="s">
        <v>82</v>
      </c>
      <c r="H32" s="52" t="s">
        <v>76</v>
      </c>
      <c r="I32" s="52">
        <f>'MERCADO TE'!$U$29</f>
        <v>0</v>
      </c>
      <c r="J32" s="18"/>
      <c r="L32" s="50">
        <f>'TR TE'!$L$32*'TR TE'!$L$48</f>
        <v>0</v>
      </c>
      <c r="M32" s="50">
        <f>'TR TE'!$M$32*'TR TE'!$M$48</f>
        <v>13.173461724956571</v>
      </c>
      <c r="N32" s="50">
        <f>'TR TE'!$N$32*'TR TE'!$N$48</f>
        <v>0</v>
      </c>
      <c r="O32" s="50">
        <f>'TR TE'!$O$32*'TR TE'!$O$48</f>
        <v>0</v>
      </c>
      <c r="P32" s="50">
        <f>SUM($L$32:$O$32)</f>
        <v>13.173461724956571</v>
      </c>
      <c r="Q32" s="50">
        <f>'TR TE'!$Q$32*'TR TE'!$Q$48</f>
        <v>167.24863457723478</v>
      </c>
      <c r="R32" s="50">
        <f>SUM($Q$32:$Q$32)</f>
        <v>167.24863457723478</v>
      </c>
      <c r="S32" s="50">
        <f>'TR TE'!$S$32*'TR TE'!$S$48</f>
        <v>0</v>
      </c>
      <c r="T32" s="50">
        <f>'TR TE'!$T$32*'TR TE'!$T$48</f>
        <v>0</v>
      </c>
      <c r="U32" s="50">
        <f>'TR TE'!$U$32*'TR TE'!$U$48</f>
        <v>0</v>
      </c>
      <c r="V32" s="50">
        <f>SUM($S$32:$U$32)</f>
        <v>0</v>
      </c>
      <c r="W32" s="50"/>
      <c r="X32" s="50">
        <f>SUM($W$32:$W$32)</f>
        <v>0</v>
      </c>
      <c r="Y32" s="50">
        <f>'TR TE'!$Y$32*'TR TE'!$Y$48</f>
        <v>1.2809614763010957</v>
      </c>
      <c r="Z32" s="50">
        <f>SUM($Y$32:$Y$32)</f>
        <v>1.2809614763010957</v>
      </c>
      <c r="AA32" s="50">
        <f>SUMIF($L$4:$Z$4,"SUBTOTAL",$L$32:$Z$32)</f>
        <v>181.70305777849245</v>
      </c>
    </row>
    <row r="33" spans="1:27" ht="11.25" customHeight="1" x14ac:dyDescent="0.25">
      <c r="A33" s="142"/>
      <c r="B33" s="142"/>
      <c r="C33" s="142"/>
      <c r="D33" s="53" t="s">
        <v>92</v>
      </c>
      <c r="E33" s="53" t="s">
        <v>25</v>
      </c>
      <c r="F33" s="53" t="s">
        <v>25</v>
      </c>
      <c r="G33" s="52" t="s">
        <v>82</v>
      </c>
      <c r="H33" s="52" t="s">
        <v>76</v>
      </c>
      <c r="I33" s="52">
        <f>'MERCADO TE'!$U$30</f>
        <v>0</v>
      </c>
      <c r="J33" s="18"/>
      <c r="L33" s="50">
        <f>'TR TE'!$L$33*'TR TE'!$L$48</f>
        <v>0</v>
      </c>
      <c r="M33" s="50">
        <f>'TR TE'!$M$33*'TR TE'!$M$48</f>
        <v>13.173461724956571</v>
      </c>
      <c r="N33" s="50">
        <f>'TR TE'!$N$33*'TR TE'!$N$48</f>
        <v>0</v>
      </c>
      <c r="O33" s="50">
        <f>'TR TE'!$O$33*'TR TE'!$O$48</f>
        <v>0</v>
      </c>
      <c r="P33" s="50">
        <f>SUM($L$33:$O$33)</f>
        <v>13.173461724956571</v>
      </c>
      <c r="Q33" s="50">
        <f>'TR TE'!$Q$33*'TR TE'!$Q$48</f>
        <v>167.24863457723478</v>
      </c>
      <c r="R33" s="50">
        <f>SUM($Q$33:$Q$33)</f>
        <v>167.24863457723478</v>
      </c>
      <c r="S33" s="50">
        <f>'TR TE'!$S$33*'TR TE'!$S$48</f>
        <v>0</v>
      </c>
      <c r="T33" s="50">
        <f>'TR TE'!$T$33*'TR TE'!$T$48</f>
        <v>0</v>
      </c>
      <c r="U33" s="50">
        <f>'TR TE'!$U$33*'TR TE'!$U$48</f>
        <v>0</v>
      </c>
      <c r="V33" s="50">
        <f>SUM($S$33:$U$33)</f>
        <v>0</v>
      </c>
      <c r="W33" s="50"/>
      <c r="X33" s="50">
        <f>SUM($W$33:$W$33)</f>
        <v>0</v>
      </c>
      <c r="Y33" s="50">
        <f>'TR TE'!$Y$33*'TR TE'!$Y$48</f>
        <v>1.2809614763010957</v>
      </c>
      <c r="Z33" s="50">
        <f>SUM($Y$33:$Y$33)</f>
        <v>1.2809614763010957</v>
      </c>
      <c r="AA33" s="50">
        <f>SUMIF($L$4:$Z$4,"SUBTOTAL",$L$33:$Z$33)</f>
        <v>181.70305777849245</v>
      </c>
    </row>
    <row r="34" spans="1:27" ht="11.25" customHeight="1" x14ac:dyDescent="0.25">
      <c r="A34" s="142"/>
      <c r="B34" s="142"/>
      <c r="C34" s="142"/>
      <c r="D34" s="53" t="s">
        <v>93</v>
      </c>
      <c r="E34" s="53" t="s">
        <v>25</v>
      </c>
      <c r="F34" s="53" t="s">
        <v>25</v>
      </c>
      <c r="G34" s="52" t="s">
        <v>82</v>
      </c>
      <c r="H34" s="52" t="s">
        <v>76</v>
      </c>
      <c r="I34" s="52">
        <f>'MERCADO TE'!$U$31</f>
        <v>0</v>
      </c>
      <c r="J34" s="18"/>
      <c r="L34" s="50">
        <f>'TR TE'!$L$34*'TR TE'!$L$48</f>
        <v>0</v>
      </c>
      <c r="M34" s="50">
        <f>'TR TE'!$M$34*'TR TE'!$M$48</f>
        <v>13.173461724956571</v>
      </c>
      <c r="N34" s="50">
        <f>'TR TE'!$N$34*'TR TE'!$N$48</f>
        <v>0</v>
      </c>
      <c r="O34" s="50">
        <f>'TR TE'!$O$34*'TR TE'!$O$48</f>
        <v>0</v>
      </c>
      <c r="P34" s="50">
        <f>SUM($L$34:$O$34)</f>
        <v>13.173461724956571</v>
      </c>
      <c r="Q34" s="50">
        <f>'TR TE'!$Q$34*'TR TE'!$Q$48</f>
        <v>167.24863457723478</v>
      </c>
      <c r="R34" s="50">
        <f>SUM($Q$34:$Q$34)</f>
        <v>167.24863457723478</v>
      </c>
      <c r="S34" s="50">
        <f>'TR TE'!$S$34*'TR TE'!$S$48</f>
        <v>0</v>
      </c>
      <c r="T34" s="50">
        <f>'TR TE'!$T$34*'TR TE'!$T$48</f>
        <v>0</v>
      </c>
      <c r="U34" s="50">
        <f>'TR TE'!$U$34*'TR TE'!$U$48</f>
        <v>0</v>
      </c>
      <c r="V34" s="50">
        <f>SUM($S$34:$U$34)</f>
        <v>0</v>
      </c>
      <c r="W34" s="50"/>
      <c r="X34" s="50">
        <f>SUM($W$34:$W$34)</f>
        <v>0</v>
      </c>
      <c r="Y34" s="50">
        <f>'TR TE'!$Y$34*'TR TE'!$Y$48</f>
        <v>1.2809614763010957</v>
      </c>
      <c r="Z34" s="50">
        <f>SUM($Y$34:$Y$34)</f>
        <v>1.2809614763010957</v>
      </c>
      <c r="AA34" s="50">
        <f>SUMIF($L$4:$Z$4,"SUBTOTAL",$L$34:$Z$34)</f>
        <v>181.70305777849245</v>
      </c>
    </row>
    <row r="35" spans="1:27" ht="11.25" customHeight="1" x14ac:dyDescent="0.25">
      <c r="A35" s="142" t="s">
        <v>39</v>
      </c>
      <c r="B35" s="142" t="s">
        <v>75</v>
      </c>
      <c r="C35" s="142" t="s">
        <v>25</v>
      </c>
      <c r="D35" s="142" t="s">
        <v>25</v>
      </c>
      <c r="E35" s="142" t="s">
        <v>25</v>
      </c>
      <c r="F35" s="142" t="s">
        <v>25</v>
      </c>
      <c r="G35" s="52" t="s">
        <v>77</v>
      </c>
      <c r="H35" s="52" t="s">
        <v>76</v>
      </c>
      <c r="I35" s="52">
        <f>'MERCADO TE'!$U$32</f>
        <v>0.80500000000000171</v>
      </c>
      <c r="J35" s="18"/>
      <c r="L35" s="50">
        <f>'TR TE'!$L$35*'TR TE'!$L$48</f>
        <v>0</v>
      </c>
      <c r="M35" s="50">
        <f>'TR TE'!$M$35*'TR TE'!$M$48</f>
        <v>13.173461724956571</v>
      </c>
      <c r="N35" s="50">
        <f>'TR TE'!$N$35*'TR TE'!$N$48</f>
        <v>0</v>
      </c>
      <c r="O35" s="50">
        <f>'TR TE'!$O$35*'TR TE'!$O$48</f>
        <v>0</v>
      </c>
      <c r="P35" s="50">
        <f>SUM($L$35:$O$35)</f>
        <v>13.173461724956571</v>
      </c>
      <c r="Q35" s="50">
        <f>'TR TE'!$Q$35*'TR TE'!$Q$48</f>
        <v>167.24863457723478</v>
      </c>
      <c r="R35" s="50">
        <f>SUM($Q$35:$Q$35)</f>
        <v>167.24863457723478</v>
      </c>
      <c r="S35" s="50">
        <f>'TR TE'!$S$35*'TR TE'!$S$48</f>
        <v>0</v>
      </c>
      <c r="T35" s="50">
        <f>'TR TE'!$T$35*'TR TE'!$T$48</f>
        <v>0</v>
      </c>
      <c r="U35" s="50">
        <f>'TR TE'!$U$35*'TR TE'!$U$48</f>
        <v>0</v>
      </c>
      <c r="V35" s="50">
        <f>SUM($S$35:$U$35)</f>
        <v>0</v>
      </c>
      <c r="W35" s="50"/>
      <c r="X35" s="50">
        <f>SUM($W$35:$W$35)</f>
        <v>0</v>
      </c>
      <c r="Y35" s="50">
        <f>'TR TE'!$Y$35*'TR TE'!$Y$48</f>
        <v>1.2809614763010957</v>
      </c>
      <c r="Z35" s="50">
        <f>SUM($Y$35:$Y$35)</f>
        <v>1.2809614763010957</v>
      </c>
      <c r="AA35" s="50">
        <f>SUMIF($L$4:$Z$4,"SUBTOTAL",$L$35:$Z$35)</f>
        <v>181.70305777849245</v>
      </c>
    </row>
    <row r="36" spans="1:27" ht="11.25" customHeight="1" x14ac:dyDescent="0.25">
      <c r="A36" s="142"/>
      <c r="B36" s="142"/>
      <c r="C36" s="142"/>
      <c r="D36" s="142"/>
      <c r="E36" s="142"/>
      <c r="F36" s="142"/>
      <c r="G36" s="52" t="s">
        <v>88</v>
      </c>
      <c r="H36" s="52" t="s">
        <v>76</v>
      </c>
      <c r="I36" s="52">
        <f>'MERCADO TE'!$U$33</f>
        <v>1.23</v>
      </c>
      <c r="J36" s="18"/>
      <c r="L36" s="50">
        <f>'TR TE'!$L$36*'TR TE'!$L$48</f>
        <v>0</v>
      </c>
      <c r="M36" s="50">
        <f>'TR TE'!$M$36*'TR TE'!$M$48</f>
        <v>13.173461724956571</v>
      </c>
      <c r="N36" s="50">
        <f>'TR TE'!$N$36*'TR TE'!$N$48</f>
        <v>0</v>
      </c>
      <c r="O36" s="50">
        <f>'TR TE'!$O$36*'TR TE'!$O$48</f>
        <v>0</v>
      </c>
      <c r="P36" s="50">
        <f>SUM($L$36:$O$36)</f>
        <v>13.173461724956571</v>
      </c>
      <c r="Q36" s="50">
        <f>'TR TE'!$Q$36*'TR TE'!$Q$48</f>
        <v>167.24863457723478</v>
      </c>
      <c r="R36" s="50">
        <f>SUM($Q$36:$Q$36)</f>
        <v>167.24863457723478</v>
      </c>
      <c r="S36" s="50">
        <f>'TR TE'!$S$36*'TR TE'!$S$48</f>
        <v>0</v>
      </c>
      <c r="T36" s="50">
        <f>'TR TE'!$T$36*'TR TE'!$T$48</f>
        <v>0</v>
      </c>
      <c r="U36" s="50">
        <f>'TR TE'!$U$36*'TR TE'!$U$48</f>
        <v>0</v>
      </c>
      <c r="V36" s="50">
        <f>SUM($S$36:$U$36)</f>
        <v>0</v>
      </c>
      <c r="W36" s="50"/>
      <c r="X36" s="50">
        <f>SUM($W$36:$W$36)</f>
        <v>0</v>
      </c>
      <c r="Y36" s="50">
        <f>'TR TE'!$Y$36*'TR TE'!$Y$48</f>
        <v>1.2809614763010957</v>
      </c>
      <c r="Z36" s="50">
        <f>SUM($Y$36:$Y$36)</f>
        <v>1.2809614763010957</v>
      </c>
      <c r="AA36" s="50">
        <f>SUMIF($L$4:$Z$4,"SUBTOTAL",$L$36:$Z$36)</f>
        <v>181.70305777849245</v>
      </c>
    </row>
    <row r="37" spans="1:27" ht="11.25" customHeight="1" x14ac:dyDescent="0.25">
      <c r="A37" s="142"/>
      <c r="B37" s="142"/>
      <c r="C37" s="142"/>
      <c r="D37" s="142"/>
      <c r="E37" s="142"/>
      <c r="F37" s="142"/>
      <c r="G37" s="52" t="s">
        <v>78</v>
      </c>
      <c r="H37" s="52" t="s">
        <v>76</v>
      </c>
      <c r="I37" s="52">
        <f>'MERCADO TE'!$U$34</f>
        <v>18.96</v>
      </c>
      <c r="J37" s="18"/>
      <c r="L37" s="50">
        <f>'TR TE'!$L$37*'TR TE'!$L$48</f>
        <v>0</v>
      </c>
      <c r="M37" s="50">
        <f>'TR TE'!$M$37*'TR TE'!$M$48</f>
        <v>13.173461724956571</v>
      </c>
      <c r="N37" s="50">
        <f>'TR TE'!$N$37*'TR TE'!$N$48</f>
        <v>0</v>
      </c>
      <c r="O37" s="50">
        <f>'TR TE'!$O$37*'TR TE'!$O$48</f>
        <v>0</v>
      </c>
      <c r="P37" s="50">
        <f>SUM($L$37:$O$37)</f>
        <v>13.173461724956571</v>
      </c>
      <c r="Q37" s="50">
        <f>'TR TE'!$Q$37*'TR TE'!$Q$48</f>
        <v>167.24863457723478</v>
      </c>
      <c r="R37" s="50">
        <f>SUM($Q$37:$Q$37)</f>
        <v>167.24863457723478</v>
      </c>
      <c r="S37" s="50">
        <f>'TR TE'!$S$37*'TR TE'!$S$48</f>
        <v>0</v>
      </c>
      <c r="T37" s="50">
        <f>'TR TE'!$T$37*'TR TE'!$T$48</f>
        <v>0</v>
      </c>
      <c r="U37" s="50">
        <f>'TR TE'!$U$37*'TR TE'!$U$48</f>
        <v>0</v>
      </c>
      <c r="V37" s="50">
        <f>SUM($S$37:$U$37)</f>
        <v>0</v>
      </c>
      <c r="W37" s="50"/>
      <c r="X37" s="50">
        <f>SUM($W$37:$W$37)</f>
        <v>0</v>
      </c>
      <c r="Y37" s="50">
        <f>'TR TE'!$Y$37*'TR TE'!$Y$48</f>
        <v>1.2809614763010957</v>
      </c>
      <c r="Z37" s="50">
        <f>SUM($Y$37:$Y$37)</f>
        <v>1.2809614763010957</v>
      </c>
      <c r="AA37" s="50">
        <f>SUMIF($L$4:$Z$4,"SUBTOTAL",$L$37:$Z$37)</f>
        <v>181.70305777849245</v>
      </c>
    </row>
    <row r="38" spans="1:27" ht="11.25" customHeight="1" x14ac:dyDescent="0.25">
      <c r="A38" s="142"/>
      <c r="B38" s="53" t="s">
        <v>89</v>
      </c>
      <c r="C38" s="53" t="s">
        <v>25</v>
      </c>
      <c r="D38" s="53" t="s">
        <v>25</v>
      </c>
      <c r="E38" s="53" t="s">
        <v>25</v>
      </c>
      <c r="F38" s="53" t="s">
        <v>25</v>
      </c>
      <c r="G38" s="52" t="s">
        <v>82</v>
      </c>
      <c r="H38" s="52" t="s">
        <v>76</v>
      </c>
      <c r="I38" s="52">
        <f>'MERCADO TE'!$U$35</f>
        <v>17010.552</v>
      </c>
      <c r="J38" s="18"/>
      <c r="L38" s="50">
        <f>'TR TE'!$L$38*'TR TE'!$L$48</f>
        <v>0</v>
      </c>
      <c r="M38" s="50">
        <f>'TR TE'!$M$38*'TR TE'!$M$48</f>
        <v>13.173461724956571</v>
      </c>
      <c r="N38" s="50">
        <f>'TR TE'!$N$38*'TR TE'!$N$48</f>
        <v>0</v>
      </c>
      <c r="O38" s="50">
        <f>'TR TE'!$O$38*'TR TE'!$O$48</f>
        <v>0</v>
      </c>
      <c r="P38" s="50">
        <f>SUM($L$38:$O$38)</f>
        <v>13.173461724956571</v>
      </c>
      <c r="Q38" s="50">
        <f>'TR TE'!$Q$38*'TR TE'!$Q$48</f>
        <v>167.24863457723478</v>
      </c>
      <c r="R38" s="50">
        <f>SUM($Q$38:$Q$38)</f>
        <v>167.24863457723478</v>
      </c>
      <c r="S38" s="50">
        <f>'TR TE'!$S$38*'TR TE'!$S$48</f>
        <v>0</v>
      </c>
      <c r="T38" s="50">
        <f>'TR TE'!$T$38*'TR TE'!$T$48</f>
        <v>0</v>
      </c>
      <c r="U38" s="50">
        <f>'TR TE'!$U$38*'TR TE'!$U$48</f>
        <v>0</v>
      </c>
      <c r="V38" s="50">
        <f>SUM($S$38:$U$38)</f>
        <v>0</v>
      </c>
      <c r="W38" s="50"/>
      <c r="X38" s="50">
        <f>SUM($W$38:$W$38)</f>
        <v>0</v>
      </c>
      <c r="Y38" s="50">
        <f>'TR TE'!$Y$38*'TR TE'!$Y$48</f>
        <v>1.2809614763010957</v>
      </c>
      <c r="Z38" s="50">
        <f>SUM($Y$38:$Y$38)</f>
        <v>1.2809614763010957</v>
      </c>
      <c r="AA38" s="50">
        <f>SUMIF($L$4:$Z$4,"SUBTOTAL",$L$38:$Z$38)</f>
        <v>181.70305777849245</v>
      </c>
    </row>
    <row r="39" spans="1:27" ht="11.25" customHeight="1" x14ac:dyDescent="0.25">
      <c r="A39" s="142"/>
      <c r="B39" s="53" t="s">
        <v>90</v>
      </c>
      <c r="C39" s="53" t="s">
        <v>25</v>
      </c>
      <c r="D39" s="53" t="s">
        <v>25</v>
      </c>
      <c r="E39" s="53" t="s">
        <v>25</v>
      </c>
      <c r="F39" s="53" t="s">
        <v>25</v>
      </c>
      <c r="G39" s="52" t="s">
        <v>82</v>
      </c>
      <c r="H39" s="52" t="s">
        <v>76</v>
      </c>
      <c r="I39" s="52">
        <f>'MERCADO TE'!$U$36</f>
        <v>0</v>
      </c>
      <c r="J39" s="18"/>
      <c r="L39" s="50">
        <f>'TR TE'!$L$39*'TR TE'!$L$48</f>
        <v>0</v>
      </c>
      <c r="M39" s="50">
        <f>'TR TE'!$M$39*'TR TE'!$M$48</f>
        <v>13.173461724956571</v>
      </c>
      <c r="N39" s="50">
        <f>'TR TE'!$N$39*'TR TE'!$N$48</f>
        <v>0</v>
      </c>
      <c r="O39" s="50">
        <f>'TR TE'!$O$39*'TR TE'!$O$48</f>
        <v>0</v>
      </c>
      <c r="P39" s="50">
        <f>SUM($L$39:$O$39)</f>
        <v>13.173461724956571</v>
      </c>
      <c r="Q39" s="50">
        <f>'TR TE'!$Q$39*'TR TE'!$Q$48</f>
        <v>167.24863457723478</v>
      </c>
      <c r="R39" s="50">
        <f>SUM($Q$39:$Q$39)</f>
        <v>167.24863457723478</v>
      </c>
      <c r="S39" s="50">
        <f>'TR TE'!$S$39*'TR TE'!$S$48</f>
        <v>0</v>
      </c>
      <c r="T39" s="50">
        <f>'TR TE'!$T$39*'TR TE'!$T$48</f>
        <v>0</v>
      </c>
      <c r="U39" s="50">
        <f>'TR TE'!$U$39*'TR TE'!$U$48</f>
        <v>0</v>
      </c>
      <c r="V39" s="50">
        <f>SUM($S$39:$U$39)</f>
        <v>0</v>
      </c>
      <c r="W39" s="50"/>
      <c r="X39" s="50">
        <f>SUM($W$39:$W$39)</f>
        <v>0</v>
      </c>
      <c r="Y39" s="50">
        <f>'TR TE'!$Y$39*'TR TE'!$Y$48</f>
        <v>1.2809614763010957</v>
      </c>
      <c r="Z39" s="50">
        <f>SUM($Y$39:$Y$39)</f>
        <v>1.2809614763010957</v>
      </c>
      <c r="AA39" s="50">
        <f>SUMIF($L$4:$Z$4,"SUBTOTAL",$L$39:$Z$39)</f>
        <v>181.70305777849245</v>
      </c>
    </row>
    <row r="40" spans="1:27" ht="11.25" customHeight="1" x14ac:dyDescent="0.25">
      <c r="A40" s="142" t="s">
        <v>46</v>
      </c>
      <c r="B40" s="142" t="s">
        <v>89</v>
      </c>
      <c r="C40" s="142" t="s">
        <v>47</v>
      </c>
      <c r="D40" s="53" t="s">
        <v>48</v>
      </c>
      <c r="E40" s="53" t="s">
        <v>25</v>
      </c>
      <c r="F40" s="53" t="s">
        <v>25</v>
      </c>
      <c r="G40" s="52" t="s">
        <v>82</v>
      </c>
      <c r="H40" s="52" t="s">
        <v>76</v>
      </c>
      <c r="I40" s="52">
        <f>'MERCADO TE'!$U$37</f>
        <v>3708.9960000000001</v>
      </c>
      <c r="J40" s="18"/>
      <c r="L40" s="50">
        <f>'TR TE'!$L$40*'TR TE'!$L$48</f>
        <v>0</v>
      </c>
      <c r="M40" s="50">
        <f>'TR TE'!$M$40*'TR TE'!$M$48</f>
        <v>7.2454039487261142</v>
      </c>
      <c r="N40" s="50">
        <f>'TR TE'!$N$40*'TR TE'!$N$48</f>
        <v>0</v>
      </c>
      <c r="O40" s="50">
        <f>'TR TE'!$O$40*'TR TE'!$O$48</f>
        <v>0</v>
      </c>
      <c r="P40" s="50">
        <f>SUM($L$40:$O$40)</f>
        <v>7.2454039487261142</v>
      </c>
      <c r="Q40" s="50">
        <f>'TR TE'!$Q$40*'TR TE'!$Q$48</f>
        <v>91.986749017479141</v>
      </c>
      <c r="R40" s="50">
        <f>SUM($Q$40:$Q$40)</f>
        <v>91.986749017479141</v>
      </c>
      <c r="S40" s="50">
        <f>'TR TE'!$S$40*'TR TE'!$S$48</f>
        <v>0</v>
      </c>
      <c r="T40" s="50">
        <f>'TR TE'!$T$40*'TR TE'!$T$48</f>
        <v>0</v>
      </c>
      <c r="U40" s="50">
        <f>'TR TE'!$U$40*'TR TE'!$U$48</f>
        <v>0</v>
      </c>
      <c r="V40" s="50">
        <f>SUM($S$40:$U$40)</f>
        <v>0</v>
      </c>
      <c r="W40" s="50"/>
      <c r="X40" s="50">
        <f>SUM($W$40:$W$40)</f>
        <v>0</v>
      </c>
      <c r="Y40" s="50">
        <f>'TR TE'!$Y$40*'TR TE'!$Y$48</f>
        <v>0.70452881196560269</v>
      </c>
      <c r="Z40" s="50">
        <f>SUM($Y$40:$Y$40)</f>
        <v>0.70452881196560269</v>
      </c>
      <c r="AA40" s="50">
        <f>SUMIF($L$4:$Z$4,"SUBTOTAL",$L$40:$Z$40)</f>
        <v>99.936681778170865</v>
      </c>
    </row>
    <row r="41" spans="1:27" ht="11.25" customHeight="1" x14ac:dyDescent="0.25">
      <c r="A41" s="142"/>
      <c r="B41" s="142"/>
      <c r="C41" s="142"/>
      <c r="D41" s="52" t="s">
        <v>49</v>
      </c>
      <c r="E41" s="52" t="s">
        <v>25</v>
      </c>
      <c r="F41" s="52" t="s">
        <v>25</v>
      </c>
      <c r="G41" s="52" t="s">
        <v>82</v>
      </c>
      <c r="H41" s="52" t="s">
        <v>76</v>
      </c>
      <c r="I41" s="52">
        <f>'MERCADO TE'!$U$38</f>
        <v>336.95</v>
      </c>
      <c r="J41" s="18"/>
      <c r="L41" s="50">
        <f>'TR TE'!$L$41*'TR TE'!$L$48</f>
        <v>0</v>
      </c>
      <c r="M41" s="50">
        <f>'TR TE'!$M$41*'TR TE'!$M$48</f>
        <v>7.904077034973942</v>
      </c>
      <c r="N41" s="50">
        <f>'TR TE'!$N$41*'TR TE'!$N$48</f>
        <v>0</v>
      </c>
      <c r="O41" s="50">
        <f>'TR TE'!$O$41*'TR TE'!$O$48</f>
        <v>0</v>
      </c>
      <c r="P41" s="50">
        <f>SUM($L$41:$O$41)</f>
        <v>7.904077034973942</v>
      </c>
      <c r="Q41" s="50">
        <f>'TR TE'!$Q$41*'TR TE'!$Q$48</f>
        <v>100.34918074634086</v>
      </c>
      <c r="R41" s="50">
        <f>SUM($Q$41:$Q$41)</f>
        <v>100.34918074634086</v>
      </c>
      <c r="S41" s="50">
        <f>'TR TE'!$S$41*'TR TE'!$S$48</f>
        <v>0</v>
      </c>
      <c r="T41" s="50">
        <f>'TR TE'!$T$41*'TR TE'!$T$48</f>
        <v>0</v>
      </c>
      <c r="U41" s="50">
        <f>'TR TE'!$U$41*'TR TE'!$U$48</f>
        <v>0</v>
      </c>
      <c r="V41" s="50">
        <f>SUM($S$41:$U$41)</f>
        <v>0</v>
      </c>
      <c r="W41" s="50"/>
      <c r="X41" s="50">
        <f>SUM($W$41:$W$41)</f>
        <v>0</v>
      </c>
      <c r="Y41" s="50">
        <f>'TR TE'!$Y$41*'TR TE'!$Y$48</f>
        <v>0.76857688578065742</v>
      </c>
      <c r="Z41" s="50">
        <f>SUM($Y$41:$Y$41)</f>
        <v>0.76857688578065742</v>
      </c>
      <c r="AA41" s="50">
        <f>SUMIF($L$4:$Z$4,"SUBTOTAL",$L$41:$Z$41)</f>
        <v>109.02183466709546</v>
      </c>
    </row>
    <row r="43" spans="1:27" ht="11.25" customHeight="1" x14ac:dyDescent="0.25">
      <c r="K43" s="55" t="s">
        <v>733</v>
      </c>
      <c r="L43" s="50">
        <f t="shared" ref="L43:AA43" si="0">SUMPRODUCT($I$5:$I$41,L$5:L$41)</f>
        <v>0</v>
      </c>
      <c r="M43" s="50">
        <f t="shared" si="0"/>
        <v>1679157.6937069306</v>
      </c>
      <c r="N43" s="50">
        <f t="shared" si="0"/>
        <v>0</v>
      </c>
      <c r="O43" s="50">
        <f t="shared" si="0"/>
        <v>0</v>
      </c>
      <c r="P43" s="50">
        <f t="shared" si="0"/>
        <v>1679157.6937069306</v>
      </c>
      <c r="Q43" s="50">
        <f t="shared" si="0"/>
        <v>21318377.612188995</v>
      </c>
      <c r="R43" s="50">
        <f t="shared" si="0"/>
        <v>21318377.612188995</v>
      </c>
      <c r="S43" s="50">
        <f t="shared" si="0"/>
        <v>0</v>
      </c>
      <c r="T43" s="50">
        <f t="shared" si="0"/>
        <v>0</v>
      </c>
      <c r="U43" s="50">
        <f t="shared" si="0"/>
        <v>0</v>
      </c>
      <c r="V43" s="50">
        <f t="shared" si="0"/>
        <v>0</v>
      </c>
      <c r="W43" s="50">
        <f t="shared" si="0"/>
        <v>0</v>
      </c>
      <c r="X43" s="50">
        <f t="shared" si="0"/>
        <v>0</v>
      </c>
      <c r="Y43" s="50">
        <f t="shared" si="0"/>
        <v>163277.98745551554</v>
      </c>
      <c r="Z43" s="50">
        <f t="shared" si="0"/>
        <v>163277.98745551554</v>
      </c>
      <c r="AA43" s="50">
        <f t="shared" si="0"/>
        <v>23160813.293351445</v>
      </c>
    </row>
    <row r="44" spans="1:27" ht="11.25" customHeight="1" x14ac:dyDescent="0.25">
      <c r="K44" s="55" t="s">
        <v>658</v>
      </c>
      <c r="L44" s="50">
        <f>CUSTOS!$D$30</f>
        <v>0</v>
      </c>
      <c r="M44" s="50">
        <f>CUSTOS!$D$31</f>
        <v>1679157.6937069311</v>
      </c>
      <c r="N44" s="50">
        <f>CUSTOS!$D$32</f>
        <v>0</v>
      </c>
      <c r="O44" s="50">
        <f>CUSTOS!$D$33</f>
        <v>0</v>
      </c>
      <c r="P44" s="50">
        <f>CUSTOS!$D$34</f>
        <v>1679157.6937069311</v>
      </c>
      <c r="Q44" s="50">
        <f>CUSTOS!$D$35</f>
        <v>21318377.612188999</v>
      </c>
      <c r="R44" s="50">
        <f>CUSTOS!$D$36</f>
        <v>21318377.612188999</v>
      </c>
      <c r="S44" s="50">
        <f>CUSTOS!$D$37</f>
        <v>0</v>
      </c>
      <c r="T44" s="50">
        <f>CUSTOS!$D$38</f>
        <v>0</v>
      </c>
      <c r="U44" s="50">
        <f>CUSTOS!$D$39</f>
        <v>0</v>
      </c>
      <c r="V44" s="50">
        <f>CUSTOS!$D$40</f>
        <v>0</v>
      </c>
      <c r="W44" s="50">
        <f>CUSTOS!$D$41</f>
        <v>0</v>
      </c>
      <c r="X44" s="50">
        <f>CUSTOS!$D$42</f>
        <v>0</v>
      </c>
      <c r="Y44" s="50">
        <f>CUSTOS!$D$43</f>
        <v>163277.98745551557</v>
      </c>
      <c r="Z44" s="50">
        <f>CUSTOS!$D$44</f>
        <v>163277.98745551557</v>
      </c>
      <c r="AA44" s="50">
        <f>CUSTOS!$D$45</f>
        <v>23160813.293351445</v>
      </c>
    </row>
    <row r="45" spans="1:27" ht="11.25" customHeight="1" x14ac:dyDescent="0.25">
      <c r="K45" s="55" t="s">
        <v>659</v>
      </c>
      <c r="L45" s="50">
        <f>CUSTOS!$E$30</f>
        <v>0</v>
      </c>
      <c r="M45" s="50">
        <f>CUSTOS!$E$31</f>
        <v>69881.719465040325</v>
      </c>
      <c r="N45" s="50">
        <f>CUSTOS!$E$32</f>
        <v>0</v>
      </c>
      <c r="O45" s="50">
        <f>CUSTOS!$E$33</f>
        <v>0</v>
      </c>
      <c r="P45" s="50">
        <f>CUSTOS!$E$34</f>
        <v>69881.719465040325</v>
      </c>
      <c r="Q45" s="50">
        <f>CUSTOS!$E$35</f>
        <v>3591569.7583194454</v>
      </c>
      <c r="R45" s="50">
        <f>CUSTOS!$E$36</f>
        <v>3591569.7583194454</v>
      </c>
      <c r="S45" s="50">
        <f>CUSTOS!$E$37</f>
        <v>0</v>
      </c>
      <c r="T45" s="50">
        <f>CUSTOS!$E$38</f>
        <v>0</v>
      </c>
      <c r="U45" s="50">
        <f>CUSTOS!$E$39</f>
        <v>0</v>
      </c>
      <c r="V45" s="50">
        <f>CUSTOS!$E$40</f>
        <v>0</v>
      </c>
      <c r="W45" s="50">
        <f>CUSTOS!$E$41</f>
        <v>0</v>
      </c>
      <c r="X45" s="50">
        <f>CUSTOS!$E$42</f>
        <v>0</v>
      </c>
      <c r="Y45" s="50">
        <f>CUSTOS!$E$43</f>
        <v>27507.922629590605</v>
      </c>
      <c r="Z45" s="50">
        <f>CUSTOS!$E$44</f>
        <v>27507.922629590605</v>
      </c>
      <c r="AA45" s="50">
        <f>CUSTOS!$E$45</f>
        <v>3688959.4004140762</v>
      </c>
    </row>
    <row r="46" spans="1:27" ht="11.25" customHeight="1" x14ac:dyDescent="0.25">
      <c r="K46" s="55" t="s">
        <v>660</v>
      </c>
      <c r="L46" s="50">
        <f>CUSTOS!$F$30</f>
        <v>0</v>
      </c>
      <c r="M46" s="50">
        <f>CUSTOS!$F$31</f>
        <v>0</v>
      </c>
      <c r="N46" s="50">
        <f>CUSTOS!$F$32</f>
        <v>0</v>
      </c>
      <c r="O46" s="50">
        <f>CUSTOS!$F$33</f>
        <v>0</v>
      </c>
      <c r="P46" s="50">
        <f>CUSTOS!$F$34</f>
        <v>0</v>
      </c>
      <c r="Q46" s="50">
        <f>CUSTOS!$F$35</f>
        <v>0</v>
      </c>
      <c r="R46" s="50">
        <f>CUSTOS!$F$36</f>
        <v>0</v>
      </c>
      <c r="S46" s="50">
        <f>CUSTOS!$F$37</f>
        <v>0</v>
      </c>
      <c r="T46" s="50">
        <f>CUSTOS!$F$38</f>
        <v>0</v>
      </c>
      <c r="U46" s="50">
        <f>CUSTOS!$F$39</f>
        <v>0</v>
      </c>
      <c r="V46" s="50">
        <f>CUSTOS!$F$40</f>
        <v>0</v>
      </c>
      <c r="W46" s="50">
        <f>CUSTOS!$F$41</f>
        <v>0</v>
      </c>
      <c r="X46" s="50">
        <f>CUSTOS!$F$42</f>
        <v>0</v>
      </c>
      <c r="Y46" s="50">
        <f>CUSTOS!$F$43</f>
        <v>0</v>
      </c>
      <c r="Z46" s="50">
        <f>CUSTOS!$F$44</f>
        <v>0</v>
      </c>
      <c r="AA46" s="50">
        <f>CUSTOS!$F$45</f>
        <v>0</v>
      </c>
    </row>
    <row r="47" spans="1:27" ht="11.25" customHeight="1" x14ac:dyDescent="0.25">
      <c r="K47" s="55" t="s">
        <v>734</v>
      </c>
      <c r="L47" s="50">
        <f>'TR TE'!$L$47*L48</f>
        <v>0</v>
      </c>
      <c r="M47" s="50">
        <f>'TR TE'!$M$47*M48</f>
        <v>0.54824163334806708</v>
      </c>
      <c r="N47" s="50">
        <f>'TR TE'!$N$47*N48</f>
        <v>0</v>
      </c>
      <c r="O47" s="50">
        <f>'TR TE'!$O$47*O48</f>
        <v>0</v>
      </c>
      <c r="P47" s="50"/>
      <c r="Q47" s="50">
        <f>'TR TE'!$Q$47*Q48</f>
        <v>28.300093360710488</v>
      </c>
      <c r="R47" s="50"/>
      <c r="S47" s="50">
        <f>'TR TE'!$S$47*S48</f>
        <v>0</v>
      </c>
      <c r="T47" s="50">
        <f>'TR TE'!$T$47*T48</f>
        <v>0</v>
      </c>
      <c r="U47" s="50">
        <f>'TR TE'!$U$47*U48</f>
        <v>0</v>
      </c>
      <c r="V47" s="50"/>
      <c r="W47" s="50"/>
      <c r="X47" s="50"/>
      <c r="Y47" s="50">
        <f>'TR TE'!$Y$47*Y48</f>
        <v>0.21580734629753304</v>
      </c>
      <c r="Z47" s="50"/>
      <c r="AA47" s="50"/>
    </row>
    <row r="48" spans="1:27" ht="11.25" customHeight="1" x14ac:dyDescent="0.25">
      <c r="K48" s="55" t="s">
        <v>727</v>
      </c>
      <c r="L48" s="50">
        <f>IF(L44&lt;&gt;0,L45/L44,0)</f>
        <v>0</v>
      </c>
      <c r="M48" s="50">
        <f>IF(M44&lt;&gt;0,M45/M44,0)</f>
        <v>4.161712728169592E-2</v>
      </c>
      <c r="N48" s="50">
        <f>IF(N44&lt;&gt;0,N45/N44,0)</f>
        <v>0</v>
      </c>
      <c r="O48" s="50">
        <f>IF(O44&lt;&gt;0,O45/O44,0)</f>
        <v>0</v>
      </c>
      <c r="P48" s="50"/>
      <c r="Q48" s="50">
        <f>IF(Q44&lt;&gt;0,Q45/Q44,0)</f>
        <v>0.16847294027974855</v>
      </c>
      <c r="R48" s="50"/>
      <c r="S48" s="50">
        <f>IF(S44&lt;&gt;0,S45/S44,0)</f>
        <v>0</v>
      </c>
      <c r="T48" s="50">
        <f>IF(T44&lt;&gt;0,T45/T44,0)</f>
        <v>0</v>
      </c>
      <c r="U48" s="50">
        <f>IF(U44&lt;&gt;0,U45/U44,0)</f>
        <v>0</v>
      </c>
      <c r="V48" s="50"/>
      <c r="W48" s="50">
        <f>IF(($AA44-0)&lt;&gt;0,W45/($AA44-0),0)</f>
        <v>0</v>
      </c>
      <c r="X48" s="50"/>
      <c r="Y48" s="50">
        <f>IF(Y44&lt;&gt;0,Y45/Y44,0)</f>
        <v>0.16847294027974855</v>
      </c>
      <c r="Z48" s="50"/>
      <c r="AA48" s="50"/>
    </row>
    <row r="49" spans="11:27" ht="11.25" customHeight="1" x14ac:dyDescent="0.25">
      <c r="K49" s="55" t="s">
        <v>736</v>
      </c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</row>
  </sheetData>
  <mergeCells count="61">
    <mergeCell ref="E35:E37"/>
    <mergeCell ref="F35:F37"/>
    <mergeCell ref="A40:A41"/>
    <mergeCell ref="B40:B41"/>
    <mergeCell ref="C40:C41"/>
    <mergeCell ref="D35:D37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A7:A19"/>
    <mergeCell ref="B7:B9"/>
    <mergeCell ref="C7:C9"/>
    <mergeCell ref="D7:D9"/>
    <mergeCell ref="E7:E9"/>
    <mergeCell ref="F7:F9"/>
    <mergeCell ref="B10:B14"/>
    <mergeCell ref="C10:C14"/>
    <mergeCell ref="B15:B19"/>
    <mergeCell ref="C15:C19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</mergeCells>
  <conditionalFormatting sqref="L43">
    <cfRule type="cellIs" dxfId="915" priority="31" operator="notEqual">
      <formula>$L$44</formula>
    </cfRule>
    <cfRule type="cellIs" dxfId="914" priority="32" operator="equal">
      <formula>$L$44</formula>
    </cfRule>
  </conditionalFormatting>
  <conditionalFormatting sqref="M43">
    <cfRule type="cellIs" dxfId="913" priority="29" operator="notEqual">
      <formula>$M$44</formula>
    </cfRule>
    <cfRule type="cellIs" dxfId="912" priority="30" operator="equal">
      <formula>$M$44</formula>
    </cfRule>
  </conditionalFormatting>
  <conditionalFormatting sqref="N43">
    <cfRule type="cellIs" dxfId="911" priority="27" operator="notEqual">
      <formula>$N$44</formula>
    </cfRule>
    <cfRule type="cellIs" dxfId="910" priority="28" operator="equal">
      <formula>$N$44</formula>
    </cfRule>
  </conditionalFormatting>
  <conditionalFormatting sqref="O43">
    <cfRule type="cellIs" dxfId="909" priority="25" operator="notEqual">
      <formula>$O$44</formula>
    </cfRule>
    <cfRule type="cellIs" dxfId="908" priority="26" operator="equal">
      <formula>$O$44</formula>
    </cfRule>
  </conditionalFormatting>
  <conditionalFormatting sqref="P43">
    <cfRule type="cellIs" dxfId="907" priority="23" operator="notEqual">
      <formula>$P$44</formula>
    </cfRule>
    <cfRule type="cellIs" dxfId="906" priority="24" operator="equal">
      <formula>$P$44</formula>
    </cfRule>
  </conditionalFormatting>
  <conditionalFormatting sqref="Q43">
    <cfRule type="cellIs" dxfId="905" priority="21" operator="notEqual">
      <formula>$Q$44</formula>
    </cfRule>
    <cfRule type="cellIs" dxfId="904" priority="22" operator="equal">
      <formula>$Q$44</formula>
    </cfRule>
  </conditionalFormatting>
  <conditionalFormatting sqref="R43">
    <cfRule type="cellIs" dxfId="903" priority="19" operator="notEqual">
      <formula>$R$44</formula>
    </cfRule>
    <cfRule type="cellIs" dxfId="902" priority="20" operator="equal">
      <formula>$R$44</formula>
    </cfRule>
  </conditionalFormatting>
  <conditionalFormatting sqref="S43">
    <cfRule type="cellIs" dxfId="901" priority="17" operator="notEqual">
      <formula>$S$44</formula>
    </cfRule>
    <cfRule type="cellIs" dxfId="900" priority="18" operator="equal">
      <formula>$S$44</formula>
    </cfRule>
  </conditionalFormatting>
  <conditionalFormatting sqref="T43">
    <cfRule type="cellIs" dxfId="899" priority="15" operator="notEqual">
      <formula>$T$44</formula>
    </cfRule>
    <cfRule type="cellIs" dxfId="898" priority="16" operator="equal">
      <formula>$T$44</formula>
    </cfRule>
  </conditionalFormatting>
  <conditionalFormatting sqref="U43">
    <cfRule type="cellIs" dxfId="897" priority="13" operator="notEqual">
      <formula>$U$44</formula>
    </cfRule>
    <cfRule type="cellIs" dxfId="896" priority="14" operator="equal">
      <formula>$U$44</formula>
    </cfRule>
  </conditionalFormatting>
  <conditionalFormatting sqref="V43">
    <cfRule type="cellIs" dxfId="895" priority="11" operator="notEqual">
      <formula>$V$44</formula>
    </cfRule>
    <cfRule type="cellIs" dxfId="894" priority="12" operator="equal">
      <formula>$V$44</formula>
    </cfRule>
  </conditionalFormatting>
  <conditionalFormatting sqref="W43">
    <cfRule type="cellIs" dxfId="893" priority="9" operator="notEqual">
      <formula>$W$44</formula>
    </cfRule>
    <cfRule type="cellIs" dxfId="892" priority="10" operator="equal">
      <formula>$W$44</formula>
    </cfRule>
  </conditionalFormatting>
  <conditionalFormatting sqref="X43">
    <cfRule type="cellIs" dxfId="891" priority="7" operator="notEqual">
      <formula>$X$44</formula>
    </cfRule>
    <cfRule type="cellIs" dxfId="890" priority="8" operator="equal">
      <formula>$X$44</formula>
    </cfRule>
  </conditionalFormatting>
  <conditionalFormatting sqref="Y43">
    <cfRule type="cellIs" dxfId="889" priority="5" operator="notEqual">
      <formula>$Y$44</formula>
    </cfRule>
    <cfRule type="cellIs" dxfId="888" priority="6" operator="equal">
      <formula>$Y$44</formula>
    </cfRule>
  </conditionalFormatting>
  <conditionalFormatting sqref="Z43">
    <cfRule type="cellIs" dxfId="887" priority="3" operator="notEqual">
      <formula>$Z$44</formula>
    </cfRule>
    <cfRule type="cellIs" dxfId="886" priority="4" operator="equal">
      <formula>$Z$44</formula>
    </cfRule>
  </conditionalFormatting>
  <conditionalFormatting sqref="AA43">
    <cfRule type="cellIs" dxfId="885" priority="1" operator="notEqual">
      <formula>$AA$44</formula>
    </cfRule>
    <cfRule type="cellIs" dxfId="884" priority="2" operator="equal">
      <formula>$AA$44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D0C76-B90C-44E9-9FFA-92AAC598A2FD}">
  <dimension ref="A1:AA49"/>
  <sheetViews>
    <sheetView showGridLines="0" topLeftCell="L1" workbookViewId="0">
      <selection activeCell="AA43" sqref="AA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0.855468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41" t="s">
        <v>66</v>
      </c>
      <c r="B1" s="141" t="s">
        <v>67</v>
      </c>
      <c r="C1" s="141" t="s">
        <v>68</v>
      </c>
      <c r="D1" s="141" t="s">
        <v>69</v>
      </c>
      <c r="E1" s="141" t="s">
        <v>70</v>
      </c>
      <c r="F1" s="141" t="s">
        <v>15</v>
      </c>
      <c r="G1" s="141" t="s">
        <v>72</v>
      </c>
      <c r="H1" s="141" t="s">
        <v>73</v>
      </c>
      <c r="I1" s="141" t="s">
        <v>717</v>
      </c>
      <c r="J1" s="126"/>
      <c r="L1" s="139" t="s">
        <v>738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</row>
    <row r="2" spans="1:27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6"/>
      <c r="L2" s="139" t="s">
        <v>645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</row>
    <row r="3" spans="1:27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6"/>
      <c r="L3" s="139" t="s">
        <v>618</v>
      </c>
      <c r="M3" s="139"/>
      <c r="N3" s="139"/>
      <c r="O3" s="139"/>
      <c r="P3" s="139"/>
      <c r="Q3" s="139" t="s">
        <v>648</v>
      </c>
      <c r="R3" s="139"/>
      <c r="S3" s="139" t="s">
        <v>627</v>
      </c>
      <c r="T3" s="139"/>
      <c r="U3" s="139"/>
      <c r="V3" s="139"/>
      <c r="W3" s="139" t="s">
        <v>637</v>
      </c>
      <c r="X3" s="139"/>
      <c r="Y3" s="139" t="s">
        <v>640</v>
      </c>
      <c r="Z3" s="139"/>
      <c r="AA3" s="139" t="s">
        <v>626</v>
      </c>
    </row>
    <row r="4" spans="1:27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6"/>
      <c r="L4" s="56" t="s">
        <v>620</v>
      </c>
      <c r="M4" s="56" t="s">
        <v>646</v>
      </c>
      <c r="N4" s="56" t="s">
        <v>647</v>
      </c>
      <c r="O4" s="56" t="s">
        <v>705</v>
      </c>
      <c r="P4" s="56" t="s">
        <v>626</v>
      </c>
      <c r="Q4" s="56" t="s">
        <v>649</v>
      </c>
      <c r="R4" s="56" t="s">
        <v>626</v>
      </c>
      <c r="S4" s="56" t="s">
        <v>650</v>
      </c>
      <c r="T4" s="56" t="s">
        <v>651</v>
      </c>
      <c r="U4" s="56" t="s">
        <v>652</v>
      </c>
      <c r="V4" s="56" t="s">
        <v>626</v>
      </c>
      <c r="W4" s="56" t="s">
        <v>638</v>
      </c>
      <c r="X4" s="56" t="s">
        <v>626</v>
      </c>
      <c r="Y4" s="56" t="s">
        <v>653</v>
      </c>
      <c r="Z4" s="56" t="s">
        <v>626</v>
      </c>
      <c r="AA4" s="140"/>
    </row>
    <row r="5" spans="1:27" ht="11.25" customHeight="1" x14ac:dyDescent="0.25">
      <c r="A5" s="142" t="s">
        <v>33</v>
      </c>
      <c r="B5" s="142" t="s">
        <v>75</v>
      </c>
      <c r="C5" s="142" t="s">
        <v>25</v>
      </c>
      <c r="D5" s="142" t="s">
        <v>25</v>
      </c>
      <c r="E5" s="142" t="s">
        <v>25</v>
      </c>
      <c r="F5" s="142" t="s">
        <v>25</v>
      </c>
      <c r="G5" s="52" t="s">
        <v>77</v>
      </c>
      <c r="H5" s="52" t="s">
        <v>76</v>
      </c>
      <c r="I5" s="52">
        <f>'MERCADO TE'!$U$2</f>
        <v>2264.5189999999998</v>
      </c>
      <c r="J5" s="18"/>
      <c r="L5" s="50">
        <f>'TE BE'!$L$5*'TE BE'!$L$48</f>
        <v>0</v>
      </c>
      <c r="M5" s="50">
        <f>'TE BE'!$M$5*'TE BE'!$M$48</f>
        <v>0.54824163334806708</v>
      </c>
      <c r="N5" s="50">
        <f>'TE BE'!$N$5*'TE BE'!$N$48</f>
        <v>0</v>
      </c>
      <c r="O5" s="50">
        <f>'TE BE'!$O$5*'TE BE'!$O$48</f>
        <v>0</v>
      </c>
      <c r="P5" s="50">
        <f>SUM($L$5:$O$5)</f>
        <v>0.54824163334806708</v>
      </c>
      <c r="Q5" s="50">
        <f>'TE BE'!$Q$5*'TE BE'!$Q$48</f>
        <v>28.176869224999962</v>
      </c>
      <c r="R5" s="50">
        <f>SUM($Q$5:$Q$5)</f>
        <v>28.176869224999962</v>
      </c>
      <c r="S5" s="50">
        <f>'TE BE'!$S$5*'TE BE'!$S$48</f>
        <v>0</v>
      </c>
      <c r="T5" s="50">
        <f>'TE BE'!$T$5*'TE BE'!$T$48</f>
        <v>0</v>
      </c>
      <c r="U5" s="50">
        <f>'TE BE'!$U$5*'TE BE'!$U$48</f>
        <v>0</v>
      </c>
      <c r="V5" s="50">
        <f>SUM($S$5:$U$5)</f>
        <v>0</v>
      </c>
      <c r="W5" s="50">
        <f>'TE BE'!$AA$5*'TE BE'!$W$48</f>
        <v>0</v>
      </c>
      <c r="X5" s="50">
        <f>SUM($W$5:$W$5)</f>
        <v>0</v>
      </c>
      <c r="Y5" s="50">
        <f>'TE BE'!$Y$5*'TE BE'!$Y$48</f>
        <v>0.21580734629753304</v>
      </c>
      <c r="Z5" s="50">
        <f>SUM($Y$5:$Y$5)</f>
        <v>0.21580734629753304</v>
      </c>
      <c r="AA5" s="50">
        <f>SUMIF($L$4:$Z$4,"SUBTOTAL",$L$5:$Z$5)</f>
        <v>28.940918204645563</v>
      </c>
    </row>
    <row r="6" spans="1:27" ht="11.25" customHeight="1" x14ac:dyDescent="0.25">
      <c r="A6" s="142"/>
      <c r="B6" s="142"/>
      <c r="C6" s="142"/>
      <c r="D6" s="142"/>
      <c r="E6" s="142"/>
      <c r="F6" s="142"/>
      <c r="G6" s="52" t="s">
        <v>78</v>
      </c>
      <c r="H6" s="52" t="s">
        <v>76</v>
      </c>
      <c r="I6" s="52">
        <f>'MERCADO TE'!$U$3</f>
        <v>42745.164999999994</v>
      </c>
      <c r="J6" s="18"/>
      <c r="L6" s="50">
        <f>'TE BE'!$L$6*'TE BE'!$L$48</f>
        <v>0</v>
      </c>
      <c r="M6" s="50">
        <f>'TE BE'!$M$6*'TE BE'!$M$48</f>
        <v>0.54824163334806708</v>
      </c>
      <c r="N6" s="50">
        <f>'TE BE'!$N$6*'TE BE'!$N$48</f>
        <v>0</v>
      </c>
      <c r="O6" s="50">
        <f>'TE BE'!$O$6*'TE BE'!$O$48</f>
        <v>0</v>
      </c>
      <c r="P6" s="50">
        <f>SUM($L$6:$O$6)</f>
        <v>0.54824163334806708</v>
      </c>
      <c r="Q6" s="50">
        <f>'TE BE'!$Q$6*'TE BE'!$Q$48</f>
        <v>28.176869224999962</v>
      </c>
      <c r="R6" s="50">
        <f>SUM($Q$6:$Q$6)</f>
        <v>28.176869224999962</v>
      </c>
      <c r="S6" s="50">
        <f>'TE BE'!$S$6*'TE BE'!$S$48</f>
        <v>0</v>
      </c>
      <c r="T6" s="50">
        <f>'TE BE'!$T$6*'TE BE'!$T$48</f>
        <v>0</v>
      </c>
      <c r="U6" s="50">
        <f>'TE BE'!$U$6*'TE BE'!$U$48</f>
        <v>0</v>
      </c>
      <c r="V6" s="50">
        <f>SUM($S$6:$U$6)</f>
        <v>0</v>
      </c>
      <c r="W6" s="50">
        <f>'TE BE'!$AA$6*'TE BE'!$W$48</f>
        <v>0</v>
      </c>
      <c r="X6" s="50">
        <f>SUM($W$6:$W$6)</f>
        <v>0</v>
      </c>
      <c r="Y6" s="50">
        <f>'TE BE'!$Y$6*'TE BE'!$Y$48</f>
        <v>0.21580734629753304</v>
      </c>
      <c r="Z6" s="50">
        <f>SUM($Y$6:$Y$6)</f>
        <v>0.21580734629753304</v>
      </c>
      <c r="AA6" s="50">
        <f>SUMIF($L$4:$Z$4,"SUBTOTAL",$L$6:$Z$6)</f>
        <v>28.940918204645563</v>
      </c>
    </row>
    <row r="7" spans="1:27" ht="11.25" customHeight="1" x14ac:dyDescent="0.25">
      <c r="A7" s="142" t="s">
        <v>22</v>
      </c>
      <c r="B7" s="142" t="s">
        <v>75</v>
      </c>
      <c r="C7" s="142" t="s">
        <v>24</v>
      </c>
      <c r="D7" s="142" t="s">
        <v>24</v>
      </c>
      <c r="E7" s="142" t="s">
        <v>25</v>
      </c>
      <c r="F7" s="142" t="s">
        <v>25</v>
      </c>
      <c r="G7" s="52" t="s">
        <v>77</v>
      </c>
      <c r="H7" s="52" t="s">
        <v>76</v>
      </c>
      <c r="I7" s="52">
        <f>'MERCADO TE'!$U$4</f>
        <v>4.6139999999999999</v>
      </c>
      <c r="J7" s="18"/>
      <c r="L7" s="50">
        <f>'TE BE'!$L$7*'TE BE'!$L$48</f>
        <v>0</v>
      </c>
      <c r="M7" s="50">
        <f>'TE BE'!$M$7*'TE BE'!$M$48</f>
        <v>0.54824163334806708</v>
      </c>
      <c r="N7" s="50">
        <f>'TE BE'!$N$7*'TE BE'!$N$48</f>
        <v>0</v>
      </c>
      <c r="O7" s="50">
        <f>'TE BE'!$O$7*'TE BE'!$O$48</f>
        <v>0</v>
      </c>
      <c r="P7" s="50">
        <f>SUM($L$7:$O$7)</f>
        <v>0.54824163334806708</v>
      </c>
      <c r="Q7" s="50">
        <f>'TE BE'!$Q$7*'TE BE'!$Q$48</f>
        <v>28.176869224999962</v>
      </c>
      <c r="R7" s="50">
        <f>SUM($Q$7:$Q$7)</f>
        <v>28.176869224999962</v>
      </c>
      <c r="S7" s="50">
        <f>'TE BE'!$S$7*'TE BE'!$S$48</f>
        <v>0</v>
      </c>
      <c r="T7" s="50">
        <f>'TE BE'!$T$7*'TE BE'!$T$48</f>
        <v>0</v>
      </c>
      <c r="U7" s="50">
        <f>'TE BE'!$U$7*'TE BE'!$U$48</f>
        <v>0</v>
      </c>
      <c r="V7" s="50">
        <f>SUM($S$7:$U$7)</f>
        <v>0</v>
      </c>
      <c r="W7" s="50">
        <f>'TE BE'!$AA$7*'TE BE'!$W$48</f>
        <v>0</v>
      </c>
      <c r="X7" s="50">
        <f>SUM($W$7:$W$7)</f>
        <v>0</v>
      </c>
      <c r="Y7" s="50">
        <f>'TE BE'!$Y$7*'TE BE'!$Y$48</f>
        <v>0.21580734629753304</v>
      </c>
      <c r="Z7" s="50">
        <f>SUM($Y$7:$Y$7)</f>
        <v>0.21580734629753304</v>
      </c>
      <c r="AA7" s="50">
        <f>SUMIF($L$4:$Z$4,"SUBTOTAL",$L$7:$Z$7)</f>
        <v>28.940918204645563</v>
      </c>
    </row>
    <row r="8" spans="1:27" ht="11.25" customHeight="1" x14ac:dyDescent="0.25">
      <c r="A8" s="142"/>
      <c r="B8" s="142"/>
      <c r="C8" s="142"/>
      <c r="D8" s="142"/>
      <c r="E8" s="142"/>
      <c r="F8" s="142"/>
      <c r="G8" s="52" t="s">
        <v>88</v>
      </c>
      <c r="H8" s="52" t="s">
        <v>76</v>
      </c>
      <c r="I8" s="52">
        <f>'MERCADO TE'!$U$5</f>
        <v>7.0189999999999992</v>
      </c>
      <c r="J8" s="18"/>
      <c r="L8" s="50">
        <f>'TE BE'!$L$8*'TE BE'!$L$48</f>
        <v>0</v>
      </c>
      <c r="M8" s="50">
        <f>'TE BE'!$M$8*'TE BE'!$M$48</f>
        <v>0.54824163334806708</v>
      </c>
      <c r="N8" s="50">
        <f>'TE BE'!$N$8*'TE BE'!$N$48</f>
        <v>0</v>
      </c>
      <c r="O8" s="50">
        <f>'TE BE'!$O$8*'TE BE'!$O$48</f>
        <v>0</v>
      </c>
      <c r="P8" s="50">
        <f>SUM($L$8:$O$8)</f>
        <v>0.54824163334806708</v>
      </c>
      <c r="Q8" s="50">
        <f>'TE BE'!$Q$8*'TE BE'!$Q$48</f>
        <v>28.176869224999962</v>
      </c>
      <c r="R8" s="50">
        <f>SUM($Q$8:$Q$8)</f>
        <v>28.176869224999962</v>
      </c>
      <c r="S8" s="50">
        <f>'TE BE'!$S$8*'TE BE'!$S$48</f>
        <v>0</v>
      </c>
      <c r="T8" s="50">
        <f>'TE BE'!$T$8*'TE BE'!$T$48</f>
        <v>0</v>
      </c>
      <c r="U8" s="50">
        <f>'TE BE'!$U$8*'TE BE'!$U$48</f>
        <v>0</v>
      </c>
      <c r="V8" s="50">
        <f>SUM($S$8:$U$8)</f>
        <v>0</v>
      </c>
      <c r="W8" s="50">
        <f>'TE BE'!$AA$8*'TE BE'!$W$48</f>
        <v>0</v>
      </c>
      <c r="X8" s="50">
        <f>SUM($W$8:$W$8)</f>
        <v>0</v>
      </c>
      <c r="Y8" s="50">
        <f>'TE BE'!$Y$8*'TE BE'!$Y$48</f>
        <v>0.21580734629753304</v>
      </c>
      <c r="Z8" s="50">
        <f>SUM($Y$8:$Y$8)</f>
        <v>0.21580734629753304</v>
      </c>
      <c r="AA8" s="50">
        <f>SUMIF($L$4:$Z$4,"SUBTOTAL",$L$8:$Z$8)</f>
        <v>28.940918204645563</v>
      </c>
    </row>
    <row r="9" spans="1:27" ht="11.25" customHeight="1" x14ac:dyDescent="0.25">
      <c r="A9" s="142"/>
      <c r="B9" s="142"/>
      <c r="C9" s="142"/>
      <c r="D9" s="142"/>
      <c r="E9" s="142"/>
      <c r="F9" s="142"/>
      <c r="G9" s="52" t="s">
        <v>78</v>
      </c>
      <c r="H9" s="52" t="s">
        <v>76</v>
      </c>
      <c r="I9" s="52">
        <f>'MERCADO TE'!$U$6</f>
        <v>29.872</v>
      </c>
      <c r="J9" s="18"/>
      <c r="L9" s="50">
        <f>'TE BE'!$L$9*'TE BE'!$L$48</f>
        <v>0</v>
      </c>
      <c r="M9" s="50">
        <f>'TE BE'!$M$9*'TE BE'!$M$48</f>
        <v>0.54824163334806708</v>
      </c>
      <c r="N9" s="50">
        <f>'TE BE'!$N$9*'TE BE'!$N$48</f>
        <v>0</v>
      </c>
      <c r="O9" s="50">
        <f>'TE BE'!$O$9*'TE BE'!$O$48</f>
        <v>0</v>
      </c>
      <c r="P9" s="50">
        <f>SUM($L$9:$O$9)</f>
        <v>0.54824163334806708</v>
      </c>
      <c r="Q9" s="50">
        <f>'TE BE'!$Q$9*'TE BE'!$Q$48</f>
        <v>28.176869224999962</v>
      </c>
      <c r="R9" s="50">
        <f>SUM($Q$9:$Q$9)</f>
        <v>28.176869224999962</v>
      </c>
      <c r="S9" s="50">
        <f>'TE BE'!$S$9*'TE BE'!$S$48</f>
        <v>0</v>
      </c>
      <c r="T9" s="50">
        <f>'TE BE'!$T$9*'TE BE'!$T$48</f>
        <v>0</v>
      </c>
      <c r="U9" s="50">
        <f>'TE BE'!$U$9*'TE BE'!$U$48</f>
        <v>0</v>
      </c>
      <c r="V9" s="50">
        <f>SUM($S$9:$U$9)</f>
        <v>0</v>
      </c>
      <c r="W9" s="50">
        <f>'TE BE'!$AA$9*'TE BE'!$W$48</f>
        <v>0</v>
      </c>
      <c r="X9" s="50">
        <f>SUM($W$9:$W$9)</f>
        <v>0</v>
      </c>
      <c r="Y9" s="50">
        <f>'TE BE'!$Y$9*'TE BE'!$Y$48</f>
        <v>0.21580734629753304</v>
      </c>
      <c r="Z9" s="50">
        <f>SUM($Y$9:$Y$9)</f>
        <v>0.21580734629753304</v>
      </c>
      <c r="AA9" s="50">
        <f>SUMIF($L$4:$Z$4,"SUBTOTAL",$L$9:$Z$9)</f>
        <v>28.940918204645563</v>
      </c>
    </row>
    <row r="10" spans="1:27" ht="11.25" customHeight="1" x14ac:dyDescent="0.25">
      <c r="A10" s="142"/>
      <c r="B10" s="142" t="s">
        <v>89</v>
      </c>
      <c r="C10" s="142" t="s">
        <v>24</v>
      </c>
      <c r="D10" s="58" t="s">
        <v>24</v>
      </c>
      <c r="E10" s="58" t="s">
        <v>25</v>
      </c>
      <c r="F10" s="58" t="s">
        <v>25</v>
      </c>
      <c r="G10" s="52" t="s">
        <v>82</v>
      </c>
      <c r="H10" s="52" t="s">
        <v>76</v>
      </c>
      <c r="I10" s="52">
        <f>'MERCADO TE'!$U$7</f>
        <v>25648.588</v>
      </c>
      <c r="J10" s="18"/>
      <c r="L10" s="50">
        <f>'TE BE'!$L$10*'TE BE'!$L$48</f>
        <v>0</v>
      </c>
      <c r="M10" s="50">
        <f>'TE BE'!$M$10*'TE BE'!$M$48</f>
        <v>0.54824163334806708</v>
      </c>
      <c r="N10" s="50">
        <f>'TE BE'!$N$10*'TE BE'!$N$48</f>
        <v>0</v>
      </c>
      <c r="O10" s="50">
        <f>'TE BE'!$O$10*'TE BE'!$O$48</f>
        <v>0</v>
      </c>
      <c r="P10" s="50">
        <f>SUM($L$10:$O$10)</f>
        <v>0.54824163334806708</v>
      </c>
      <c r="Q10" s="50">
        <f>'TE BE'!$Q$10*'TE BE'!$Q$48</f>
        <v>28.176869224999962</v>
      </c>
      <c r="R10" s="50">
        <f>SUM($Q$10:$Q$10)</f>
        <v>28.176869224999962</v>
      </c>
      <c r="S10" s="50">
        <f>'TE BE'!$S$10*'TE BE'!$S$48</f>
        <v>0</v>
      </c>
      <c r="T10" s="50">
        <f>'TE BE'!$T$10*'TE BE'!$T$48</f>
        <v>0</v>
      </c>
      <c r="U10" s="50">
        <f>'TE BE'!$U$10*'TE BE'!$U$48</f>
        <v>0</v>
      </c>
      <c r="V10" s="50">
        <f>SUM($S$10:$U$10)</f>
        <v>0</v>
      </c>
      <c r="W10" s="50">
        <f>'TE BE'!$AA$10*'TE BE'!$W$48</f>
        <v>0</v>
      </c>
      <c r="X10" s="50">
        <f>SUM($W$10:$W$10)</f>
        <v>0</v>
      </c>
      <c r="Y10" s="50">
        <f>'TE BE'!$Y$10*'TE BE'!$Y$48</f>
        <v>0.21580734629753304</v>
      </c>
      <c r="Z10" s="50">
        <f>SUM($Y$10:$Y$10)</f>
        <v>0.21580734629753304</v>
      </c>
      <c r="AA10" s="50">
        <f>SUMIF($L$4:$Z$4,"SUBTOTAL",$L$10:$Z$10)</f>
        <v>28.940918204645563</v>
      </c>
    </row>
    <row r="11" spans="1:27" ht="11.25" customHeight="1" x14ac:dyDescent="0.25">
      <c r="A11" s="142"/>
      <c r="B11" s="142"/>
      <c r="C11" s="142"/>
      <c r="D11" s="58" t="s">
        <v>29</v>
      </c>
      <c r="E11" s="58" t="s">
        <v>25</v>
      </c>
      <c r="F11" s="58" t="s">
        <v>25</v>
      </c>
      <c r="G11" s="52" t="s">
        <v>82</v>
      </c>
      <c r="H11" s="52" t="s">
        <v>76</v>
      </c>
      <c r="I11" s="52">
        <f>'MERCADO TE'!$U$8</f>
        <v>203.58</v>
      </c>
      <c r="J11" s="18"/>
      <c r="L11" s="50">
        <f>'TE BE'!$L$11*'TE BE'!$L$48</f>
        <v>0</v>
      </c>
      <c r="M11" s="50">
        <f>'TE BE'!$M$11*'TE BE'!$M$48</f>
        <v>0.54824163334806708</v>
      </c>
      <c r="N11" s="50">
        <f>'TE BE'!$N$11*'TE BE'!$N$48</f>
        <v>0</v>
      </c>
      <c r="O11" s="50">
        <f>'TE BE'!$O$11*'TE BE'!$O$48</f>
        <v>0</v>
      </c>
      <c r="P11" s="50">
        <f>SUM($L$11:$O$11)</f>
        <v>0.54824163334806708</v>
      </c>
      <c r="Q11" s="50">
        <f>'TE BE'!$Q$11*'TE BE'!$Q$48</f>
        <v>28.176869224999962</v>
      </c>
      <c r="R11" s="50">
        <f>SUM($Q$11:$Q$11)</f>
        <v>28.176869224999962</v>
      </c>
      <c r="S11" s="50">
        <f>'TE BE'!$S$11*'TE BE'!$S$48</f>
        <v>0</v>
      </c>
      <c r="T11" s="50">
        <f>'TE BE'!$T$11*'TE BE'!$T$48</f>
        <v>0</v>
      </c>
      <c r="U11" s="50">
        <f>'TE BE'!$U$11*'TE BE'!$U$48</f>
        <v>0</v>
      </c>
      <c r="V11" s="50">
        <f>SUM($S$11:$U$11)</f>
        <v>0</v>
      </c>
      <c r="W11" s="50">
        <f>'TE BE'!$AA$11*'TE BE'!$W$48</f>
        <v>0</v>
      </c>
      <c r="X11" s="50">
        <f>SUM($W$11:$W$11)</f>
        <v>0</v>
      </c>
      <c r="Y11" s="50">
        <f>'TE BE'!$Y$11*'TE BE'!$Y$48</f>
        <v>0.21580734629753304</v>
      </c>
      <c r="Z11" s="50">
        <f>SUM($Y$11:$Y$11)</f>
        <v>0.21580734629753304</v>
      </c>
      <c r="AA11" s="50">
        <f>SUMIF($L$4:$Z$4,"SUBTOTAL",$L$11:$Z$11)</f>
        <v>28.940918204645563</v>
      </c>
    </row>
    <row r="12" spans="1:27" ht="11.25" customHeight="1" x14ac:dyDescent="0.25">
      <c r="A12" s="142"/>
      <c r="B12" s="142"/>
      <c r="C12" s="142"/>
      <c r="D12" s="58" t="s">
        <v>30</v>
      </c>
      <c r="E12" s="58" t="s">
        <v>25</v>
      </c>
      <c r="F12" s="58" t="s">
        <v>25</v>
      </c>
      <c r="G12" s="52" t="s">
        <v>82</v>
      </c>
      <c r="H12" s="52" t="s">
        <v>76</v>
      </c>
      <c r="I12" s="52">
        <f>'MERCADO TE'!$U$9</f>
        <v>441.75700000000001</v>
      </c>
      <c r="J12" s="18"/>
      <c r="L12" s="50">
        <f>'TE BE'!$L$12*'TE BE'!$L$48</f>
        <v>0</v>
      </c>
      <c r="M12" s="50">
        <f>'TE BE'!$M$12*'TE BE'!$M$48</f>
        <v>0.54824163334806708</v>
      </c>
      <c r="N12" s="50">
        <f>'TE BE'!$N$12*'TE BE'!$N$48</f>
        <v>0</v>
      </c>
      <c r="O12" s="50">
        <f>'TE BE'!$O$12*'TE BE'!$O$48</f>
        <v>0</v>
      </c>
      <c r="P12" s="50">
        <f>SUM($L$12:$O$12)</f>
        <v>0.54824163334806708</v>
      </c>
      <c r="Q12" s="50">
        <f>'TE BE'!$Q$12*'TE BE'!$Q$48</f>
        <v>28.176869224999962</v>
      </c>
      <c r="R12" s="50">
        <f>SUM($Q$12:$Q$12)</f>
        <v>28.176869224999962</v>
      </c>
      <c r="S12" s="50">
        <f>'TE BE'!$S$12*'TE BE'!$S$48</f>
        <v>0</v>
      </c>
      <c r="T12" s="50">
        <f>'TE BE'!$T$12*'TE BE'!$T$48</f>
        <v>0</v>
      </c>
      <c r="U12" s="50">
        <f>'TE BE'!$U$12*'TE BE'!$U$48</f>
        <v>0</v>
      </c>
      <c r="V12" s="50">
        <f>SUM($S$12:$U$12)</f>
        <v>0</v>
      </c>
      <c r="W12" s="50">
        <f>'TE BE'!$AA$12*'TE BE'!$W$48</f>
        <v>0</v>
      </c>
      <c r="X12" s="50">
        <f>SUM($W$12:$W$12)</f>
        <v>0</v>
      </c>
      <c r="Y12" s="50">
        <f>'TE BE'!$Y$12*'TE BE'!$Y$48</f>
        <v>0.21580734629753304</v>
      </c>
      <c r="Z12" s="50">
        <f>SUM($Y$12:$Y$12)</f>
        <v>0.21580734629753304</v>
      </c>
      <c r="AA12" s="50">
        <f>SUMIF($L$4:$Z$4,"SUBTOTAL",$L$12:$Z$12)</f>
        <v>28.940918204645563</v>
      </c>
    </row>
    <row r="13" spans="1:27" ht="11.25" customHeight="1" x14ac:dyDescent="0.25">
      <c r="A13" s="142"/>
      <c r="B13" s="142"/>
      <c r="C13" s="142"/>
      <c r="D13" s="58" t="s">
        <v>31</v>
      </c>
      <c r="E13" s="58" t="s">
        <v>25</v>
      </c>
      <c r="F13" s="58" t="s">
        <v>25</v>
      </c>
      <c r="G13" s="52" t="s">
        <v>82</v>
      </c>
      <c r="H13" s="52" t="s">
        <v>76</v>
      </c>
      <c r="I13" s="52">
        <f>'MERCADO TE'!$U$10</f>
        <v>380.55199999999996</v>
      </c>
      <c r="J13" s="18"/>
      <c r="L13" s="50">
        <f>'TE BE'!$L$13*'TE BE'!$L$48</f>
        <v>0</v>
      </c>
      <c r="M13" s="50">
        <f>'TE BE'!$M$13*'TE BE'!$M$48</f>
        <v>0.54824163334806708</v>
      </c>
      <c r="N13" s="50">
        <f>'TE BE'!$N$13*'TE BE'!$N$48</f>
        <v>0</v>
      </c>
      <c r="O13" s="50">
        <f>'TE BE'!$O$13*'TE BE'!$O$48</f>
        <v>0</v>
      </c>
      <c r="P13" s="50">
        <f>SUM($L$13:$O$13)</f>
        <v>0.54824163334806708</v>
      </c>
      <c r="Q13" s="50">
        <f>'TE BE'!$Q$13*'TE BE'!$Q$48</f>
        <v>28.176869224999962</v>
      </c>
      <c r="R13" s="50">
        <f>SUM($Q$13:$Q$13)</f>
        <v>28.176869224999962</v>
      </c>
      <c r="S13" s="50">
        <f>'TE BE'!$S$13*'TE BE'!$S$48</f>
        <v>0</v>
      </c>
      <c r="T13" s="50">
        <f>'TE BE'!$T$13*'TE BE'!$T$48</f>
        <v>0</v>
      </c>
      <c r="U13" s="50">
        <f>'TE BE'!$U$13*'TE BE'!$U$48</f>
        <v>0</v>
      </c>
      <c r="V13" s="50">
        <f>SUM($S$13:$U$13)</f>
        <v>0</v>
      </c>
      <c r="W13" s="50">
        <f>'TE BE'!$AA$13*'TE BE'!$W$48</f>
        <v>0</v>
      </c>
      <c r="X13" s="50">
        <f>SUM($W$13:$W$13)</f>
        <v>0</v>
      </c>
      <c r="Y13" s="50">
        <f>'TE BE'!$Y$13*'TE BE'!$Y$48</f>
        <v>0.21580734629753304</v>
      </c>
      <c r="Z13" s="50">
        <f>SUM($Y$13:$Y$13)</f>
        <v>0.21580734629753304</v>
      </c>
      <c r="AA13" s="50">
        <f>SUMIF($L$4:$Z$4,"SUBTOTAL",$L$13:$Z$13)</f>
        <v>28.940918204645563</v>
      </c>
    </row>
    <row r="14" spans="1:27" ht="11.25" customHeight="1" x14ac:dyDescent="0.25">
      <c r="A14" s="142"/>
      <c r="B14" s="142"/>
      <c r="C14" s="142"/>
      <c r="D14" s="58" t="s">
        <v>32</v>
      </c>
      <c r="E14" s="58" t="s">
        <v>25</v>
      </c>
      <c r="F14" s="58" t="s">
        <v>25</v>
      </c>
      <c r="G14" s="52" t="s">
        <v>82</v>
      </c>
      <c r="H14" s="52" t="s">
        <v>76</v>
      </c>
      <c r="I14" s="52">
        <f>'MERCADO TE'!$U$11</f>
        <v>85.721000000000004</v>
      </c>
      <c r="J14" s="18"/>
      <c r="L14" s="50">
        <f>'TE BE'!$L$14*'TE BE'!$L$48</f>
        <v>0</v>
      </c>
      <c r="M14" s="50">
        <f>'TE BE'!$M$14*'TE BE'!$M$48</f>
        <v>0.54824163334806708</v>
      </c>
      <c r="N14" s="50">
        <f>'TE BE'!$N$14*'TE BE'!$N$48</f>
        <v>0</v>
      </c>
      <c r="O14" s="50">
        <f>'TE BE'!$O$14*'TE BE'!$O$48</f>
        <v>0</v>
      </c>
      <c r="P14" s="50">
        <f>SUM($L$14:$O$14)</f>
        <v>0.54824163334806708</v>
      </c>
      <c r="Q14" s="50">
        <f>'TE BE'!$Q$14*'TE BE'!$Q$48</f>
        <v>28.176869224999962</v>
      </c>
      <c r="R14" s="50">
        <f>SUM($Q$14:$Q$14)</f>
        <v>28.176869224999962</v>
      </c>
      <c r="S14" s="50">
        <f>'TE BE'!$S$14*'TE BE'!$S$48</f>
        <v>0</v>
      </c>
      <c r="T14" s="50">
        <f>'TE BE'!$T$14*'TE BE'!$T$48</f>
        <v>0</v>
      </c>
      <c r="U14" s="50">
        <f>'TE BE'!$U$14*'TE BE'!$U$48</f>
        <v>0</v>
      </c>
      <c r="V14" s="50">
        <f>SUM($S$14:$U$14)</f>
        <v>0</v>
      </c>
      <c r="W14" s="50">
        <f>'TE BE'!$AA$14*'TE BE'!$W$48</f>
        <v>0</v>
      </c>
      <c r="X14" s="50">
        <f>SUM($W$14:$W$14)</f>
        <v>0</v>
      </c>
      <c r="Y14" s="50">
        <f>'TE BE'!$Y$14*'TE BE'!$Y$48</f>
        <v>0.21580734629753304</v>
      </c>
      <c r="Z14" s="50">
        <f>SUM($Y$14:$Y$14)</f>
        <v>0.21580734629753304</v>
      </c>
      <c r="AA14" s="50">
        <f>SUMIF($L$4:$Z$4,"SUBTOTAL",$L$14:$Z$14)</f>
        <v>28.940918204645563</v>
      </c>
    </row>
    <row r="15" spans="1:27" ht="11.25" customHeight="1" x14ac:dyDescent="0.25">
      <c r="A15" s="142"/>
      <c r="B15" s="142" t="s">
        <v>90</v>
      </c>
      <c r="C15" s="142" t="s">
        <v>24</v>
      </c>
      <c r="D15" s="58" t="s">
        <v>24</v>
      </c>
      <c r="E15" s="58" t="s">
        <v>25</v>
      </c>
      <c r="F15" s="58" t="s">
        <v>25</v>
      </c>
      <c r="G15" s="52" t="s">
        <v>82</v>
      </c>
      <c r="H15" s="52" t="s">
        <v>76</v>
      </c>
      <c r="I15" s="52">
        <f>'MERCADO TE'!$U$12</f>
        <v>0</v>
      </c>
      <c r="J15" s="18"/>
      <c r="L15" s="50">
        <f>'TE BE'!$L$15*'TE BE'!$L$48</f>
        <v>0</v>
      </c>
      <c r="M15" s="50">
        <f>'TE BE'!$M$15*'TE BE'!$M$48</f>
        <v>0.54824163334806708</v>
      </c>
      <c r="N15" s="50">
        <f>'TE BE'!$N$15*'TE BE'!$N$48</f>
        <v>0</v>
      </c>
      <c r="O15" s="50">
        <f>'TE BE'!$O$15*'TE BE'!$O$48</f>
        <v>0</v>
      </c>
      <c r="P15" s="50">
        <f>SUM($L$15:$O$15)</f>
        <v>0.54824163334806708</v>
      </c>
      <c r="Q15" s="50">
        <f>'TE BE'!$Q$15*'TE BE'!$Q$48</f>
        <v>28.176869224999962</v>
      </c>
      <c r="R15" s="50">
        <f>SUM($Q$15:$Q$15)</f>
        <v>28.176869224999962</v>
      </c>
      <c r="S15" s="50">
        <f>'TE BE'!$S$15*'TE BE'!$S$48</f>
        <v>0</v>
      </c>
      <c r="T15" s="50">
        <f>'TE BE'!$T$15*'TE BE'!$T$48</f>
        <v>0</v>
      </c>
      <c r="U15" s="50">
        <f>'TE BE'!$U$15*'TE BE'!$U$48</f>
        <v>0</v>
      </c>
      <c r="V15" s="50">
        <f>SUM($S$15:$U$15)</f>
        <v>0</v>
      </c>
      <c r="W15" s="50">
        <f>'TE BE'!$AA$15*'TE BE'!$W$48</f>
        <v>0</v>
      </c>
      <c r="X15" s="50">
        <f>SUM($W$15:$W$15)</f>
        <v>0</v>
      </c>
      <c r="Y15" s="50">
        <f>'TE BE'!$Y$15*'TE BE'!$Y$48</f>
        <v>0.21580734629753304</v>
      </c>
      <c r="Z15" s="50">
        <f>SUM($Y$15:$Y$15)</f>
        <v>0.21580734629753304</v>
      </c>
      <c r="AA15" s="50">
        <f>SUMIF($L$4:$Z$4,"SUBTOTAL",$L$15:$Z$15)</f>
        <v>28.940918204645563</v>
      </c>
    </row>
    <row r="16" spans="1:27" ht="11.25" customHeight="1" x14ac:dyDescent="0.25">
      <c r="A16" s="142"/>
      <c r="B16" s="142"/>
      <c r="C16" s="142"/>
      <c r="D16" s="58" t="s">
        <v>29</v>
      </c>
      <c r="E16" s="58" t="s">
        <v>25</v>
      </c>
      <c r="F16" s="58" t="s">
        <v>25</v>
      </c>
      <c r="G16" s="52" t="s">
        <v>82</v>
      </c>
      <c r="H16" s="52" t="s">
        <v>76</v>
      </c>
      <c r="I16" s="52">
        <f>'MERCADO TE'!$U$13</f>
        <v>0</v>
      </c>
      <c r="J16" s="18"/>
      <c r="L16" s="50">
        <f>'TE BE'!$L$16*'TE BE'!$L$48</f>
        <v>0</v>
      </c>
      <c r="M16" s="50">
        <f>'TE BE'!$M$16*'TE BE'!$M$48</f>
        <v>0.54824163334806708</v>
      </c>
      <c r="N16" s="50">
        <f>'TE BE'!$N$16*'TE BE'!$N$48</f>
        <v>0</v>
      </c>
      <c r="O16" s="50">
        <f>'TE BE'!$O$16*'TE BE'!$O$48</f>
        <v>0</v>
      </c>
      <c r="P16" s="50">
        <f>SUM($L$16:$O$16)</f>
        <v>0.54824163334806708</v>
      </c>
      <c r="Q16" s="50">
        <f>'TE BE'!$Q$16*'TE BE'!$Q$48</f>
        <v>28.176869224999962</v>
      </c>
      <c r="R16" s="50">
        <f>SUM($Q$16:$Q$16)</f>
        <v>28.176869224999962</v>
      </c>
      <c r="S16" s="50">
        <f>'TE BE'!$S$16*'TE BE'!$S$48</f>
        <v>0</v>
      </c>
      <c r="T16" s="50">
        <f>'TE BE'!$T$16*'TE BE'!$T$48</f>
        <v>0</v>
      </c>
      <c r="U16" s="50">
        <f>'TE BE'!$U$16*'TE BE'!$U$48</f>
        <v>0</v>
      </c>
      <c r="V16" s="50">
        <f>SUM($S$16:$U$16)</f>
        <v>0</v>
      </c>
      <c r="W16" s="50">
        <f>'TE BE'!$AA$16*'TE BE'!$W$48</f>
        <v>0</v>
      </c>
      <c r="X16" s="50">
        <f>SUM($W$16:$W$16)</f>
        <v>0</v>
      </c>
      <c r="Y16" s="50">
        <f>'TE BE'!$Y$16*'TE BE'!$Y$48</f>
        <v>0.21580734629753304</v>
      </c>
      <c r="Z16" s="50">
        <f>SUM($Y$16:$Y$16)</f>
        <v>0.21580734629753304</v>
      </c>
      <c r="AA16" s="50">
        <f>SUMIF($L$4:$Z$4,"SUBTOTAL",$L$16:$Z$16)</f>
        <v>28.940918204645563</v>
      </c>
    </row>
    <row r="17" spans="1:27" ht="11.25" customHeight="1" x14ac:dyDescent="0.25">
      <c r="A17" s="142"/>
      <c r="B17" s="142"/>
      <c r="C17" s="142"/>
      <c r="D17" s="58" t="s">
        <v>30</v>
      </c>
      <c r="E17" s="58" t="s">
        <v>25</v>
      </c>
      <c r="F17" s="58" t="s">
        <v>25</v>
      </c>
      <c r="G17" s="52" t="s">
        <v>82</v>
      </c>
      <c r="H17" s="52" t="s">
        <v>76</v>
      </c>
      <c r="I17" s="52">
        <f>'MERCADO TE'!$U$14</f>
        <v>0</v>
      </c>
      <c r="J17" s="18"/>
      <c r="L17" s="50">
        <f>'TE BE'!$L$17*'TE BE'!$L$48</f>
        <v>0</v>
      </c>
      <c r="M17" s="50">
        <f>'TE BE'!$M$17*'TE BE'!$M$48</f>
        <v>0.54824163334806708</v>
      </c>
      <c r="N17" s="50">
        <f>'TE BE'!$N$17*'TE BE'!$N$48</f>
        <v>0</v>
      </c>
      <c r="O17" s="50">
        <f>'TE BE'!$O$17*'TE BE'!$O$48</f>
        <v>0</v>
      </c>
      <c r="P17" s="50">
        <f>SUM($L$17:$O$17)</f>
        <v>0.54824163334806708</v>
      </c>
      <c r="Q17" s="50">
        <f>'TE BE'!$Q$17*'TE BE'!$Q$48</f>
        <v>28.176869224999962</v>
      </c>
      <c r="R17" s="50">
        <f>SUM($Q$17:$Q$17)</f>
        <v>28.176869224999962</v>
      </c>
      <c r="S17" s="50">
        <f>'TE BE'!$S$17*'TE BE'!$S$48</f>
        <v>0</v>
      </c>
      <c r="T17" s="50">
        <f>'TE BE'!$T$17*'TE BE'!$T$48</f>
        <v>0</v>
      </c>
      <c r="U17" s="50">
        <f>'TE BE'!$U$17*'TE BE'!$U$48</f>
        <v>0</v>
      </c>
      <c r="V17" s="50">
        <f>SUM($S$17:$U$17)</f>
        <v>0</v>
      </c>
      <c r="W17" s="50">
        <f>'TE BE'!$AA$17*'TE BE'!$W$48</f>
        <v>0</v>
      </c>
      <c r="X17" s="50">
        <f>SUM($W$17:$W$17)</f>
        <v>0</v>
      </c>
      <c r="Y17" s="50">
        <f>'TE BE'!$Y$17*'TE BE'!$Y$48</f>
        <v>0.21580734629753304</v>
      </c>
      <c r="Z17" s="50">
        <f>SUM($Y$17:$Y$17)</f>
        <v>0.21580734629753304</v>
      </c>
      <c r="AA17" s="50">
        <f>SUMIF($L$4:$Z$4,"SUBTOTAL",$L$17:$Z$17)</f>
        <v>28.940918204645563</v>
      </c>
    </row>
    <row r="18" spans="1:27" ht="11.25" customHeight="1" x14ac:dyDescent="0.25">
      <c r="A18" s="142"/>
      <c r="B18" s="142"/>
      <c r="C18" s="142"/>
      <c r="D18" s="58" t="s">
        <v>31</v>
      </c>
      <c r="E18" s="58" t="s">
        <v>25</v>
      </c>
      <c r="F18" s="58" t="s">
        <v>25</v>
      </c>
      <c r="G18" s="52" t="s">
        <v>82</v>
      </c>
      <c r="H18" s="52" t="s">
        <v>76</v>
      </c>
      <c r="I18" s="52">
        <f>'MERCADO TE'!$U$15</f>
        <v>0</v>
      </c>
      <c r="J18" s="18"/>
      <c r="L18" s="50">
        <f>'TE BE'!$L$18*'TE BE'!$L$48</f>
        <v>0</v>
      </c>
      <c r="M18" s="50">
        <f>'TE BE'!$M$18*'TE BE'!$M$48</f>
        <v>0.54824163334806708</v>
      </c>
      <c r="N18" s="50">
        <f>'TE BE'!$N$18*'TE BE'!$N$48</f>
        <v>0</v>
      </c>
      <c r="O18" s="50">
        <f>'TE BE'!$O$18*'TE BE'!$O$48</f>
        <v>0</v>
      </c>
      <c r="P18" s="50">
        <f>SUM($L$18:$O$18)</f>
        <v>0.54824163334806708</v>
      </c>
      <c r="Q18" s="50">
        <f>'TE BE'!$Q$18*'TE BE'!$Q$48</f>
        <v>28.176869224999962</v>
      </c>
      <c r="R18" s="50">
        <f>SUM($Q$18:$Q$18)</f>
        <v>28.176869224999962</v>
      </c>
      <c r="S18" s="50">
        <f>'TE BE'!$S$18*'TE BE'!$S$48</f>
        <v>0</v>
      </c>
      <c r="T18" s="50">
        <f>'TE BE'!$T$18*'TE BE'!$T$48</f>
        <v>0</v>
      </c>
      <c r="U18" s="50">
        <f>'TE BE'!$U$18*'TE BE'!$U$48</f>
        <v>0</v>
      </c>
      <c r="V18" s="50">
        <f>SUM($S$18:$U$18)</f>
        <v>0</v>
      </c>
      <c r="W18" s="50">
        <f>'TE BE'!$AA$18*'TE BE'!$W$48</f>
        <v>0</v>
      </c>
      <c r="X18" s="50">
        <f>SUM($W$18:$W$18)</f>
        <v>0</v>
      </c>
      <c r="Y18" s="50">
        <f>'TE BE'!$Y$18*'TE BE'!$Y$48</f>
        <v>0.21580734629753304</v>
      </c>
      <c r="Z18" s="50">
        <f>SUM($Y$18:$Y$18)</f>
        <v>0.21580734629753304</v>
      </c>
      <c r="AA18" s="50">
        <f>SUMIF($L$4:$Z$4,"SUBTOTAL",$L$18:$Z$18)</f>
        <v>28.940918204645563</v>
      </c>
    </row>
    <row r="19" spans="1:27" ht="11.25" customHeight="1" x14ac:dyDescent="0.25">
      <c r="A19" s="142"/>
      <c r="B19" s="142"/>
      <c r="C19" s="142"/>
      <c r="D19" s="58" t="s">
        <v>32</v>
      </c>
      <c r="E19" s="58" t="s">
        <v>25</v>
      </c>
      <c r="F19" s="58" t="s">
        <v>25</v>
      </c>
      <c r="G19" s="52" t="s">
        <v>82</v>
      </c>
      <c r="H19" s="52" t="s">
        <v>76</v>
      </c>
      <c r="I19" s="52">
        <f>'MERCADO TE'!$U$16</f>
        <v>0</v>
      </c>
      <c r="J19" s="18"/>
      <c r="L19" s="50">
        <f>'TE BE'!$L$19*'TE BE'!$L$48</f>
        <v>0</v>
      </c>
      <c r="M19" s="50">
        <f>'TE BE'!$M$19*'TE BE'!$M$48</f>
        <v>0.54824163334806708</v>
      </c>
      <c r="N19" s="50">
        <f>'TE BE'!$N$19*'TE BE'!$N$48</f>
        <v>0</v>
      </c>
      <c r="O19" s="50">
        <f>'TE BE'!$O$19*'TE BE'!$O$48</f>
        <v>0</v>
      </c>
      <c r="P19" s="50">
        <f>SUM($L$19:$O$19)</f>
        <v>0.54824163334806708</v>
      </c>
      <c r="Q19" s="50">
        <f>'TE BE'!$Q$19*'TE BE'!$Q$48</f>
        <v>28.176869224999962</v>
      </c>
      <c r="R19" s="50">
        <f>SUM($Q$19:$Q$19)</f>
        <v>28.176869224999962</v>
      </c>
      <c r="S19" s="50">
        <f>'TE BE'!$S$19*'TE BE'!$S$48</f>
        <v>0</v>
      </c>
      <c r="T19" s="50">
        <f>'TE BE'!$T$19*'TE BE'!$T$48</f>
        <v>0</v>
      </c>
      <c r="U19" s="50">
        <f>'TE BE'!$U$19*'TE BE'!$U$48</f>
        <v>0</v>
      </c>
      <c r="V19" s="50">
        <f>SUM($S$19:$U$19)</f>
        <v>0</v>
      </c>
      <c r="W19" s="50">
        <f>'TE BE'!$AA$19*'TE BE'!$W$48</f>
        <v>0</v>
      </c>
      <c r="X19" s="50">
        <f>SUM($W$19:$W$19)</f>
        <v>0</v>
      </c>
      <c r="Y19" s="50">
        <f>'TE BE'!$Y$19*'TE BE'!$Y$48</f>
        <v>0.21580734629753304</v>
      </c>
      <c r="Z19" s="50">
        <f>SUM($Y$19:$Y$19)</f>
        <v>0.21580734629753304</v>
      </c>
      <c r="AA19" s="50">
        <f>SUMIF($L$4:$Z$4,"SUBTOTAL",$L$19:$Z$19)</f>
        <v>28.940918204645563</v>
      </c>
    </row>
    <row r="20" spans="1:27" ht="11.25" customHeight="1" x14ac:dyDescent="0.25">
      <c r="A20" s="142" t="s">
        <v>43</v>
      </c>
      <c r="B20" s="142" t="s">
        <v>75</v>
      </c>
      <c r="C20" s="142" t="s">
        <v>44</v>
      </c>
      <c r="D20" s="142" t="s">
        <v>25</v>
      </c>
      <c r="E20" s="142" t="s">
        <v>25</v>
      </c>
      <c r="F20" s="142" t="s">
        <v>25</v>
      </c>
      <c r="G20" s="52" t="s">
        <v>77</v>
      </c>
      <c r="H20" s="52" t="s">
        <v>76</v>
      </c>
      <c r="I20" s="52">
        <f>'MERCADO TE'!$U$17</f>
        <v>0.78900000000000003</v>
      </c>
      <c r="J20" s="18"/>
      <c r="L20" s="50">
        <f>'TE BE'!$L$20*'TE BE'!$L$48</f>
        <v>0</v>
      </c>
      <c r="M20" s="50">
        <f>'TE BE'!$M$20*'TE BE'!$M$48</f>
        <v>0.54824163334806708</v>
      </c>
      <c r="N20" s="50">
        <f>'TE BE'!$N$20*'TE BE'!$N$48</f>
        <v>0</v>
      </c>
      <c r="O20" s="50">
        <f>'TE BE'!$O$20*'TE BE'!$O$48</f>
        <v>0</v>
      </c>
      <c r="P20" s="50">
        <f>SUM($L$20:$O$20)</f>
        <v>0.54824163334806708</v>
      </c>
      <c r="Q20" s="50">
        <f>'TE BE'!$Q$20*'TE BE'!$Q$48</f>
        <v>28.176869224999962</v>
      </c>
      <c r="R20" s="50">
        <f>SUM($Q$20:$Q$20)</f>
        <v>28.176869224999962</v>
      </c>
      <c r="S20" s="50">
        <f>'TE BE'!$S$20*'TE BE'!$S$48</f>
        <v>0</v>
      </c>
      <c r="T20" s="50">
        <f>'TE BE'!$T$20*'TE BE'!$T$48</f>
        <v>0</v>
      </c>
      <c r="U20" s="50">
        <f>'TE BE'!$U$20*'TE BE'!$U$48</f>
        <v>0</v>
      </c>
      <c r="V20" s="50">
        <f>SUM($S$20:$U$20)</f>
        <v>0</v>
      </c>
      <c r="W20" s="50">
        <f>'TE BE'!$AA$20*'TE BE'!$W$48</f>
        <v>0</v>
      </c>
      <c r="X20" s="50">
        <f>SUM($W$20:$W$20)</f>
        <v>0</v>
      </c>
      <c r="Y20" s="50">
        <f>'TE BE'!$Y$20*'TE BE'!$Y$48</f>
        <v>0.21580734629753304</v>
      </c>
      <c r="Z20" s="50">
        <f>SUM($Y$20:$Y$20)</f>
        <v>0.21580734629753304</v>
      </c>
      <c r="AA20" s="50">
        <f>SUMIF($L$4:$Z$4,"SUBTOTAL",$L$20:$Z$20)</f>
        <v>28.940918204645563</v>
      </c>
    </row>
    <row r="21" spans="1:27" ht="11.25" customHeight="1" x14ac:dyDescent="0.25">
      <c r="A21" s="142"/>
      <c r="B21" s="142"/>
      <c r="C21" s="142"/>
      <c r="D21" s="142"/>
      <c r="E21" s="142"/>
      <c r="F21" s="142"/>
      <c r="G21" s="52" t="s">
        <v>88</v>
      </c>
      <c r="H21" s="52" t="s">
        <v>76</v>
      </c>
      <c r="I21" s="52">
        <f>'MERCADO TE'!$U$18</f>
        <v>0.57700000000000018</v>
      </c>
      <c r="J21" s="18"/>
      <c r="L21" s="50">
        <f>'TE BE'!$L$21*'TE BE'!$L$48</f>
        <v>0</v>
      </c>
      <c r="M21" s="50">
        <f>'TE BE'!$M$21*'TE BE'!$M$48</f>
        <v>0.54824163334806708</v>
      </c>
      <c r="N21" s="50">
        <f>'TE BE'!$N$21*'TE BE'!$N$48</f>
        <v>0</v>
      </c>
      <c r="O21" s="50">
        <f>'TE BE'!$O$21*'TE BE'!$O$48</f>
        <v>0</v>
      </c>
      <c r="P21" s="50">
        <f>SUM($L$21:$O$21)</f>
        <v>0.54824163334806708</v>
      </c>
      <c r="Q21" s="50">
        <f>'TE BE'!$Q$21*'TE BE'!$Q$48</f>
        <v>28.176869224999962</v>
      </c>
      <c r="R21" s="50">
        <f>SUM($Q$21:$Q$21)</f>
        <v>28.176869224999962</v>
      </c>
      <c r="S21" s="50">
        <f>'TE BE'!$S$21*'TE BE'!$S$48</f>
        <v>0</v>
      </c>
      <c r="T21" s="50">
        <f>'TE BE'!$T$21*'TE BE'!$T$48</f>
        <v>0</v>
      </c>
      <c r="U21" s="50">
        <f>'TE BE'!$U$21*'TE BE'!$U$48</f>
        <v>0</v>
      </c>
      <c r="V21" s="50">
        <f>SUM($S$21:$U$21)</f>
        <v>0</v>
      </c>
      <c r="W21" s="50">
        <f>'TE BE'!$AA$21*'TE BE'!$W$48</f>
        <v>0</v>
      </c>
      <c r="X21" s="50">
        <f>SUM($W$21:$W$21)</f>
        <v>0</v>
      </c>
      <c r="Y21" s="50">
        <f>'TE BE'!$Y$21*'TE BE'!$Y$48</f>
        <v>0.21580734629753304</v>
      </c>
      <c r="Z21" s="50">
        <f>SUM($Y$21:$Y$21)</f>
        <v>0.21580734629753304</v>
      </c>
      <c r="AA21" s="50">
        <f>SUMIF($L$4:$Z$4,"SUBTOTAL",$L$21:$Z$21)</f>
        <v>28.940918204645563</v>
      </c>
    </row>
    <row r="22" spans="1:27" ht="11.25" customHeight="1" x14ac:dyDescent="0.25">
      <c r="A22" s="142"/>
      <c r="B22" s="142"/>
      <c r="C22" s="142"/>
      <c r="D22" s="142"/>
      <c r="E22" s="142"/>
      <c r="F22" s="142"/>
      <c r="G22" s="52" t="s">
        <v>78</v>
      </c>
      <c r="H22" s="52" t="s">
        <v>76</v>
      </c>
      <c r="I22" s="52">
        <f>'MERCADO TE'!$U$19</f>
        <v>5.0960000000000001</v>
      </c>
      <c r="J22" s="18"/>
      <c r="L22" s="50">
        <f>'TE BE'!$L$22*'TE BE'!$L$48</f>
        <v>0</v>
      </c>
      <c r="M22" s="50">
        <f>'TE BE'!$M$22*'TE BE'!$M$48</f>
        <v>0.54824163334806708</v>
      </c>
      <c r="N22" s="50">
        <f>'TE BE'!$N$22*'TE BE'!$N$48</f>
        <v>0</v>
      </c>
      <c r="O22" s="50">
        <f>'TE BE'!$O$22*'TE BE'!$O$48</f>
        <v>0</v>
      </c>
      <c r="P22" s="50">
        <f>SUM($L$22:$O$22)</f>
        <v>0.54824163334806708</v>
      </c>
      <c r="Q22" s="50">
        <f>'TE BE'!$Q$22*'TE BE'!$Q$48</f>
        <v>28.176869224999962</v>
      </c>
      <c r="R22" s="50">
        <f>SUM($Q$22:$Q$22)</f>
        <v>28.176869224999962</v>
      </c>
      <c r="S22" s="50">
        <f>'TE BE'!$S$22*'TE BE'!$S$48</f>
        <v>0</v>
      </c>
      <c r="T22" s="50">
        <f>'TE BE'!$T$22*'TE BE'!$T$48</f>
        <v>0</v>
      </c>
      <c r="U22" s="50">
        <f>'TE BE'!$U$22*'TE BE'!$U$48</f>
        <v>0</v>
      </c>
      <c r="V22" s="50">
        <f>SUM($S$22:$U$22)</f>
        <v>0</v>
      </c>
      <c r="W22" s="50">
        <f>'TE BE'!$AA$22*'TE BE'!$W$48</f>
        <v>0</v>
      </c>
      <c r="X22" s="50">
        <f>SUM($W$22:$W$22)</f>
        <v>0</v>
      </c>
      <c r="Y22" s="50">
        <f>'TE BE'!$Y$22*'TE BE'!$Y$48</f>
        <v>0.21580734629753304</v>
      </c>
      <c r="Z22" s="50">
        <f>SUM($Y$22:$Y$22)</f>
        <v>0.21580734629753304</v>
      </c>
      <c r="AA22" s="50">
        <f>SUMIF($L$4:$Z$4,"SUBTOTAL",$L$22:$Z$22)</f>
        <v>28.940918204645563</v>
      </c>
    </row>
    <row r="23" spans="1:27" ht="11.25" customHeight="1" x14ac:dyDescent="0.25">
      <c r="A23" s="142"/>
      <c r="B23" s="58" t="s">
        <v>89</v>
      </c>
      <c r="C23" s="58" t="s">
        <v>44</v>
      </c>
      <c r="D23" s="58" t="s">
        <v>25</v>
      </c>
      <c r="E23" s="58" t="s">
        <v>25</v>
      </c>
      <c r="F23" s="58" t="s">
        <v>25</v>
      </c>
      <c r="G23" s="52" t="s">
        <v>82</v>
      </c>
      <c r="H23" s="52" t="s">
        <v>76</v>
      </c>
      <c r="I23" s="52">
        <f>'MERCADO TE'!$U$20</f>
        <v>36373.667999999998</v>
      </c>
      <c r="J23" s="18"/>
      <c r="L23" s="50">
        <f>'TE BE'!$L$23*'TE BE'!$L$48</f>
        <v>0</v>
      </c>
      <c r="M23" s="50">
        <f>'TE BE'!$M$23*'TE BE'!$M$48</f>
        <v>0.54824163334806708</v>
      </c>
      <c r="N23" s="50">
        <f>'TE BE'!$N$23*'TE BE'!$N$48</f>
        <v>0</v>
      </c>
      <c r="O23" s="50">
        <f>'TE BE'!$O$23*'TE BE'!$O$48</f>
        <v>0</v>
      </c>
      <c r="P23" s="50">
        <f>SUM($L$23:$O$23)</f>
        <v>0.54824163334806708</v>
      </c>
      <c r="Q23" s="50">
        <f>'TE BE'!$Q$23*'TE BE'!$Q$48</f>
        <v>28.176869224999962</v>
      </c>
      <c r="R23" s="50">
        <f>SUM($Q$23:$Q$23)</f>
        <v>28.176869224999962</v>
      </c>
      <c r="S23" s="50">
        <f>'TE BE'!$S$23*'TE BE'!$S$48</f>
        <v>0</v>
      </c>
      <c r="T23" s="50">
        <f>'TE BE'!$T$23*'TE BE'!$T$48</f>
        <v>0</v>
      </c>
      <c r="U23" s="50">
        <f>'TE BE'!$U$23*'TE BE'!$U$48</f>
        <v>0</v>
      </c>
      <c r="V23" s="50">
        <f>SUM($S$23:$U$23)</f>
        <v>0</v>
      </c>
      <c r="W23" s="50">
        <f>'TE BE'!$AA$23*'TE BE'!$W$48</f>
        <v>0</v>
      </c>
      <c r="X23" s="50">
        <f>SUM($W$23:$W$23)</f>
        <v>0</v>
      </c>
      <c r="Y23" s="50">
        <f>'TE BE'!$Y$23*'TE BE'!$Y$48</f>
        <v>0.21580734629753304</v>
      </c>
      <c r="Z23" s="50">
        <f>SUM($Y$23:$Y$23)</f>
        <v>0.21580734629753304</v>
      </c>
      <c r="AA23" s="50">
        <f>SUMIF($L$4:$Z$4,"SUBTOTAL",$L$23:$Z$23)</f>
        <v>28.940918204645563</v>
      </c>
    </row>
    <row r="24" spans="1:27" ht="11.25" customHeight="1" x14ac:dyDescent="0.25">
      <c r="A24" s="142"/>
      <c r="B24" s="142" t="s">
        <v>75</v>
      </c>
      <c r="C24" s="142" t="s">
        <v>44</v>
      </c>
      <c r="D24" s="142" t="s">
        <v>92</v>
      </c>
      <c r="E24" s="142" t="s">
        <v>25</v>
      </c>
      <c r="F24" s="142" t="s">
        <v>25</v>
      </c>
      <c r="G24" s="52" t="s">
        <v>77</v>
      </c>
      <c r="H24" s="52" t="s">
        <v>76</v>
      </c>
      <c r="I24" s="52">
        <f>'MERCADO TE'!$U$21</f>
        <v>0</v>
      </c>
      <c r="J24" s="18"/>
      <c r="L24" s="50">
        <f>'TE BE'!$L$24*'TE BE'!$L$48</f>
        <v>0</v>
      </c>
      <c r="M24" s="50">
        <f>'TE BE'!$M$24*'TE BE'!$M$48</f>
        <v>0.54824163334806708</v>
      </c>
      <c r="N24" s="50">
        <f>'TE BE'!$N$24*'TE BE'!$N$48</f>
        <v>0</v>
      </c>
      <c r="O24" s="50">
        <f>'TE BE'!$O$24*'TE BE'!$O$48</f>
        <v>0</v>
      </c>
      <c r="P24" s="50">
        <f>SUM($L$24:$O$24)</f>
        <v>0.54824163334806708</v>
      </c>
      <c r="Q24" s="50">
        <f>'TE BE'!$Q$24*'TE BE'!$Q$48</f>
        <v>28.176869224999962</v>
      </c>
      <c r="R24" s="50">
        <f>SUM($Q$24:$Q$24)</f>
        <v>28.176869224999962</v>
      </c>
      <c r="S24" s="50">
        <f>'TE BE'!$S$24*'TE BE'!$S$48</f>
        <v>0</v>
      </c>
      <c r="T24" s="50">
        <f>'TE BE'!$T$24*'TE BE'!$T$48</f>
        <v>0</v>
      </c>
      <c r="U24" s="50">
        <f>'TE BE'!$U$24*'TE BE'!$U$48</f>
        <v>0</v>
      </c>
      <c r="V24" s="50">
        <f>SUM($S$24:$U$24)</f>
        <v>0</v>
      </c>
      <c r="W24" s="50">
        <f>'TE BE'!$AA$24*'TE BE'!$W$48</f>
        <v>0</v>
      </c>
      <c r="X24" s="50">
        <f>SUM($W$24:$W$24)</f>
        <v>0</v>
      </c>
      <c r="Y24" s="50">
        <f>'TE BE'!$Y$24*'TE BE'!$Y$48</f>
        <v>0.21580734629753304</v>
      </c>
      <c r="Z24" s="50">
        <f>SUM($Y$24:$Y$24)</f>
        <v>0.21580734629753304</v>
      </c>
      <c r="AA24" s="50">
        <f>SUMIF($L$4:$Z$4,"SUBTOTAL",$L$24:$Z$24)</f>
        <v>28.940918204645563</v>
      </c>
    </row>
    <row r="25" spans="1:27" ht="11.25" customHeight="1" x14ac:dyDescent="0.25">
      <c r="A25" s="142"/>
      <c r="B25" s="142"/>
      <c r="C25" s="142"/>
      <c r="D25" s="142"/>
      <c r="E25" s="142"/>
      <c r="F25" s="142"/>
      <c r="G25" s="52" t="s">
        <v>88</v>
      </c>
      <c r="H25" s="52" t="s">
        <v>76</v>
      </c>
      <c r="I25" s="52">
        <f>'MERCADO TE'!$U$22</f>
        <v>0</v>
      </c>
      <c r="J25" s="18"/>
      <c r="L25" s="50">
        <f>'TE BE'!$L$25*'TE BE'!$L$48</f>
        <v>0</v>
      </c>
      <c r="M25" s="50">
        <f>'TE BE'!$M$25*'TE BE'!$M$48</f>
        <v>0.54824163334806708</v>
      </c>
      <c r="N25" s="50">
        <f>'TE BE'!$N$25*'TE BE'!$N$48</f>
        <v>0</v>
      </c>
      <c r="O25" s="50">
        <f>'TE BE'!$O$25*'TE BE'!$O$48</f>
        <v>0</v>
      </c>
      <c r="P25" s="50">
        <f>SUM($L$25:$O$25)</f>
        <v>0.54824163334806708</v>
      </c>
      <c r="Q25" s="50">
        <f>'TE BE'!$Q$25*'TE BE'!$Q$48</f>
        <v>28.176869224999962</v>
      </c>
      <c r="R25" s="50">
        <f>SUM($Q$25:$Q$25)</f>
        <v>28.176869224999962</v>
      </c>
      <c r="S25" s="50">
        <f>'TE BE'!$S$25*'TE BE'!$S$48</f>
        <v>0</v>
      </c>
      <c r="T25" s="50">
        <f>'TE BE'!$T$25*'TE BE'!$T$48</f>
        <v>0</v>
      </c>
      <c r="U25" s="50">
        <f>'TE BE'!$U$25*'TE BE'!$U$48</f>
        <v>0</v>
      </c>
      <c r="V25" s="50">
        <f>SUM($S$25:$U$25)</f>
        <v>0</v>
      </c>
      <c r="W25" s="50">
        <f>'TE BE'!$AA$25*'TE BE'!$W$48</f>
        <v>0</v>
      </c>
      <c r="X25" s="50">
        <f>SUM($W$25:$W$25)</f>
        <v>0</v>
      </c>
      <c r="Y25" s="50">
        <f>'TE BE'!$Y$25*'TE BE'!$Y$48</f>
        <v>0.21580734629753304</v>
      </c>
      <c r="Z25" s="50">
        <f>SUM($Y$25:$Y$25)</f>
        <v>0.21580734629753304</v>
      </c>
      <c r="AA25" s="50">
        <f>SUMIF($L$4:$Z$4,"SUBTOTAL",$L$25:$Z$25)</f>
        <v>28.940918204645563</v>
      </c>
    </row>
    <row r="26" spans="1:27" ht="11.25" customHeight="1" x14ac:dyDescent="0.25">
      <c r="A26" s="142"/>
      <c r="B26" s="142"/>
      <c r="C26" s="142"/>
      <c r="D26" s="142"/>
      <c r="E26" s="142"/>
      <c r="F26" s="142"/>
      <c r="G26" s="52" t="s">
        <v>78</v>
      </c>
      <c r="H26" s="52" t="s">
        <v>76</v>
      </c>
      <c r="I26" s="52">
        <f>'MERCADO TE'!$U$23</f>
        <v>0</v>
      </c>
      <c r="J26" s="18"/>
      <c r="L26" s="50">
        <f>'TE BE'!$L$26*'TE BE'!$L$48</f>
        <v>0</v>
      </c>
      <c r="M26" s="50">
        <f>'TE BE'!$M$26*'TE BE'!$M$48</f>
        <v>0.54824163334806708</v>
      </c>
      <c r="N26" s="50">
        <f>'TE BE'!$N$26*'TE BE'!$N$48</f>
        <v>0</v>
      </c>
      <c r="O26" s="50">
        <f>'TE BE'!$O$26*'TE BE'!$O$48</f>
        <v>0</v>
      </c>
      <c r="P26" s="50">
        <f>SUM($L$26:$O$26)</f>
        <v>0.54824163334806708</v>
      </c>
      <c r="Q26" s="50">
        <f>'TE BE'!$Q$26*'TE BE'!$Q$48</f>
        <v>28.176869224999962</v>
      </c>
      <c r="R26" s="50">
        <f>SUM($Q$26:$Q$26)</f>
        <v>28.176869224999962</v>
      </c>
      <c r="S26" s="50">
        <f>'TE BE'!$S$26*'TE BE'!$S$48</f>
        <v>0</v>
      </c>
      <c r="T26" s="50">
        <f>'TE BE'!$T$26*'TE BE'!$T$48</f>
        <v>0</v>
      </c>
      <c r="U26" s="50">
        <f>'TE BE'!$U$26*'TE BE'!$U$48</f>
        <v>0</v>
      </c>
      <c r="V26" s="50">
        <f>SUM($S$26:$U$26)</f>
        <v>0</v>
      </c>
      <c r="W26" s="50">
        <f>'TE BE'!$AA$26*'TE BE'!$W$48</f>
        <v>0</v>
      </c>
      <c r="X26" s="50">
        <f>SUM($W$26:$W$26)</f>
        <v>0</v>
      </c>
      <c r="Y26" s="50">
        <f>'TE BE'!$Y$26*'TE BE'!$Y$48</f>
        <v>0.21580734629753304</v>
      </c>
      <c r="Z26" s="50">
        <f>SUM($Y$26:$Y$26)</f>
        <v>0.21580734629753304</v>
      </c>
      <c r="AA26" s="50">
        <f>SUMIF($L$4:$Z$4,"SUBTOTAL",$L$26:$Z$26)</f>
        <v>28.940918204645563</v>
      </c>
    </row>
    <row r="27" spans="1:27" ht="11.25" customHeight="1" x14ac:dyDescent="0.25">
      <c r="A27" s="142"/>
      <c r="B27" s="58" t="s">
        <v>89</v>
      </c>
      <c r="C27" s="58" t="s">
        <v>44</v>
      </c>
      <c r="D27" s="58" t="s">
        <v>92</v>
      </c>
      <c r="E27" s="58" t="s">
        <v>25</v>
      </c>
      <c r="F27" s="58" t="s">
        <v>25</v>
      </c>
      <c r="G27" s="52" t="s">
        <v>82</v>
      </c>
      <c r="H27" s="52" t="s">
        <v>76</v>
      </c>
      <c r="I27" s="52">
        <f>'MERCADO TE'!$U$24</f>
        <v>0</v>
      </c>
      <c r="J27" s="18"/>
      <c r="L27" s="50">
        <f>'TE BE'!$L$27*'TE BE'!$L$48</f>
        <v>0</v>
      </c>
      <c r="M27" s="50">
        <f>'TE BE'!$M$27*'TE BE'!$M$48</f>
        <v>0.54824163334806708</v>
      </c>
      <c r="N27" s="50">
        <f>'TE BE'!$N$27*'TE BE'!$N$48</f>
        <v>0</v>
      </c>
      <c r="O27" s="50">
        <f>'TE BE'!$O$27*'TE BE'!$O$48</f>
        <v>0</v>
      </c>
      <c r="P27" s="50">
        <f>SUM($L$27:$O$27)</f>
        <v>0.54824163334806708</v>
      </c>
      <c r="Q27" s="50">
        <f>'TE BE'!$Q$27*'TE BE'!$Q$48</f>
        <v>28.176869224999962</v>
      </c>
      <c r="R27" s="50">
        <f>SUM($Q$27:$Q$27)</f>
        <v>28.176869224999962</v>
      </c>
      <c r="S27" s="50">
        <f>'TE BE'!$S$27*'TE BE'!$S$48</f>
        <v>0</v>
      </c>
      <c r="T27" s="50">
        <f>'TE BE'!$T$27*'TE BE'!$T$48</f>
        <v>0</v>
      </c>
      <c r="U27" s="50">
        <f>'TE BE'!$U$27*'TE BE'!$U$48</f>
        <v>0</v>
      </c>
      <c r="V27" s="50">
        <f>SUM($S$27:$U$27)</f>
        <v>0</v>
      </c>
      <c r="W27" s="50">
        <f>'TE BE'!$AA$27*'TE BE'!$W$48</f>
        <v>0</v>
      </c>
      <c r="X27" s="50">
        <f>SUM($W$27:$W$27)</f>
        <v>0</v>
      </c>
      <c r="Y27" s="50">
        <f>'TE BE'!$Y$27*'TE BE'!$Y$48</f>
        <v>0.21580734629753304</v>
      </c>
      <c r="Z27" s="50">
        <f>SUM($Y$27:$Y$27)</f>
        <v>0.21580734629753304</v>
      </c>
      <c r="AA27" s="50">
        <f>SUMIF($L$4:$Z$4,"SUBTOTAL",$L$27:$Z$27)</f>
        <v>28.940918204645563</v>
      </c>
    </row>
    <row r="28" spans="1:27" ht="11.25" customHeight="1" x14ac:dyDescent="0.25">
      <c r="A28" s="142"/>
      <c r="B28" s="142" t="s">
        <v>75</v>
      </c>
      <c r="C28" s="142" t="s">
        <v>44</v>
      </c>
      <c r="D28" s="142" t="s">
        <v>93</v>
      </c>
      <c r="E28" s="142" t="s">
        <v>25</v>
      </c>
      <c r="F28" s="142" t="s">
        <v>25</v>
      </c>
      <c r="G28" s="52" t="s">
        <v>77</v>
      </c>
      <c r="H28" s="52" t="s">
        <v>76</v>
      </c>
      <c r="I28" s="52">
        <f>'MERCADO TE'!$U$25</f>
        <v>0</v>
      </c>
      <c r="J28" s="18"/>
      <c r="L28" s="50">
        <f>'TE BE'!$L$28*'TE BE'!$L$48</f>
        <v>0</v>
      </c>
      <c r="M28" s="50">
        <f>'TE BE'!$M$28*'TE BE'!$M$48</f>
        <v>0.54824163334806708</v>
      </c>
      <c r="N28" s="50">
        <f>'TE BE'!$N$28*'TE BE'!$N$48</f>
        <v>0</v>
      </c>
      <c r="O28" s="50">
        <f>'TE BE'!$O$28*'TE BE'!$O$48</f>
        <v>0</v>
      </c>
      <c r="P28" s="50">
        <f>SUM($L$28:$O$28)</f>
        <v>0.54824163334806708</v>
      </c>
      <c r="Q28" s="50">
        <f>'TE BE'!$Q$28*'TE BE'!$Q$48</f>
        <v>28.176869224999962</v>
      </c>
      <c r="R28" s="50">
        <f>SUM($Q$28:$Q$28)</f>
        <v>28.176869224999962</v>
      </c>
      <c r="S28" s="50">
        <f>'TE BE'!$S$28*'TE BE'!$S$48</f>
        <v>0</v>
      </c>
      <c r="T28" s="50">
        <f>'TE BE'!$T$28*'TE BE'!$T$48</f>
        <v>0</v>
      </c>
      <c r="U28" s="50">
        <f>'TE BE'!$U$28*'TE BE'!$U$48</f>
        <v>0</v>
      </c>
      <c r="V28" s="50">
        <f>SUM($S$28:$U$28)</f>
        <v>0</v>
      </c>
      <c r="W28" s="50">
        <f>'TE BE'!$AA$28*'TE BE'!$W$48</f>
        <v>0</v>
      </c>
      <c r="X28" s="50">
        <f>SUM($W$28:$W$28)</f>
        <v>0</v>
      </c>
      <c r="Y28" s="50">
        <f>'TE BE'!$Y$28*'TE BE'!$Y$48</f>
        <v>0.21580734629753304</v>
      </c>
      <c r="Z28" s="50">
        <f>SUM($Y$28:$Y$28)</f>
        <v>0.21580734629753304</v>
      </c>
      <c r="AA28" s="50">
        <f>SUMIF($L$4:$Z$4,"SUBTOTAL",$L$28:$Z$28)</f>
        <v>28.940918204645563</v>
      </c>
    </row>
    <row r="29" spans="1:27" ht="11.25" customHeight="1" x14ac:dyDescent="0.25">
      <c r="A29" s="142"/>
      <c r="B29" s="142"/>
      <c r="C29" s="142"/>
      <c r="D29" s="142"/>
      <c r="E29" s="142"/>
      <c r="F29" s="142"/>
      <c r="G29" s="52" t="s">
        <v>88</v>
      </c>
      <c r="H29" s="52" t="s">
        <v>76</v>
      </c>
      <c r="I29" s="52">
        <f>'MERCADO TE'!$U$26</f>
        <v>0</v>
      </c>
      <c r="J29" s="18"/>
      <c r="L29" s="50">
        <f>'TE BE'!$L$29*'TE BE'!$L$48</f>
        <v>0</v>
      </c>
      <c r="M29" s="50">
        <f>'TE BE'!$M$29*'TE BE'!$M$48</f>
        <v>0.54824163334806708</v>
      </c>
      <c r="N29" s="50">
        <f>'TE BE'!$N$29*'TE BE'!$N$48</f>
        <v>0</v>
      </c>
      <c r="O29" s="50">
        <f>'TE BE'!$O$29*'TE BE'!$O$48</f>
        <v>0</v>
      </c>
      <c r="P29" s="50">
        <f>SUM($L$29:$O$29)</f>
        <v>0.54824163334806708</v>
      </c>
      <c r="Q29" s="50">
        <f>'TE BE'!$Q$29*'TE BE'!$Q$48</f>
        <v>28.176869224999962</v>
      </c>
      <c r="R29" s="50">
        <f>SUM($Q$29:$Q$29)</f>
        <v>28.176869224999962</v>
      </c>
      <c r="S29" s="50">
        <f>'TE BE'!$S$29*'TE BE'!$S$48</f>
        <v>0</v>
      </c>
      <c r="T29" s="50">
        <f>'TE BE'!$T$29*'TE BE'!$T$48</f>
        <v>0</v>
      </c>
      <c r="U29" s="50">
        <f>'TE BE'!$U$29*'TE BE'!$U$48</f>
        <v>0</v>
      </c>
      <c r="V29" s="50">
        <f>SUM($S$29:$U$29)</f>
        <v>0</v>
      </c>
      <c r="W29" s="50">
        <f>'TE BE'!$AA$29*'TE BE'!$W$48</f>
        <v>0</v>
      </c>
      <c r="X29" s="50">
        <f>SUM($W$29:$W$29)</f>
        <v>0</v>
      </c>
      <c r="Y29" s="50">
        <f>'TE BE'!$Y$29*'TE BE'!$Y$48</f>
        <v>0.21580734629753304</v>
      </c>
      <c r="Z29" s="50">
        <f>SUM($Y$29:$Y$29)</f>
        <v>0.21580734629753304</v>
      </c>
      <c r="AA29" s="50">
        <f>SUMIF($L$4:$Z$4,"SUBTOTAL",$L$29:$Z$29)</f>
        <v>28.940918204645563</v>
      </c>
    </row>
    <row r="30" spans="1:27" ht="11.25" customHeight="1" x14ac:dyDescent="0.25">
      <c r="A30" s="142"/>
      <c r="B30" s="142"/>
      <c r="C30" s="142"/>
      <c r="D30" s="142"/>
      <c r="E30" s="142"/>
      <c r="F30" s="142"/>
      <c r="G30" s="52" t="s">
        <v>78</v>
      </c>
      <c r="H30" s="52" t="s">
        <v>76</v>
      </c>
      <c r="I30" s="52">
        <f>'MERCADO TE'!$U$27</f>
        <v>0</v>
      </c>
      <c r="J30" s="18"/>
      <c r="L30" s="50">
        <f>'TE BE'!$L$30*'TE BE'!$L$48</f>
        <v>0</v>
      </c>
      <c r="M30" s="50">
        <f>'TE BE'!$M$30*'TE BE'!$M$48</f>
        <v>0.54824163334806708</v>
      </c>
      <c r="N30" s="50">
        <f>'TE BE'!$N$30*'TE BE'!$N$48</f>
        <v>0</v>
      </c>
      <c r="O30" s="50">
        <f>'TE BE'!$O$30*'TE BE'!$O$48</f>
        <v>0</v>
      </c>
      <c r="P30" s="50">
        <f>SUM($L$30:$O$30)</f>
        <v>0.54824163334806708</v>
      </c>
      <c r="Q30" s="50">
        <f>'TE BE'!$Q$30*'TE BE'!$Q$48</f>
        <v>28.176869224999962</v>
      </c>
      <c r="R30" s="50">
        <f>SUM($Q$30:$Q$30)</f>
        <v>28.176869224999962</v>
      </c>
      <c r="S30" s="50">
        <f>'TE BE'!$S$30*'TE BE'!$S$48</f>
        <v>0</v>
      </c>
      <c r="T30" s="50">
        <f>'TE BE'!$T$30*'TE BE'!$T$48</f>
        <v>0</v>
      </c>
      <c r="U30" s="50">
        <f>'TE BE'!$U$30*'TE BE'!$U$48</f>
        <v>0</v>
      </c>
      <c r="V30" s="50">
        <f>SUM($S$30:$U$30)</f>
        <v>0</v>
      </c>
      <c r="W30" s="50">
        <f>'TE BE'!$AA$30*'TE BE'!$W$48</f>
        <v>0</v>
      </c>
      <c r="X30" s="50">
        <f>SUM($W$30:$W$30)</f>
        <v>0</v>
      </c>
      <c r="Y30" s="50">
        <f>'TE BE'!$Y$30*'TE BE'!$Y$48</f>
        <v>0.21580734629753304</v>
      </c>
      <c r="Z30" s="50">
        <f>SUM($Y$30:$Y$30)</f>
        <v>0.21580734629753304</v>
      </c>
      <c r="AA30" s="50">
        <f>SUMIF($L$4:$Z$4,"SUBTOTAL",$L$30:$Z$30)</f>
        <v>28.940918204645563</v>
      </c>
    </row>
    <row r="31" spans="1:27" ht="11.25" customHeight="1" x14ac:dyDescent="0.25">
      <c r="A31" s="142"/>
      <c r="B31" s="58" t="s">
        <v>89</v>
      </c>
      <c r="C31" s="58" t="s">
        <v>44</v>
      </c>
      <c r="D31" s="58" t="s">
        <v>93</v>
      </c>
      <c r="E31" s="58" t="s">
        <v>25</v>
      </c>
      <c r="F31" s="58" t="s">
        <v>25</v>
      </c>
      <c r="G31" s="52" t="s">
        <v>82</v>
      </c>
      <c r="H31" s="52" t="s">
        <v>76</v>
      </c>
      <c r="I31" s="52">
        <f>'MERCADO TE'!$U$28</f>
        <v>0</v>
      </c>
      <c r="J31" s="18"/>
      <c r="L31" s="50">
        <f>'TE BE'!$L$31*'TE BE'!$L$48</f>
        <v>0</v>
      </c>
      <c r="M31" s="50">
        <f>'TE BE'!$M$31*'TE BE'!$M$48</f>
        <v>0.54824163334806708</v>
      </c>
      <c r="N31" s="50">
        <f>'TE BE'!$N$31*'TE BE'!$N$48</f>
        <v>0</v>
      </c>
      <c r="O31" s="50">
        <f>'TE BE'!$O$31*'TE BE'!$O$48</f>
        <v>0</v>
      </c>
      <c r="P31" s="50">
        <f>SUM($L$31:$O$31)</f>
        <v>0.54824163334806708</v>
      </c>
      <c r="Q31" s="50">
        <f>'TE BE'!$Q$31*'TE BE'!$Q$48</f>
        <v>28.176869224999962</v>
      </c>
      <c r="R31" s="50">
        <f>SUM($Q$31:$Q$31)</f>
        <v>28.176869224999962</v>
      </c>
      <c r="S31" s="50">
        <f>'TE BE'!$S$31*'TE BE'!$S$48</f>
        <v>0</v>
      </c>
      <c r="T31" s="50">
        <f>'TE BE'!$T$31*'TE BE'!$T$48</f>
        <v>0</v>
      </c>
      <c r="U31" s="50">
        <f>'TE BE'!$U$31*'TE BE'!$U$48</f>
        <v>0</v>
      </c>
      <c r="V31" s="50">
        <f>SUM($S$31:$U$31)</f>
        <v>0</v>
      </c>
      <c r="W31" s="50">
        <f>'TE BE'!$AA$31*'TE BE'!$W$48</f>
        <v>0</v>
      </c>
      <c r="X31" s="50">
        <f>SUM($W$31:$W$31)</f>
        <v>0</v>
      </c>
      <c r="Y31" s="50">
        <f>'TE BE'!$Y$31*'TE BE'!$Y$48</f>
        <v>0.21580734629753304</v>
      </c>
      <c r="Z31" s="50">
        <f>SUM($Y$31:$Y$31)</f>
        <v>0.21580734629753304</v>
      </c>
      <c r="AA31" s="50">
        <f>SUMIF($L$4:$Z$4,"SUBTOTAL",$L$31:$Z$31)</f>
        <v>28.940918204645563</v>
      </c>
    </row>
    <row r="32" spans="1:27" ht="11.25" customHeight="1" x14ac:dyDescent="0.25">
      <c r="A32" s="142"/>
      <c r="B32" s="142" t="s">
        <v>90</v>
      </c>
      <c r="C32" s="142" t="s">
        <v>44</v>
      </c>
      <c r="D32" s="58" t="s">
        <v>25</v>
      </c>
      <c r="E32" s="58" t="s">
        <v>25</v>
      </c>
      <c r="F32" s="58" t="s">
        <v>25</v>
      </c>
      <c r="G32" s="52" t="s">
        <v>82</v>
      </c>
      <c r="H32" s="52" t="s">
        <v>76</v>
      </c>
      <c r="I32" s="52">
        <f>'MERCADO TE'!$U$29</f>
        <v>0</v>
      </c>
      <c r="J32" s="18"/>
      <c r="L32" s="50">
        <f>'TE BE'!$L$32*'TE BE'!$L$48</f>
        <v>0</v>
      </c>
      <c r="M32" s="50">
        <f>'TE BE'!$M$32*'TE BE'!$M$48</f>
        <v>0.54824163334806708</v>
      </c>
      <c r="N32" s="50">
        <f>'TE BE'!$N$32*'TE BE'!$N$48</f>
        <v>0</v>
      </c>
      <c r="O32" s="50">
        <f>'TE BE'!$O$32*'TE BE'!$O$48</f>
        <v>0</v>
      </c>
      <c r="P32" s="50">
        <f>SUM($L$32:$O$32)</f>
        <v>0.54824163334806708</v>
      </c>
      <c r="Q32" s="50">
        <f>'TE BE'!$Q$32*'TE BE'!$Q$48</f>
        <v>28.176869224999962</v>
      </c>
      <c r="R32" s="50">
        <f>SUM($Q$32:$Q$32)</f>
        <v>28.176869224999962</v>
      </c>
      <c r="S32" s="50">
        <f>'TE BE'!$S$32*'TE BE'!$S$48</f>
        <v>0</v>
      </c>
      <c r="T32" s="50">
        <f>'TE BE'!$T$32*'TE BE'!$T$48</f>
        <v>0</v>
      </c>
      <c r="U32" s="50">
        <f>'TE BE'!$U$32*'TE BE'!$U$48</f>
        <v>0</v>
      </c>
      <c r="V32" s="50">
        <f>SUM($S$32:$U$32)</f>
        <v>0</v>
      </c>
      <c r="W32" s="50">
        <f>'TE BE'!$AA$32*'TE BE'!$W$48</f>
        <v>0</v>
      </c>
      <c r="X32" s="50">
        <f>SUM($W$32:$W$32)</f>
        <v>0</v>
      </c>
      <c r="Y32" s="50">
        <f>'TE BE'!$Y$32*'TE BE'!$Y$48</f>
        <v>0.21580734629753304</v>
      </c>
      <c r="Z32" s="50">
        <f>SUM($Y$32:$Y$32)</f>
        <v>0.21580734629753304</v>
      </c>
      <c r="AA32" s="50">
        <f>SUMIF($L$4:$Z$4,"SUBTOTAL",$L$32:$Z$32)</f>
        <v>28.940918204645563</v>
      </c>
    </row>
    <row r="33" spans="1:27" ht="11.25" customHeight="1" x14ac:dyDescent="0.25">
      <c r="A33" s="142"/>
      <c r="B33" s="142"/>
      <c r="C33" s="142"/>
      <c r="D33" s="58" t="s">
        <v>92</v>
      </c>
      <c r="E33" s="58" t="s">
        <v>25</v>
      </c>
      <c r="F33" s="58" t="s">
        <v>25</v>
      </c>
      <c r="G33" s="52" t="s">
        <v>82</v>
      </c>
      <c r="H33" s="52" t="s">
        <v>76</v>
      </c>
      <c r="I33" s="52">
        <f>'MERCADO TE'!$U$30</f>
        <v>0</v>
      </c>
      <c r="J33" s="18"/>
      <c r="L33" s="50">
        <f>'TE BE'!$L$33*'TE BE'!$L$48</f>
        <v>0</v>
      </c>
      <c r="M33" s="50">
        <f>'TE BE'!$M$33*'TE BE'!$M$48</f>
        <v>0.54824163334806708</v>
      </c>
      <c r="N33" s="50">
        <f>'TE BE'!$N$33*'TE BE'!$N$48</f>
        <v>0</v>
      </c>
      <c r="O33" s="50">
        <f>'TE BE'!$O$33*'TE BE'!$O$48</f>
        <v>0</v>
      </c>
      <c r="P33" s="50">
        <f>SUM($L$33:$O$33)</f>
        <v>0.54824163334806708</v>
      </c>
      <c r="Q33" s="50">
        <f>'TE BE'!$Q$33*'TE BE'!$Q$48</f>
        <v>28.176869224999962</v>
      </c>
      <c r="R33" s="50">
        <f>SUM($Q$33:$Q$33)</f>
        <v>28.176869224999962</v>
      </c>
      <c r="S33" s="50">
        <f>'TE BE'!$S$33*'TE BE'!$S$48</f>
        <v>0</v>
      </c>
      <c r="T33" s="50">
        <f>'TE BE'!$T$33*'TE BE'!$T$48</f>
        <v>0</v>
      </c>
      <c r="U33" s="50">
        <f>'TE BE'!$U$33*'TE BE'!$U$48</f>
        <v>0</v>
      </c>
      <c r="V33" s="50">
        <f>SUM($S$33:$U$33)</f>
        <v>0</v>
      </c>
      <c r="W33" s="50">
        <f>'TE BE'!$AA$33*'TE BE'!$W$48</f>
        <v>0</v>
      </c>
      <c r="X33" s="50">
        <f>SUM($W$33:$W$33)</f>
        <v>0</v>
      </c>
      <c r="Y33" s="50">
        <f>'TE BE'!$Y$33*'TE BE'!$Y$48</f>
        <v>0.21580734629753304</v>
      </c>
      <c r="Z33" s="50">
        <f>SUM($Y$33:$Y$33)</f>
        <v>0.21580734629753304</v>
      </c>
      <c r="AA33" s="50">
        <f>SUMIF($L$4:$Z$4,"SUBTOTAL",$L$33:$Z$33)</f>
        <v>28.940918204645563</v>
      </c>
    </row>
    <row r="34" spans="1:27" ht="11.25" customHeight="1" x14ac:dyDescent="0.25">
      <c r="A34" s="142"/>
      <c r="B34" s="142"/>
      <c r="C34" s="142"/>
      <c r="D34" s="58" t="s">
        <v>93</v>
      </c>
      <c r="E34" s="58" t="s">
        <v>25</v>
      </c>
      <c r="F34" s="58" t="s">
        <v>25</v>
      </c>
      <c r="G34" s="52" t="s">
        <v>82</v>
      </c>
      <c r="H34" s="52" t="s">
        <v>76</v>
      </c>
      <c r="I34" s="52">
        <f>'MERCADO TE'!$U$31</f>
        <v>0</v>
      </c>
      <c r="J34" s="18"/>
      <c r="L34" s="50">
        <f>'TE BE'!$L$34*'TE BE'!$L$48</f>
        <v>0</v>
      </c>
      <c r="M34" s="50">
        <f>'TE BE'!$M$34*'TE BE'!$M$48</f>
        <v>0.54824163334806708</v>
      </c>
      <c r="N34" s="50">
        <f>'TE BE'!$N$34*'TE BE'!$N$48</f>
        <v>0</v>
      </c>
      <c r="O34" s="50">
        <f>'TE BE'!$O$34*'TE BE'!$O$48</f>
        <v>0</v>
      </c>
      <c r="P34" s="50">
        <f>SUM($L$34:$O$34)</f>
        <v>0.54824163334806708</v>
      </c>
      <c r="Q34" s="50">
        <f>'TE BE'!$Q$34*'TE BE'!$Q$48</f>
        <v>28.176869224999962</v>
      </c>
      <c r="R34" s="50">
        <f>SUM($Q$34:$Q$34)</f>
        <v>28.176869224999962</v>
      </c>
      <c r="S34" s="50">
        <f>'TE BE'!$S$34*'TE BE'!$S$48</f>
        <v>0</v>
      </c>
      <c r="T34" s="50">
        <f>'TE BE'!$T$34*'TE BE'!$T$48</f>
        <v>0</v>
      </c>
      <c r="U34" s="50">
        <f>'TE BE'!$U$34*'TE BE'!$U$48</f>
        <v>0</v>
      </c>
      <c r="V34" s="50">
        <f>SUM($S$34:$U$34)</f>
        <v>0</v>
      </c>
      <c r="W34" s="50">
        <f>'TE BE'!$AA$34*'TE BE'!$W$48</f>
        <v>0</v>
      </c>
      <c r="X34" s="50">
        <f>SUM($W$34:$W$34)</f>
        <v>0</v>
      </c>
      <c r="Y34" s="50">
        <f>'TE BE'!$Y$34*'TE BE'!$Y$48</f>
        <v>0.21580734629753304</v>
      </c>
      <c r="Z34" s="50">
        <f>SUM($Y$34:$Y$34)</f>
        <v>0.21580734629753304</v>
      </c>
      <c r="AA34" s="50">
        <f>SUMIF($L$4:$Z$4,"SUBTOTAL",$L$34:$Z$34)</f>
        <v>28.940918204645563</v>
      </c>
    </row>
    <row r="35" spans="1:27" ht="11.25" customHeight="1" x14ac:dyDescent="0.25">
      <c r="A35" s="142" t="s">
        <v>39</v>
      </c>
      <c r="B35" s="142" t="s">
        <v>75</v>
      </c>
      <c r="C35" s="142" t="s">
        <v>25</v>
      </c>
      <c r="D35" s="142" t="s">
        <v>25</v>
      </c>
      <c r="E35" s="142" t="s">
        <v>25</v>
      </c>
      <c r="F35" s="142" t="s">
        <v>25</v>
      </c>
      <c r="G35" s="52" t="s">
        <v>77</v>
      </c>
      <c r="H35" s="52" t="s">
        <v>76</v>
      </c>
      <c r="I35" s="52">
        <f>'MERCADO TE'!$U$32</f>
        <v>0.80500000000000171</v>
      </c>
      <c r="J35" s="18"/>
      <c r="L35" s="50">
        <f>'TE BE'!$L$35*'TE BE'!$L$48</f>
        <v>0</v>
      </c>
      <c r="M35" s="50">
        <f>'TE BE'!$M$35*'TE BE'!$M$48</f>
        <v>0.54824163334806708</v>
      </c>
      <c r="N35" s="50">
        <f>'TE BE'!$N$35*'TE BE'!$N$48</f>
        <v>0</v>
      </c>
      <c r="O35" s="50">
        <f>'TE BE'!$O$35*'TE BE'!$O$48</f>
        <v>0</v>
      </c>
      <c r="P35" s="50">
        <f>SUM($L$35:$O$35)</f>
        <v>0.54824163334806708</v>
      </c>
      <c r="Q35" s="50">
        <f>'TE BE'!$Q$35*'TE BE'!$Q$48</f>
        <v>28.176869224999962</v>
      </c>
      <c r="R35" s="50">
        <f>SUM($Q$35:$Q$35)</f>
        <v>28.176869224999962</v>
      </c>
      <c r="S35" s="50">
        <f>'TE BE'!$S$35*'TE BE'!$S$48</f>
        <v>0</v>
      </c>
      <c r="T35" s="50">
        <f>'TE BE'!$T$35*'TE BE'!$T$48</f>
        <v>0</v>
      </c>
      <c r="U35" s="50">
        <f>'TE BE'!$U$35*'TE BE'!$U$48</f>
        <v>0</v>
      </c>
      <c r="V35" s="50">
        <f>SUM($S$35:$U$35)</f>
        <v>0</v>
      </c>
      <c r="W35" s="50">
        <f>'TE BE'!$AA$35*'TE BE'!$W$48</f>
        <v>0</v>
      </c>
      <c r="X35" s="50">
        <f>SUM($W$35:$W$35)</f>
        <v>0</v>
      </c>
      <c r="Y35" s="50">
        <f>'TE BE'!$Y$35*'TE BE'!$Y$48</f>
        <v>0.21580734629753304</v>
      </c>
      <c r="Z35" s="50">
        <f>SUM($Y$35:$Y$35)</f>
        <v>0.21580734629753304</v>
      </c>
      <c r="AA35" s="50">
        <f>SUMIF($L$4:$Z$4,"SUBTOTAL",$L$35:$Z$35)</f>
        <v>28.940918204645563</v>
      </c>
    </row>
    <row r="36" spans="1:27" ht="11.25" customHeight="1" x14ac:dyDescent="0.25">
      <c r="A36" s="142"/>
      <c r="B36" s="142"/>
      <c r="C36" s="142"/>
      <c r="D36" s="142"/>
      <c r="E36" s="142"/>
      <c r="F36" s="142"/>
      <c r="G36" s="52" t="s">
        <v>88</v>
      </c>
      <c r="H36" s="52" t="s">
        <v>76</v>
      </c>
      <c r="I36" s="52">
        <f>'MERCADO TE'!$U$33</f>
        <v>1.23</v>
      </c>
      <c r="J36" s="18"/>
      <c r="L36" s="50">
        <f>'TE BE'!$L$36*'TE BE'!$L$48</f>
        <v>0</v>
      </c>
      <c r="M36" s="50">
        <f>'TE BE'!$M$36*'TE BE'!$M$48</f>
        <v>0.54824163334806708</v>
      </c>
      <c r="N36" s="50">
        <f>'TE BE'!$N$36*'TE BE'!$N$48</f>
        <v>0</v>
      </c>
      <c r="O36" s="50">
        <f>'TE BE'!$O$36*'TE BE'!$O$48</f>
        <v>0</v>
      </c>
      <c r="P36" s="50">
        <f>SUM($L$36:$O$36)</f>
        <v>0.54824163334806708</v>
      </c>
      <c r="Q36" s="50">
        <f>'TE BE'!$Q$36*'TE BE'!$Q$48</f>
        <v>28.176869224999962</v>
      </c>
      <c r="R36" s="50">
        <f>SUM($Q$36:$Q$36)</f>
        <v>28.176869224999962</v>
      </c>
      <c r="S36" s="50">
        <f>'TE BE'!$S$36*'TE BE'!$S$48</f>
        <v>0</v>
      </c>
      <c r="T36" s="50">
        <f>'TE BE'!$T$36*'TE BE'!$T$48</f>
        <v>0</v>
      </c>
      <c r="U36" s="50">
        <f>'TE BE'!$U$36*'TE BE'!$U$48</f>
        <v>0</v>
      </c>
      <c r="V36" s="50">
        <f>SUM($S$36:$U$36)</f>
        <v>0</v>
      </c>
      <c r="W36" s="50">
        <f>'TE BE'!$AA$36*'TE BE'!$W$48</f>
        <v>0</v>
      </c>
      <c r="X36" s="50">
        <f>SUM($W$36:$W$36)</f>
        <v>0</v>
      </c>
      <c r="Y36" s="50">
        <f>'TE BE'!$Y$36*'TE BE'!$Y$48</f>
        <v>0.21580734629753304</v>
      </c>
      <c r="Z36" s="50">
        <f>SUM($Y$36:$Y$36)</f>
        <v>0.21580734629753304</v>
      </c>
      <c r="AA36" s="50">
        <f>SUMIF($L$4:$Z$4,"SUBTOTAL",$L$36:$Z$36)</f>
        <v>28.940918204645563</v>
      </c>
    </row>
    <row r="37" spans="1:27" ht="11.25" customHeight="1" x14ac:dyDescent="0.25">
      <c r="A37" s="142"/>
      <c r="B37" s="142"/>
      <c r="C37" s="142"/>
      <c r="D37" s="142"/>
      <c r="E37" s="142"/>
      <c r="F37" s="142"/>
      <c r="G37" s="52" t="s">
        <v>78</v>
      </c>
      <c r="H37" s="52" t="s">
        <v>76</v>
      </c>
      <c r="I37" s="52">
        <f>'MERCADO TE'!$U$34</f>
        <v>18.96</v>
      </c>
      <c r="J37" s="18"/>
      <c r="L37" s="50">
        <f>'TE BE'!$L$37*'TE BE'!$L$48</f>
        <v>0</v>
      </c>
      <c r="M37" s="50">
        <f>'TE BE'!$M$37*'TE BE'!$M$48</f>
        <v>0.54824163334806708</v>
      </c>
      <c r="N37" s="50">
        <f>'TE BE'!$N$37*'TE BE'!$N$48</f>
        <v>0</v>
      </c>
      <c r="O37" s="50">
        <f>'TE BE'!$O$37*'TE BE'!$O$48</f>
        <v>0</v>
      </c>
      <c r="P37" s="50">
        <f>SUM($L$37:$O$37)</f>
        <v>0.54824163334806708</v>
      </c>
      <c r="Q37" s="50">
        <f>'TE BE'!$Q$37*'TE BE'!$Q$48</f>
        <v>28.176869224999962</v>
      </c>
      <c r="R37" s="50">
        <f>SUM($Q$37:$Q$37)</f>
        <v>28.176869224999962</v>
      </c>
      <c r="S37" s="50">
        <f>'TE BE'!$S$37*'TE BE'!$S$48</f>
        <v>0</v>
      </c>
      <c r="T37" s="50">
        <f>'TE BE'!$T$37*'TE BE'!$T$48</f>
        <v>0</v>
      </c>
      <c r="U37" s="50">
        <f>'TE BE'!$U$37*'TE BE'!$U$48</f>
        <v>0</v>
      </c>
      <c r="V37" s="50">
        <f>SUM($S$37:$U$37)</f>
        <v>0</v>
      </c>
      <c r="W37" s="50">
        <f>'TE BE'!$AA$37*'TE BE'!$W$48</f>
        <v>0</v>
      </c>
      <c r="X37" s="50">
        <f>SUM($W$37:$W$37)</f>
        <v>0</v>
      </c>
      <c r="Y37" s="50">
        <f>'TE BE'!$Y$37*'TE BE'!$Y$48</f>
        <v>0.21580734629753304</v>
      </c>
      <c r="Z37" s="50">
        <f>SUM($Y$37:$Y$37)</f>
        <v>0.21580734629753304</v>
      </c>
      <c r="AA37" s="50">
        <f>SUMIF($L$4:$Z$4,"SUBTOTAL",$L$37:$Z$37)</f>
        <v>28.940918204645563</v>
      </c>
    </row>
    <row r="38" spans="1:27" ht="11.25" customHeight="1" x14ac:dyDescent="0.25">
      <c r="A38" s="142"/>
      <c r="B38" s="58" t="s">
        <v>89</v>
      </c>
      <c r="C38" s="58" t="s">
        <v>25</v>
      </c>
      <c r="D38" s="58" t="s">
        <v>25</v>
      </c>
      <c r="E38" s="58" t="s">
        <v>25</v>
      </c>
      <c r="F38" s="58" t="s">
        <v>25</v>
      </c>
      <c r="G38" s="52" t="s">
        <v>82</v>
      </c>
      <c r="H38" s="52" t="s">
        <v>76</v>
      </c>
      <c r="I38" s="52">
        <f>'MERCADO TE'!$U$35</f>
        <v>17010.552</v>
      </c>
      <c r="J38" s="18"/>
      <c r="L38" s="50">
        <f>'TE BE'!$L$38*'TE BE'!$L$48</f>
        <v>0</v>
      </c>
      <c r="M38" s="50">
        <f>'TE BE'!$M$38*'TE BE'!$M$48</f>
        <v>0.54824163334806708</v>
      </c>
      <c r="N38" s="50">
        <f>'TE BE'!$N$38*'TE BE'!$N$48</f>
        <v>0</v>
      </c>
      <c r="O38" s="50">
        <f>'TE BE'!$O$38*'TE BE'!$O$48</f>
        <v>0</v>
      </c>
      <c r="P38" s="50">
        <f>SUM($L$38:$O$38)</f>
        <v>0.54824163334806708</v>
      </c>
      <c r="Q38" s="50">
        <f>'TE BE'!$Q$38*'TE BE'!$Q$48</f>
        <v>28.176869224999962</v>
      </c>
      <c r="R38" s="50">
        <f>SUM($Q$38:$Q$38)</f>
        <v>28.176869224999962</v>
      </c>
      <c r="S38" s="50">
        <f>'TE BE'!$S$38*'TE BE'!$S$48</f>
        <v>0</v>
      </c>
      <c r="T38" s="50">
        <f>'TE BE'!$T$38*'TE BE'!$T$48</f>
        <v>0</v>
      </c>
      <c r="U38" s="50">
        <f>'TE BE'!$U$38*'TE BE'!$U$48</f>
        <v>0</v>
      </c>
      <c r="V38" s="50">
        <f>SUM($S$38:$U$38)</f>
        <v>0</v>
      </c>
      <c r="W38" s="50">
        <f>'TE BE'!$AA$38*'TE BE'!$W$48</f>
        <v>0</v>
      </c>
      <c r="X38" s="50">
        <f>SUM($W$38:$W$38)</f>
        <v>0</v>
      </c>
      <c r="Y38" s="50">
        <f>'TE BE'!$Y$38*'TE BE'!$Y$48</f>
        <v>0.21580734629753304</v>
      </c>
      <c r="Z38" s="50">
        <f>SUM($Y$38:$Y$38)</f>
        <v>0.21580734629753304</v>
      </c>
      <c r="AA38" s="50">
        <f>SUMIF($L$4:$Z$4,"SUBTOTAL",$L$38:$Z$38)</f>
        <v>28.940918204645563</v>
      </c>
    </row>
    <row r="39" spans="1:27" ht="11.25" customHeight="1" x14ac:dyDescent="0.25">
      <c r="A39" s="142"/>
      <c r="B39" s="58" t="s">
        <v>90</v>
      </c>
      <c r="C39" s="58" t="s">
        <v>25</v>
      </c>
      <c r="D39" s="58" t="s">
        <v>25</v>
      </c>
      <c r="E39" s="58" t="s">
        <v>25</v>
      </c>
      <c r="F39" s="58" t="s">
        <v>25</v>
      </c>
      <c r="G39" s="52" t="s">
        <v>82</v>
      </c>
      <c r="H39" s="52" t="s">
        <v>76</v>
      </c>
      <c r="I39" s="52">
        <f>'MERCADO TE'!$U$36</f>
        <v>0</v>
      </c>
      <c r="J39" s="18"/>
      <c r="L39" s="50">
        <f>'TE BE'!$L$39*'TE BE'!$L$48</f>
        <v>0</v>
      </c>
      <c r="M39" s="50">
        <f>'TE BE'!$M$39*'TE BE'!$M$48</f>
        <v>0.54824163334806708</v>
      </c>
      <c r="N39" s="50">
        <f>'TE BE'!$N$39*'TE BE'!$N$48</f>
        <v>0</v>
      </c>
      <c r="O39" s="50">
        <f>'TE BE'!$O$39*'TE BE'!$O$48</f>
        <v>0</v>
      </c>
      <c r="P39" s="50">
        <f>SUM($L$39:$O$39)</f>
        <v>0.54824163334806708</v>
      </c>
      <c r="Q39" s="50">
        <f>'TE BE'!$Q$39*'TE BE'!$Q$48</f>
        <v>28.176869224999962</v>
      </c>
      <c r="R39" s="50">
        <f>SUM($Q$39:$Q$39)</f>
        <v>28.176869224999962</v>
      </c>
      <c r="S39" s="50">
        <f>'TE BE'!$S$39*'TE BE'!$S$48</f>
        <v>0</v>
      </c>
      <c r="T39" s="50">
        <f>'TE BE'!$T$39*'TE BE'!$T$48</f>
        <v>0</v>
      </c>
      <c r="U39" s="50">
        <f>'TE BE'!$U$39*'TE BE'!$U$48</f>
        <v>0</v>
      </c>
      <c r="V39" s="50">
        <f>SUM($S$39:$U$39)</f>
        <v>0</v>
      </c>
      <c r="W39" s="50">
        <f>'TE BE'!$AA$39*'TE BE'!$W$48</f>
        <v>0</v>
      </c>
      <c r="X39" s="50">
        <f>SUM($W$39:$W$39)</f>
        <v>0</v>
      </c>
      <c r="Y39" s="50">
        <f>'TE BE'!$Y$39*'TE BE'!$Y$48</f>
        <v>0.21580734629753304</v>
      </c>
      <c r="Z39" s="50">
        <f>SUM($Y$39:$Y$39)</f>
        <v>0.21580734629753304</v>
      </c>
      <c r="AA39" s="50">
        <f>SUMIF($L$4:$Z$4,"SUBTOTAL",$L$39:$Z$39)</f>
        <v>28.940918204645563</v>
      </c>
    </row>
    <row r="40" spans="1:27" ht="11.25" customHeight="1" x14ac:dyDescent="0.25">
      <c r="A40" s="142" t="s">
        <v>46</v>
      </c>
      <c r="B40" s="142" t="s">
        <v>89</v>
      </c>
      <c r="C40" s="142" t="s">
        <v>47</v>
      </c>
      <c r="D40" s="58" t="s">
        <v>48</v>
      </c>
      <c r="E40" s="58" t="s">
        <v>25</v>
      </c>
      <c r="F40" s="58" t="s">
        <v>25</v>
      </c>
      <c r="G40" s="52" t="s">
        <v>82</v>
      </c>
      <c r="H40" s="52" t="s">
        <v>76</v>
      </c>
      <c r="I40" s="52">
        <f>'MERCADO TE'!$U$37</f>
        <v>3708.9960000000001</v>
      </c>
      <c r="J40" s="18"/>
      <c r="L40" s="50">
        <f>'TE BE'!$L$40*'TE BE'!$L$48</f>
        <v>0</v>
      </c>
      <c r="M40" s="50">
        <f>'TE BE'!$M$40*'TE BE'!$M$48</f>
        <v>0.30153289834143693</v>
      </c>
      <c r="N40" s="50">
        <f>'TE BE'!$N$40*'TE BE'!$N$48</f>
        <v>0</v>
      </c>
      <c r="O40" s="50">
        <f>'TE BE'!$O$40*'TE BE'!$O$48</f>
        <v>0</v>
      </c>
      <c r="P40" s="50">
        <f>SUM($L$40:$O$40)</f>
        <v>0.30153289834143693</v>
      </c>
      <c r="Q40" s="50">
        <f>'TE BE'!$Q$40*'TE BE'!$Q$48</f>
        <v>15.497278073749982</v>
      </c>
      <c r="R40" s="50">
        <f>SUM($Q$40:$Q$40)</f>
        <v>15.497278073749982</v>
      </c>
      <c r="S40" s="50">
        <f>'TE BE'!$S$40*'TE BE'!$S$48</f>
        <v>0</v>
      </c>
      <c r="T40" s="50">
        <f>'TE BE'!$T$40*'TE BE'!$T$48</f>
        <v>0</v>
      </c>
      <c r="U40" s="50">
        <f>'TE BE'!$U$40*'TE BE'!$U$48</f>
        <v>0</v>
      </c>
      <c r="V40" s="50">
        <f>SUM($S$40:$U$40)</f>
        <v>0</v>
      </c>
      <c r="W40" s="50">
        <f>'TE BE'!$AA$40*'TE BE'!$W$48</f>
        <v>0</v>
      </c>
      <c r="X40" s="50">
        <f>SUM($W$40:$W$40)</f>
        <v>0</v>
      </c>
      <c r="Y40" s="50">
        <f>'TE BE'!$Y$40*'TE BE'!$Y$48</f>
        <v>0.11869404046364318</v>
      </c>
      <c r="Z40" s="50">
        <f>SUM($Y$40:$Y$40)</f>
        <v>0.11869404046364318</v>
      </c>
      <c r="AA40" s="50">
        <f>SUMIF($L$4:$Z$4,"SUBTOTAL",$L$40:$Z$40)</f>
        <v>15.917505012555061</v>
      </c>
    </row>
    <row r="41" spans="1:27" ht="11.25" customHeight="1" x14ac:dyDescent="0.25">
      <c r="A41" s="142"/>
      <c r="B41" s="142"/>
      <c r="C41" s="142"/>
      <c r="D41" s="52" t="s">
        <v>49</v>
      </c>
      <c r="E41" s="52" t="s">
        <v>25</v>
      </c>
      <c r="F41" s="52" t="s">
        <v>25</v>
      </c>
      <c r="G41" s="52" t="s">
        <v>82</v>
      </c>
      <c r="H41" s="52" t="s">
        <v>76</v>
      </c>
      <c r="I41" s="52">
        <f>'MERCADO TE'!$U$38</f>
        <v>336.95</v>
      </c>
      <c r="J41" s="18"/>
      <c r="L41" s="50">
        <f>'TE BE'!$L$41*'TE BE'!$L$48</f>
        <v>0</v>
      </c>
      <c r="M41" s="50">
        <f>'TE BE'!$M$41*'TE BE'!$M$48</f>
        <v>0.32894498000884026</v>
      </c>
      <c r="N41" s="50">
        <f>'TE BE'!$N$41*'TE BE'!$N$48</f>
        <v>0</v>
      </c>
      <c r="O41" s="50">
        <f>'TE BE'!$O$41*'TE BE'!$O$48</f>
        <v>0</v>
      </c>
      <c r="P41" s="50">
        <f>SUM($L$41:$O$41)</f>
        <v>0.32894498000884026</v>
      </c>
      <c r="Q41" s="50">
        <f>'TE BE'!$Q$41*'TE BE'!$Q$48</f>
        <v>16.906121534999976</v>
      </c>
      <c r="R41" s="50">
        <f>SUM($Q$41:$Q$41)</f>
        <v>16.906121534999976</v>
      </c>
      <c r="S41" s="50">
        <f>'TE BE'!$S$41*'TE BE'!$S$48</f>
        <v>0</v>
      </c>
      <c r="T41" s="50">
        <f>'TE BE'!$T$41*'TE BE'!$T$48</f>
        <v>0</v>
      </c>
      <c r="U41" s="50">
        <f>'TE BE'!$U$41*'TE BE'!$U$48</f>
        <v>0</v>
      </c>
      <c r="V41" s="50">
        <f>SUM($S$41:$U$41)</f>
        <v>0</v>
      </c>
      <c r="W41" s="50">
        <f>'TE BE'!$AA$41*'TE BE'!$W$48</f>
        <v>0</v>
      </c>
      <c r="X41" s="50">
        <f>SUM($W$41:$W$41)</f>
        <v>0</v>
      </c>
      <c r="Y41" s="50">
        <f>'TE BE'!$Y$41*'TE BE'!$Y$48</f>
        <v>0.12948440777851983</v>
      </c>
      <c r="Z41" s="50">
        <f>SUM($Y$41:$Y$41)</f>
        <v>0.12948440777851983</v>
      </c>
      <c r="AA41" s="50">
        <f>SUMIF($L$4:$Z$4,"SUBTOTAL",$L$41:$Z$41)</f>
        <v>17.364550922787338</v>
      </c>
    </row>
    <row r="43" spans="1:27" ht="11.25" customHeight="1" x14ac:dyDescent="0.25">
      <c r="K43" s="57" t="s">
        <v>733</v>
      </c>
      <c r="L43" s="50">
        <f t="shared" ref="L43:AA43" si="0">SUMPRODUCT($I$5:$I$41,L$5:L$41)</f>
        <v>0</v>
      </c>
      <c r="M43" s="50">
        <f t="shared" si="0"/>
        <v>69881.719465040325</v>
      </c>
      <c r="N43" s="50">
        <f t="shared" si="0"/>
        <v>0</v>
      </c>
      <c r="O43" s="50">
        <f t="shared" si="0"/>
        <v>0</v>
      </c>
      <c r="P43" s="50">
        <f t="shared" si="0"/>
        <v>69881.719465040325</v>
      </c>
      <c r="Q43" s="50">
        <f t="shared" si="0"/>
        <v>3591569.758319445</v>
      </c>
      <c r="R43" s="50">
        <f t="shared" si="0"/>
        <v>3591569.758319445</v>
      </c>
      <c r="S43" s="50">
        <f t="shared" si="0"/>
        <v>0</v>
      </c>
      <c r="T43" s="50">
        <f t="shared" si="0"/>
        <v>0</v>
      </c>
      <c r="U43" s="50">
        <f t="shared" si="0"/>
        <v>0</v>
      </c>
      <c r="V43" s="50">
        <f t="shared" si="0"/>
        <v>0</v>
      </c>
      <c r="W43" s="50">
        <f t="shared" si="0"/>
        <v>0</v>
      </c>
      <c r="X43" s="50">
        <f t="shared" si="0"/>
        <v>0</v>
      </c>
      <c r="Y43" s="50">
        <f t="shared" si="0"/>
        <v>27507.922629590608</v>
      </c>
      <c r="Z43" s="50">
        <f t="shared" si="0"/>
        <v>27507.922629590608</v>
      </c>
      <c r="AA43" s="50">
        <f t="shared" si="0"/>
        <v>3688959.4004140762</v>
      </c>
    </row>
    <row r="44" spans="1:27" ht="11.25" customHeight="1" x14ac:dyDescent="0.25">
      <c r="K44" s="57" t="s">
        <v>658</v>
      </c>
      <c r="L44" s="50">
        <f>CUSTOS!$D$30</f>
        <v>0</v>
      </c>
      <c r="M44" s="50">
        <f>CUSTOS!$D$31</f>
        <v>1679157.6937069311</v>
      </c>
      <c r="N44" s="50">
        <f>CUSTOS!$D$32</f>
        <v>0</v>
      </c>
      <c r="O44" s="50">
        <f>CUSTOS!$D$33</f>
        <v>0</v>
      </c>
      <c r="P44" s="50">
        <f>CUSTOS!$D$34</f>
        <v>1679157.6937069311</v>
      </c>
      <c r="Q44" s="50">
        <f>CUSTOS!$D$35</f>
        <v>21318377.612188999</v>
      </c>
      <c r="R44" s="50">
        <f>CUSTOS!$D$36</f>
        <v>21318377.612188999</v>
      </c>
      <c r="S44" s="50">
        <f>CUSTOS!$D$37</f>
        <v>0</v>
      </c>
      <c r="T44" s="50">
        <f>CUSTOS!$D$38</f>
        <v>0</v>
      </c>
      <c r="U44" s="50">
        <f>CUSTOS!$D$39</f>
        <v>0</v>
      </c>
      <c r="V44" s="50">
        <f>CUSTOS!$D$40</f>
        <v>0</v>
      </c>
      <c r="W44" s="50">
        <f>CUSTOS!$D$41</f>
        <v>0</v>
      </c>
      <c r="X44" s="50">
        <f>CUSTOS!$D$42</f>
        <v>0</v>
      </c>
      <c r="Y44" s="50">
        <f>CUSTOS!$D$43</f>
        <v>163277.98745551557</v>
      </c>
      <c r="Z44" s="50">
        <f>CUSTOS!$D$44</f>
        <v>163277.98745551557</v>
      </c>
      <c r="AA44" s="50">
        <f>CUSTOS!$D$45</f>
        <v>23160813.293351445</v>
      </c>
    </row>
    <row r="45" spans="1:27" ht="11.25" customHeight="1" x14ac:dyDescent="0.25">
      <c r="K45" s="57" t="s">
        <v>659</v>
      </c>
      <c r="L45" s="50">
        <f>CUSTOS!$E$30</f>
        <v>0</v>
      </c>
      <c r="M45" s="50">
        <f>CUSTOS!$E$31</f>
        <v>69881.719465040325</v>
      </c>
      <c r="N45" s="50">
        <f>CUSTOS!$E$32</f>
        <v>0</v>
      </c>
      <c r="O45" s="50">
        <f>CUSTOS!$E$33</f>
        <v>0</v>
      </c>
      <c r="P45" s="50">
        <f>CUSTOS!$E$34</f>
        <v>69881.719465040325</v>
      </c>
      <c r="Q45" s="50">
        <f>CUSTOS!$E$35</f>
        <v>3591569.7583194454</v>
      </c>
      <c r="R45" s="50">
        <f>CUSTOS!$E$36</f>
        <v>3591569.7583194454</v>
      </c>
      <c r="S45" s="50">
        <f>CUSTOS!$E$37</f>
        <v>0</v>
      </c>
      <c r="T45" s="50">
        <f>CUSTOS!$E$38</f>
        <v>0</v>
      </c>
      <c r="U45" s="50">
        <f>CUSTOS!$E$39</f>
        <v>0</v>
      </c>
      <c r="V45" s="50">
        <f>CUSTOS!$E$40</f>
        <v>0</v>
      </c>
      <c r="W45" s="50">
        <f>CUSTOS!$E$41</f>
        <v>0</v>
      </c>
      <c r="X45" s="50">
        <f>CUSTOS!$E$42</f>
        <v>0</v>
      </c>
      <c r="Y45" s="50">
        <f>CUSTOS!$E$43</f>
        <v>27507.922629590605</v>
      </c>
      <c r="Z45" s="50">
        <f>CUSTOS!$E$44</f>
        <v>27507.922629590605</v>
      </c>
      <c r="AA45" s="50">
        <f>CUSTOS!$E$45</f>
        <v>3688959.4004140762</v>
      </c>
    </row>
    <row r="46" spans="1:27" ht="11.25" customHeight="1" x14ac:dyDescent="0.25">
      <c r="K46" s="57" t="s">
        <v>660</v>
      </c>
      <c r="L46" s="50">
        <f>CUSTOS!$F$30</f>
        <v>0</v>
      </c>
      <c r="M46" s="50">
        <f>CUSTOS!$F$31</f>
        <v>0</v>
      </c>
      <c r="N46" s="50">
        <f>CUSTOS!$F$32</f>
        <v>0</v>
      </c>
      <c r="O46" s="50">
        <f>CUSTOS!$F$33</f>
        <v>0</v>
      </c>
      <c r="P46" s="50">
        <f>CUSTOS!$F$34</f>
        <v>0</v>
      </c>
      <c r="Q46" s="50">
        <f>CUSTOS!$F$35</f>
        <v>0</v>
      </c>
      <c r="R46" s="50">
        <f>CUSTOS!$F$36</f>
        <v>0</v>
      </c>
      <c r="S46" s="50">
        <f>CUSTOS!$F$37</f>
        <v>0</v>
      </c>
      <c r="T46" s="50">
        <f>CUSTOS!$F$38</f>
        <v>0</v>
      </c>
      <c r="U46" s="50">
        <f>CUSTOS!$F$39</f>
        <v>0</v>
      </c>
      <c r="V46" s="50">
        <f>CUSTOS!$F$40</f>
        <v>0</v>
      </c>
      <c r="W46" s="50">
        <f>CUSTOS!$F$41</f>
        <v>0</v>
      </c>
      <c r="X46" s="50">
        <f>CUSTOS!$F$42</f>
        <v>0</v>
      </c>
      <c r="Y46" s="50">
        <f>CUSTOS!$F$43</f>
        <v>0</v>
      </c>
      <c r="Z46" s="50">
        <f>CUSTOS!$F$44</f>
        <v>0</v>
      </c>
      <c r="AA46" s="50">
        <f>CUSTOS!$F$45</f>
        <v>0</v>
      </c>
    </row>
    <row r="47" spans="1:27" ht="11.25" customHeight="1" x14ac:dyDescent="0.25">
      <c r="K47" s="57" t="s">
        <v>734</v>
      </c>
      <c r="L47" s="50">
        <f>'TR TE'!$L$47*L48</f>
        <v>0</v>
      </c>
      <c r="M47" s="50">
        <f>'TR TE'!$M$47*M48</f>
        <v>0</v>
      </c>
      <c r="N47" s="50">
        <f>'TR TE'!$N$47*N48</f>
        <v>0</v>
      </c>
      <c r="O47" s="50">
        <f>'TR TE'!$O$47*O48</f>
        <v>0</v>
      </c>
      <c r="P47" s="50"/>
      <c r="Q47" s="50">
        <f>'TR TE'!$Q$47*Q48</f>
        <v>0</v>
      </c>
      <c r="R47" s="50"/>
      <c r="S47" s="50">
        <f>'TR TE'!$S$47*S48</f>
        <v>0</v>
      </c>
      <c r="T47" s="50">
        <f>'TR TE'!$T$47*T48</f>
        <v>0</v>
      </c>
      <c r="U47" s="50">
        <f>'TR TE'!$U$47*U48</f>
        <v>0</v>
      </c>
      <c r="V47" s="50"/>
      <c r="W47" s="50"/>
      <c r="X47" s="50"/>
      <c r="Y47" s="50">
        <f>'TR TE'!$Y$47*Y48</f>
        <v>0</v>
      </c>
      <c r="Z47" s="50"/>
      <c r="AA47" s="50"/>
    </row>
    <row r="48" spans="1:27" ht="11.25" customHeight="1" x14ac:dyDescent="0.25">
      <c r="K48" s="57" t="s">
        <v>729</v>
      </c>
      <c r="L48" s="50">
        <f>IF(L44&lt;&gt;0,L46/L44,0)</f>
        <v>0</v>
      </c>
      <c r="M48" s="50">
        <f>IF(M44&lt;&gt;0,M46/M44,0)</f>
        <v>0</v>
      </c>
      <c r="N48" s="50">
        <f>IF(N44&lt;&gt;0,N46/N44,0)</f>
        <v>0</v>
      </c>
      <c r="O48" s="50">
        <f>IF(O44&lt;&gt;0,O46/O44,0)</f>
        <v>0</v>
      </c>
      <c r="P48" s="50"/>
      <c r="Q48" s="50">
        <f>IF(Q44&lt;&gt;0,Q46/Q44,0)</f>
        <v>0</v>
      </c>
      <c r="R48" s="50"/>
      <c r="S48" s="50">
        <f>IF(S44&lt;&gt;0,S46/S44,0)</f>
        <v>0</v>
      </c>
      <c r="T48" s="50">
        <f>IF(T44&lt;&gt;0,T46/T44,0)</f>
        <v>0</v>
      </c>
      <c r="U48" s="50">
        <f>IF(U44&lt;&gt;0,U46/U44,0)</f>
        <v>0</v>
      </c>
      <c r="V48" s="50"/>
      <c r="W48" s="50">
        <f>IF($AA44&lt;&gt;0,W46/($AA44-SUM('TR TE'!$L47:'TR TE'!$Z47)*0),0)</f>
        <v>0</v>
      </c>
      <c r="X48" s="50"/>
      <c r="Y48" s="50">
        <f>IF(Y44&lt;&gt;0,Y46/Y44,0)</f>
        <v>0</v>
      </c>
      <c r="Z48" s="50"/>
      <c r="AA48" s="50"/>
    </row>
    <row r="49" spans="11:27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</row>
  </sheetData>
  <mergeCells count="61">
    <mergeCell ref="S3:V3"/>
    <mergeCell ref="W3:X3"/>
    <mergeCell ref="A1:A4"/>
    <mergeCell ref="B1:B4"/>
    <mergeCell ref="C1:C4"/>
    <mergeCell ref="D1:D4"/>
    <mergeCell ref="E1:E4"/>
    <mergeCell ref="F1:F4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883" priority="31" operator="notEqual">
      <formula>$L$45</formula>
    </cfRule>
    <cfRule type="cellIs" dxfId="882" priority="32" operator="equal">
      <formula>$L$45</formula>
    </cfRule>
  </conditionalFormatting>
  <conditionalFormatting sqref="M43">
    <cfRule type="cellIs" dxfId="881" priority="29" operator="notEqual">
      <formula>$M$45</formula>
    </cfRule>
    <cfRule type="cellIs" dxfId="880" priority="30" operator="equal">
      <formula>$M$45</formula>
    </cfRule>
  </conditionalFormatting>
  <conditionalFormatting sqref="N43">
    <cfRule type="cellIs" dxfId="879" priority="27" operator="notEqual">
      <formula>$N$45</formula>
    </cfRule>
    <cfRule type="cellIs" dxfId="878" priority="28" operator="equal">
      <formula>$N$45</formula>
    </cfRule>
  </conditionalFormatting>
  <conditionalFormatting sqref="O43">
    <cfRule type="cellIs" dxfId="877" priority="25" operator="notEqual">
      <formula>$O$45</formula>
    </cfRule>
    <cfRule type="cellIs" dxfId="876" priority="26" operator="equal">
      <formula>$O$45</formula>
    </cfRule>
  </conditionalFormatting>
  <conditionalFormatting sqref="P43">
    <cfRule type="cellIs" dxfId="875" priority="23" operator="notEqual">
      <formula>$P$45</formula>
    </cfRule>
    <cfRule type="cellIs" dxfId="874" priority="24" operator="equal">
      <formula>$P$45</formula>
    </cfRule>
  </conditionalFormatting>
  <conditionalFormatting sqref="Q43">
    <cfRule type="cellIs" dxfId="873" priority="21" operator="notEqual">
      <formula>$Q$45</formula>
    </cfRule>
    <cfRule type="cellIs" dxfId="872" priority="22" operator="equal">
      <formula>$Q$45</formula>
    </cfRule>
  </conditionalFormatting>
  <conditionalFormatting sqref="R43">
    <cfRule type="cellIs" dxfId="871" priority="19" operator="notEqual">
      <formula>$R$45</formula>
    </cfRule>
    <cfRule type="cellIs" dxfId="870" priority="20" operator="equal">
      <formula>$R$45</formula>
    </cfRule>
  </conditionalFormatting>
  <conditionalFormatting sqref="S43">
    <cfRule type="cellIs" dxfId="869" priority="17" operator="notEqual">
      <formula>$S$45</formula>
    </cfRule>
    <cfRule type="cellIs" dxfId="868" priority="18" operator="equal">
      <formula>$S$45</formula>
    </cfRule>
  </conditionalFormatting>
  <conditionalFormatting sqref="T43">
    <cfRule type="cellIs" dxfId="867" priority="15" operator="notEqual">
      <formula>$T$45</formula>
    </cfRule>
    <cfRule type="cellIs" dxfId="866" priority="16" operator="equal">
      <formula>$T$45</formula>
    </cfRule>
  </conditionalFormatting>
  <conditionalFormatting sqref="U43">
    <cfRule type="cellIs" dxfId="865" priority="13" operator="notEqual">
      <formula>$U$45</formula>
    </cfRule>
    <cfRule type="cellIs" dxfId="864" priority="14" operator="equal">
      <formula>$U$45</formula>
    </cfRule>
  </conditionalFormatting>
  <conditionalFormatting sqref="V43">
    <cfRule type="cellIs" dxfId="863" priority="11" operator="notEqual">
      <formula>$V$45</formula>
    </cfRule>
    <cfRule type="cellIs" dxfId="862" priority="12" operator="equal">
      <formula>$V$45</formula>
    </cfRule>
  </conditionalFormatting>
  <conditionalFormatting sqref="W43">
    <cfRule type="cellIs" dxfId="861" priority="9" operator="notEqual">
      <formula>$W$45</formula>
    </cfRule>
    <cfRule type="cellIs" dxfId="860" priority="10" operator="equal">
      <formula>$W$45</formula>
    </cfRule>
  </conditionalFormatting>
  <conditionalFormatting sqref="X43">
    <cfRule type="cellIs" dxfId="859" priority="7" operator="notEqual">
      <formula>$X$45</formula>
    </cfRule>
    <cfRule type="cellIs" dxfId="858" priority="8" operator="equal">
      <formula>$X$45</formula>
    </cfRule>
  </conditionalFormatting>
  <conditionalFormatting sqref="Y43">
    <cfRule type="cellIs" dxfId="857" priority="5" operator="notEqual">
      <formula>$Y$45</formula>
    </cfRule>
    <cfRule type="cellIs" dxfId="856" priority="6" operator="equal">
      <formula>$Y$45</formula>
    </cfRule>
  </conditionalFormatting>
  <conditionalFormatting sqref="Z43">
    <cfRule type="cellIs" dxfId="855" priority="3" operator="notEqual">
      <formula>$Z$45</formula>
    </cfRule>
    <cfRule type="cellIs" dxfId="854" priority="4" operator="equal">
      <formula>$Z$45</formula>
    </cfRule>
  </conditionalFormatting>
  <conditionalFormatting sqref="AA43">
    <cfRule type="cellIs" dxfId="853" priority="1" operator="notEqual">
      <formula>$AA$45</formula>
    </cfRule>
    <cfRule type="cellIs" dxfId="852" priority="2" operator="equal">
      <formula>$AA$45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F5AD2-D651-4E30-88B7-41518CFB43E6}">
  <dimension ref="A1:AA49"/>
  <sheetViews>
    <sheetView showGridLines="0" topLeftCell="L1" workbookViewId="0">
      <selection activeCell="AA43" sqref="AA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0.855468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0.85546875" style="9" bestFit="1" customWidth="1"/>
    <col min="28" max="16384" width="9.140625" style="9"/>
  </cols>
  <sheetData>
    <row r="1" spans="1:27" ht="11.25" customHeight="1" x14ac:dyDescent="0.25">
      <c r="A1" s="141" t="s">
        <v>66</v>
      </c>
      <c r="B1" s="141" t="s">
        <v>67</v>
      </c>
      <c r="C1" s="141" t="s">
        <v>68</v>
      </c>
      <c r="D1" s="141" t="s">
        <v>69</v>
      </c>
      <c r="E1" s="141" t="s">
        <v>70</v>
      </c>
      <c r="F1" s="141" t="s">
        <v>15</v>
      </c>
      <c r="G1" s="141" t="s">
        <v>72</v>
      </c>
      <c r="H1" s="141" t="s">
        <v>73</v>
      </c>
      <c r="I1" s="141" t="s">
        <v>717</v>
      </c>
      <c r="J1" s="126"/>
      <c r="L1" s="139" t="s">
        <v>739</v>
      </c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</row>
    <row r="2" spans="1:27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6"/>
      <c r="L2" s="139" t="s">
        <v>645</v>
      </c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</row>
    <row r="3" spans="1:27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6"/>
      <c r="L3" s="139" t="s">
        <v>618</v>
      </c>
      <c r="M3" s="139"/>
      <c r="N3" s="139"/>
      <c r="O3" s="139"/>
      <c r="P3" s="139"/>
      <c r="Q3" s="139" t="s">
        <v>648</v>
      </c>
      <c r="R3" s="139"/>
      <c r="S3" s="139" t="s">
        <v>627</v>
      </c>
      <c r="T3" s="139"/>
      <c r="U3" s="139"/>
      <c r="V3" s="139"/>
      <c r="W3" s="139" t="s">
        <v>637</v>
      </c>
      <c r="X3" s="139"/>
      <c r="Y3" s="139" t="s">
        <v>640</v>
      </c>
      <c r="Z3" s="139"/>
      <c r="AA3" s="139" t="s">
        <v>626</v>
      </c>
    </row>
    <row r="4" spans="1:27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6"/>
      <c r="L4" s="56" t="s">
        <v>620</v>
      </c>
      <c r="M4" s="56" t="s">
        <v>646</v>
      </c>
      <c r="N4" s="56" t="s">
        <v>647</v>
      </c>
      <c r="O4" s="56" t="s">
        <v>705</v>
      </c>
      <c r="P4" s="56" t="s">
        <v>626</v>
      </c>
      <c r="Q4" s="56" t="s">
        <v>649</v>
      </c>
      <c r="R4" s="56" t="s">
        <v>626</v>
      </c>
      <c r="S4" s="56" t="s">
        <v>650</v>
      </c>
      <c r="T4" s="56" t="s">
        <v>651</v>
      </c>
      <c r="U4" s="56" t="s">
        <v>652</v>
      </c>
      <c r="V4" s="56" t="s">
        <v>626</v>
      </c>
      <c r="W4" s="56" t="s">
        <v>638</v>
      </c>
      <c r="X4" s="56" t="s">
        <v>626</v>
      </c>
      <c r="Y4" s="56" t="s">
        <v>653</v>
      </c>
      <c r="Z4" s="56" t="s">
        <v>626</v>
      </c>
      <c r="AA4" s="140"/>
    </row>
    <row r="5" spans="1:27" ht="11.25" customHeight="1" x14ac:dyDescent="0.25">
      <c r="A5" s="142" t="s">
        <v>33</v>
      </c>
      <c r="B5" s="142" t="s">
        <v>75</v>
      </c>
      <c r="C5" s="142" t="s">
        <v>25</v>
      </c>
      <c r="D5" s="142" t="s">
        <v>25</v>
      </c>
      <c r="E5" s="142" t="s">
        <v>25</v>
      </c>
      <c r="F5" s="142" t="s">
        <v>25</v>
      </c>
      <c r="G5" s="52" t="s">
        <v>77</v>
      </c>
      <c r="H5" s="52" t="s">
        <v>76</v>
      </c>
      <c r="I5" s="52">
        <f>'MERCADO TE'!$U$2</f>
        <v>2264.5189999999998</v>
      </c>
      <c r="J5" s="18"/>
      <c r="L5" s="50">
        <f>'TE BE'!$L$5*'TE BF'!$L$48</f>
        <v>0</v>
      </c>
      <c r="M5" s="50">
        <f>'TE BE'!$M$5*'TE BF'!$M$48</f>
        <v>0</v>
      </c>
      <c r="N5" s="50">
        <f>'TE BE'!$N$5*'TE BF'!$N$48</f>
        <v>0</v>
      </c>
      <c r="O5" s="50">
        <f>'TE BE'!$O$5*'TE BF'!$O$48</f>
        <v>0</v>
      </c>
      <c r="P5" s="50">
        <f>SUM($L$5:$O$5)</f>
        <v>0</v>
      </c>
      <c r="Q5" s="50">
        <f>'TE BE'!$Q$5*'TE BF'!$Q$48</f>
        <v>0</v>
      </c>
      <c r="R5" s="50">
        <f>SUM($Q$5:$Q$5)</f>
        <v>0</v>
      </c>
      <c r="S5" s="50">
        <f>'TE BE'!$S$5*'TE BF'!$S$48</f>
        <v>0</v>
      </c>
      <c r="T5" s="50">
        <f>'TE BE'!$T$5*'TE BF'!$T$48</f>
        <v>0</v>
      </c>
      <c r="U5" s="50">
        <f>'TE BE'!$U$5*'TE BF'!$U$48</f>
        <v>0</v>
      </c>
      <c r="V5" s="50">
        <f>SUM($S$5:$U$5)</f>
        <v>0</v>
      </c>
      <c r="W5" s="50">
        <f>'TE BE'!$AA$5*'TE BF'!$W$48</f>
        <v>0</v>
      </c>
      <c r="X5" s="50">
        <f>SUM($W$5:$W$5)</f>
        <v>0</v>
      </c>
      <c r="Y5" s="50">
        <f>'TE BE'!$Y$5*'TE BF'!$Y$48</f>
        <v>0</v>
      </c>
      <c r="Z5" s="50">
        <f>SUM($Y$5:$Y$5)</f>
        <v>0</v>
      </c>
      <c r="AA5" s="50">
        <f>SUMIF($L$4:$Z$4,"SUBTOTAL",$L$5:$Z$5)</f>
        <v>0</v>
      </c>
    </row>
    <row r="6" spans="1:27" ht="11.25" customHeight="1" x14ac:dyDescent="0.25">
      <c r="A6" s="142"/>
      <c r="B6" s="142"/>
      <c r="C6" s="142"/>
      <c r="D6" s="142"/>
      <c r="E6" s="142"/>
      <c r="F6" s="142"/>
      <c r="G6" s="52" t="s">
        <v>78</v>
      </c>
      <c r="H6" s="52" t="s">
        <v>76</v>
      </c>
      <c r="I6" s="52">
        <f>'MERCADO TE'!$U$3</f>
        <v>42745.164999999994</v>
      </c>
      <c r="J6" s="18"/>
      <c r="L6" s="50">
        <f>'TE BE'!$L$6*'TE BF'!$L$48</f>
        <v>0</v>
      </c>
      <c r="M6" s="50">
        <f>'TE BE'!$M$6*'TE BF'!$M$48</f>
        <v>0</v>
      </c>
      <c r="N6" s="50">
        <f>'TE BE'!$N$6*'TE BF'!$N$48</f>
        <v>0</v>
      </c>
      <c r="O6" s="50">
        <f>'TE BE'!$O$6*'TE BF'!$O$48</f>
        <v>0</v>
      </c>
      <c r="P6" s="50">
        <f>SUM($L$6:$O$6)</f>
        <v>0</v>
      </c>
      <c r="Q6" s="50">
        <f>'TE BE'!$Q$6*'TE BF'!$Q$48</f>
        <v>0</v>
      </c>
      <c r="R6" s="50">
        <f>SUM($Q$6:$Q$6)</f>
        <v>0</v>
      </c>
      <c r="S6" s="50">
        <f>'TE BE'!$S$6*'TE BF'!$S$48</f>
        <v>0</v>
      </c>
      <c r="T6" s="50">
        <f>'TE BE'!$T$6*'TE BF'!$T$48</f>
        <v>0</v>
      </c>
      <c r="U6" s="50">
        <f>'TE BE'!$U$6*'TE BF'!$U$48</f>
        <v>0</v>
      </c>
      <c r="V6" s="50">
        <f>SUM($S$6:$U$6)</f>
        <v>0</v>
      </c>
      <c r="W6" s="50">
        <f>'TE BE'!$AA$6*'TE BF'!$W$48</f>
        <v>0</v>
      </c>
      <c r="X6" s="50">
        <f>SUM($W$6:$W$6)</f>
        <v>0</v>
      </c>
      <c r="Y6" s="50">
        <f>'TE BE'!$Y$6*'TE BF'!$Y$48</f>
        <v>0</v>
      </c>
      <c r="Z6" s="50">
        <f>SUM($Y$6:$Y$6)</f>
        <v>0</v>
      </c>
      <c r="AA6" s="50">
        <f>SUMIF($L$4:$Z$4,"SUBTOTAL",$L$6:$Z$6)</f>
        <v>0</v>
      </c>
    </row>
    <row r="7" spans="1:27" ht="11.25" customHeight="1" x14ac:dyDescent="0.25">
      <c r="A7" s="142" t="s">
        <v>22</v>
      </c>
      <c r="B7" s="142" t="s">
        <v>75</v>
      </c>
      <c r="C7" s="142" t="s">
        <v>24</v>
      </c>
      <c r="D7" s="142" t="s">
        <v>24</v>
      </c>
      <c r="E7" s="142" t="s">
        <v>25</v>
      </c>
      <c r="F7" s="142" t="s">
        <v>25</v>
      </c>
      <c r="G7" s="52" t="s">
        <v>77</v>
      </c>
      <c r="H7" s="52" t="s">
        <v>76</v>
      </c>
      <c r="I7" s="52">
        <f>'MERCADO TE'!$U$4</f>
        <v>4.6139999999999999</v>
      </c>
      <c r="J7" s="18"/>
      <c r="L7" s="50">
        <f>'TE BE'!$L$7*'TE BF'!$L$48</f>
        <v>0</v>
      </c>
      <c r="M7" s="50">
        <f>'TE BE'!$M$7*'TE BF'!$M$48</f>
        <v>0</v>
      </c>
      <c r="N7" s="50">
        <f>'TE BE'!$N$7*'TE BF'!$N$48</f>
        <v>0</v>
      </c>
      <c r="O7" s="50">
        <f>'TE BE'!$O$7*'TE BF'!$O$48</f>
        <v>0</v>
      </c>
      <c r="P7" s="50">
        <f>SUM($L$7:$O$7)</f>
        <v>0</v>
      </c>
      <c r="Q7" s="50">
        <f>'TE BE'!$Q$7*'TE BF'!$Q$48</f>
        <v>0</v>
      </c>
      <c r="R7" s="50">
        <f>SUM($Q$7:$Q$7)</f>
        <v>0</v>
      </c>
      <c r="S7" s="50">
        <f>'TE BE'!$S$7*'TE BF'!$S$48</f>
        <v>0</v>
      </c>
      <c r="T7" s="50">
        <f>'TE BE'!$T$7*'TE BF'!$T$48</f>
        <v>0</v>
      </c>
      <c r="U7" s="50">
        <f>'TE BE'!$U$7*'TE BF'!$U$48</f>
        <v>0</v>
      </c>
      <c r="V7" s="50">
        <f>SUM($S$7:$U$7)</f>
        <v>0</v>
      </c>
      <c r="W7" s="50">
        <f>'TE BE'!$AA$7*'TE BF'!$W$48</f>
        <v>0</v>
      </c>
      <c r="X7" s="50">
        <f>SUM($W$7:$W$7)</f>
        <v>0</v>
      </c>
      <c r="Y7" s="50">
        <f>'TE BE'!$Y$7*'TE BF'!$Y$48</f>
        <v>0</v>
      </c>
      <c r="Z7" s="50">
        <f>SUM($Y$7:$Y$7)</f>
        <v>0</v>
      </c>
      <c r="AA7" s="50">
        <f>SUMIF($L$4:$Z$4,"SUBTOTAL",$L$7:$Z$7)</f>
        <v>0</v>
      </c>
    </row>
    <row r="8" spans="1:27" ht="11.25" customHeight="1" x14ac:dyDescent="0.25">
      <c r="A8" s="142"/>
      <c r="B8" s="142"/>
      <c r="C8" s="142"/>
      <c r="D8" s="142"/>
      <c r="E8" s="142"/>
      <c r="F8" s="142"/>
      <c r="G8" s="52" t="s">
        <v>88</v>
      </c>
      <c r="H8" s="52" t="s">
        <v>76</v>
      </c>
      <c r="I8" s="52">
        <f>'MERCADO TE'!$U$5</f>
        <v>7.0189999999999992</v>
      </c>
      <c r="J8" s="18"/>
      <c r="L8" s="50">
        <f>'TE BE'!$L$8*'TE BF'!$L$48</f>
        <v>0</v>
      </c>
      <c r="M8" s="50">
        <f>'TE BE'!$M$8*'TE BF'!$M$48</f>
        <v>0</v>
      </c>
      <c r="N8" s="50">
        <f>'TE BE'!$N$8*'TE BF'!$N$48</f>
        <v>0</v>
      </c>
      <c r="O8" s="50">
        <f>'TE BE'!$O$8*'TE BF'!$O$48</f>
        <v>0</v>
      </c>
      <c r="P8" s="50">
        <f>SUM($L$8:$O$8)</f>
        <v>0</v>
      </c>
      <c r="Q8" s="50">
        <f>'TE BE'!$Q$8*'TE BF'!$Q$48</f>
        <v>0</v>
      </c>
      <c r="R8" s="50">
        <f>SUM($Q$8:$Q$8)</f>
        <v>0</v>
      </c>
      <c r="S8" s="50">
        <f>'TE BE'!$S$8*'TE BF'!$S$48</f>
        <v>0</v>
      </c>
      <c r="T8" s="50">
        <f>'TE BE'!$T$8*'TE BF'!$T$48</f>
        <v>0</v>
      </c>
      <c r="U8" s="50">
        <f>'TE BE'!$U$8*'TE BF'!$U$48</f>
        <v>0</v>
      </c>
      <c r="V8" s="50">
        <f>SUM($S$8:$U$8)</f>
        <v>0</v>
      </c>
      <c r="W8" s="50">
        <f>'TE BE'!$AA$8*'TE BF'!$W$48</f>
        <v>0</v>
      </c>
      <c r="X8" s="50">
        <f>SUM($W$8:$W$8)</f>
        <v>0</v>
      </c>
      <c r="Y8" s="50">
        <f>'TE BE'!$Y$8*'TE BF'!$Y$48</f>
        <v>0</v>
      </c>
      <c r="Z8" s="50">
        <f>SUM($Y$8:$Y$8)</f>
        <v>0</v>
      </c>
      <c r="AA8" s="50">
        <f>SUMIF($L$4:$Z$4,"SUBTOTAL",$L$8:$Z$8)</f>
        <v>0</v>
      </c>
    </row>
    <row r="9" spans="1:27" ht="11.25" customHeight="1" x14ac:dyDescent="0.25">
      <c r="A9" s="142"/>
      <c r="B9" s="142"/>
      <c r="C9" s="142"/>
      <c r="D9" s="142"/>
      <c r="E9" s="142"/>
      <c r="F9" s="142"/>
      <c r="G9" s="52" t="s">
        <v>78</v>
      </c>
      <c r="H9" s="52" t="s">
        <v>76</v>
      </c>
      <c r="I9" s="52">
        <f>'MERCADO TE'!$U$6</f>
        <v>29.872</v>
      </c>
      <c r="J9" s="18"/>
      <c r="L9" s="50">
        <f>'TE BE'!$L$9*'TE BF'!$L$48</f>
        <v>0</v>
      </c>
      <c r="M9" s="50">
        <f>'TE BE'!$M$9*'TE BF'!$M$48</f>
        <v>0</v>
      </c>
      <c r="N9" s="50">
        <f>'TE BE'!$N$9*'TE BF'!$N$48</f>
        <v>0</v>
      </c>
      <c r="O9" s="50">
        <f>'TE BE'!$O$9*'TE BF'!$O$48</f>
        <v>0</v>
      </c>
      <c r="P9" s="50">
        <f>SUM($L$9:$O$9)</f>
        <v>0</v>
      </c>
      <c r="Q9" s="50">
        <f>'TE BE'!$Q$9*'TE BF'!$Q$48</f>
        <v>0</v>
      </c>
      <c r="R9" s="50">
        <f>SUM($Q$9:$Q$9)</f>
        <v>0</v>
      </c>
      <c r="S9" s="50">
        <f>'TE BE'!$S$9*'TE BF'!$S$48</f>
        <v>0</v>
      </c>
      <c r="T9" s="50">
        <f>'TE BE'!$T$9*'TE BF'!$T$48</f>
        <v>0</v>
      </c>
      <c r="U9" s="50">
        <f>'TE BE'!$U$9*'TE BF'!$U$48</f>
        <v>0</v>
      </c>
      <c r="V9" s="50">
        <f>SUM($S$9:$U$9)</f>
        <v>0</v>
      </c>
      <c r="W9" s="50">
        <f>'TE BE'!$AA$9*'TE BF'!$W$48</f>
        <v>0</v>
      </c>
      <c r="X9" s="50">
        <f>SUM($W$9:$W$9)</f>
        <v>0</v>
      </c>
      <c r="Y9" s="50">
        <f>'TE BE'!$Y$9*'TE BF'!$Y$48</f>
        <v>0</v>
      </c>
      <c r="Z9" s="50">
        <f>SUM($Y$9:$Y$9)</f>
        <v>0</v>
      </c>
      <c r="AA9" s="50">
        <f>SUMIF($L$4:$Z$4,"SUBTOTAL",$L$9:$Z$9)</f>
        <v>0</v>
      </c>
    </row>
    <row r="10" spans="1:27" ht="11.25" customHeight="1" x14ac:dyDescent="0.25">
      <c r="A10" s="142"/>
      <c r="B10" s="142" t="s">
        <v>89</v>
      </c>
      <c r="C10" s="142" t="s">
        <v>24</v>
      </c>
      <c r="D10" s="58" t="s">
        <v>24</v>
      </c>
      <c r="E10" s="58" t="s">
        <v>25</v>
      </c>
      <c r="F10" s="58" t="s">
        <v>25</v>
      </c>
      <c r="G10" s="52" t="s">
        <v>82</v>
      </c>
      <c r="H10" s="52" t="s">
        <v>76</v>
      </c>
      <c r="I10" s="52">
        <f>'MERCADO TE'!$U$7</f>
        <v>25648.588</v>
      </c>
      <c r="J10" s="18"/>
      <c r="L10" s="50">
        <f>'TE BE'!$L$10*'TE BF'!$L$48</f>
        <v>0</v>
      </c>
      <c r="M10" s="50">
        <f>'TE BE'!$M$10*'TE BF'!$M$48</f>
        <v>0</v>
      </c>
      <c r="N10" s="50">
        <f>'TE BE'!$N$10*'TE BF'!$N$48</f>
        <v>0</v>
      </c>
      <c r="O10" s="50">
        <f>'TE BE'!$O$10*'TE BF'!$O$48</f>
        <v>0</v>
      </c>
      <c r="P10" s="50">
        <f>SUM($L$10:$O$10)</f>
        <v>0</v>
      </c>
      <c r="Q10" s="50">
        <f>'TE BE'!$Q$10*'TE BF'!$Q$48</f>
        <v>0</v>
      </c>
      <c r="R10" s="50">
        <f>SUM($Q$10:$Q$10)</f>
        <v>0</v>
      </c>
      <c r="S10" s="50">
        <f>'TE BE'!$S$10*'TE BF'!$S$48</f>
        <v>0</v>
      </c>
      <c r="T10" s="50">
        <f>'TE BE'!$T$10*'TE BF'!$T$48</f>
        <v>0</v>
      </c>
      <c r="U10" s="50">
        <f>'TE BE'!$U$10*'TE BF'!$U$48</f>
        <v>0</v>
      </c>
      <c r="V10" s="50">
        <f>SUM($S$10:$U$10)</f>
        <v>0</v>
      </c>
      <c r="W10" s="50">
        <f>'TE BE'!$AA$10*'TE BF'!$W$48</f>
        <v>0</v>
      </c>
      <c r="X10" s="50">
        <f>SUM($W$10:$W$10)</f>
        <v>0</v>
      </c>
      <c r="Y10" s="50">
        <f>'TE BE'!$Y$10*'TE BF'!$Y$48</f>
        <v>0</v>
      </c>
      <c r="Z10" s="50">
        <f>SUM($Y$10:$Y$10)</f>
        <v>0</v>
      </c>
      <c r="AA10" s="50">
        <f>SUMIF($L$4:$Z$4,"SUBTOTAL",$L$10:$Z$10)</f>
        <v>0</v>
      </c>
    </row>
    <row r="11" spans="1:27" ht="11.25" customHeight="1" x14ac:dyDescent="0.25">
      <c r="A11" s="142"/>
      <c r="B11" s="142"/>
      <c r="C11" s="142"/>
      <c r="D11" s="58" t="s">
        <v>29</v>
      </c>
      <c r="E11" s="58" t="s">
        <v>25</v>
      </c>
      <c r="F11" s="58" t="s">
        <v>25</v>
      </c>
      <c r="G11" s="52" t="s">
        <v>82</v>
      </c>
      <c r="H11" s="52" t="s">
        <v>76</v>
      </c>
      <c r="I11" s="52">
        <f>'MERCADO TE'!$U$8</f>
        <v>203.58</v>
      </c>
      <c r="J11" s="18"/>
      <c r="L11" s="50">
        <f>'TE BE'!$L$11*'TE BF'!$L$48</f>
        <v>0</v>
      </c>
      <c r="M11" s="50">
        <f>'TE BE'!$M$11*'TE BF'!$M$48</f>
        <v>0</v>
      </c>
      <c r="N11" s="50">
        <f>'TE BE'!$N$11*'TE BF'!$N$48</f>
        <v>0</v>
      </c>
      <c r="O11" s="50">
        <f>'TE BE'!$O$11*'TE BF'!$O$48</f>
        <v>0</v>
      </c>
      <c r="P11" s="50">
        <f>SUM($L$11:$O$11)</f>
        <v>0</v>
      </c>
      <c r="Q11" s="50">
        <f>'TE BE'!$Q$11*'TE BF'!$Q$48</f>
        <v>0</v>
      </c>
      <c r="R11" s="50">
        <f>SUM($Q$11:$Q$11)</f>
        <v>0</v>
      </c>
      <c r="S11" s="50">
        <f>'TE BE'!$S$11*'TE BF'!$S$48</f>
        <v>0</v>
      </c>
      <c r="T11" s="50">
        <f>'TE BE'!$T$11*'TE BF'!$T$48</f>
        <v>0</v>
      </c>
      <c r="U11" s="50">
        <f>'TE BE'!$U$11*'TE BF'!$U$48</f>
        <v>0</v>
      </c>
      <c r="V11" s="50">
        <f>SUM($S$11:$U$11)</f>
        <v>0</v>
      </c>
      <c r="W11" s="50">
        <f>'TE BE'!$AA$11*'TE BF'!$W$48</f>
        <v>0</v>
      </c>
      <c r="X11" s="50">
        <f>SUM($W$11:$W$11)</f>
        <v>0</v>
      </c>
      <c r="Y11" s="50">
        <f>'TE BE'!$Y$11*'TE BF'!$Y$48</f>
        <v>0</v>
      </c>
      <c r="Z11" s="50">
        <f>SUM($Y$11:$Y$11)</f>
        <v>0</v>
      </c>
      <c r="AA11" s="50">
        <f>SUMIF($L$4:$Z$4,"SUBTOTAL",$L$11:$Z$11)</f>
        <v>0</v>
      </c>
    </row>
    <row r="12" spans="1:27" ht="11.25" customHeight="1" x14ac:dyDescent="0.25">
      <c r="A12" s="142"/>
      <c r="B12" s="142"/>
      <c r="C12" s="142"/>
      <c r="D12" s="58" t="s">
        <v>30</v>
      </c>
      <c r="E12" s="58" t="s">
        <v>25</v>
      </c>
      <c r="F12" s="58" t="s">
        <v>25</v>
      </c>
      <c r="G12" s="52" t="s">
        <v>82</v>
      </c>
      <c r="H12" s="52" t="s">
        <v>76</v>
      </c>
      <c r="I12" s="52">
        <f>'MERCADO TE'!$U$9</f>
        <v>441.75700000000001</v>
      </c>
      <c r="J12" s="18"/>
      <c r="L12" s="50">
        <f>'TE BE'!$L$12*'TE BF'!$L$48</f>
        <v>0</v>
      </c>
      <c r="M12" s="50">
        <f>'TE BE'!$M$12*'TE BF'!$M$48</f>
        <v>0</v>
      </c>
      <c r="N12" s="50">
        <f>'TE BE'!$N$12*'TE BF'!$N$48</f>
        <v>0</v>
      </c>
      <c r="O12" s="50">
        <f>'TE BE'!$O$12*'TE BF'!$O$48</f>
        <v>0</v>
      </c>
      <c r="P12" s="50">
        <f>SUM($L$12:$O$12)</f>
        <v>0</v>
      </c>
      <c r="Q12" s="50">
        <f>'TE BE'!$Q$12*'TE BF'!$Q$48</f>
        <v>0</v>
      </c>
      <c r="R12" s="50">
        <f>SUM($Q$12:$Q$12)</f>
        <v>0</v>
      </c>
      <c r="S12" s="50">
        <f>'TE BE'!$S$12*'TE BF'!$S$48</f>
        <v>0</v>
      </c>
      <c r="T12" s="50">
        <f>'TE BE'!$T$12*'TE BF'!$T$48</f>
        <v>0</v>
      </c>
      <c r="U12" s="50">
        <f>'TE BE'!$U$12*'TE BF'!$U$48</f>
        <v>0</v>
      </c>
      <c r="V12" s="50">
        <f>SUM($S$12:$U$12)</f>
        <v>0</v>
      </c>
      <c r="W12" s="50">
        <f>'TE BE'!$AA$12*'TE BF'!$W$48</f>
        <v>0</v>
      </c>
      <c r="X12" s="50">
        <f>SUM($W$12:$W$12)</f>
        <v>0</v>
      </c>
      <c r="Y12" s="50">
        <f>'TE BE'!$Y$12*'TE BF'!$Y$48</f>
        <v>0</v>
      </c>
      <c r="Z12" s="50">
        <f>SUM($Y$12:$Y$12)</f>
        <v>0</v>
      </c>
      <c r="AA12" s="50">
        <f>SUMIF($L$4:$Z$4,"SUBTOTAL",$L$12:$Z$12)</f>
        <v>0</v>
      </c>
    </row>
    <row r="13" spans="1:27" ht="11.25" customHeight="1" x14ac:dyDescent="0.25">
      <c r="A13" s="142"/>
      <c r="B13" s="142"/>
      <c r="C13" s="142"/>
      <c r="D13" s="58" t="s">
        <v>31</v>
      </c>
      <c r="E13" s="58" t="s">
        <v>25</v>
      </c>
      <c r="F13" s="58" t="s">
        <v>25</v>
      </c>
      <c r="G13" s="52" t="s">
        <v>82</v>
      </c>
      <c r="H13" s="52" t="s">
        <v>76</v>
      </c>
      <c r="I13" s="52">
        <f>'MERCADO TE'!$U$10</f>
        <v>380.55199999999996</v>
      </c>
      <c r="J13" s="18"/>
      <c r="L13" s="50">
        <f>'TE BE'!$L$13*'TE BF'!$L$48</f>
        <v>0</v>
      </c>
      <c r="M13" s="50">
        <f>'TE BE'!$M$13*'TE BF'!$M$48</f>
        <v>0</v>
      </c>
      <c r="N13" s="50">
        <f>'TE BE'!$N$13*'TE BF'!$N$48</f>
        <v>0</v>
      </c>
      <c r="O13" s="50">
        <f>'TE BE'!$O$13*'TE BF'!$O$48</f>
        <v>0</v>
      </c>
      <c r="P13" s="50">
        <f>SUM($L$13:$O$13)</f>
        <v>0</v>
      </c>
      <c r="Q13" s="50">
        <f>'TE BE'!$Q$13*'TE BF'!$Q$48</f>
        <v>0</v>
      </c>
      <c r="R13" s="50">
        <f>SUM($Q$13:$Q$13)</f>
        <v>0</v>
      </c>
      <c r="S13" s="50">
        <f>'TE BE'!$S$13*'TE BF'!$S$48</f>
        <v>0</v>
      </c>
      <c r="T13" s="50">
        <f>'TE BE'!$T$13*'TE BF'!$T$48</f>
        <v>0</v>
      </c>
      <c r="U13" s="50">
        <f>'TE BE'!$U$13*'TE BF'!$U$48</f>
        <v>0</v>
      </c>
      <c r="V13" s="50">
        <f>SUM($S$13:$U$13)</f>
        <v>0</v>
      </c>
      <c r="W13" s="50">
        <f>'TE BE'!$AA$13*'TE BF'!$W$48</f>
        <v>0</v>
      </c>
      <c r="X13" s="50">
        <f>SUM($W$13:$W$13)</f>
        <v>0</v>
      </c>
      <c r="Y13" s="50">
        <f>'TE BE'!$Y$13*'TE BF'!$Y$48</f>
        <v>0</v>
      </c>
      <c r="Z13" s="50">
        <f>SUM($Y$13:$Y$13)</f>
        <v>0</v>
      </c>
      <c r="AA13" s="50">
        <f>SUMIF($L$4:$Z$4,"SUBTOTAL",$L$13:$Z$13)</f>
        <v>0</v>
      </c>
    </row>
    <row r="14" spans="1:27" ht="11.25" customHeight="1" x14ac:dyDescent="0.25">
      <c r="A14" s="142"/>
      <c r="B14" s="142"/>
      <c r="C14" s="142"/>
      <c r="D14" s="58" t="s">
        <v>32</v>
      </c>
      <c r="E14" s="58" t="s">
        <v>25</v>
      </c>
      <c r="F14" s="58" t="s">
        <v>25</v>
      </c>
      <c r="G14" s="52" t="s">
        <v>82</v>
      </c>
      <c r="H14" s="52" t="s">
        <v>76</v>
      </c>
      <c r="I14" s="52">
        <f>'MERCADO TE'!$U$11</f>
        <v>85.721000000000004</v>
      </c>
      <c r="J14" s="18"/>
      <c r="L14" s="50">
        <f>'TE BE'!$L$14*'TE BF'!$L$48</f>
        <v>0</v>
      </c>
      <c r="M14" s="50">
        <f>'TE BE'!$M$14*'TE BF'!$M$48</f>
        <v>0</v>
      </c>
      <c r="N14" s="50">
        <f>'TE BE'!$N$14*'TE BF'!$N$48</f>
        <v>0</v>
      </c>
      <c r="O14" s="50">
        <f>'TE BE'!$O$14*'TE BF'!$O$48</f>
        <v>0</v>
      </c>
      <c r="P14" s="50">
        <f>SUM($L$14:$O$14)</f>
        <v>0</v>
      </c>
      <c r="Q14" s="50">
        <f>'TE BE'!$Q$14*'TE BF'!$Q$48</f>
        <v>0</v>
      </c>
      <c r="R14" s="50">
        <f>SUM($Q$14:$Q$14)</f>
        <v>0</v>
      </c>
      <c r="S14" s="50">
        <f>'TE BE'!$S$14*'TE BF'!$S$48</f>
        <v>0</v>
      </c>
      <c r="T14" s="50">
        <f>'TE BE'!$T$14*'TE BF'!$T$48</f>
        <v>0</v>
      </c>
      <c r="U14" s="50">
        <f>'TE BE'!$U$14*'TE BF'!$U$48</f>
        <v>0</v>
      </c>
      <c r="V14" s="50">
        <f>SUM($S$14:$U$14)</f>
        <v>0</v>
      </c>
      <c r="W14" s="50">
        <f>'TE BE'!$AA$14*'TE BF'!$W$48</f>
        <v>0</v>
      </c>
      <c r="X14" s="50">
        <f>SUM($W$14:$W$14)</f>
        <v>0</v>
      </c>
      <c r="Y14" s="50">
        <f>'TE BE'!$Y$14*'TE BF'!$Y$48</f>
        <v>0</v>
      </c>
      <c r="Z14" s="50">
        <f>SUM($Y$14:$Y$14)</f>
        <v>0</v>
      </c>
      <c r="AA14" s="50">
        <f>SUMIF($L$4:$Z$4,"SUBTOTAL",$L$14:$Z$14)</f>
        <v>0</v>
      </c>
    </row>
    <row r="15" spans="1:27" ht="11.25" customHeight="1" x14ac:dyDescent="0.25">
      <c r="A15" s="142"/>
      <c r="B15" s="142" t="s">
        <v>90</v>
      </c>
      <c r="C15" s="142" t="s">
        <v>24</v>
      </c>
      <c r="D15" s="58" t="s">
        <v>24</v>
      </c>
      <c r="E15" s="58" t="s">
        <v>25</v>
      </c>
      <c r="F15" s="58" t="s">
        <v>25</v>
      </c>
      <c r="G15" s="52" t="s">
        <v>82</v>
      </c>
      <c r="H15" s="52" t="s">
        <v>76</v>
      </c>
      <c r="I15" s="52">
        <f>'MERCADO TE'!$U$12</f>
        <v>0</v>
      </c>
      <c r="J15" s="18"/>
      <c r="L15" s="50">
        <f>'TE BE'!$L$15*'TE BF'!$L$48</f>
        <v>0</v>
      </c>
      <c r="M15" s="50">
        <f>'TE BE'!$M$15*'TE BF'!$M$48</f>
        <v>0</v>
      </c>
      <c r="N15" s="50">
        <f>'TE BE'!$N$15*'TE BF'!$N$48</f>
        <v>0</v>
      </c>
      <c r="O15" s="50">
        <f>'TE BE'!$O$15*'TE BF'!$O$48</f>
        <v>0</v>
      </c>
      <c r="P15" s="50">
        <f>SUM($L$15:$O$15)</f>
        <v>0</v>
      </c>
      <c r="Q15" s="50">
        <f>'TE BE'!$Q$15*'TE BF'!$Q$48</f>
        <v>0</v>
      </c>
      <c r="R15" s="50">
        <f>SUM($Q$15:$Q$15)</f>
        <v>0</v>
      </c>
      <c r="S15" s="50">
        <f>'TE BE'!$S$15*'TE BF'!$S$48</f>
        <v>0</v>
      </c>
      <c r="T15" s="50">
        <f>'TE BE'!$T$15*'TE BF'!$T$48</f>
        <v>0</v>
      </c>
      <c r="U15" s="50">
        <f>'TE BE'!$U$15*'TE BF'!$U$48</f>
        <v>0</v>
      </c>
      <c r="V15" s="50">
        <f>SUM($S$15:$U$15)</f>
        <v>0</v>
      </c>
      <c r="W15" s="50">
        <f>'TE BE'!$AA$15*'TE BF'!$W$48</f>
        <v>0</v>
      </c>
      <c r="X15" s="50">
        <f>SUM($W$15:$W$15)</f>
        <v>0</v>
      </c>
      <c r="Y15" s="50">
        <f>'TE BE'!$Y$15*'TE BF'!$Y$48</f>
        <v>0</v>
      </c>
      <c r="Z15" s="50">
        <f>SUM($Y$15:$Y$15)</f>
        <v>0</v>
      </c>
      <c r="AA15" s="50">
        <f>SUMIF($L$4:$Z$4,"SUBTOTAL",$L$15:$Z$15)</f>
        <v>0</v>
      </c>
    </row>
    <row r="16" spans="1:27" ht="11.25" customHeight="1" x14ac:dyDescent="0.25">
      <c r="A16" s="142"/>
      <c r="B16" s="142"/>
      <c r="C16" s="142"/>
      <c r="D16" s="58" t="s">
        <v>29</v>
      </c>
      <c r="E16" s="58" t="s">
        <v>25</v>
      </c>
      <c r="F16" s="58" t="s">
        <v>25</v>
      </c>
      <c r="G16" s="52" t="s">
        <v>82</v>
      </c>
      <c r="H16" s="52" t="s">
        <v>76</v>
      </c>
      <c r="I16" s="52">
        <f>'MERCADO TE'!$U$13</f>
        <v>0</v>
      </c>
      <c r="J16" s="18"/>
      <c r="L16" s="50">
        <f>'TE BE'!$L$16*'TE BF'!$L$48</f>
        <v>0</v>
      </c>
      <c r="M16" s="50">
        <f>'TE BE'!$M$16*'TE BF'!$M$48</f>
        <v>0</v>
      </c>
      <c r="N16" s="50">
        <f>'TE BE'!$N$16*'TE BF'!$N$48</f>
        <v>0</v>
      </c>
      <c r="O16" s="50">
        <f>'TE BE'!$O$16*'TE BF'!$O$48</f>
        <v>0</v>
      </c>
      <c r="P16" s="50">
        <f>SUM($L$16:$O$16)</f>
        <v>0</v>
      </c>
      <c r="Q16" s="50">
        <f>'TE BE'!$Q$16*'TE BF'!$Q$48</f>
        <v>0</v>
      </c>
      <c r="R16" s="50">
        <f>SUM($Q$16:$Q$16)</f>
        <v>0</v>
      </c>
      <c r="S16" s="50">
        <f>'TE BE'!$S$16*'TE BF'!$S$48</f>
        <v>0</v>
      </c>
      <c r="T16" s="50">
        <f>'TE BE'!$T$16*'TE BF'!$T$48</f>
        <v>0</v>
      </c>
      <c r="U16" s="50">
        <f>'TE BE'!$U$16*'TE BF'!$U$48</f>
        <v>0</v>
      </c>
      <c r="V16" s="50">
        <f>SUM($S$16:$U$16)</f>
        <v>0</v>
      </c>
      <c r="W16" s="50">
        <f>'TE BE'!$AA$16*'TE BF'!$W$48</f>
        <v>0</v>
      </c>
      <c r="X16" s="50">
        <f>SUM($W$16:$W$16)</f>
        <v>0</v>
      </c>
      <c r="Y16" s="50">
        <f>'TE BE'!$Y$16*'TE BF'!$Y$48</f>
        <v>0</v>
      </c>
      <c r="Z16" s="50">
        <f>SUM($Y$16:$Y$16)</f>
        <v>0</v>
      </c>
      <c r="AA16" s="50">
        <f>SUMIF($L$4:$Z$4,"SUBTOTAL",$L$16:$Z$16)</f>
        <v>0</v>
      </c>
    </row>
    <row r="17" spans="1:27" ht="11.25" customHeight="1" x14ac:dyDescent="0.25">
      <c r="A17" s="142"/>
      <c r="B17" s="142"/>
      <c r="C17" s="142"/>
      <c r="D17" s="58" t="s">
        <v>30</v>
      </c>
      <c r="E17" s="58" t="s">
        <v>25</v>
      </c>
      <c r="F17" s="58" t="s">
        <v>25</v>
      </c>
      <c r="G17" s="52" t="s">
        <v>82</v>
      </c>
      <c r="H17" s="52" t="s">
        <v>76</v>
      </c>
      <c r="I17" s="52">
        <f>'MERCADO TE'!$U$14</f>
        <v>0</v>
      </c>
      <c r="J17" s="18"/>
      <c r="L17" s="50">
        <f>'TE BE'!$L$17*'TE BF'!$L$48</f>
        <v>0</v>
      </c>
      <c r="M17" s="50">
        <f>'TE BE'!$M$17*'TE BF'!$M$48</f>
        <v>0</v>
      </c>
      <c r="N17" s="50">
        <f>'TE BE'!$N$17*'TE BF'!$N$48</f>
        <v>0</v>
      </c>
      <c r="O17" s="50">
        <f>'TE BE'!$O$17*'TE BF'!$O$48</f>
        <v>0</v>
      </c>
      <c r="P17" s="50">
        <f>SUM($L$17:$O$17)</f>
        <v>0</v>
      </c>
      <c r="Q17" s="50">
        <f>'TE BE'!$Q$17*'TE BF'!$Q$48</f>
        <v>0</v>
      </c>
      <c r="R17" s="50">
        <f>SUM($Q$17:$Q$17)</f>
        <v>0</v>
      </c>
      <c r="S17" s="50">
        <f>'TE BE'!$S$17*'TE BF'!$S$48</f>
        <v>0</v>
      </c>
      <c r="T17" s="50">
        <f>'TE BE'!$T$17*'TE BF'!$T$48</f>
        <v>0</v>
      </c>
      <c r="U17" s="50">
        <f>'TE BE'!$U$17*'TE BF'!$U$48</f>
        <v>0</v>
      </c>
      <c r="V17" s="50">
        <f>SUM($S$17:$U$17)</f>
        <v>0</v>
      </c>
      <c r="W17" s="50">
        <f>'TE BE'!$AA$17*'TE BF'!$W$48</f>
        <v>0</v>
      </c>
      <c r="X17" s="50">
        <f>SUM($W$17:$W$17)</f>
        <v>0</v>
      </c>
      <c r="Y17" s="50">
        <f>'TE BE'!$Y$17*'TE BF'!$Y$48</f>
        <v>0</v>
      </c>
      <c r="Z17" s="50">
        <f>SUM($Y$17:$Y$17)</f>
        <v>0</v>
      </c>
      <c r="AA17" s="50">
        <f>SUMIF($L$4:$Z$4,"SUBTOTAL",$L$17:$Z$17)</f>
        <v>0</v>
      </c>
    </row>
    <row r="18" spans="1:27" ht="11.25" customHeight="1" x14ac:dyDescent="0.25">
      <c r="A18" s="142"/>
      <c r="B18" s="142"/>
      <c r="C18" s="142"/>
      <c r="D18" s="58" t="s">
        <v>31</v>
      </c>
      <c r="E18" s="58" t="s">
        <v>25</v>
      </c>
      <c r="F18" s="58" t="s">
        <v>25</v>
      </c>
      <c r="G18" s="52" t="s">
        <v>82</v>
      </c>
      <c r="H18" s="52" t="s">
        <v>76</v>
      </c>
      <c r="I18" s="52">
        <f>'MERCADO TE'!$U$15</f>
        <v>0</v>
      </c>
      <c r="J18" s="18"/>
      <c r="L18" s="50">
        <f>'TE BE'!$L$18*'TE BF'!$L$48</f>
        <v>0</v>
      </c>
      <c r="M18" s="50">
        <f>'TE BE'!$M$18*'TE BF'!$M$48</f>
        <v>0</v>
      </c>
      <c r="N18" s="50">
        <f>'TE BE'!$N$18*'TE BF'!$N$48</f>
        <v>0</v>
      </c>
      <c r="O18" s="50">
        <f>'TE BE'!$O$18*'TE BF'!$O$48</f>
        <v>0</v>
      </c>
      <c r="P18" s="50">
        <f>SUM($L$18:$O$18)</f>
        <v>0</v>
      </c>
      <c r="Q18" s="50">
        <f>'TE BE'!$Q$18*'TE BF'!$Q$48</f>
        <v>0</v>
      </c>
      <c r="R18" s="50">
        <f>SUM($Q$18:$Q$18)</f>
        <v>0</v>
      </c>
      <c r="S18" s="50">
        <f>'TE BE'!$S$18*'TE BF'!$S$48</f>
        <v>0</v>
      </c>
      <c r="T18" s="50">
        <f>'TE BE'!$T$18*'TE BF'!$T$48</f>
        <v>0</v>
      </c>
      <c r="U18" s="50">
        <f>'TE BE'!$U$18*'TE BF'!$U$48</f>
        <v>0</v>
      </c>
      <c r="V18" s="50">
        <f>SUM($S$18:$U$18)</f>
        <v>0</v>
      </c>
      <c r="W18" s="50">
        <f>'TE BE'!$AA$18*'TE BF'!$W$48</f>
        <v>0</v>
      </c>
      <c r="X18" s="50">
        <f>SUM($W$18:$W$18)</f>
        <v>0</v>
      </c>
      <c r="Y18" s="50">
        <f>'TE BE'!$Y$18*'TE BF'!$Y$48</f>
        <v>0</v>
      </c>
      <c r="Z18" s="50">
        <f>SUM($Y$18:$Y$18)</f>
        <v>0</v>
      </c>
      <c r="AA18" s="50">
        <f>SUMIF($L$4:$Z$4,"SUBTOTAL",$L$18:$Z$18)</f>
        <v>0</v>
      </c>
    </row>
    <row r="19" spans="1:27" ht="11.25" customHeight="1" x14ac:dyDescent="0.25">
      <c r="A19" s="142"/>
      <c r="B19" s="142"/>
      <c r="C19" s="142"/>
      <c r="D19" s="58" t="s">
        <v>32</v>
      </c>
      <c r="E19" s="58" t="s">
        <v>25</v>
      </c>
      <c r="F19" s="58" t="s">
        <v>25</v>
      </c>
      <c r="G19" s="52" t="s">
        <v>82</v>
      </c>
      <c r="H19" s="52" t="s">
        <v>76</v>
      </c>
      <c r="I19" s="52">
        <f>'MERCADO TE'!$U$16</f>
        <v>0</v>
      </c>
      <c r="J19" s="18"/>
      <c r="L19" s="50">
        <f>'TE BE'!$L$19*'TE BF'!$L$48</f>
        <v>0</v>
      </c>
      <c r="M19" s="50">
        <f>'TE BE'!$M$19*'TE BF'!$M$48</f>
        <v>0</v>
      </c>
      <c r="N19" s="50">
        <f>'TE BE'!$N$19*'TE BF'!$N$48</f>
        <v>0</v>
      </c>
      <c r="O19" s="50">
        <f>'TE BE'!$O$19*'TE BF'!$O$48</f>
        <v>0</v>
      </c>
      <c r="P19" s="50">
        <f>SUM($L$19:$O$19)</f>
        <v>0</v>
      </c>
      <c r="Q19" s="50">
        <f>'TE BE'!$Q$19*'TE BF'!$Q$48</f>
        <v>0</v>
      </c>
      <c r="R19" s="50">
        <f>SUM($Q$19:$Q$19)</f>
        <v>0</v>
      </c>
      <c r="S19" s="50">
        <f>'TE BE'!$S$19*'TE BF'!$S$48</f>
        <v>0</v>
      </c>
      <c r="T19" s="50">
        <f>'TE BE'!$T$19*'TE BF'!$T$48</f>
        <v>0</v>
      </c>
      <c r="U19" s="50">
        <f>'TE BE'!$U$19*'TE BF'!$U$48</f>
        <v>0</v>
      </c>
      <c r="V19" s="50">
        <f>SUM($S$19:$U$19)</f>
        <v>0</v>
      </c>
      <c r="W19" s="50">
        <f>'TE BE'!$AA$19*'TE BF'!$W$48</f>
        <v>0</v>
      </c>
      <c r="X19" s="50">
        <f>SUM($W$19:$W$19)</f>
        <v>0</v>
      </c>
      <c r="Y19" s="50">
        <f>'TE BE'!$Y$19*'TE BF'!$Y$48</f>
        <v>0</v>
      </c>
      <c r="Z19" s="50">
        <f>SUM($Y$19:$Y$19)</f>
        <v>0</v>
      </c>
      <c r="AA19" s="50">
        <f>SUMIF($L$4:$Z$4,"SUBTOTAL",$L$19:$Z$19)</f>
        <v>0</v>
      </c>
    </row>
    <row r="20" spans="1:27" ht="11.25" customHeight="1" x14ac:dyDescent="0.25">
      <c r="A20" s="142" t="s">
        <v>43</v>
      </c>
      <c r="B20" s="142" t="s">
        <v>75</v>
      </c>
      <c r="C20" s="142" t="s">
        <v>44</v>
      </c>
      <c r="D20" s="142" t="s">
        <v>25</v>
      </c>
      <c r="E20" s="142" t="s">
        <v>25</v>
      </c>
      <c r="F20" s="142" t="s">
        <v>25</v>
      </c>
      <c r="G20" s="52" t="s">
        <v>77</v>
      </c>
      <c r="H20" s="52" t="s">
        <v>76</v>
      </c>
      <c r="I20" s="52">
        <f>'MERCADO TE'!$U$17</f>
        <v>0.78900000000000003</v>
      </c>
      <c r="J20" s="18"/>
      <c r="L20" s="50">
        <f>'TE BE'!$L$20*'TE BF'!$L$48</f>
        <v>0</v>
      </c>
      <c r="M20" s="50">
        <f>'TE BE'!$M$20*'TE BF'!$M$48</f>
        <v>0</v>
      </c>
      <c r="N20" s="50">
        <f>'TE BE'!$N$20*'TE BF'!$N$48</f>
        <v>0</v>
      </c>
      <c r="O20" s="50">
        <f>'TE BE'!$O$20*'TE BF'!$O$48</f>
        <v>0</v>
      </c>
      <c r="P20" s="50">
        <f>SUM($L$20:$O$20)</f>
        <v>0</v>
      </c>
      <c r="Q20" s="50">
        <f>'TE BE'!$Q$20*'TE BF'!$Q$48</f>
        <v>0</v>
      </c>
      <c r="R20" s="50">
        <f>SUM($Q$20:$Q$20)</f>
        <v>0</v>
      </c>
      <c r="S20" s="50">
        <f>'TE BE'!$S$20*'TE BF'!$S$48</f>
        <v>0</v>
      </c>
      <c r="T20" s="50">
        <f>'TE BE'!$T$20*'TE BF'!$T$48</f>
        <v>0</v>
      </c>
      <c r="U20" s="50">
        <f>'TE BE'!$U$20*'TE BF'!$U$48</f>
        <v>0</v>
      </c>
      <c r="V20" s="50">
        <f>SUM($S$20:$U$20)</f>
        <v>0</v>
      </c>
      <c r="W20" s="50">
        <f>'TE BE'!$AA$20*'TE BF'!$W$48</f>
        <v>0</v>
      </c>
      <c r="X20" s="50">
        <f>SUM($W$20:$W$20)</f>
        <v>0</v>
      </c>
      <c r="Y20" s="50">
        <f>'TE BE'!$Y$20*'TE BF'!$Y$48</f>
        <v>0</v>
      </c>
      <c r="Z20" s="50">
        <f>SUM($Y$20:$Y$20)</f>
        <v>0</v>
      </c>
      <c r="AA20" s="50">
        <f>SUMIF($L$4:$Z$4,"SUBTOTAL",$L$20:$Z$20)</f>
        <v>0</v>
      </c>
    </row>
    <row r="21" spans="1:27" ht="11.25" customHeight="1" x14ac:dyDescent="0.25">
      <c r="A21" s="142"/>
      <c r="B21" s="142"/>
      <c r="C21" s="142"/>
      <c r="D21" s="142"/>
      <c r="E21" s="142"/>
      <c r="F21" s="142"/>
      <c r="G21" s="52" t="s">
        <v>88</v>
      </c>
      <c r="H21" s="52" t="s">
        <v>76</v>
      </c>
      <c r="I21" s="52">
        <f>'MERCADO TE'!$U$18</f>
        <v>0.57700000000000018</v>
      </c>
      <c r="J21" s="18"/>
      <c r="L21" s="50">
        <f>'TE BE'!$L$21*'TE BF'!$L$48</f>
        <v>0</v>
      </c>
      <c r="M21" s="50">
        <f>'TE BE'!$M$21*'TE BF'!$M$48</f>
        <v>0</v>
      </c>
      <c r="N21" s="50">
        <f>'TE BE'!$N$21*'TE BF'!$N$48</f>
        <v>0</v>
      </c>
      <c r="O21" s="50">
        <f>'TE BE'!$O$21*'TE BF'!$O$48</f>
        <v>0</v>
      </c>
      <c r="P21" s="50">
        <f>SUM($L$21:$O$21)</f>
        <v>0</v>
      </c>
      <c r="Q21" s="50">
        <f>'TE BE'!$Q$21*'TE BF'!$Q$48</f>
        <v>0</v>
      </c>
      <c r="R21" s="50">
        <f>SUM($Q$21:$Q$21)</f>
        <v>0</v>
      </c>
      <c r="S21" s="50">
        <f>'TE BE'!$S$21*'TE BF'!$S$48</f>
        <v>0</v>
      </c>
      <c r="T21" s="50">
        <f>'TE BE'!$T$21*'TE BF'!$T$48</f>
        <v>0</v>
      </c>
      <c r="U21" s="50">
        <f>'TE BE'!$U$21*'TE BF'!$U$48</f>
        <v>0</v>
      </c>
      <c r="V21" s="50">
        <f>SUM($S$21:$U$21)</f>
        <v>0</v>
      </c>
      <c r="W21" s="50">
        <f>'TE BE'!$AA$21*'TE BF'!$W$48</f>
        <v>0</v>
      </c>
      <c r="X21" s="50">
        <f>SUM($W$21:$W$21)</f>
        <v>0</v>
      </c>
      <c r="Y21" s="50">
        <f>'TE BE'!$Y$21*'TE BF'!$Y$48</f>
        <v>0</v>
      </c>
      <c r="Z21" s="50">
        <f>SUM($Y$21:$Y$21)</f>
        <v>0</v>
      </c>
      <c r="AA21" s="50">
        <f>SUMIF($L$4:$Z$4,"SUBTOTAL",$L$21:$Z$21)</f>
        <v>0</v>
      </c>
    </row>
    <row r="22" spans="1:27" ht="11.25" customHeight="1" x14ac:dyDescent="0.25">
      <c r="A22" s="142"/>
      <c r="B22" s="142"/>
      <c r="C22" s="142"/>
      <c r="D22" s="142"/>
      <c r="E22" s="142"/>
      <c r="F22" s="142"/>
      <c r="G22" s="52" t="s">
        <v>78</v>
      </c>
      <c r="H22" s="52" t="s">
        <v>76</v>
      </c>
      <c r="I22" s="52">
        <f>'MERCADO TE'!$U$19</f>
        <v>5.0960000000000001</v>
      </c>
      <c r="J22" s="18"/>
      <c r="L22" s="50">
        <f>'TE BE'!$L$22*'TE BF'!$L$48</f>
        <v>0</v>
      </c>
      <c r="M22" s="50">
        <f>'TE BE'!$M$22*'TE BF'!$M$48</f>
        <v>0</v>
      </c>
      <c r="N22" s="50">
        <f>'TE BE'!$N$22*'TE BF'!$N$48</f>
        <v>0</v>
      </c>
      <c r="O22" s="50">
        <f>'TE BE'!$O$22*'TE BF'!$O$48</f>
        <v>0</v>
      </c>
      <c r="P22" s="50">
        <f>SUM($L$22:$O$22)</f>
        <v>0</v>
      </c>
      <c r="Q22" s="50">
        <f>'TE BE'!$Q$22*'TE BF'!$Q$48</f>
        <v>0</v>
      </c>
      <c r="R22" s="50">
        <f>SUM($Q$22:$Q$22)</f>
        <v>0</v>
      </c>
      <c r="S22" s="50">
        <f>'TE BE'!$S$22*'TE BF'!$S$48</f>
        <v>0</v>
      </c>
      <c r="T22" s="50">
        <f>'TE BE'!$T$22*'TE BF'!$T$48</f>
        <v>0</v>
      </c>
      <c r="U22" s="50">
        <f>'TE BE'!$U$22*'TE BF'!$U$48</f>
        <v>0</v>
      </c>
      <c r="V22" s="50">
        <f>SUM($S$22:$U$22)</f>
        <v>0</v>
      </c>
      <c r="W22" s="50">
        <f>'TE BE'!$AA$22*'TE BF'!$W$48</f>
        <v>0</v>
      </c>
      <c r="X22" s="50">
        <f>SUM($W$22:$W$22)</f>
        <v>0</v>
      </c>
      <c r="Y22" s="50">
        <f>'TE BE'!$Y$22*'TE BF'!$Y$48</f>
        <v>0</v>
      </c>
      <c r="Z22" s="50">
        <f>SUM($Y$22:$Y$22)</f>
        <v>0</v>
      </c>
      <c r="AA22" s="50">
        <f>SUMIF($L$4:$Z$4,"SUBTOTAL",$L$22:$Z$22)</f>
        <v>0</v>
      </c>
    </row>
    <row r="23" spans="1:27" ht="11.25" customHeight="1" x14ac:dyDescent="0.25">
      <c r="A23" s="142"/>
      <c r="B23" s="58" t="s">
        <v>89</v>
      </c>
      <c r="C23" s="58" t="s">
        <v>44</v>
      </c>
      <c r="D23" s="58" t="s">
        <v>25</v>
      </c>
      <c r="E23" s="58" t="s">
        <v>25</v>
      </c>
      <c r="F23" s="58" t="s">
        <v>25</v>
      </c>
      <c r="G23" s="52" t="s">
        <v>82</v>
      </c>
      <c r="H23" s="52" t="s">
        <v>76</v>
      </c>
      <c r="I23" s="52">
        <f>'MERCADO TE'!$U$20</f>
        <v>36373.667999999998</v>
      </c>
      <c r="J23" s="18"/>
      <c r="L23" s="50">
        <f>'TE BE'!$L$23*'TE BF'!$L$48</f>
        <v>0</v>
      </c>
      <c r="M23" s="50">
        <f>'TE BE'!$M$23*'TE BF'!$M$48</f>
        <v>0</v>
      </c>
      <c r="N23" s="50">
        <f>'TE BE'!$N$23*'TE BF'!$N$48</f>
        <v>0</v>
      </c>
      <c r="O23" s="50">
        <f>'TE BE'!$O$23*'TE BF'!$O$48</f>
        <v>0</v>
      </c>
      <c r="P23" s="50">
        <f>SUM($L$23:$O$23)</f>
        <v>0</v>
      </c>
      <c r="Q23" s="50">
        <f>'TE BE'!$Q$23*'TE BF'!$Q$48</f>
        <v>0</v>
      </c>
      <c r="R23" s="50">
        <f>SUM($Q$23:$Q$23)</f>
        <v>0</v>
      </c>
      <c r="S23" s="50">
        <f>'TE BE'!$S$23*'TE BF'!$S$48</f>
        <v>0</v>
      </c>
      <c r="T23" s="50">
        <f>'TE BE'!$T$23*'TE BF'!$T$48</f>
        <v>0</v>
      </c>
      <c r="U23" s="50">
        <f>'TE BE'!$U$23*'TE BF'!$U$48</f>
        <v>0</v>
      </c>
      <c r="V23" s="50">
        <f>SUM($S$23:$U$23)</f>
        <v>0</v>
      </c>
      <c r="W23" s="50">
        <f>'TE BE'!$AA$23*'TE BF'!$W$48</f>
        <v>0</v>
      </c>
      <c r="X23" s="50">
        <f>SUM($W$23:$W$23)</f>
        <v>0</v>
      </c>
      <c r="Y23" s="50">
        <f>'TE BE'!$Y$23*'TE BF'!$Y$48</f>
        <v>0</v>
      </c>
      <c r="Z23" s="50">
        <f>SUM($Y$23:$Y$23)</f>
        <v>0</v>
      </c>
      <c r="AA23" s="50">
        <f>SUMIF($L$4:$Z$4,"SUBTOTAL",$L$23:$Z$23)</f>
        <v>0</v>
      </c>
    </row>
    <row r="24" spans="1:27" ht="11.25" customHeight="1" x14ac:dyDescent="0.25">
      <c r="A24" s="142"/>
      <c r="B24" s="142" t="s">
        <v>75</v>
      </c>
      <c r="C24" s="142" t="s">
        <v>44</v>
      </c>
      <c r="D24" s="142" t="s">
        <v>92</v>
      </c>
      <c r="E24" s="142" t="s">
        <v>25</v>
      </c>
      <c r="F24" s="142" t="s">
        <v>25</v>
      </c>
      <c r="G24" s="52" t="s">
        <v>77</v>
      </c>
      <c r="H24" s="52" t="s">
        <v>76</v>
      </c>
      <c r="I24" s="52">
        <f>'MERCADO TE'!$U$21</f>
        <v>0</v>
      </c>
      <c r="J24" s="18"/>
      <c r="L24" s="50">
        <f>'TE BE'!$L$24*'TE BF'!$L$48</f>
        <v>0</v>
      </c>
      <c r="M24" s="50">
        <f>'TE BE'!$M$24*'TE BF'!$M$48</f>
        <v>0</v>
      </c>
      <c r="N24" s="50">
        <f>'TE BE'!$N$24*'TE BF'!$N$48</f>
        <v>0</v>
      </c>
      <c r="O24" s="50">
        <f>'TE BE'!$O$24*'TE BF'!$O$48</f>
        <v>0</v>
      </c>
      <c r="P24" s="50">
        <f>SUM($L$24:$O$24)</f>
        <v>0</v>
      </c>
      <c r="Q24" s="50">
        <f>'TE BE'!$Q$24*'TE BF'!$Q$48</f>
        <v>0</v>
      </c>
      <c r="R24" s="50">
        <f>SUM($Q$24:$Q$24)</f>
        <v>0</v>
      </c>
      <c r="S24" s="50">
        <f>'TE BE'!$S$24*'TE BF'!$S$48</f>
        <v>0</v>
      </c>
      <c r="T24" s="50">
        <f>'TE BE'!$T$24*'TE BF'!$T$48</f>
        <v>0</v>
      </c>
      <c r="U24" s="50">
        <f>'TE BE'!$U$24*'TE BF'!$U$48</f>
        <v>0</v>
      </c>
      <c r="V24" s="50">
        <f>SUM($S$24:$U$24)</f>
        <v>0</v>
      </c>
      <c r="W24" s="50">
        <f>'TE BE'!$AA$24*'TE BF'!$W$48</f>
        <v>0</v>
      </c>
      <c r="X24" s="50">
        <f>SUM($W$24:$W$24)</f>
        <v>0</v>
      </c>
      <c r="Y24" s="50">
        <f>'TE BE'!$Y$24*'TE BF'!$Y$48</f>
        <v>0</v>
      </c>
      <c r="Z24" s="50">
        <f>SUM($Y$24:$Y$24)</f>
        <v>0</v>
      </c>
      <c r="AA24" s="50">
        <f>SUMIF($L$4:$Z$4,"SUBTOTAL",$L$24:$Z$24)</f>
        <v>0</v>
      </c>
    </row>
    <row r="25" spans="1:27" ht="11.25" customHeight="1" x14ac:dyDescent="0.25">
      <c r="A25" s="142"/>
      <c r="B25" s="142"/>
      <c r="C25" s="142"/>
      <c r="D25" s="142"/>
      <c r="E25" s="142"/>
      <c r="F25" s="142"/>
      <c r="G25" s="52" t="s">
        <v>88</v>
      </c>
      <c r="H25" s="52" t="s">
        <v>76</v>
      </c>
      <c r="I25" s="52">
        <f>'MERCADO TE'!$U$22</f>
        <v>0</v>
      </c>
      <c r="J25" s="18"/>
      <c r="L25" s="50">
        <f>'TE BE'!$L$25*'TE BF'!$L$48</f>
        <v>0</v>
      </c>
      <c r="M25" s="50">
        <f>'TE BE'!$M$25*'TE BF'!$M$48</f>
        <v>0</v>
      </c>
      <c r="N25" s="50">
        <f>'TE BE'!$N$25*'TE BF'!$N$48</f>
        <v>0</v>
      </c>
      <c r="O25" s="50">
        <f>'TE BE'!$O$25*'TE BF'!$O$48</f>
        <v>0</v>
      </c>
      <c r="P25" s="50">
        <f>SUM($L$25:$O$25)</f>
        <v>0</v>
      </c>
      <c r="Q25" s="50">
        <f>'TE BE'!$Q$25*'TE BF'!$Q$48</f>
        <v>0</v>
      </c>
      <c r="R25" s="50">
        <f>SUM($Q$25:$Q$25)</f>
        <v>0</v>
      </c>
      <c r="S25" s="50">
        <f>'TE BE'!$S$25*'TE BF'!$S$48</f>
        <v>0</v>
      </c>
      <c r="T25" s="50">
        <f>'TE BE'!$T$25*'TE BF'!$T$48</f>
        <v>0</v>
      </c>
      <c r="U25" s="50">
        <f>'TE BE'!$U$25*'TE BF'!$U$48</f>
        <v>0</v>
      </c>
      <c r="V25" s="50">
        <f>SUM($S$25:$U$25)</f>
        <v>0</v>
      </c>
      <c r="W25" s="50">
        <f>'TE BE'!$AA$25*'TE BF'!$W$48</f>
        <v>0</v>
      </c>
      <c r="X25" s="50">
        <f>SUM($W$25:$W$25)</f>
        <v>0</v>
      </c>
      <c r="Y25" s="50">
        <f>'TE BE'!$Y$25*'TE BF'!$Y$48</f>
        <v>0</v>
      </c>
      <c r="Z25" s="50">
        <f>SUM($Y$25:$Y$25)</f>
        <v>0</v>
      </c>
      <c r="AA25" s="50">
        <f>SUMIF($L$4:$Z$4,"SUBTOTAL",$L$25:$Z$25)</f>
        <v>0</v>
      </c>
    </row>
    <row r="26" spans="1:27" ht="11.25" customHeight="1" x14ac:dyDescent="0.25">
      <c r="A26" s="142"/>
      <c r="B26" s="142"/>
      <c r="C26" s="142"/>
      <c r="D26" s="142"/>
      <c r="E26" s="142"/>
      <c r="F26" s="142"/>
      <c r="G26" s="52" t="s">
        <v>78</v>
      </c>
      <c r="H26" s="52" t="s">
        <v>76</v>
      </c>
      <c r="I26" s="52">
        <f>'MERCADO TE'!$U$23</f>
        <v>0</v>
      </c>
      <c r="J26" s="18"/>
      <c r="L26" s="50">
        <f>'TE BE'!$L$26*'TE BF'!$L$48</f>
        <v>0</v>
      </c>
      <c r="M26" s="50">
        <f>'TE BE'!$M$26*'TE BF'!$M$48</f>
        <v>0</v>
      </c>
      <c r="N26" s="50">
        <f>'TE BE'!$N$26*'TE BF'!$N$48</f>
        <v>0</v>
      </c>
      <c r="O26" s="50">
        <f>'TE BE'!$O$26*'TE BF'!$O$48</f>
        <v>0</v>
      </c>
      <c r="P26" s="50">
        <f>SUM($L$26:$O$26)</f>
        <v>0</v>
      </c>
      <c r="Q26" s="50">
        <f>'TE BE'!$Q$26*'TE BF'!$Q$48</f>
        <v>0</v>
      </c>
      <c r="R26" s="50">
        <f>SUM($Q$26:$Q$26)</f>
        <v>0</v>
      </c>
      <c r="S26" s="50">
        <f>'TE BE'!$S$26*'TE BF'!$S$48</f>
        <v>0</v>
      </c>
      <c r="T26" s="50">
        <f>'TE BE'!$T$26*'TE BF'!$T$48</f>
        <v>0</v>
      </c>
      <c r="U26" s="50">
        <f>'TE BE'!$U$26*'TE BF'!$U$48</f>
        <v>0</v>
      </c>
      <c r="V26" s="50">
        <f>SUM($S$26:$U$26)</f>
        <v>0</v>
      </c>
      <c r="W26" s="50">
        <f>'TE BE'!$AA$26*'TE BF'!$W$48</f>
        <v>0</v>
      </c>
      <c r="X26" s="50">
        <f>SUM($W$26:$W$26)</f>
        <v>0</v>
      </c>
      <c r="Y26" s="50">
        <f>'TE BE'!$Y$26*'TE BF'!$Y$48</f>
        <v>0</v>
      </c>
      <c r="Z26" s="50">
        <f>SUM($Y$26:$Y$26)</f>
        <v>0</v>
      </c>
      <c r="AA26" s="50">
        <f>SUMIF($L$4:$Z$4,"SUBTOTAL",$L$26:$Z$26)</f>
        <v>0</v>
      </c>
    </row>
    <row r="27" spans="1:27" ht="11.25" customHeight="1" x14ac:dyDescent="0.25">
      <c r="A27" s="142"/>
      <c r="B27" s="58" t="s">
        <v>89</v>
      </c>
      <c r="C27" s="58" t="s">
        <v>44</v>
      </c>
      <c r="D27" s="58" t="s">
        <v>92</v>
      </c>
      <c r="E27" s="58" t="s">
        <v>25</v>
      </c>
      <c r="F27" s="58" t="s">
        <v>25</v>
      </c>
      <c r="G27" s="52" t="s">
        <v>82</v>
      </c>
      <c r="H27" s="52" t="s">
        <v>76</v>
      </c>
      <c r="I27" s="52">
        <f>'MERCADO TE'!$U$24</f>
        <v>0</v>
      </c>
      <c r="J27" s="18"/>
      <c r="L27" s="50">
        <f>'TE BE'!$L$27*'TE BF'!$L$48</f>
        <v>0</v>
      </c>
      <c r="M27" s="50">
        <f>'TE BE'!$M$27*'TE BF'!$M$48</f>
        <v>0</v>
      </c>
      <c r="N27" s="50">
        <f>'TE BE'!$N$27*'TE BF'!$N$48</f>
        <v>0</v>
      </c>
      <c r="O27" s="50">
        <f>'TE BE'!$O$27*'TE BF'!$O$48</f>
        <v>0</v>
      </c>
      <c r="P27" s="50">
        <f>SUM($L$27:$O$27)</f>
        <v>0</v>
      </c>
      <c r="Q27" s="50">
        <f>'TE BE'!$Q$27*'TE BF'!$Q$48</f>
        <v>0</v>
      </c>
      <c r="R27" s="50">
        <f>SUM($Q$27:$Q$27)</f>
        <v>0</v>
      </c>
      <c r="S27" s="50">
        <f>'TE BE'!$S$27*'TE BF'!$S$48</f>
        <v>0</v>
      </c>
      <c r="T27" s="50">
        <f>'TE BE'!$T$27*'TE BF'!$T$48</f>
        <v>0</v>
      </c>
      <c r="U27" s="50">
        <f>'TE BE'!$U$27*'TE BF'!$U$48</f>
        <v>0</v>
      </c>
      <c r="V27" s="50">
        <f>SUM($S$27:$U$27)</f>
        <v>0</v>
      </c>
      <c r="W27" s="50">
        <f>'TE BE'!$AA$27*'TE BF'!$W$48</f>
        <v>0</v>
      </c>
      <c r="X27" s="50">
        <f>SUM($W$27:$W$27)</f>
        <v>0</v>
      </c>
      <c r="Y27" s="50">
        <f>'TE BE'!$Y$27*'TE BF'!$Y$48</f>
        <v>0</v>
      </c>
      <c r="Z27" s="50">
        <f>SUM($Y$27:$Y$27)</f>
        <v>0</v>
      </c>
      <c r="AA27" s="50">
        <f>SUMIF($L$4:$Z$4,"SUBTOTAL",$L$27:$Z$27)</f>
        <v>0</v>
      </c>
    </row>
    <row r="28" spans="1:27" ht="11.25" customHeight="1" x14ac:dyDescent="0.25">
      <c r="A28" s="142"/>
      <c r="B28" s="142" t="s">
        <v>75</v>
      </c>
      <c r="C28" s="142" t="s">
        <v>44</v>
      </c>
      <c r="D28" s="142" t="s">
        <v>93</v>
      </c>
      <c r="E28" s="142" t="s">
        <v>25</v>
      </c>
      <c r="F28" s="142" t="s">
        <v>25</v>
      </c>
      <c r="G28" s="52" t="s">
        <v>77</v>
      </c>
      <c r="H28" s="52" t="s">
        <v>76</v>
      </c>
      <c r="I28" s="52">
        <f>'MERCADO TE'!$U$25</f>
        <v>0</v>
      </c>
      <c r="J28" s="18"/>
      <c r="L28" s="50">
        <f>'TE BE'!$L$28*'TE BF'!$L$48</f>
        <v>0</v>
      </c>
      <c r="M28" s="50">
        <f>'TE BE'!$M$28*'TE BF'!$M$48</f>
        <v>0</v>
      </c>
      <c r="N28" s="50">
        <f>'TE BE'!$N$28*'TE BF'!$N$48</f>
        <v>0</v>
      </c>
      <c r="O28" s="50">
        <f>'TE BE'!$O$28*'TE BF'!$O$48</f>
        <v>0</v>
      </c>
      <c r="P28" s="50">
        <f>SUM($L$28:$O$28)</f>
        <v>0</v>
      </c>
      <c r="Q28" s="50">
        <f>'TE BE'!$Q$28*'TE BF'!$Q$48</f>
        <v>0</v>
      </c>
      <c r="R28" s="50">
        <f>SUM($Q$28:$Q$28)</f>
        <v>0</v>
      </c>
      <c r="S28" s="50">
        <f>'TE BE'!$S$28*'TE BF'!$S$48</f>
        <v>0</v>
      </c>
      <c r="T28" s="50">
        <f>'TE BE'!$T$28*'TE BF'!$T$48</f>
        <v>0</v>
      </c>
      <c r="U28" s="50">
        <f>'TE BE'!$U$28*'TE BF'!$U$48</f>
        <v>0</v>
      </c>
      <c r="V28" s="50">
        <f>SUM($S$28:$U$28)</f>
        <v>0</v>
      </c>
      <c r="W28" s="50">
        <f>'TE BE'!$AA$28*'TE BF'!$W$48</f>
        <v>0</v>
      </c>
      <c r="X28" s="50">
        <f>SUM($W$28:$W$28)</f>
        <v>0</v>
      </c>
      <c r="Y28" s="50">
        <f>'TE BE'!$Y$28*'TE BF'!$Y$48</f>
        <v>0</v>
      </c>
      <c r="Z28" s="50">
        <f>SUM($Y$28:$Y$28)</f>
        <v>0</v>
      </c>
      <c r="AA28" s="50">
        <f>SUMIF($L$4:$Z$4,"SUBTOTAL",$L$28:$Z$28)</f>
        <v>0</v>
      </c>
    </row>
    <row r="29" spans="1:27" ht="11.25" customHeight="1" x14ac:dyDescent="0.25">
      <c r="A29" s="142"/>
      <c r="B29" s="142"/>
      <c r="C29" s="142"/>
      <c r="D29" s="142"/>
      <c r="E29" s="142"/>
      <c r="F29" s="142"/>
      <c r="G29" s="52" t="s">
        <v>88</v>
      </c>
      <c r="H29" s="52" t="s">
        <v>76</v>
      </c>
      <c r="I29" s="52">
        <f>'MERCADO TE'!$U$26</f>
        <v>0</v>
      </c>
      <c r="J29" s="18"/>
      <c r="L29" s="50">
        <f>'TE BE'!$L$29*'TE BF'!$L$48</f>
        <v>0</v>
      </c>
      <c r="M29" s="50">
        <f>'TE BE'!$M$29*'TE BF'!$M$48</f>
        <v>0</v>
      </c>
      <c r="N29" s="50">
        <f>'TE BE'!$N$29*'TE BF'!$N$48</f>
        <v>0</v>
      </c>
      <c r="O29" s="50">
        <f>'TE BE'!$O$29*'TE BF'!$O$48</f>
        <v>0</v>
      </c>
      <c r="P29" s="50">
        <f>SUM($L$29:$O$29)</f>
        <v>0</v>
      </c>
      <c r="Q29" s="50">
        <f>'TE BE'!$Q$29*'TE BF'!$Q$48</f>
        <v>0</v>
      </c>
      <c r="R29" s="50">
        <f>SUM($Q$29:$Q$29)</f>
        <v>0</v>
      </c>
      <c r="S29" s="50">
        <f>'TE BE'!$S$29*'TE BF'!$S$48</f>
        <v>0</v>
      </c>
      <c r="T29" s="50">
        <f>'TE BE'!$T$29*'TE BF'!$T$48</f>
        <v>0</v>
      </c>
      <c r="U29" s="50">
        <f>'TE BE'!$U$29*'TE BF'!$U$48</f>
        <v>0</v>
      </c>
      <c r="V29" s="50">
        <f>SUM($S$29:$U$29)</f>
        <v>0</v>
      </c>
      <c r="W29" s="50">
        <f>'TE BE'!$AA$29*'TE BF'!$W$48</f>
        <v>0</v>
      </c>
      <c r="X29" s="50">
        <f>SUM($W$29:$W$29)</f>
        <v>0</v>
      </c>
      <c r="Y29" s="50">
        <f>'TE BE'!$Y$29*'TE BF'!$Y$48</f>
        <v>0</v>
      </c>
      <c r="Z29" s="50">
        <f>SUM($Y$29:$Y$29)</f>
        <v>0</v>
      </c>
      <c r="AA29" s="50">
        <f>SUMIF($L$4:$Z$4,"SUBTOTAL",$L$29:$Z$29)</f>
        <v>0</v>
      </c>
    </row>
    <row r="30" spans="1:27" ht="11.25" customHeight="1" x14ac:dyDescent="0.25">
      <c r="A30" s="142"/>
      <c r="B30" s="142"/>
      <c r="C30" s="142"/>
      <c r="D30" s="142"/>
      <c r="E30" s="142"/>
      <c r="F30" s="142"/>
      <c r="G30" s="52" t="s">
        <v>78</v>
      </c>
      <c r="H30" s="52" t="s">
        <v>76</v>
      </c>
      <c r="I30" s="52">
        <f>'MERCADO TE'!$U$27</f>
        <v>0</v>
      </c>
      <c r="J30" s="18"/>
      <c r="L30" s="50">
        <f>'TE BE'!$L$30*'TE BF'!$L$48</f>
        <v>0</v>
      </c>
      <c r="M30" s="50">
        <f>'TE BE'!$M$30*'TE BF'!$M$48</f>
        <v>0</v>
      </c>
      <c r="N30" s="50">
        <f>'TE BE'!$N$30*'TE BF'!$N$48</f>
        <v>0</v>
      </c>
      <c r="O30" s="50">
        <f>'TE BE'!$O$30*'TE BF'!$O$48</f>
        <v>0</v>
      </c>
      <c r="P30" s="50">
        <f>SUM($L$30:$O$30)</f>
        <v>0</v>
      </c>
      <c r="Q30" s="50">
        <f>'TE BE'!$Q$30*'TE BF'!$Q$48</f>
        <v>0</v>
      </c>
      <c r="R30" s="50">
        <f>SUM($Q$30:$Q$30)</f>
        <v>0</v>
      </c>
      <c r="S30" s="50">
        <f>'TE BE'!$S$30*'TE BF'!$S$48</f>
        <v>0</v>
      </c>
      <c r="T30" s="50">
        <f>'TE BE'!$T$30*'TE BF'!$T$48</f>
        <v>0</v>
      </c>
      <c r="U30" s="50">
        <f>'TE BE'!$U$30*'TE BF'!$U$48</f>
        <v>0</v>
      </c>
      <c r="V30" s="50">
        <f>SUM($S$30:$U$30)</f>
        <v>0</v>
      </c>
      <c r="W30" s="50">
        <f>'TE BE'!$AA$30*'TE BF'!$W$48</f>
        <v>0</v>
      </c>
      <c r="X30" s="50">
        <f>SUM($W$30:$W$30)</f>
        <v>0</v>
      </c>
      <c r="Y30" s="50">
        <f>'TE BE'!$Y$30*'TE BF'!$Y$48</f>
        <v>0</v>
      </c>
      <c r="Z30" s="50">
        <f>SUM($Y$30:$Y$30)</f>
        <v>0</v>
      </c>
      <c r="AA30" s="50">
        <f>SUMIF($L$4:$Z$4,"SUBTOTAL",$L$30:$Z$30)</f>
        <v>0</v>
      </c>
    </row>
    <row r="31" spans="1:27" ht="11.25" customHeight="1" x14ac:dyDescent="0.25">
      <c r="A31" s="142"/>
      <c r="B31" s="58" t="s">
        <v>89</v>
      </c>
      <c r="C31" s="58" t="s">
        <v>44</v>
      </c>
      <c r="D31" s="58" t="s">
        <v>93</v>
      </c>
      <c r="E31" s="58" t="s">
        <v>25</v>
      </c>
      <c r="F31" s="58" t="s">
        <v>25</v>
      </c>
      <c r="G31" s="52" t="s">
        <v>82</v>
      </c>
      <c r="H31" s="52" t="s">
        <v>76</v>
      </c>
      <c r="I31" s="52">
        <f>'MERCADO TE'!$U$28</f>
        <v>0</v>
      </c>
      <c r="J31" s="18"/>
      <c r="L31" s="50">
        <f>'TE BE'!$L$31*'TE BF'!$L$48</f>
        <v>0</v>
      </c>
      <c r="M31" s="50">
        <f>'TE BE'!$M$31*'TE BF'!$M$48</f>
        <v>0</v>
      </c>
      <c r="N31" s="50">
        <f>'TE BE'!$N$31*'TE BF'!$N$48</f>
        <v>0</v>
      </c>
      <c r="O31" s="50">
        <f>'TE BE'!$O$31*'TE BF'!$O$48</f>
        <v>0</v>
      </c>
      <c r="P31" s="50">
        <f>SUM($L$31:$O$31)</f>
        <v>0</v>
      </c>
      <c r="Q31" s="50">
        <f>'TE BE'!$Q$31*'TE BF'!$Q$48</f>
        <v>0</v>
      </c>
      <c r="R31" s="50">
        <f>SUM($Q$31:$Q$31)</f>
        <v>0</v>
      </c>
      <c r="S31" s="50">
        <f>'TE BE'!$S$31*'TE BF'!$S$48</f>
        <v>0</v>
      </c>
      <c r="T31" s="50">
        <f>'TE BE'!$T$31*'TE BF'!$T$48</f>
        <v>0</v>
      </c>
      <c r="U31" s="50">
        <f>'TE BE'!$U$31*'TE BF'!$U$48</f>
        <v>0</v>
      </c>
      <c r="V31" s="50">
        <f>SUM($S$31:$U$31)</f>
        <v>0</v>
      </c>
      <c r="W31" s="50">
        <f>'TE BE'!$AA$31*'TE BF'!$W$48</f>
        <v>0</v>
      </c>
      <c r="X31" s="50">
        <f>SUM($W$31:$W$31)</f>
        <v>0</v>
      </c>
      <c r="Y31" s="50">
        <f>'TE BE'!$Y$31*'TE BF'!$Y$48</f>
        <v>0</v>
      </c>
      <c r="Z31" s="50">
        <f>SUM($Y$31:$Y$31)</f>
        <v>0</v>
      </c>
      <c r="AA31" s="50">
        <f>SUMIF($L$4:$Z$4,"SUBTOTAL",$L$31:$Z$31)</f>
        <v>0</v>
      </c>
    </row>
    <row r="32" spans="1:27" ht="11.25" customHeight="1" x14ac:dyDescent="0.25">
      <c r="A32" s="142"/>
      <c r="B32" s="142" t="s">
        <v>90</v>
      </c>
      <c r="C32" s="142" t="s">
        <v>44</v>
      </c>
      <c r="D32" s="58" t="s">
        <v>25</v>
      </c>
      <c r="E32" s="58" t="s">
        <v>25</v>
      </c>
      <c r="F32" s="58" t="s">
        <v>25</v>
      </c>
      <c r="G32" s="52" t="s">
        <v>82</v>
      </c>
      <c r="H32" s="52" t="s">
        <v>76</v>
      </c>
      <c r="I32" s="52">
        <f>'MERCADO TE'!$U$29</f>
        <v>0</v>
      </c>
      <c r="J32" s="18"/>
      <c r="L32" s="50">
        <f>'TE BE'!$L$32*'TE BF'!$L$48</f>
        <v>0</v>
      </c>
      <c r="M32" s="50">
        <f>'TE BE'!$M$32*'TE BF'!$M$48</f>
        <v>0</v>
      </c>
      <c r="N32" s="50">
        <f>'TE BE'!$N$32*'TE BF'!$N$48</f>
        <v>0</v>
      </c>
      <c r="O32" s="50">
        <f>'TE BE'!$O$32*'TE BF'!$O$48</f>
        <v>0</v>
      </c>
      <c r="P32" s="50">
        <f>SUM($L$32:$O$32)</f>
        <v>0</v>
      </c>
      <c r="Q32" s="50">
        <f>'TE BE'!$Q$32*'TE BF'!$Q$48</f>
        <v>0</v>
      </c>
      <c r="R32" s="50">
        <f>SUM($Q$32:$Q$32)</f>
        <v>0</v>
      </c>
      <c r="S32" s="50">
        <f>'TE BE'!$S$32*'TE BF'!$S$48</f>
        <v>0</v>
      </c>
      <c r="T32" s="50">
        <f>'TE BE'!$T$32*'TE BF'!$T$48</f>
        <v>0</v>
      </c>
      <c r="U32" s="50">
        <f>'TE BE'!$U$32*'TE BF'!$U$48</f>
        <v>0</v>
      </c>
      <c r="V32" s="50">
        <f>SUM($S$32:$U$32)</f>
        <v>0</v>
      </c>
      <c r="W32" s="50">
        <f>'TE BE'!$AA$32*'TE BF'!$W$48</f>
        <v>0</v>
      </c>
      <c r="X32" s="50">
        <f>SUM($W$32:$W$32)</f>
        <v>0</v>
      </c>
      <c r="Y32" s="50">
        <f>'TE BE'!$Y$32*'TE BF'!$Y$48</f>
        <v>0</v>
      </c>
      <c r="Z32" s="50">
        <f>SUM($Y$32:$Y$32)</f>
        <v>0</v>
      </c>
      <c r="AA32" s="50">
        <f>SUMIF($L$4:$Z$4,"SUBTOTAL",$L$32:$Z$32)</f>
        <v>0</v>
      </c>
    </row>
    <row r="33" spans="1:27" ht="11.25" customHeight="1" x14ac:dyDescent="0.25">
      <c r="A33" s="142"/>
      <c r="B33" s="142"/>
      <c r="C33" s="142"/>
      <c r="D33" s="58" t="s">
        <v>92</v>
      </c>
      <c r="E33" s="58" t="s">
        <v>25</v>
      </c>
      <c r="F33" s="58" t="s">
        <v>25</v>
      </c>
      <c r="G33" s="52" t="s">
        <v>82</v>
      </c>
      <c r="H33" s="52" t="s">
        <v>76</v>
      </c>
      <c r="I33" s="52">
        <f>'MERCADO TE'!$U$30</f>
        <v>0</v>
      </c>
      <c r="J33" s="18"/>
      <c r="L33" s="50">
        <f>'TE BE'!$L$33*'TE BF'!$L$48</f>
        <v>0</v>
      </c>
      <c r="M33" s="50">
        <f>'TE BE'!$M$33*'TE BF'!$M$48</f>
        <v>0</v>
      </c>
      <c r="N33" s="50">
        <f>'TE BE'!$N$33*'TE BF'!$N$48</f>
        <v>0</v>
      </c>
      <c r="O33" s="50">
        <f>'TE BE'!$O$33*'TE BF'!$O$48</f>
        <v>0</v>
      </c>
      <c r="P33" s="50">
        <f>SUM($L$33:$O$33)</f>
        <v>0</v>
      </c>
      <c r="Q33" s="50">
        <f>'TE BE'!$Q$33*'TE BF'!$Q$48</f>
        <v>0</v>
      </c>
      <c r="R33" s="50">
        <f>SUM($Q$33:$Q$33)</f>
        <v>0</v>
      </c>
      <c r="S33" s="50">
        <f>'TE BE'!$S$33*'TE BF'!$S$48</f>
        <v>0</v>
      </c>
      <c r="T33" s="50">
        <f>'TE BE'!$T$33*'TE BF'!$T$48</f>
        <v>0</v>
      </c>
      <c r="U33" s="50">
        <f>'TE BE'!$U$33*'TE BF'!$U$48</f>
        <v>0</v>
      </c>
      <c r="V33" s="50">
        <f>SUM($S$33:$U$33)</f>
        <v>0</v>
      </c>
      <c r="W33" s="50">
        <f>'TE BE'!$AA$33*'TE BF'!$W$48</f>
        <v>0</v>
      </c>
      <c r="X33" s="50">
        <f>SUM($W$33:$W$33)</f>
        <v>0</v>
      </c>
      <c r="Y33" s="50">
        <f>'TE BE'!$Y$33*'TE BF'!$Y$48</f>
        <v>0</v>
      </c>
      <c r="Z33" s="50">
        <f>SUM($Y$33:$Y$33)</f>
        <v>0</v>
      </c>
      <c r="AA33" s="50">
        <f>SUMIF($L$4:$Z$4,"SUBTOTAL",$L$33:$Z$33)</f>
        <v>0</v>
      </c>
    </row>
    <row r="34" spans="1:27" ht="11.25" customHeight="1" x14ac:dyDescent="0.25">
      <c r="A34" s="142"/>
      <c r="B34" s="142"/>
      <c r="C34" s="142"/>
      <c r="D34" s="58" t="s">
        <v>93</v>
      </c>
      <c r="E34" s="58" t="s">
        <v>25</v>
      </c>
      <c r="F34" s="58" t="s">
        <v>25</v>
      </c>
      <c r="G34" s="52" t="s">
        <v>82</v>
      </c>
      <c r="H34" s="52" t="s">
        <v>76</v>
      </c>
      <c r="I34" s="52">
        <f>'MERCADO TE'!$U$31</f>
        <v>0</v>
      </c>
      <c r="J34" s="18"/>
      <c r="L34" s="50">
        <f>'TE BE'!$L$34*'TE BF'!$L$48</f>
        <v>0</v>
      </c>
      <c r="M34" s="50">
        <f>'TE BE'!$M$34*'TE BF'!$M$48</f>
        <v>0</v>
      </c>
      <c r="N34" s="50">
        <f>'TE BE'!$N$34*'TE BF'!$N$48</f>
        <v>0</v>
      </c>
      <c r="O34" s="50">
        <f>'TE BE'!$O$34*'TE BF'!$O$48</f>
        <v>0</v>
      </c>
      <c r="P34" s="50">
        <f>SUM($L$34:$O$34)</f>
        <v>0</v>
      </c>
      <c r="Q34" s="50">
        <f>'TE BE'!$Q$34*'TE BF'!$Q$48</f>
        <v>0</v>
      </c>
      <c r="R34" s="50">
        <f>SUM($Q$34:$Q$34)</f>
        <v>0</v>
      </c>
      <c r="S34" s="50">
        <f>'TE BE'!$S$34*'TE BF'!$S$48</f>
        <v>0</v>
      </c>
      <c r="T34" s="50">
        <f>'TE BE'!$T$34*'TE BF'!$T$48</f>
        <v>0</v>
      </c>
      <c r="U34" s="50">
        <f>'TE BE'!$U$34*'TE BF'!$U$48</f>
        <v>0</v>
      </c>
      <c r="V34" s="50">
        <f>SUM($S$34:$U$34)</f>
        <v>0</v>
      </c>
      <c r="W34" s="50">
        <f>'TE BE'!$AA$34*'TE BF'!$W$48</f>
        <v>0</v>
      </c>
      <c r="X34" s="50">
        <f>SUM($W$34:$W$34)</f>
        <v>0</v>
      </c>
      <c r="Y34" s="50">
        <f>'TE BE'!$Y$34*'TE BF'!$Y$48</f>
        <v>0</v>
      </c>
      <c r="Z34" s="50">
        <f>SUM($Y$34:$Y$34)</f>
        <v>0</v>
      </c>
      <c r="AA34" s="50">
        <f>SUMIF($L$4:$Z$4,"SUBTOTAL",$L$34:$Z$34)</f>
        <v>0</v>
      </c>
    </row>
    <row r="35" spans="1:27" ht="11.25" customHeight="1" x14ac:dyDescent="0.25">
      <c r="A35" s="142" t="s">
        <v>39</v>
      </c>
      <c r="B35" s="142" t="s">
        <v>75</v>
      </c>
      <c r="C35" s="142" t="s">
        <v>25</v>
      </c>
      <c r="D35" s="142" t="s">
        <v>25</v>
      </c>
      <c r="E35" s="142" t="s">
        <v>25</v>
      </c>
      <c r="F35" s="142" t="s">
        <v>25</v>
      </c>
      <c r="G35" s="52" t="s">
        <v>77</v>
      </c>
      <c r="H35" s="52" t="s">
        <v>76</v>
      </c>
      <c r="I35" s="52">
        <f>'MERCADO TE'!$U$32</f>
        <v>0.80500000000000171</v>
      </c>
      <c r="J35" s="18"/>
      <c r="L35" s="50">
        <f>'TE BE'!$L$35*'TE BF'!$L$48</f>
        <v>0</v>
      </c>
      <c r="M35" s="50">
        <f>'TE BE'!$M$35*'TE BF'!$M$48</f>
        <v>0</v>
      </c>
      <c r="N35" s="50">
        <f>'TE BE'!$N$35*'TE BF'!$N$48</f>
        <v>0</v>
      </c>
      <c r="O35" s="50">
        <f>'TE BE'!$O$35*'TE BF'!$O$48</f>
        <v>0</v>
      </c>
      <c r="P35" s="50">
        <f>SUM($L$35:$O$35)</f>
        <v>0</v>
      </c>
      <c r="Q35" s="50">
        <f>'TE BE'!$Q$35*'TE BF'!$Q$48</f>
        <v>0</v>
      </c>
      <c r="R35" s="50">
        <f>SUM($Q$35:$Q$35)</f>
        <v>0</v>
      </c>
      <c r="S35" s="50">
        <f>'TE BE'!$S$35*'TE BF'!$S$48</f>
        <v>0</v>
      </c>
      <c r="T35" s="50">
        <f>'TE BE'!$T$35*'TE BF'!$T$48</f>
        <v>0</v>
      </c>
      <c r="U35" s="50">
        <f>'TE BE'!$U$35*'TE BF'!$U$48</f>
        <v>0</v>
      </c>
      <c r="V35" s="50">
        <f>SUM($S$35:$U$35)</f>
        <v>0</v>
      </c>
      <c r="W35" s="50">
        <f>'TE BE'!$AA$35*'TE BF'!$W$48</f>
        <v>0</v>
      </c>
      <c r="X35" s="50">
        <f>SUM($W$35:$W$35)</f>
        <v>0</v>
      </c>
      <c r="Y35" s="50">
        <f>'TE BE'!$Y$35*'TE BF'!$Y$48</f>
        <v>0</v>
      </c>
      <c r="Z35" s="50">
        <f>SUM($Y$35:$Y$35)</f>
        <v>0</v>
      </c>
      <c r="AA35" s="50">
        <f>SUMIF($L$4:$Z$4,"SUBTOTAL",$L$35:$Z$35)</f>
        <v>0</v>
      </c>
    </row>
    <row r="36" spans="1:27" ht="11.25" customHeight="1" x14ac:dyDescent="0.25">
      <c r="A36" s="142"/>
      <c r="B36" s="142"/>
      <c r="C36" s="142"/>
      <c r="D36" s="142"/>
      <c r="E36" s="142"/>
      <c r="F36" s="142"/>
      <c r="G36" s="52" t="s">
        <v>88</v>
      </c>
      <c r="H36" s="52" t="s">
        <v>76</v>
      </c>
      <c r="I36" s="52">
        <f>'MERCADO TE'!$U$33</f>
        <v>1.23</v>
      </c>
      <c r="J36" s="18"/>
      <c r="L36" s="50">
        <f>'TE BE'!$L$36*'TE BF'!$L$48</f>
        <v>0</v>
      </c>
      <c r="M36" s="50">
        <f>'TE BE'!$M$36*'TE BF'!$M$48</f>
        <v>0</v>
      </c>
      <c r="N36" s="50">
        <f>'TE BE'!$N$36*'TE BF'!$N$48</f>
        <v>0</v>
      </c>
      <c r="O36" s="50">
        <f>'TE BE'!$O$36*'TE BF'!$O$48</f>
        <v>0</v>
      </c>
      <c r="P36" s="50">
        <f>SUM($L$36:$O$36)</f>
        <v>0</v>
      </c>
      <c r="Q36" s="50">
        <f>'TE BE'!$Q$36*'TE BF'!$Q$48</f>
        <v>0</v>
      </c>
      <c r="R36" s="50">
        <f>SUM($Q$36:$Q$36)</f>
        <v>0</v>
      </c>
      <c r="S36" s="50">
        <f>'TE BE'!$S$36*'TE BF'!$S$48</f>
        <v>0</v>
      </c>
      <c r="T36" s="50">
        <f>'TE BE'!$T$36*'TE BF'!$T$48</f>
        <v>0</v>
      </c>
      <c r="U36" s="50">
        <f>'TE BE'!$U$36*'TE BF'!$U$48</f>
        <v>0</v>
      </c>
      <c r="V36" s="50">
        <f>SUM($S$36:$U$36)</f>
        <v>0</v>
      </c>
      <c r="W36" s="50">
        <f>'TE BE'!$AA$36*'TE BF'!$W$48</f>
        <v>0</v>
      </c>
      <c r="X36" s="50">
        <f>SUM($W$36:$W$36)</f>
        <v>0</v>
      </c>
      <c r="Y36" s="50">
        <f>'TE BE'!$Y$36*'TE BF'!$Y$48</f>
        <v>0</v>
      </c>
      <c r="Z36" s="50">
        <f>SUM($Y$36:$Y$36)</f>
        <v>0</v>
      </c>
      <c r="AA36" s="50">
        <f>SUMIF($L$4:$Z$4,"SUBTOTAL",$L$36:$Z$36)</f>
        <v>0</v>
      </c>
    </row>
    <row r="37" spans="1:27" ht="11.25" customHeight="1" x14ac:dyDescent="0.25">
      <c r="A37" s="142"/>
      <c r="B37" s="142"/>
      <c r="C37" s="142"/>
      <c r="D37" s="142"/>
      <c r="E37" s="142"/>
      <c r="F37" s="142"/>
      <c r="G37" s="52" t="s">
        <v>78</v>
      </c>
      <c r="H37" s="52" t="s">
        <v>76</v>
      </c>
      <c r="I37" s="52">
        <f>'MERCADO TE'!$U$34</f>
        <v>18.96</v>
      </c>
      <c r="J37" s="18"/>
      <c r="L37" s="50">
        <f>'TE BE'!$L$37*'TE BF'!$L$48</f>
        <v>0</v>
      </c>
      <c r="M37" s="50">
        <f>'TE BE'!$M$37*'TE BF'!$M$48</f>
        <v>0</v>
      </c>
      <c r="N37" s="50">
        <f>'TE BE'!$N$37*'TE BF'!$N$48</f>
        <v>0</v>
      </c>
      <c r="O37" s="50">
        <f>'TE BE'!$O$37*'TE BF'!$O$48</f>
        <v>0</v>
      </c>
      <c r="P37" s="50">
        <f>SUM($L$37:$O$37)</f>
        <v>0</v>
      </c>
      <c r="Q37" s="50">
        <f>'TE BE'!$Q$37*'TE BF'!$Q$48</f>
        <v>0</v>
      </c>
      <c r="R37" s="50">
        <f>SUM($Q$37:$Q$37)</f>
        <v>0</v>
      </c>
      <c r="S37" s="50">
        <f>'TE BE'!$S$37*'TE BF'!$S$48</f>
        <v>0</v>
      </c>
      <c r="T37" s="50">
        <f>'TE BE'!$T$37*'TE BF'!$T$48</f>
        <v>0</v>
      </c>
      <c r="U37" s="50">
        <f>'TE BE'!$U$37*'TE BF'!$U$48</f>
        <v>0</v>
      </c>
      <c r="V37" s="50">
        <f>SUM($S$37:$U$37)</f>
        <v>0</v>
      </c>
      <c r="W37" s="50">
        <f>'TE BE'!$AA$37*'TE BF'!$W$48</f>
        <v>0</v>
      </c>
      <c r="X37" s="50">
        <f>SUM($W$37:$W$37)</f>
        <v>0</v>
      </c>
      <c r="Y37" s="50">
        <f>'TE BE'!$Y$37*'TE BF'!$Y$48</f>
        <v>0</v>
      </c>
      <c r="Z37" s="50">
        <f>SUM($Y$37:$Y$37)</f>
        <v>0</v>
      </c>
      <c r="AA37" s="50">
        <f>SUMIF($L$4:$Z$4,"SUBTOTAL",$L$37:$Z$37)</f>
        <v>0</v>
      </c>
    </row>
    <row r="38" spans="1:27" ht="11.25" customHeight="1" x14ac:dyDescent="0.25">
      <c r="A38" s="142"/>
      <c r="B38" s="58" t="s">
        <v>89</v>
      </c>
      <c r="C38" s="58" t="s">
        <v>25</v>
      </c>
      <c r="D38" s="58" t="s">
        <v>25</v>
      </c>
      <c r="E38" s="58" t="s">
        <v>25</v>
      </c>
      <c r="F38" s="58" t="s">
        <v>25</v>
      </c>
      <c r="G38" s="52" t="s">
        <v>82</v>
      </c>
      <c r="H38" s="52" t="s">
        <v>76</v>
      </c>
      <c r="I38" s="52">
        <f>'MERCADO TE'!$U$35</f>
        <v>17010.552</v>
      </c>
      <c r="J38" s="18"/>
      <c r="L38" s="50">
        <f>'TE BE'!$L$38*'TE BF'!$L$48</f>
        <v>0</v>
      </c>
      <c r="M38" s="50">
        <f>'TE BE'!$M$38*'TE BF'!$M$48</f>
        <v>0</v>
      </c>
      <c r="N38" s="50">
        <f>'TE BE'!$N$38*'TE BF'!$N$48</f>
        <v>0</v>
      </c>
      <c r="O38" s="50">
        <f>'TE BE'!$O$38*'TE BF'!$O$48</f>
        <v>0</v>
      </c>
      <c r="P38" s="50">
        <f>SUM($L$38:$O$38)</f>
        <v>0</v>
      </c>
      <c r="Q38" s="50">
        <f>'TE BE'!$Q$38*'TE BF'!$Q$48</f>
        <v>0</v>
      </c>
      <c r="R38" s="50">
        <f>SUM($Q$38:$Q$38)</f>
        <v>0</v>
      </c>
      <c r="S38" s="50">
        <f>'TE BE'!$S$38*'TE BF'!$S$48</f>
        <v>0</v>
      </c>
      <c r="T38" s="50">
        <f>'TE BE'!$T$38*'TE BF'!$T$48</f>
        <v>0</v>
      </c>
      <c r="U38" s="50">
        <f>'TE BE'!$U$38*'TE BF'!$U$48</f>
        <v>0</v>
      </c>
      <c r="V38" s="50">
        <f>SUM($S$38:$U$38)</f>
        <v>0</v>
      </c>
      <c r="W38" s="50">
        <f>'TE BE'!$AA$38*'TE BF'!$W$48</f>
        <v>0</v>
      </c>
      <c r="X38" s="50">
        <f>SUM($W$38:$W$38)</f>
        <v>0</v>
      </c>
      <c r="Y38" s="50">
        <f>'TE BE'!$Y$38*'TE BF'!$Y$48</f>
        <v>0</v>
      </c>
      <c r="Z38" s="50">
        <f>SUM($Y$38:$Y$38)</f>
        <v>0</v>
      </c>
      <c r="AA38" s="50">
        <f>SUMIF($L$4:$Z$4,"SUBTOTAL",$L$38:$Z$38)</f>
        <v>0</v>
      </c>
    </row>
    <row r="39" spans="1:27" ht="11.25" customHeight="1" x14ac:dyDescent="0.25">
      <c r="A39" s="142"/>
      <c r="B39" s="58" t="s">
        <v>90</v>
      </c>
      <c r="C39" s="58" t="s">
        <v>25</v>
      </c>
      <c r="D39" s="58" t="s">
        <v>25</v>
      </c>
      <c r="E39" s="58" t="s">
        <v>25</v>
      </c>
      <c r="F39" s="58" t="s">
        <v>25</v>
      </c>
      <c r="G39" s="52" t="s">
        <v>82</v>
      </c>
      <c r="H39" s="52" t="s">
        <v>76</v>
      </c>
      <c r="I39" s="52">
        <f>'MERCADO TE'!$U$36</f>
        <v>0</v>
      </c>
      <c r="J39" s="18"/>
      <c r="L39" s="50">
        <f>'TE BE'!$L$39*'TE BF'!$L$48</f>
        <v>0</v>
      </c>
      <c r="M39" s="50">
        <f>'TE BE'!$M$39*'TE BF'!$M$48</f>
        <v>0</v>
      </c>
      <c r="N39" s="50">
        <f>'TE BE'!$N$39*'TE BF'!$N$48</f>
        <v>0</v>
      </c>
      <c r="O39" s="50">
        <f>'TE BE'!$O$39*'TE BF'!$O$48</f>
        <v>0</v>
      </c>
      <c r="P39" s="50">
        <f>SUM($L$39:$O$39)</f>
        <v>0</v>
      </c>
      <c r="Q39" s="50">
        <f>'TE BE'!$Q$39*'TE BF'!$Q$48</f>
        <v>0</v>
      </c>
      <c r="R39" s="50">
        <f>SUM($Q$39:$Q$39)</f>
        <v>0</v>
      </c>
      <c r="S39" s="50">
        <f>'TE BE'!$S$39*'TE BF'!$S$48</f>
        <v>0</v>
      </c>
      <c r="T39" s="50">
        <f>'TE BE'!$T$39*'TE BF'!$T$48</f>
        <v>0</v>
      </c>
      <c r="U39" s="50">
        <f>'TE BE'!$U$39*'TE BF'!$U$48</f>
        <v>0</v>
      </c>
      <c r="V39" s="50">
        <f>SUM($S$39:$U$39)</f>
        <v>0</v>
      </c>
      <c r="W39" s="50">
        <f>'TE BE'!$AA$39*'TE BF'!$W$48</f>
        <v>0</v>
      </c>
      <c r="X39" s="50">
        <f>SUM($W$39:$W$39)</f>
        <v>0</v>
      </c>
      <c r="Y39" s="50">
        <f>'TE BE'!$Y$39*'TE BF'!$Y$48</f>
        <v>0</v>
      </c>
      <c r="Z39" s="50">
        <f>SUM($Y$39:$Y$39)</f>
        <v>0</v>
      </c>
      <c r="AA39" s="50">
        <f>SUMIF($L$4:$Z$4,"SUBTOTAL",$L$39:$Z$39)</f>
        <v>0</v>
      </c>
    </row>
    <row r="40" spans="1:27" ht="11.25" customHeight="1" x14ac:dyDescent="0.25">
      <c r="A40" s="142" t="s">
        <v>46</v>
      </c>
      <c r="B40" s="142" t="s">
        <v>89</v>
      </c>
      <c r="C40" s="142" t="s">
        <v>47</v>
      </c>
      <c r="D40" s="58" t="s">
        <v>48</v>
      </c>
      <c r="E40" s="58" t="s">
        <v>25</v>
      </c>
      <c r="F40" s="58" t="s">
        <v>25</v>
      </c>
      <c r="G40" s="52" t="s">
        <v>82</v>
      </c>
      <c r="H40" s="52" t="s">
        <v>76</v>
      </c>
      <c r="I40" s="52">
        <f>'MERCADO TE'!$U$37</f>
        <v>3708.9960000000001</v>
      </c>
      <c r="J40" s="18"/>
      <c r="L40" s="50">
        <f>'TE BE'!$L$40*'TE BF'!$L$48</f>
        <v>0</v>
      </c>
      <c r="M40" s="50">
        <f>'TE BE'!$M$40*'TE BF'!$M$48</f>
        <v>0</v>
      </c>
      <c r="N40" s="50">
        <f>'TE BE'!$N$40*'TE BF'!$N$48</f>
        <v>0</v>
      </c>
      <c r="O40" s="50">
        <f>'TE BE'!$O$40*'TE BF'!$O$48</f>
        <v>0</v>
      </c>
      <c r="P40" s="50">
        <f>SUM($L$40:$O$40)</f>
        <v>0</v>
      </c>
      <c r="Q40" s="50">
        <f>'TE BE'!$Q$40*'TE BF'!$Q$48</f>
        <v>0</v>
      </c>
      <c r="R40" s="50">
        <f>SUM($Q$40:$Q$40)</f>
        <v>0</v>
      </c>
      <c r="S40" s="50">
        <f>'TE BE'!$S$40*'TE BF'!$S$48</f>
        <v>0</v>
      </c>
      <c r="T40" s="50">
        <f>'TE BE'!$T$40*'TE BF'!$T$48</f>
        <v>0</v>
      </c>
      <c r="U40" s="50">
        <f>'TE BE'!$U$40*'TE BF'!$U$48</f>
        <v>0</v>
      </c>
      <c r="V40" s="50">
        <f>SUM($S$40:$U$40)</f>
        <v>0</v>
      </c>
      <c r="W40" s="50">
        <f>'TE BE'!$AA$40*'TE BF'!$W$48</f>
        <v>0</v>
      </c>
      <c r="X40" s="50">
        <f>SUM($W$40:$W$40)</f>
        <v>0</v>
      </c>
      <c r="Y40" s="50">
        <f>'TE BE'!$Y$40*'TE BF'!$Y$48</f>
        <v>0</v>
      </c>
      <c r="Z40" s="50">
        <f>SUM($Y$40:$Y$40)</f>
        <v>0</v>
      </c>
      <c r="AA40" s="50">
        <f>SUMIF($L$4:$Z$4,"SUBTOTAL",$L$40:$Z$40)</f>
        <v>0</v>
      </c>
    </row>
    <row r="41" spans="1:27" ht="11.25" customHeight="1" x14ac:dyDescent="0.25">
      <c r="A41" s="142"/>
      <c r="B41" s="142"/>
      <c r="C41" s="142"/>
      <c r="D41" s="52" t="s">
        <v>49</v>
      </c>
      <c r="E41" s="52" t="s">
        <v>25</v>
      </c>
      <c r="F41" s="52" t="s">
        <v>25</v>
      </c>
      <c r="G41" s="52" t="s">
        <v>82</v>
      </c>
      <c r="H41" s="52" t="s">
        <v>76</v>
      </c>
      <c r="I41" s="52">
        <f>'MERCADO TE'!$U$38</f>
        <v>336.95</v>
      </c>
      <c r="J41" s="18"/>
      <c r="L41" s="50">
        <f>'TE BE'!$L$41*'TE BF'!$L$48</f>
        <v>0</v>
      </c>
      <c r="M41" s="50">
        <f>'TE BE'!$M$41*'TE BF'!$M$48</f>
        <v>0</v>
      </c>
      <c r="N41" s="50">
        <f>'TE BE'!$N$41*'TE BF'!$N$48</f>
        <v>0</v>
      </c>
      <c r="O41" s="50">
        <f>'TE BE'!$O$41*'TE BF'!$O$48</f>
        <v>0</v>
      </c>
      <c r="P41" s="50">
        <f>SUM($L$41:$O$41)</f>
        <v>0</v>
      </c>
      <c r="Q41" s="50">
        <f>'TE BE'!$Q$41*'TE BF'!$Q$48</f>
        <v>0</v>
      </c>
      <c r="R41" s="50">
        <f>SUM($Q$41:$Q$41)</f>
        <v>0</v>
      </c>
      <c r="S41" s="50">
        <f>'TE BE'!$S$41*'TE BF'!$S$48</f>
        <v>0</v>
      </c>
      <c r="T41" s="50">
        <f>'TE BE'!$T$41*'TE BF'!$T$48</f>
        <v>0</v>
      </c>
      <c r="U41" s="50">
        <f>'TE BE'!$U$41*'TE BF'!$U$48</f>
        <v>0</v>
      </c>
      <c r="V41" s="50">
        <f>SUM($S$41:$U$41)</f>
        <v>0</v>
      </c>
      <c r="W41" s="50">
        <f>'TE BE'!$AA$41*'TE BF'!$W$48</f>
        <v>0</v>
      </c>
      <c r="X41" s="50">
        <f>SUM($W$41:$W$41)</f>
        <v>0</v>
      </c>
      <c r="Y41" s="50">
        <f>'TE BE'!$Y$41*'TE BF'!$Y$48</f>
        <v>0</v>
      </c>
      <c r="Z41" s="50">
        <f>SUM($Y$41:$Y$41)</f>
        <v>0</v>
      </c>
      <c r="AA41" s="50">
        <f>SUMIF($L$4:$Z$4,"SUBTOTAL",$L$41:$Z$41)</f>
        <v>0</v>
      </c>
    </row>
    <row r="43" spans="1:27" ht="11.25" customHeight="1" x14ac:dyDescent="0.25">
      <c r="K43" s="57" t="s">
        <v>733</v>
      </c>
      <c r="L43" s="50">
        <f t="shared" ref="L43:AA43" si="0">SUMPRODUCT($I$5:$I$41,L$5:L$41)</f>
        <v>0</v>
      </c>
      <c r="M43" s="50">
        <f t="shared" si="0"/>
        <v>0</v>
      </c>
      <c r="N43" s="50">
        <f t="shared" si="0"/>
        <v>0</v>
      </c>
      <c r="O43" s="50">
        <f t="shared" si="0"/>
        <v>0</v>
      </c>
      <c r="P43" s="50">
        <f t="shared" si="0"/>
        <v>0</v>
      </c>
      <c r="Q43" s="50">
        <f t="shared" si="0"/>
        <v>0</v>
      </c>
      <c r="R43" s="50">
        <f t="shared" si="0"/>
        <v>0</v>
      </c>
      <c r="S43" s="50">
        <f t="shared" si="0"/>
        <v>0</v>
      </c>
      <c r="T43" s="50">
        <f t="shared" si="0"/>
        <v>0</v>
      </c>
      <c r="U43" s="50">
        <f t="shared" si="0"/>
        <v>0</v>
      </c>
      <c r="V43" s="50">
        <f t="shared" si="0"/>
        <v>0</v>
      </c>
      <c r="W43" s="50">
        <f t="shared" si="0"/>
        <v>0</v>
      </c>
      <c r="X43" s="50">
        <f t="shared" si="0"/>
        <v>0</v>
      </c>
      <c r="Y43" s="50">
        <f t="shared" si="0"/>
        <v>0</v>
      </c>
      <c r="Z43" s="50">
        <f t="shared" si="0"/>
        <v>0</v>
      </c>
      <c r="AA43" s="50">
        <f t="shared" si="0"/>
        <v>0</v>
      </c>
    </row>
    <row r="44" spans="1:27" ht="11.25" customHeight="1" x14ac:dyDescent="0.25">
      <c r="K44" s="57" t="s">
        <v>658</v>
      </c>
      <c r="L44" s="50">
        <f>CUSTOS!$D$30</f>
        <v>0</v>
      </c>
      <c r="M44" s="50">
        <f>CUSTOS!$D$31</f>
        <v>1679157.6937069311</v>
      </c>
      <c r="N44" s="50">
        <f>CUSTOS!$D$32</f>
        <v>0</v>
      </c>
      <c r="O44" s="50">
        <f>CUSTOS!$D$33</f>
        <v>0</v>
      </c>
      <c r="P44" s="50">
        <f>CUSTOS!$D$34</f>
        <v>1679157.6937069311</v>
      </c>
      <c r="Q44" s="50">
        <f>CUSTOS!$D$35</f>
        <v>21318377.612188999</v>
      </c>
      <c r="R44" s="50">
        <f>CUSTOS!$D$36</f>
        <v>21318377.612188999</v>
      </c>
      <c r="S44" s="50">
        <f>CUSTOS!$D$37</f>
        <v>0</v>
      </c>
      <c r="T44" s="50">
        <f>CUSTOS!$D$38</f>
        <v>0</v>
      </c>
      <c r="U44" s="50">
        <f>CUSTOS!$D$39</f>
        <v>0</v>
      </c>
      <c r="V44" s="50">
        <f>CUSTOS!$D$40</f>
        <v>0</v>
      </c>
      <c r="W44" s="50">
        <f>CUSTOS!$D$41</f>
        <v>0</v>
      </c>
      <c r="X44" s="50">
        <f>CUSTOS!$D$42</f>
        <v>0</v>
      </c>
      <c r="Y44" s="50">
        <f>CUSTOS!$D$43</f>
        <v>163277.98745551557</v>
      </c>
      <c r="Z44" s="50">
        <f>CUSTOS!$D$44</f>
        <v>163277.98745551557</v>
      </c>
      <c r="AA44" s="50">
        <f>CUSTOS!$D$45</f>
        <v>23160813.293351445</v>
      </c>
    </row>
    <row r="45" spans="1:27" ht="11.25" customHeight="1" x14ac:dyDescent="0.25">
      <c r="K45" s="57" t="s">
        <v>659</v>
      </c>
      <c r="L45" s="50">
        <f>CUSTOS!$E$30</f>
        <v>0</v>
      </c>
      <c r="M45" s="50">
        <f>CUSTOS!$E$31</f>
        <v>69881.719465040325</v>
      </c>
      <c r="N45" s="50">
        <f>CUSTOS!$E$32</f>
        <v>0</v>
      </c>
      <c r="O45" s="50">
        <f>CUSTOS!$E$33</f>
        <v>0</v>
      </c>
      <c r="P45" s="50">
        <f>CUSTOS!$E$34</f>
        <v>69881.719465040325</v>
      </c>
      <c r="Q45" s="50">
        <f>CUSTOS!$E$35</f>
        <v>3591569.7583194454</v>
      </c>
      <c r="R45" s="50">
        <f>CUSTOS!$E$36</f>
        <v>3591569.7583194454</v>
      </c>
      <c r="S45" s="50">
        <f>CUSTOS!$E$37</f>
        <v>0</v>
      </c>
      <c r="T45" s="50">
        <f>CUSTOS!$E$38</f>
        <v>0</v>
      </c>
      <c r="U45" s="50">
        <f>CUSTOS!$E$39</f>
        <v>0</v>
      </c>
      <c r="V45" s="50">
        <f>CUSTOS!$E$40</f>
        <v>0</v>
      </c>
      <c r="W45" s="50">
        <f>CUSTOS!$E$41</f>
        <v>0</v>
      </c>
      <c r="X45" s="50">
        <f>CUSTOS!$E$42</f>
        <v>0</v>
      </c>
      <c r="Y45" s="50">
        <f>CUSTOS!$E$43</f>
        <v>27507.922629590605</v>
      </c>
      <c r="Z45" s="50">
        <f>CUSTOS!$E$44</f>
        <v>27507.922629590605</v>
      </c>
      <c r="AA45" s="50">
        <f>CUSTOS!$E$45</f>
        <v>3688959.4004140762</v>
      </c>
    </row>
    <row r="46" spans="1:27" ht="11.25" customHeight="1" x14ac:dyDescent="0.25">
      <c r="K46" s="57" t="s">
        <v>660</v>
      </c>
      <c r="L46" s="50">
        <f>CUSTOS!$F$30</f>
        <v>0</v>
      </c>
      <c r="M46" s="50">
        <f>CUSTOS!$F$31</f>
        <v>0</v>
      </c>
      <c r="N46" s="50">
        <f>CUSTOS!$F$32</f>
        <v>0</v>
      </c>
      <c r="O46" s="50">
        <f>CUSTOS!$F$33</f>
        <v>0</v>
      </c>
      <c r="P46" s="50">
        <f>CUSTOS!$F$34</f>
        <v>0</v>
      </c>
      <c r="Q46" s="50">
        <f>CUSTOS!$F$35</f>
        <v>0</v>
      </c>
      <c r="R46" s="50">
        <f>CUSTOS!$F$36</f>
        <v>0</v>
      </c>
      <c r="S46" s="50">
        <f>CUSTOS!$F$37</f>
        <v>0</v>
      </c>
      <c r="T46" s="50">
        <f>CUSTOS!$F$38</f>
        <v>0</v>
      </c>
      <c r="U46" s="50">
        <f>CUSTOS!$F$39</f>
        <v>0</v>
      </c>
      <c r="V46" s="50">
        <f>CUSTOS!$F$40</f>
        <v>0</v>
      </c>
      <c r="W46" s="50">
        <f>CUSTOS!$F$41</f>
        <v>0</v>
      </c>
      <c r="X46" s="50">
        <f>CUSTOS!$F$42</f>
        <v>0</v>
      </c>
      <c r="Y46" s="50">
        <f>CUSTOS!$F$43</f>
        <v>0</v>
      </c>
      <c r="Z46" s="50">
        <f>CUSTOS!$F$44</f>
        <v>0</v>
      </c>
      <c r="AA46" s="50">
        <f>CUSTOS!$F$45</f>
        <v>0</v>
      </c>
    </row>
    <row r="47" spans="1:27" ht="11.25" customHeight="1" x14ac:dyDescent="0.25"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 spans="1:27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</row>
    <row r="49" spans="11:27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</row>
  </sheetData>
  <mergeCells count="61">
    <mergeCell ref="S3:V3"/>
    <mergeCell ref="W3:X3"/>
    <mergeCell ref="A1:A4"/>
    <mergeCell ref="B1:B4"/>
    <mergeCell ref="C1:C4"/>
    <mergeCell ref="D1:D4"/>
    <mergeCell ref="E1:E4"/>
    <mergeCell ref="F1:F4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851" priority="31" operator="notEqual">
      <formula>$L$46</formula>
    </cfRule>
    <cfRule type="cellIs" dxfId="850" priority="32" operator="equal">
      <formula>$L$46</formula>
    </cfRule>
  </conditionalFormatting>
  <conditionalFormatting sqref="M43">
    <cfRule type="cellIs" dxfId="849" priority="29" operator="notEqual">
      <formula>$M$46</formula>
    </cfRule>
    <cfRule type="cellIs" dxfId="848" priority="30" operator="equal">
      <formula>$M$46</formula>
    </cfRule>
  </conditionalFormatting>
  <conditionalFormatting sqref="N43">
    <cfRule type="cellIs" dxfId="847" priority="27" operator="notEqual">
      <formula>$N$46</formula>
    </cfRule>
    <cfRule type="cellIs" dxfId="846" priority="28" operator="equal">
      <formula>$N$46</formula>
    </cfRule>
  </conditionalFormatting>
  <conditionalFormatting sqref="O43">
    <cfRule type="cellIs" dxfId="845" priority="25" operator="notEqual">
      <formula>$O$46</formula>
    </cfRule>
    <cfRule type="cellIs" dxfId="844" priority="26" operator="equal">
      <formula>$O$46</formula>
    </cfRule>
  </conditionalFormatting>
  <conditionalFormatting sqref="P43">
    <cfRule type="cellIs" dxfId="843" priority="23" operator="notEqual">
      <formula>$P$46</formula>
    </cfRule>
    <cfRule type="cellIs" dxfId="842" priority="24" operator="equal">
      <formula>$P$46</formula>
    </cfRule>
  </conditionalFormatting>
  <conditionalFormatting sqref="Q43">
    <cfRule type="cellIs" dxfId="841" priority="21" operator="notEqual">
      <formula>$Q$46</formula>
    </cfRule>
    <cfRule type="cellIs" dxfId="840" priority="22" operator="equal">
      <formula>$Q$46</formula>
    </cfRule>
  </conditionalFormatting>
  <conditionalFormatting sqref="R43">
    <cfRule type="cellIs" dxfId="839" priority="19" operator="notEqual">
      <formula>$R$46</formula>
    </cfRule>
    <cfRule type="cellIs" dxfId="838" priority="20" operator="equal">
      <formula>$R$46</formula>
    </cfRule>
  </conditionalFormatting>
  <conditionalFormatting sqref="S43">
    <cfRule type="cellIs" dxfId="837" priority="17" operator="notEqual">
      <formula>$S$46</formula>
    </cfRule>
    <cfRule type="cellIs" dxfId="836" priority="18" operator="equal">
      <formula>$S$46</formula>
    </cfRule>
  </conditionalFormatting>
  <conditionalFormatting sqref="T43">
    <cfRule type="cellIs" dxfId="835" priority="15" operator="notEqual">
      <formula>$T$46</formula>
    </cfRule>
    <cfRule type="cellIs" dxfId="834" priority="16" operator="equal">
      <formula>$T$46</formula>
    </cfRule>
  </conditionalFormatting>
  <conditionalFormatting sqref="U43">
    <cfRule type="cellIs" dxfId="833" priority="13" operator="notEqual">
      <formula>$U$46</formula>
    </cfRule>
    <cfRule type="cellIs" dxfId="832" priority="14" operator="equal">
      <formula>$U$46</formula>
    </cfRule>
  </conditionalFormatting>
  <conditionalFormatting sqref="V43">
    <cfRule type="cellIs" dxfId="831" priority="11" operator="notEqual">
      <formula>$V$46</formula>
    </cfRule>
    <cfRule type="cellIs" dxfId="830" priority="12" operator="equal">
      <formula>$V$46</formula>
    </cfRule>
  </conditionalFormatting>
  <conditionalFormatting sqref="W43">
    <cfRule type="cellIs" dxfId="829" priority="9" operator="notEqual">
      <formula>$W$46</formula>
    </cfRule>
    <cfRule type="cellIs" dxfId="828" priority="10" operator="equal">
      <formula>$W$46</formula>
    </cfRule>
  </conditionalFormatting>
  <conditionalFormatting sqref="X43">
    <cfRule type="cellIs" dxfId="827" priority="7" operator="notEqual">
      <formula>$X$46</formula>
    </cfRule>
    <cfRule type="cellIs" dxfId="826" priority="8" operator="equal">
      <formula>$X$46</formula>
    </cfRule>
  </conditionalFormatting>
  <conditionalFormatting sqref="Y43">
    <cfRule type="cellIs" dxfId="825" priority="5" operator="notEqual">
      <formula>$Y$46</formula>
    </cfRule>
    <cfRule type="cellIs" dxfId="824" priority="6" operator="equal">
      <formula>$Y$46</formula>
    </cfRule>
  </conditionalFormatting>
  <conditionalFormatting sqref="Z43">
    <cfRule type="cellIs" dxfId="823" priority="3" operator="notEqual">
      <formula>$Z$46</formula>
    </cfRule>
    <cfRule type="cellIs" dxfId="822" priority="4" operator="equal">
      <formula>$Z$46</formula>
    </cfRule>
  </conditionalFormatting>
  <conditionalFormatting sqref="AA43">
    <cfRule type="cellIs" dxfId="821" priority="1" operator="notEqual">
      <formula>$AA$46</formula>
    </cfRule>
    <cfRule type="cellIs" dxfId="820" priority="2" operator="equal">
      <formula>$AA$46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3C5D-68B1-4EB4-A17F-58E44384A0C5}">
  <dimension ref="A1:AV754"/>
  <sheetViews>
    <sheetView showGridLines="0" topLeftCell="AD1" workbookViewId="0">
      <selection activeCell="AU14" sqref="AU14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6" width="10.85546875" style="4" bestFit="1" customWidth="1"/>
    <col min="47" max="47" width="11.2851562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759</v>
      </c>
      <c r="W1" s="1" t="s">
        <v>760</v>
      </c>
      <c r="X1" s="1" t="s">
        <v>761</v>
      </c>
      <c r="Y1" s="1" t="s">
        <v>762</v>
      </c>
      <c r="Z1" s="1" t="s">
        <v>763</v>
      </c>
      <c r="AA1" s="1" t="s">
        <v>764</v>
      </c>
      <c r="AB1" s="1" t="s">
        <v>777</v>
      </c>
      <c r="AC1" s="1" t="s">
        <v>778</v>
      </c>
      <c r="AD1" s="1" t="s">
        <v>779</v>
      </c>
      <c r="AE1" s="1" t="s">
        <v>780</v>
      </c>
      <c r="AF1" s="1" t="s">
        <v>781</v>
      </c>
      <c r="AG1" s="1" t="s">
        <v>782</v>
      </c>
      <c r="AI1" s="71" t="s">
        <v>66</v>
      </c>
      <c r="AJ1" s="71" t="s">
        <v>783</v>
      </c>
      <c r="AK1" s="71" t="s">
        <v>784</v>
      </c>
      <c r="AL1" s="71" t="s">
        <v>785</v>
      </c>
      <c r="AN1" s="71" t="s">
        <v>66</v>
      </c>
      <c r="AO1" s="71" t="s">
        <v>786</v>
      </c>
      <c r="AP1" s="71" t="s">
        <v>787</v>
      </c>
      <c r="AQ1" s="71" t="s">
        <v>785</v>
      </c>
      <c r="AS1" s="71" t="s">
        <v>66</v>
      </c>
      <c r="AT1" s="71" t="s">
        <v>788</v>
      </c>
      <c r="AU1" s="71" t="s">
        <v>789</v>
      </c>
      <c r="AV1" s="71" t="s">
        <v>785</v>
      </c>
    </row>
    <row r="2" spans="1:48" ht="11.25" customHeight="1" x14ac:dyDescent="0.25">
      <c r="A2" s="4" t="s">
        <v>21</v>
      </c>
      <c r="B2" s="4" t="s">
        <v>33</v>
      </c>
      <c r="C2" s="4" t="s">
        <v>41</v>
      </c>
      <c r="D2" s="4" t="s">
        <v>42</v>
      </c>
      <c r="E2" s="4" t="s">
        <v>25</v>
      </c>
      <c r="F2" s="4" t="s">
        <v>25</v>
      </c>
      <c r="G2" s="4" t="s">
        <v>25</v>
      </c>
      <c r="H2" s="4" t="s">
        <v>36</v>
      </c>
      <c r="I2" s="5">
        <v>44317</v>
      </c>
      <c r="J2" s="6">
        <v>151</v>
      </c>
      <c r="K2" s="6">
        <v>151</v>
      </c>
      <c r="L2" s="6">
        <v>47.389000000000003</v>
      </c>
      <c r="M2" s="6">
        <v>47.389000000000003</v>
      </c>
      <c r="N2" s="6">
        <v>47.389000000000003</v>
      </c>
      <c r="O2" s="6">
        <v>47.389000000000003</v>
      </c>
      <c r="P2" s="6">
        <v>0</v>
      </c>
      <c r="Q2" s="4" t="s">
        <v>26</v>
      </c>
      <c r="R2" s="4">
        <v>0</v>
      </c>
      <c r="S2" s="6">
        <v>2</v>
      </c>
      <c r="T2" s="6">
        <v>3</v>
      </c>
      <c r="U2" s="6">
        <v>49</v>
      </c>
      <c r="V2" s="6">
        <f>IF(ISERROR(VLOOKUP($S$2,'TAR FIN'!$A$1:$O$85,15,0)),0,VLOOKUP($S$2,'TAR FIN'!$A$1:$O$85,15,0))</f>
        <v>19.32</v>
      </c>
      <c r="W2" s="6">
        <f>IF(ISERROR(VLOOKUP($T$2,'TAR FIN'!$A$1:$O$85,15,0)),0,VLOOKUP($T$2,'TAR FIN'!$A$1:$O$85,15,0))</f>
        <v>65.61</v>
      </c>
      <c r="X2" s="6">
        <f>IF(ISERROR(VLOOKUP($U$2,'TAR FIN'!$A$1:$O$85,15,0)),0,VLOOKUP($U$2,'TAR FIN'!$A$1:$O$85,15,0))</f>
        <v>263.29000000000002</v>
      </c>
      <c r="Y2" s="6">
        <f ca="1">('TUSD BE'!$AM$6+'TUSD BF'!$AM$6+'TUSD CVA'!$AM$6)*1</f>
        <v>16.680041929169654</v>
      </c>
      <c r="Z2" s="6">
        <f ca="1">('TUSD BE'!$AM$7+'TUSD BF'!$AM$7+'TUSD CVA'!$AM$7)*1</f>
        <v>100.34646310857573</v>
      </c>
      <c r="AA2" s="6">
        <f>('TE BE'!$AA$6+'TE BF'!$AA$6+'TE CVA'!$AA$6)*1</f>
        <v>210.64397598313801</v>
      </c>
      <c r="AB2" s="6">
        <f>$K$2*$V$2</f>
        <v>2917.32</v>
      </c>
      <c r="AC2" s="6">
        <f>$M$2*$W$2</f>
        <v>3109.19229</v>
      </c>
      <c r="AD2" s="6">
        <f>$O$2*$X$2</f>
        <v>12477.049810000002</v>
      </c>
      <c r="AE2" s="6">
        <f ca="1">$K$2*$Y$2</f>
        <v>2518.6863313046179</v>
      </c>
      <c r="AF2" s="6">
        <f ca="1">$M$2*$Z$2</f>
        <v>4755.3185402522959</v>
      </c>
      <c r="AG2" s="6">
        <f>$O$2*$AA$2</f>
        <v>9982.2073778649283</v>
      </c>
      <c r="AI2" s="72" t="s">
        <v>33</v>
      </c>
      <c r="AJ2" s="73">
        <f>SUMIF($B$2:$B$754,AI2,$AB$2:$AB$754)+SUMIF($B$2:$B$754,AI2,$AC$2:$AC$754)</f>
        <v>13628625.202311199</v>
      </c>
      <c r="AK2" s="73">
        <f ca="1">SUMIF($B$2:$B$754,AI2,$AE$2:$AE$754)+SUMIF($B$2:$B$754,AI2,$AF$2:$AF$754)</f>
        <v>15872324.011199305</v>
      </c>
      <c r="AL2" s="74">
        <f t="shared" ref="AL2:AL9" ca="1" si="0">IF(AJ2&lt;&gt;0,AK2/AJ2-1,0)</f>
        <v>0.16463133849389378</v>
      </c>
      <c r="AN2" s="72" t="s">
        <v>33</v>
      </c>
      <c r="AO2" s="73">
        <f>SUMIF($B$2:$B$754,AN2,$AD$2:$AD$754)</f>
        <v>11542338.272872806</v>
      </c>
      <c r="AP2" s="73">
        <f>SUMIF($B$2:$B$754,AN2,$AG$2:$AG$754)</f>
        <v>9348345.9321375452</v>
      </c>
      <c r="AQ2" s="74">
        <f t="shared" ref="AQ2:AQ9" si="1">IF(AO2&lt;&gt;0,AP2/AO2-1,0)</f>
        <v>-0.19008213837326671</v>
      </c>
      <c r="AS2" s="72" t="s">
        <v>33</v>
      </c>
      <c r="AT2" s="73">
        <f>SUMIF($B$2:$B$754,AS2,$AB$2:$AB$754)+SUMIF($B$2:$B$754,AS2,$AC$2:$AC$754)+SUMIF($B$2:$B$754,AS2,$AD$2:$AD$754)</f>
        <v>25170963.475184005</v>
      </c>
      <c r="AU2" s="73">
        <f ca="1">SUMIF($B$2:$B$754,AS2,$AE$2:$AE$754)+SUMIF($B$2:$B$754,AS2,$AF$2:$AF$754)+SUMIF($B$2:$B$754,AS2,$AG$2:$AG$754)</f>
        <v>25220669.943336852</v>
      </c>
      <c r="AV2" s="74">
        <f t="shared" ref="AV2:AV9" ca="1" si="2">IF(AT2&lt;&gt;0,AU2/AT2-1,0)</f>
        <v>1.9747542918591154E-3</v>
      </c>
    </row>
    <row r="3" spans="1:48" ht="11.25" customHeight="1" x14ac:dyDescent="0.25">
      <c r="A3" s="4" t="s">
        <v>21</v>
      </c>
      <c r="B3" s="4" t="s">
        <v>33</v>
      </c>
      <c r="C3" s="4" t="s">
        <v>41</v>
      </c>
      <c r="D3" s="4" t="s">
        <v>42</v>
      </c>
      <c r="E3" s="4" t="s">
        <v>25</v>
      </c>
      <c r="F3" s="4" t="s">
        <v>25</v>
      </c>
      <c r="G3" s="4" t="s">
        <v>25</v>
      </c>
      <c r="H3" s="4" t="s">
        <v>36</v>
      </c>
      <c r="I3" s="5">
        <v>44348</v>
      </c>
      <c r="J3" s="6">
        <v>150</v>
      </c>
      <c r="K3" s="6">
        <v>150</v>
      </c>
      <c r="L3" s="6">
        <v>40.311999999999998</v>
      </c>
      <c r="M3" s="6">
        <v>40.311999999999998</v>
      </c>
      <c r="N3" s="6">
        <v>40.311999999999998</v>
      </c>
      <c r="O3" s="6">
        <v>40.311999999999998</v>
      </c>
      <c r="P3" s="6">
        <v>0</v>
      </c>
      <c r="Q3" s="4" t="s">
        <v>26</v>
      </c>
      <c r="R3" s="4">
        <v>0</v>
      </c>
      <c r="S3" s="6">
        <v>2</v>
      </c>
      <c r="T3" s="6">
        <v>3</v>
      </c>
      <c r="U3" s="6">
        <v>49</v>
      </c>
      <c r="V3" s="6">
        <f>IF(ISERROR(VLOOKUP($S$3,'TAR FIN'!$A$1:$O$85,15,0)),0,VLOOKUP($S$3,'TAR FIN'!$A$1:$O$85,15,0))</f>
        <v>19.32</v>
      </c>
      <c r="W3" s="6">
        <f>IF(ISERROR(VLOOKUP($T$3,'TAR FIN'!$A$1:$O$85,15,0)),0,VLOOKUP($T$3,'TAR FIN'!$A$1:$O$85,15,0))</f>
        <v>65.61</v>
      </c>
      <c r="X3" s="6">
        <f>IF(ISERROR(VLOOKUP($U$3,'TAR FIN'!$A$1:$O$85,15,0)),0,VLOOKUP($U$3,'TAR FIN'!$A$1:$O$85,15,0))</f>
        <v>263.29000000000002</v>
      </c>
      <c r="Y3" s="6">
        <f ca="1">('TUSD BE'!$AM$6+'TUSD BF'!$AM$6+'TUSD CVA'!$AM$6)*1</f>
        <v>16.680041929169654</v>
      </c>
      <c r="Z3" s="6">
        <f ca="1">('TUSD BE'!$AM$7+'TUSD BF'!$AM$7+'TUSD CVA'!$AM$7)*1</f>
        <v>100.34646310857573</v>
      </c>
      <c r="AA3" s="6">
        <f>('TE BE'!$AA$6+'TE BF'!$AA$6+'TE CVA'!$AA$6)*1</f>
        <v>210.64397598313801</v>
      </c>
      <c r="AB3" s="6">
        <f>$K$3*$V$3</f>
        <v>2898</v>
      </c>
      <c r="AC3" s="6">
        <f>$M$3*$W$3</f>
        <v>2644.87032</v>
      </c>
      <c r="AD3" s="6">
        <f>$O$3*$X$3</f>
        <v>10613.74648</v>
      </c>
      <c r="AE3" s="6">
        <f ca="1">$K$3*$Y$3</f>
        <v>2502.006289375448</v>
      </c>
      <c r="AF3" s="6">
        <f ca="1">$M$3*$Z$3</f>
        <v>4045.1666208329048</v>
      </c>
      <c r="AG3" s="6">
        <f>$O$3*$AA$3</f>
        <v>8491.4799598322588</v>
      </c>
      <c r="AI3" s="72" t="s">
        <v>22</v>
      </c>
      <c r="AJ3" s="73">
        <f>SUMIF($B$2:$B$754,AI3,$AB$2:$AB$754)+SUMIF($B$2:$B$754,AI3,$AC$2:$AC$754)</f>
        <v>7188593.9976200014</v>
      </c>
      <c r="AK3" s="73">
        <f ca="1">SUMIF($B$2:$B$754,AI3,$AE$2:$AE$754)+SUMIF($B$2:$B$754,AI3,$AF$2:$AF$754)</f>
        <v>8385704.0996110486</v>
      </c>
      <c r="AL3" s="74">
        <f t="shared" ca="1" si="0"/>
        <v>0.16652910185042957</v>
      </c>
      <c r="AN3" s="72" t="s">
        <v>22</v>
      </c>
      <c r="AO3" s="73">
        <f>SUMIF($B$2:$B$754,AN3,$AD$2:$AD$754)</f>
        <v>6965238.3378400002</v>
      </c>
      <c r="AP3" s="73">
        <f>SUMIF($B$2:$B$754,AN3,$AG$2:$AG$754)</f>
        <v>5572505.9186350908</v>
      </c>
      <c r="AQ3" s="74">
        <f t="shared" si="1"/>
        <v>-0.19995473975938793</v>
      </c>
      <c r="AS3" s="72" t="s">
        <v>22</v>
      </c>
      <c r="AT3" s="73">
        <f>SUMIF($B$2:$B$754,AS3,$AB$2:$AB$754)+SUMIF($B$2:$B$754,AS3,$AC$2:$AC$754)+SUMIF($B$2:$B$754,AS3,$AD$2:$AD$754)</f>
        <v>14153832.335460002</v>
      </c>
      <c r="AU3" s="73">
        <f ca="1">SUMIF($B$2:$B$754,AS3,$AE$2:$AE$754)+SUMIF($B$2:$B$754,AS3,$AF$2:$AF$754)+SUMIF($B$2:$B$754,AS3,$AG$2:$AG$754)</f>
        <v>13958210.01824614</v>
      </c>
      <c r="AV3" s="74">
        <f t="shared" ca="1" si="2"/>
        <v>-1.3821155470646884E-2</v>
      </c>
    </row>
    <row r="4" spans="1:48" ht="11.25" customHeight="1" x14ac:dyDescent="0.25">
      <c r="A4" s="4" t="s">
        <v>21</v>
      </c>
      <c r="B4" s="4" t="s">
        <v>33</v>
      </c>
      <c r="C4" s="4" t="s">
        <v>41</v>
      </c>
      <c r="D4" s="4" t="s">
        <v>42</v>
      </c>
      <c r="E4" s="4" t="s">
        <v>25</v>
      </c>
      <c r="F4" s="4" t="s">
        <v>25</v>
      </c>
      <c r="G4" s="4" t="s">
        <v>25</v>
      </c>
      <c r="H4" s="4" t="s">
        <v>36</v>
      </c>
      <c r="I4" s="5">
        <v>44378</v>
      </c>
      <c r="J4" s="6">
        <v>150</v>
      </c>
      <c r="K4" s="6">
        <v>150</v>
      </c>
      <c r="L4" s="6">
        <v>44.837000000000003</v>
      </c>
      <c r="M4" s="6">
        <v>44.837000000000003</v>
      </c>
      <c r="N4" s="6">
        <v>44.837000000000003</v>
      </c>
      <c r="O4" s="6">
        <v>44.837000000000003</v>
      </c>
      <c r="P4" s="6">
        <v>0</v>
      </c>
      <c r="Q4" s="4" t="s">
        <v>26</v>
      </c>
      <c r="R4" s="4">
        <v>0</v>
      </c>
      <c r="S4" s="6">
        <v>2</v>
      </c>
      <c r="T4" s="6">
        <v>3</v>
      </c>
      <c r="U4" s="6">
        <v>49</v>
      </c>
      <c r="V4" s="6">
        <f>IF(ISERROR(VLOOKUP($S$4,'TAR FIN'!$A$1:$O$85,15,0)),0,VLOOKUP($S$4,'TAR FIN'!$A$1:$O$85,15,0))</f>
        <v>19.32</v>
      </c>
      <c r="W4" s="6">
        <f>IF(ISERROR(VLOOKUP($T$4,'TAR FIN'!$A$1:$O$85,15,0)),0,VLOOKUP($T$4,'TAR FIN'!$A$1:$O$85,15,0))</f>
        <v>65.61</v>
      </c>
      <c r="X4" s="6">
        <f>IF(ISERROR(VLOOKUP($U$4,'TAR FIN'!$A$1:$O$85,15,0)),0,VLOOKUP($U$4,'TAR FIN'!$A$1:$O$85,15,0))</f>
        <v>263.29000000000002</v>
      </c>
      <c r="Y4" s="6">
        <f ca="1">('TUSD BE'!$AM$6+'TUSD BF'!$AM$6+'TUSD CVA'!$AM$6)*1</f>
        <v>16.680041929169654</v>
      </c>
      <c r="Z4" s="6">
        <f ca="1">('TUSD BE'!$AM$7+'TUSD BF'!$AM$7+'TUSD CVA'!$AM$7)*1</f>
        <v>100.34646310857573</v>
      </c>
      <c r="AA4" s="6">
        <f>('TE BE'!$AA$6+'TE BF'!$AA$6+'TE CVA'!$AA$6)*1</f>
        <v>210.64397598313801</v>
      </c>
      <c r="AB4" s="6">
        <f>$K$4*$V$4</f>
        <v>2898</v>
      </c>
      <c r="AC4" s="6">
        <f>$M$4*$W$4</f>
        <v>2941.7555700000003</v>
      </c>
      <c r="AD4" s="6">
        <f>$O$4*$X$4</f>
        <v>11805.133730000001</v>
      </c>
      <c r="AE4" s="6">
        <f ca="1">$K$4*$Y$4</f>
        <v>2502.006289375448</v>
      </c>
      <c r="AF4" s="6">
        <f ca="1">$M$4*$Z$4</f>
        <v>4499.2343663992106</v>
      </c>
      <c r="AG4" s="6">
        <f>$O$4*$AA$4</f>
        <v>9444.6439511559602</v>
      </c>
      <c r="AI4" s="72" t="s">
        <v>43</v>
      </c>
      <c r="AJ4" s="73">
        <f>SUMIF($B$2:$B$754,AI4,$AB$2:$AB$754)+SUMIF($B$2:$B$754,AI4,$AC$2:$AC$754)</f>
        <v>8726261.8969799969</v>
      </c>
      <c r="AK4" s="73">
        <f ca="1">SUMIF($B$2:$B$754,AI4,$AE$2:$AE$754)+SUMIF($B$2:$B$754,AI4,$AF$2:$AF$754)</f>
        <v>10901921.815445308</v>
      </c>
      <c r="AL4" s="74">
        <f t="shared" ca="1" si="0"/>
        <v>0.24932324334870892</v>
      </c>
      <c r="AN4" s="72" t="s">
        <v>43</v>
      </c>
      <c r="AO4" s="73">
        <f>SUMIF($B$2:$B$754,AN4,$AD$2:$AD$754)</f>
        <v>8394834.7501199991</v>
      </c>
      <c r="AP4" s="73">
        <f>SUMIF($B$2:$B$754,AN4,$AG$2:$AG$754)</f>
        <v>7174027.135595547</v>
      </c>
      <c r="AQ4" s="74">
        <f t="shared" si="1"/>
        <v>-0.14542366239037652</v>
      </c>
      <c r="AS4" s="72" t="s">
        <v>43</v>
      </c>
      <c r="AT4" s="73">
        <f>SUMIF($B$2:$B$754,AS4,$AB$2:$AB$754)+SUMIF($B$2:$B$754,AS4,$AC$2:$AC$754)+SUMIF($B$2:$B$754,AS4,$AD$2:$AD$754)</f>
        <v>17121096.647099994</v>
      </c>
      <c r="AU4" s="73">
        <f ca="1">SUMIF($B$2:$B$754,AS4,$AE$2:$AE$754)+SUMIF($B$2:$B$754,AS4,$AF$2:$AF$754)+SUMIF($B$2:$B$754,AS4,$AG$2:$AG$754)</f>
        <v>18075948.951040857</v>
      </c>
      <c r="AV4" s="74">
        <f t="shared" ca="1" si="2"/>
        <v>5.5770510710982935E-2</v>
      </c>
    </row>
    <row r="5" spans="1:48" ht="11.25" customHeight="1" x14ac:dyDescent="0.25">
      <c r="A5" s="4" t="s">
        <v>21</v>
      </c>
      <c r="B5" s="4" t="s">
        <v>33</v>
      </c>
      <c r="C5" s="4" t="s">
        <v>41</v>
      </c>
      <c r="D5" s="4" t="s">
        <v>42</v>
      </c>
      <c r="E5" s="4" t="s">
        <v>25</v>
      </c>
      <c r="F5" s="4" t="s">
        <v>25</v>
      </c>
      <c r="G5" s="4" t="s">
        <v>25</v>
      </c>
      <c r="H5" s="4" t="s">
        <v>36</v>
      </c>
      <c r="I5" s="5">
        <v>44409</v>
      </c>
      <c r="J5" s="6">
        <v>150</v>
      </c>
      <c r="K5" s="6">
        <v>150</v>
      </c>
      <c r="L5" s="6">
        <v>45.648000000000003</v>
      </c>
      <c r="M5" s="6">
        <v>45.648000000000003</v>
      </c>
      <c r="N5" s="6">
        <v>45.648000000000003</v>
      </c>
      <c r="O5" s="6">
        <v>45.648000000000003</v>
      </c>
      <c r="P5" s="6">
        <v>0</v>
      </c>
      <c r="Q5" s="4" t="s">
        <v>26</v>
      </c>
      <c r="R5" s="4">
        <v>0</v>
      </c>
      <c r="S5" s="6">
        <v>2</v>
      </c>
      <c r="T5" s="6">
        <v>3</v>
      </c>
      <c r="U5" s="6">
        <v>49</v>
      </c>
      <c r="V5" s="6">
        <f>IF(ISERROR(VLOOKUP($S$5,'TAR FIN'!$A$1:$O$85,15,0)),0,VLOOKUP($S$5,'TAR FIN'!$A$1:$O$85,15,0))</f>
        <v>19.32</v>
      </c>
      <c r="W5" s="6">
        <f>IF(ISERROR(VLOOKUP($T$5,'TAR FIN'!$A$1:$O$85,15,0)),0,VLOOKUP($T$5,'TAR FIN'!$A$1:$O$85,15,0))</f>
        <v>65.61</v>
      </c>
      <c r="X5" s="6">
        <f>IF(ISERROR(VLOOKUP($U$5,'TAR FIN'!$A$1:$O$85,15,0)),0,VLOOKUP($U$5,'TAR FIN'!$A$1:$O$85,15,0))</f>
        <v>263.29000000000002</v>
      </c>
      <c r="Y5" s="6">
        <f ca="1">('TUSD BE'!$AM$6+'TUSD BF'!$AM$6+'TUSD CVA'!$AM$6)*1</f>
        <v>16.680041929169654</v>
      </c>
      <c r="Z5" s="6">
        <f ca="1">('TUSD BE'!$AM$7+'TUSD BF'!$AM$7+'TUSD CVA'!$AM$7)*1</f>
        <v>100.34646310857573</v>
      </c>
      <c r="AA5" s="6">
        <f>('TE BE'!$AA$6+'TE BF'!$AA$6+'TE CVA'!$AA$6)*1</f>
        <v>210.64397598313801</v>
      </c>
      <c r="AB5" s="6">
        <f>$K$5*$V$5</f>
        <v>2898</v>
      </c>
      <c r="AC5" s="6">
        <f>$M$5*$W$5</f>
        <v>2994.9652800000003</v>
      </c>
      <c r="AD5" s="6">
        <f>$O$5*$X$5</f>
        <v>12018.661920000002</v>
      </c>
      <c r="AE5" s="6">
        <f ca="1">$K$5*$Y$5</f>
        <v>2502.006289375448</v>
      </c>
      <c r="AF5" s="6">
        <f ca="1">$M$5*$Z$5</f>
        <v>4580.6153479802651</v>
      </c>
      <c r="AG5" s="6">
        <f>$O$5*$AA$5</f>
        <v>9615.4762156782836</v>
      </c>
      <c r="AI5" s="72" t="s">
        <v>39</v>
      </c>
      <c r="AJ5" s="73">
        <f>SUMIF($B$2:$B$754,AI5,$AB$2:$AB$754)+SUMIF($B$2:$B$754,AI5,$AC$2:$AC$754)</f>
        <v>4644550.3958290005</v>
      </c>
      <c r="AK5" s="73">
        <f ca="1">SUMIF($B$2:$B$754,AI5,$AE$2:$AE$754)+SUMIF($B$2:$B$754,AI5,$AF$2:$AF$754)</f>
        <v>5441691.88535742</v>
      </c>
      <c r="AL5" s="74">
        <f t="shared" ca="1" si="0"/>
        <v>0.17162941976994928</v>
      </c>
      <c r="AN5" s="72" t="s">
        <v>39</v>
      </c>
      <c r="AO5" s="73">
        <f>SUMIF($B$2:$B$754,AN5,$AD$2:$AD$754)</f>
        <v>4468885.4390890002</v>
      </c>
      <c r="AP5" s="73">
        <f>SUMIF($B$2:$B$754,AN5,$AG$2:$AG$754)</f>
        <v>3581452.1998900129</v>
      </c>
      <c r="AQ5" s="74">
        <f t="shared" si="1"/>
        <v>-0.19858044053595025</v>
      </c>
      <c r="AS5" s="72" t="s">
        <v>39</v>
      </c>
      <c r="AT5" s="73">
        <f>SUMIF($B$2:$B$754,AS5,$AB$2:$AB$754)+SUMIF($B$2:$B$754,AS5,$AC$2:$AC$754)+SUMIF($B$2:$B$754,AS5,$AD$2:$AD$754)</f>
        <v>9113435.8349179998</v>
      </c>
      <c r="AU5" s="73">
        <f ca="1">SUMIF($B$2:$B$754,AS5,$AE$2:$AE$754)+SUMIF($B$2:$B$754,AS5,$AF$2:$AF$754)+SUMIF($B$2:$B$754,AS5,$AG$2:$AG$754)</f>
        <v>9023144.0852474328</v>
      </c>
      <c r="AV5" s="74">
        <f t="shared" ca="1" si="2"/>
        <v>-9.9075421505263606E-3</v>
      </c>
    </row>
    <row r="6" spans="1:48" ht="11.25" customHeight="1" x14ac:dyDescent="0.25">
      <c r="A6" s="4" t="s">
        <v>21</v>
      </c>
      <c r="B6" s="4" t="s">
        <v>33</v>
      </c>
      <c r="C6" s="4" t="s">
        <v>41</v>
      </c>
      <c r="D6" s="4" t="s">
        <v>42</v>
      </c>
      <c r="E6" s="4" t="s">
        <v>25</v>
      </c>
      <c r="F6" s="4" t="s">
        <v>25</v>
      </c>
      <c r="G6" s="4" t="s">
        <v>25</v>
      </c>
      <c r="H6" s="4" t="s">
        <v>36</v>
      </c>
      <c r="I6" s="5">
        <v>44440</v>
      </c>
      <c r="J6" s="6">
        <v>155</v>
      </c>
      <c r="K6" s="6">
        <v>155</v>
      </c>
      <c r="L6" s="6">
        <v>54.555</v>
      </c>
      <c r="M6" s="6">
        <v>54.555</v>
      </c>
      <c r="N6" s="6">
        <v>54.555</v>
      </c>
      <c r="O6" s="6">
        <v>54.555</v>
      </c>
      <c r="P6" s="6">
        <v>0</v>
      </c>
      <c r="Q6" s="4" t="s">
        <v>26</v>
      </c>
      <c r="R6" s="4">
        <v>0</v>
      </c>
      <c r="S6" s="6">
        <v>2</v>
      </c>
      <c r="T6" s="6">
        <v>3</v>
      </c>
      <c r="U6" s="6">
        <v>49</v>
      </c>
      <c r="V6" s="6">
        <f>IF(ISERROR(VLOOKUP($S$6,'TAR FIN'!$A$1:$O$85,15,0)),0,VLOOKUP($S$6,'TAR FIN'!$A$1:$O$85,15,0))</f>
        <v>19.32</v>
      </c>
      <c r="W6" s="6">
        <f>IF(ISERROR(VLOOKUP($T$6,'TAR FIN'!$A$1:$O$85,15,0)),0,VLOOKUP($T$6,'TAR FIN'!$A$1:$O$85,15,0))</f>
        <v>65.61</v>
      </c>
      <c r="X6" s="6">
        <f>IF(ISERROR(VLOOKUP($U$6,'TAR FIN'!$A$1:$O$85,15,0)),0,VLOOKUP($U$6,'TAR FIN'!$A$1:$O$85,15,0))</f>
        <v>263.29000000000002</v>
      </c>
      <c r="Y6" s="6">
        <f ca="1">('TUSD BE'!$AM$6+'TUSD BF'!$AM$6+'TUSD CVA'!$AM$6)*1</f>
        <v>16.680041929169654</v>
      </c>
      <c r="Z6" s="6">
        <f ca="1">('TUSD BE'!$AM$7+'TUSD BF'!$AM$7+'TUSD CVA'!$AM$7)*1</f>
        <v>100.34646310857573</v>
      </c>
      <c r="AA6" s="6">
        <f>('TE BE'!$AA$6+'TE BF'!$AA$6+'TE CVA'!$AA$6)*1</f>
        <v>210.64397598313801</v>
      </c>
      <c r="AB6" s="6">
        <f>$K$6*$V$6</f>
        <v>2994.6</v>
      </c>
      <c r="AC6" s="6">
        <f>$M$6*$W$6</f>
        <v>3579.3535499999998</v>
      </c>
      <c r="AD6" s="6">
        <f>$O$6*$X$6</f>
        <v>14363.785950000001</v>
      </c>
      <c r="AE6" s="6">
        <f ca="1">$K$6*$Y$6</f>
        <v>2585.4064990212964</v>
      </c>
      <c r="AF6" s="6">
        <f ca="1">$M$6*$Z$6</f>
        <v>5474.4012948883492</v>
      </c>
      <c r="AG6" s="6">
        <f>$O$6*$AA$6</f>
        <v>11491.682109760093</v>
      </c>
      <c r="AI6" s="72" t="s">
        <v>46</v>
      </c>
      <c r="AJ6" s="73">
        <f>SUMIF($B$2:$B$754,AI6,$AB$2:$AB$754)+SUMIF($B$2:$B$754,AI6,$AC$2:$AC$754)</f>
        <v>613649.09687999974</v>
      </c>
      <c r="AK6" s="73">
        <f ca="1">SUMIF($B$2:$B$754,AI6,$AE$2:$AE$754)+SUMIF($B$2:$B$754,AI6,$AF$2:$AF$754)</f>
        <v>717714.0239523222</v>
      </c>
      <c r="AL6" s="74">
        <f t="shared" ca="1" si="0"/>
        <v>0.16958376961919086</v>
      </c>
      <c r="AN6" s="72" t="s">
        <v>46</v>
      </c>
      <c r="AO6" s="73">
        <f>SUMIF($B$2:$B$754,AN6,$AD$2:$AD$754)</f>
        <v>590331.07175999973</v>
      </c>
      <c r="AP6" s="73">
        <f>SUMIF($B$2:$B$754,AN6,$AG$2:$AG$754)</f>
        <v>472288.6080145663</v>
      </c>
      <c r="AQ6" s="74">
        <f t="shared" si="1"/>
        <v>-0.19995976731074694</v>
      </c>
      <c r="AS6" s="72" t="s">
        <v>46</v>
      </c>
      <c r="AT6" s="73">
        <f>SUMIF($B$2:$B$754,AS6,$AB$2:$AB$754)+SUMIF($B$2:$B$754,AS6,$AC$2:$AC$754)+SUMIF($B$2:$B$754,AS6,$AD$2:$AD$754)</f>
        <v>1203980.1686399993</v>
      </c>
      <c r="AU6" s="73">
        <f ca="1">SUMIF($B$2:$B$754,AS6,$AE$2:$AE$754)+SUMIF($B$2:$B$754,AS6,$AF$2:$AF$754)+SUMIF($B$2:$B$754,AS6,$AG$2:$AG$754)</f>
        <v>1190002.6319668884</v>
      </c>
      <c r="AV6" s="74">
        <f t="shared" ca="1" si="2"/>
        <v>-1.1609440950260619E-2</v>
      </c>
    </row>
    <row r="7" spans="1:48" ht="11.25" customHeight="1" x14ac:dyDescent="0.25">
      <c r="A7" s="4" t="s">
        <v>21</v>
      </c>
      <c r="B7" s="4" t="s">
        <v>33</v>
      </c>
      <c r="C7" s="4" t="s">
        <v>41</v>
      </c>
      <c r="D7" s="4" t="s">
        <v>42</v>
      </c>
      <c r="E7" s="4" t="s">
        <v>25</v>
      </c>
      <c r="F7" s="4" t="s">
        <v>25</v>
      </c>
      <c r="G7" s="4" t="s">
        <v>25</v>
      </c>
      <c r="H7" s="4" t="s">
        <v>36</v>
      </c>
      <c r="I7" s="5">
        <v>44470</v>
      </c>
      <c r="J7" s="6">
        <v>152</v>
      </c>
      <c r="K7" s="6">
        <v>152</v>
      </c>
      <c r="L7" s="6">
        <v>50.075000000000003</v>
      </c>
      <c r="M7" s="6">
        <v>50.075000000000003</v>
      </c>
      <c r="N7" s="6">
        <v>50.075000000000003</v>
      </c>
      <c r="O7" s="6">
        <v>50.075000000000003</v>
      </c>
      <c r="P7" s="6">
        <v>0</v>
      </c>
      <c r="Q7" s="4" t="s">
        <v>26</v>
      </c>
      <c r="R7" s="4">
        <v>0</v>
      </c>
      <c r="S7" s="6">
        <v>2</v>
      </c>
      <c r="T7" s="6">
        <v>3</v>
      </c>
      <c r="U7" s="6">
        <v>49</v>
      </c>
      <c r="V7" s="6">
        <f>IF(ISERROR(VLOOKUP($S$7,'TAR FIN'!$A$1:$O$85,15,0)),0,VLOOKUP($S$7,'TAR FIN'!$A$1:$O$85,15,0))</f>
        <v>19.32</v>
      </c>
      <c r="W7" s="6">
        <f>IF(ISERROR(VLOOKUP($T$7,'TAR FIN'!$A$1:$O$85,15,0)),0,VLOOKUP($T$7,'TAR FIN'!$A$1:$O$85,15,0))</f>
        <v>65.61</v>
      </c>
      <c r="X7" s="6">
        <f>IF(ISERROR(VLOOKUP($U$7,'TAR FIN'!$A$1:$O$85,15,0)),0,VLOOKUP($U$7,'TAR FIN'!$A$1:$O$85,15,0))</f>
        <v>263.29000000000002</v>
      </c>
      <c r="Y7" s="6">
        <f ca="1">('TUSD BE'!$AM$6+'TUSD BF'!$AM$6+'TUSD CVA'!$AM$6)*1</f>
        <v>16.680041929169654</v>
      </c>
      <c r="Z7" s="6">
        <f ca="1">('TUSD BE'!$AM$7+'TUSD BF'!$AM$7+'TUSD CVA'!$AM$7)*1</f>
        <v>100.34646310857573</v>
      </c>
      <c r="AA7" s="6">
        <f>('TE BE'!$AA$6+'TE BF'!$AA$6+'TE CVA'!$AA$6)*1</f>
        <v>210.64397598313801</v>
      </c>
      <c r="AB7" s="6">
        <f>$K$7*$V$7</f>
        <v>2936.64</v>
      </c>
      <c r="AC7" s="6">
        <f>$M$7*$W$7</f>
        <v>3285.4207500000002</v>
      </c>
      <c r="AD7" s="6">
        <f>$O$7*$X$7</f>
        <v>13184.246750000002</v>
      </c>
      <c r="AE7" s="6">
        <f ca="1">$K$7*$Y$7</f>
        <v>2535.3663732337873</v>
      </c>
      <c r="AF7" s="6">
        <f ca="1">$M$7*$Z$7</f>
        <v>5024.8491401619303</v>
      </c>
      <c r="AG7" s="6">
        <f>$O$7*$AA$7</f>
        <v>10547.997097355636</v>
      </c>
      <c r="AI7" s="72" t="s">
        <v>790</v>
      </c>
      <c r="AJ7" s="73">
        <f>+$AJ$2</f>
        <v>13628625.202311199</v>
      </c>
      <c r="AK7" s="73">
        <f ca="1">+$AK$2</f>
        <v>15872324.011199305</v>
      </c>
      <c r="AL7" s="74">
        <f t="shared" ca="1" si="0"/>
        <v>0.16463133849389378</v>
      </c>
      <c r="AN7" s="72" t="s">
        <v>790</v>
      </c>
      <c r="AO7" s="73">
        <f>+$AO$2</f>
        <v>11542338.272872806</v>
      </c>
      <c r="AP7" s="73">
        <f>+$AP$2</f>
        <v>9348345.9321375452</v>
      </c>
      <c r="AQ7" s="74">
        <f t="shared" si="1"/>
        <v>-0.19008213837326671</v>
      </c>
      <c r="AS7" s="72" t="s">
        <v>790</v>
      </c>
      <c r="AT7" s="73">
        <f>+$AT$2</f>
        <v>25170963.475184005</v>
      </c>
      <c r="AU7" s="73">
        <f ca="1">+$AU$2</f>
        <v>25220669.943336852</v>
      </c>
      <c r="AV7" s="74">
        <f t="shared" ca="1" si="2"/>
        <v>1.9747542918591154E-3</v>
      </c>
    </row>
    <row r="8" spans="1:48" ht="11.25" customHeight="1" x14ac:dyDescent="0.25">
      <c r="A8" s="4" t="s">
        <v>21</v>
      </c>
      <c r="B8" s="4" t="s">
        <v>33</v>
      </c>
      <c r="C8" s="4" t="s">
        <v>41</v>
      </c>
      <c r="D8" s="4" t="s">
        <v>42</v>
      </c>
      <c r="E8" s="4" t="s">
        <v>25</v>
      </c>
      <c r="F8" s="4" t="s">
        <v>25</v>
      </c>
      <c r="G8" s="4" t="s">
        <v>25</v>
      </c>
      <c r="H8" s="4" t="s">
        <v>36</v>
      </c>
      <c r="I8" s="5">
        <v>44501</v>
      </c>
      <c r="J8" s="6">
        <v>172</v>
      </c>
      <c r="K8" s="6">
        <v>172</v>
      </c>
      <c r="L8" s="6">
        <v>37.701999999999998</v>
      </c>
      <c r="M8" s="6">
        <v>37.701999999999998</v>
      </c>
      <c r="N8" s="6">
        <v>37.701999999999998</v>
      </c>
      <c r="O8" s="6">
        <v>37.701999999999998</v>
      </c>
      <c r="P8" s="6">
        <v>0</v>
      </c>
      <c r="Q8" s="4" t="s">
        <v>26</v>
      </c>
      <c r="R8" s="4">
        <v>0</v>
      </c>
      <c r="S8" s="6">
        <v>2</v>
      </c>
      <c r="T8" s="6">
        <v>3</v>
      </c>
      <c r="U8" s="6">
        <v>49</v>
      </c>
      <c r="V8" s="6">
        <f>IF(ISERROR(VLOOKUP($S$8,'TAR FIN'!$A$1:$O$85,15,0)),0,VLOOKUP($S$8,'TAR FIN'!$A$1:$O$85,15,0))</f>
        <v>19.32</v>
      </c>
      <c r="W8" s="6">
        <f>IF(ISERROR(VLOOKUP($T$8,'TAR FIN'!$A$1:$O$85,15,0)),0,VLOOKUP($T$8,'TAR FIN'!$A$1:$O$85,15,0))</f>
        <v>65.61</v>
      </c>
      <c r="X8" s="6">
        <f>IF(ISERROR(VLOOKUP($U$8,'TAR FIN'!$A$1:$O$85,15,0)),0,VLOOKUP($U$8,'TAR FIN'!$A$1:$O$85,15,0))</f>
        <v>263.29000000000002</v>
      </c>
      <c r="Y8" s="6">
        <f ca="1">('TUSD BE'!$AM$6+'TUSD BF'!$AM$6+'TUSD CVA'!$AM$6)*1</f>
        <v>16.680041929169654</v>
      </c>
      <c r="Z8" s="6">
        <f ca="1">('TUSD BE'!$AM$7+'TUSD BF'!$AM$7+'TUSD CVA'!$AM$7)*1</f>
        <v>100.34646310857573</v>
      </c>
      <c r="AA8" s="6">
        <f>('TE BE'!$AA$6+'TE BF'!$AA$6+'TE CVA'!$AA$6)*1</f>
        <v>210.64397598313801</v>
      </c>
      <c r="AB8" s="6">
        <f>$K$8*$V$8</f>
        <v>3323.04</v>
      </c>
      <c r="AC8" s="6">
        <f>$M$8*$W$8</f>
        <v>2473.6282200000001</v>
      </c>
      <c r="AD8" s="6">
        <f>$O$8*$X$8</f>
        <v>9926.559580000001</v>
      </c>
      <c r="AE8" s="6">
        <f ca="1">$K$8*$Y$8</f>
        <v>2868.9672118171807</v>
      </c>
      <c r="AF8" s="6">
        <f ca="1">$M$8*$Z$8</f>
        <v>3783.2623521195219</v>
      </c>
      <c r="AG8" s="6">
        <f>$O$8*$AA$8</f>
        <v>7941.6991825162686</v>
      </c>
      <c r="AI8" s="72" t="s">
        <v>85</v>
      </c>
      <c r="AJ8" s="73">
        <f>+$AJ$3+$AJ$4+$AJ$5+$AJ$6</f>
        <v>21173055.387309</v>
      </c>
      <c r="AK8" s="73">
        <f ca="1">+$AK$3+$AK$4+$AK$5+$AK$6</f>
        <v>25447031.8243661</v>
      </c>
      <c r="AL8" s="74">
        <f t="shared" ca="1" si="0"/>
        <v>0.20185921960129072</v>
      </c>
      <c r="AN8" s="72" t="s">
        <v>85</v>
      </c>
      <c r="AO8" s="73">
        <f>+$AO$3+$AO$4+$AO$5+$AO$6</f>
        <v>20419289.598808996</v>
      </c>
      <c r="AP8" s="73">
        <f>+$AP$3+$AP$4+$AP$5+$AP$6</f>
        <v>16800273.862135217</v>
      </c>
      <c r="AQ8" s="74">
        <f t="shared" si="1"/>
        <v>-0.17723514420819353</v>
      </c>
      <c r="AS8" s="72" t="s">
        <v>85</v>
      </c>
      <c r="AT8" s="73">
        <f>+$AT$3+$AT$4+$AT$5+$AT$6</f>
        <v>41592344.986117996</v>
      </c>
      <c r="AU8" s="73">
        <f ca="1">+$AU$3+$AU$4+$AU$5+$AU$6</f>
        <v>42247305.686501317</v>
      </c>
      <c r="AV8" s="74">
        <f t="shared" ca="1" si="2"/>
        <v>1.5747145312482891E-2</v>
      </c>
    </row>
    <row r="9" spans="1:48" ht="11.25" customHeight="1" x14ac:dyDescent="0.25">
      <c r="A9" s="4" t="s">
        <v>21</v>
      </c>
      <c r="B9" s="4" t="s">
        <v>33</v>
      </c>
      <c r="C9" s="4" t="s">
        <v>41</v>
      </c>
      <c r="D9" s="4" t="s">
        <v>42</v>
      </c>
      <c r="E9" s="4" t="s">
        <v>25</v>
      </c>
      <c r="F9" s="4" t="s">
        <v>25</v>
      </c>
      <c r="G9" s="4" t="s">
        <v>25</v>
      </c>
      <c r="H9" s="4" t="s">
        <v>36</v>
      </c>
      <c r="I9" s="5">
        <v>44531</v>
      </c>
      <c r="J9" s="6">
        <v>183</v>
      </c>
      <c r="K9" s="6">
        <v>183</v>
      </c>
      <c r="L9" s="6">
        <v>49.563000000000002</v>
      </c>
      <c r="M9" s="6">
        <v>49.563000000000002</v>
      </c>
      <c r="N9" s="6">
        <v>49.563000000000002</v>
      </c>
      <c r="O9" s="6">
        <v>49.563000000000002</v>
      </c>
      <c r="P9" s="6">
        <v>0</v>
      </c>
      <c r="Q9" s="4" t="s">
        <v>26</v>
      </c>
      <c r="R9" s="4">
        <v>0</v>
      </c>
      <c r="S9" s="6">
        <v>2</v>
      </c>
      <c r="T9" s="6">
        <v>3</v>
      </c>
      <c r="U9" s="6">
        <v>49</v>
      </c>
      <c r="V9" s="6">
        <f>IF(ISERROR(VLOOKUP($S$9,'TAR FIN'!$A$1:$O$85,15,0)),0,VLOOKUP($S$9,'TAR FIN'!$A$1:$O$85,15,0))</f>
        <v>19.32</v>
      </c>
      <c r="W9" s="6">
        <f>IF(ISERROR(VLOOKUP($T$9,'TAR FIN'!$A$1:$O$85,15,0)),0,VLOOKUP($T$9,'TAR FIN'!$A$1:$O$85,15,0))</f>
        <v>65.61</v>
      </c>
      <c r="X9" s="6">
        <f>IF(ISERROR(VLOOKUP($U$9,'TAR FIN'!$A$1:$O$85,15,0)),0,VLOOKUP($U$9,'TAR FIN'!$A$1:$O$85,15,0))</f>
        <v>263.29000000000002</v>
      </c>
      <c r="Y9" s="6">
        <f ca="1">('TUSD BE'!$AM$6+'TUSD BF'!$AM$6+'TUSD CVA'!$AM$6)*1</f>
        <v>16.680041929169654</v>
      </c>
      <c r="Z9" s="6">
        <f ca="1">('TUSD BE'!$AM$7+'TUSD BF'!$AM$7+'TUSD CVA'!$AM$7)*1</f>
        <v>100.34646310857573</v>
      </c>
      <c r="AA9" s="6">
        <f>('TE BE'!$AA$6+'TE BF'!$AA$6+'TE CVA'!$AA$6)*1</f>
        <v>210.64397598313801</v>
      </c>
      <c r="AB9" s="6">
        <f>$K$9*$V$9</f>
        <v>3535.56</v>
      </c>
      <c r="AC9" s="6">
        <f>$M$9*$W$9</f>
        <v>3251.82843</v>
      </c>
      <c r="AD9" s="6">
        <f>$O$9*$X$9</f>
        <v>13049.442270000001</v>
      </c>
      <c r="AE9" s="6">
        <f ca="1">$K$9*$Y$9</f>
        <v>3052.4476730380466</v>
      </c>
      <c r="AF9" s="6">
        <f ca="1">$M$9*$Z$9</f>
        <v>4973.4717510503397</v>
      </c>
      <c r="AG9" s="6">
        <f>$O$9*$AA$9</f>
        <v>10440.14738165227</v>
      </c>
      <c r="AI9" s="72" t="s">
        <v>791</v>
      </c>
      <c r="AJ9" s="73">
        <f>AJ8+AJ7</f>
        <v>34801680.589620203</v>
      </c>
      <c r="AK9" s="73">
        <f ca="1">AK8+AK7</f>
        <v>41319355.835565403</v>
      </c>
      <c r="AL9" s="74">
        <f t="shared" ca="1" si="0"/>
        <v>0.18728047426218652</v>
      </c>
      <c r="AN9" s="72" t="s">
        <v>791</v>
      </c>
      <c r="AO9" s="73">
        <f>AO8+AO7</f>
        <v>31961627.871681802</v>
      </c>
      <c r="AP9" s="73">
        <f>AP8+AP7</f>
        <v>26148619.794272762</v>
      </c>
      <c r="AQ9" s="74">
        <f t="shared" si="1"/>
        <v>-0.18187459352029445</v>
      </c>
      <c r="AS9" s="72" t="s">
        <v>791</v>
      </c>
      <c r="AT9" s="73">
        <f>AT8+AT7</f>
        <v>66763308.461301997</v>
      </c>
      <c r="AU9" s="73">
        <f ca="1">AU8+AU7</f>
        <v>67467975.629838169</v>
      </c>
      <c r="AV9" s="74">
        <f t="shared" ca="1" si="2"/>
        <v>1.0554707140443931E-2</v>
      </c>
    </row>
    <row r="10" spans="1:48" ht="11.25" customHeight="1" x14ac:dyDescent="0.25">
      <c r="A10" s="4" t="s">
        <v>21</v>
      </c>
      <c r="B10" s="4" t="s">
        <v>33</v>
      </c>
      <c r="C10" s="4" t="s">
        <v>41</v>
      </c>
      <c r="D10" s="4" t="s">
        <v>42</v>
      </c>
      <c r="E10" s="4" t="s">
        <v>25</v>
      </c>
      <c r="F10" s="4" t="s">
        <v>25</v>
      </c>
      <c r="G10" s="4" t="s">
        <v>25</v>
      </c>
      <c r="H10" s="4" t="s">
        <v>36</v>
      </c>
      <c r="I10" s="5">
        <v>44562</v>
      </c>
      <c r="J10" s="6">
        <v>179</v>
      </c>
      <c r="K10" s="6">
        <v>179</v>
      </c>
      <c r="L10" s="6">
        <v>51.268000000000001</v>
      </c>
      <c r="M10" s="6">
        <v>51.268000000000001</v>
      </c>
      <c r="N10" s="6">
        <v>51.268000000000001</v>
      </c>
      <c r="O10" s="6">
        <v>51.268000000000001</v>
      </c>
      <c r="P10" s="6">
        <v>0</v>
      </c>
      <c r="Q10" s="4" t="s">
        <v>26</v>
      </c>
      <c r="R10" s="4">
        <v>0</v>
      </c>
      <c r="S10" s="6">
        <v>2</v>
      </c>
      <c r="T10" s="6">
        <v>3</v>
      </c>
      <c r="U10" s="6">
        <v>49</v>
      </c>
      <c r="V10" s="6">
        <f>IF(ISERROR(VLOOKUP($S$10,'TAR FIN'!$A$1:$O$85,15,0)),0,VLOOKUP($S$10,'TAR FIN'!$A$1:$O$85,15,0))</f>
        <v>19.32</v>
      </c>
      <c r="W10" s="6">
        <f>IF(ISERROR(VLOOKUP($T$10,'TAR FIN'!$A$1:$O$85,15,0)),0,VLOOKUP($T$10,'TAR FIN'!$A$1:$O$85,15,0))</f>
        <v>65.61</v>
      </c>
      <c r="X10" s="6">
        <f>IF(ISERROR(VLOOKUP($U$10,'TAR FIN'!$A$1:$O$85,15,0)),0,VLOOKUP($U$10,'TAR FIN'!$A$1:$O$85,15,0))</f>
        <v>263.29000000000002</v>
      </c>
      <c r="Y10" s="6">
        <f ca="1">('TUSD BE'!$AM$6+'TUSD BF'!$AM$6+'TUSD CVA'!$AM$6)*1</f>
        <v>16.680041929169654</v>
      </c>
      <c r="Z10" s="6">
        <f ca="1">('TUSD BE'!$AM$7+'TUSD BF'!$AM$7+'TUSD CVA'!$AM$7)*1</f>
        <v>100.34646310857573</v>
      </c>
      <c r="AA10" s="6">
        <f>('TE BE'!$AA$6+'TE BF'!$AA$6+'TE CVA'!$AA$6)*1</f>
        <v>210.64397598313801</v>
      </c>
      <c r="AB10" s="6">
        <f>$K$10*$V$10</f>
        <v>3458.28</v>
      </c>
      <c r="AC10" s="6">
        <f>$M$10*$W$10</f>
        <v>3363.6934799999999</v>
      </c>
      <c r="AD10" s="6">
        <f>$O$10*$X$10</f>
        <v>13498.351720000001</v>
      </c>
      <c r="AE10" s="6">
        <f ca="1">$K$10*$Y$10</f>
        <v>2985.727505321368</v>
      </c>
      <c r="AF10" s="6">
        <f ca="1">$M$10*$Z$10</f>
        <v>5144.5624706504605</v>
      </c>
      <c r="AG10" s="6">
        <f>$O$10*$AA$10</f>
        <v>10799.29536070352</v>
      </c>
    </row>
    <row r="11" spans="1:48" ht="11.25" customHeight="1" x14ac:dyDescent="0.25">
      <c r="A11" s="4" t="s">
        <v>21</v>
      </c>
      <c r="B11" s="4" t="s">
        <v>33</v>
      </c>
      <c r="C11" s="4" t="s">
        <v>41</v>
      </c>
      <c r="D11" s="4" t="s">
        <v>42</v>
      </c>
      <c r="E11" s="4" t="s">
        <v>25</v>
      </c>
      <c r="F11" s="4" t="s">
        <v>25</v>
      </c>
      <c r="G11" s="4" t="s">
        <v>25</v>
      </c>
      <c r="H11" s="4" t="s">
        <v>36</v>
      </c>
      <c r="I11" s="5">
        <v>44593</v>
      </c>
      <c r="J11" s="6">
        <v>190</v>
      </c>
      <c r="K11" s="6">
        <v>190</v>
      </c>
      <c r="L11" s="6">
        <v>47.212000000000003</v>
      </c>
      <c r="M11" s="6">
        <v>47.212000000000003</v>
      </c>
      <c r="N11" s="6">
        <v>47.212000000000003</v>
      </c>
      <c r="O11" s="6">
        <v>47.212000000000003</v>
      </c>
      <c r="P11" s="6">
        <v>0</v>
      </c>
      <c r="Q11" s="4" t="s">
        <v>26</v>
      </c>
      <c r="R11" s="4">
        <v>0</v>
      </c>
      <c r="S11" s="6">
        <v>2</v>
      </c>
      <c r="T11" s="6">
        <v>3</v>
      </c>
      <c r="U11" s="6">
        <v>49</v>
      </c>
      <c r="V11" s="6">
        <f>IF(ISERROR(VLOOKUP($S$11,'TAR FIN'!$A$1:$O$85,15,0)),0,VLOOKUP($S$11,'TAR FIN'!$A$1:$O$85,15,0))</f>
        <v>19.32</v>
      </c>
      <c r="W11" s="6">
        <f>IF(ISERROR(VLOOKUP($T$11,'TAR FIN'!$A$1:$O$85,15,0)),0,VLOOKUP($T$11,'TAR FIN'!$A$1:$O$85,15,0))</f>
        <v>65.61</v>
      </c>
      <c r="X11" s="6">
        <f>IF(ISERROR(VLOOKUP($U$11,'TAR FIN'!$A$1:$O$85,15,0)),0,VLOOKUP($U$11,'TAR FIN'!$A$1:$O$85,15,0))</f>
        <v>263.29000000000002</v>
      </c>
      <c r="Y11" s="6">
        <f ca="1">('TUSD BE'!$AM$6+'TUSD BF'!$AM$6+'TUSD CVA'!$AM$6)*1</f>
        <v>16.680041929169654</v>
      </c>
      <c r="Z11" s="6">
        <f ca="1">('TUSD BE'!$AM$7+'TUSD BF'!$AM$7+'TUSD CVA'!$AM$7)*1</f>
        <v>100.34646310857573</v>
      </c>
      <c r="AA11" s="6">
        <f>('TE BE'!$AA$6+'TE BF'!$AA$6+'TE CVA'!$AA$6)*1</f>
        <v>210.64397598313801</v>
      </c>
      <c r="AB11" s="6">
        <f>$K$11*$V$11</f>
        <v>3670.8</v>
      </c>
      <c r="AC11" s="6">
        <f>$M$11*$W$11</f>
        <v>3097.5793200000003</v>
      </c>
      <c r="AD11" s="6">
        <f>$O$11*$X$11</f>
        <v>12430.447480000003</v>
      </c>
      <c r="AE11" s="6">
        <f ca="1">$K$11*$Y$11</f>
        <v>3169.2079665422343</v>
      </c>
      <c r="AF11" s="6">
        <f ca="1">$M$11*$Z$11</f>
        <v>4737.5572162820781</v>
      </c>
      <c r="AG11" s="6">
        <f>$O$11*$AA$11</f>
        <v>9944.9233941159127</v>
      </c>
      <c r="AU11" s="90">
        <f ca="1">CUSTOS!D47+CUSTOS!E47</f>
        <v>71663838.46860154</v>
      </c>
    </row>
    <row r="12" spans="1:48" ht="11.25" customHeight="1" x14ac:dyDescent="0.25">
      <c r="A12" s="4" t="s">
        <v>21</v>
      </c>
      <c r="B12" s="4" t="s">
        <v>33</v>
      </c>
      <c r="C12" s="4" t="s">
        <v>41</v>
      </c>
      <c r="D12" s="4" t="s">
        <v>42</v>
      </c>
      <c r="E12" s="4" t="s">
        <v>25</v>
      </c>
      <c r="F12" s="4" t="s">
        <v>25</v>
      </c>
      <c r="G12" s="4" t="s">
        <v>25</v>
      </c>
      <c r="H12" s="4" t="s">
        <v>36</v>
      </c>
      <c r="I12" s="5">
        <v>44621</v>
      </c>
      <c r="J12" s="6">
        <v>203</v>
      </c>
      <c r="K12" s="6">
        <v>203</v>
      </c>
      <c r="L12" s="6">
        <v>57.959000000000003</v>
      </c>
      <c r="M12" s="6">
        <v>57.959000000000003</v>
      </c>
      <c r="N12" s="6">
        <v>57.959000000000003</v>
      </c>
      <c r="O12" s="6">
        <v>57.959000000000003</v>
      </c>
      <c r="P12" s="6">
        <v>0</v>
      </c>
      <c r="Q12" s="4" t="s">
        <v>26</v>
      </c>
      <c r="R12" s="4">
        <v>0</v>
      </c>
      <c r="S12" s="6">
        <v>2</v>
      </c>
      <c r="T12" s="6">
        <v>3</v>
      </c>
      <c r="U12" s="6">
        <v>49</v>
      </c>
      <c r="V12" s="6">
        <f>IF(ISERROR(VLOOKUP($S$12,'TAR FIN'!$A$1:$O$85,15,0)),0,VLOOKUP($S$12,'TAR FIN'!$A$1:$O$85,15,0))</f>
        <v>19.32</v>
      </c>
      <c r="W12" s="6">
        <f>IF(ISERROR(VLOOKUP($T$12,'TAR FIN'!$A$1:$O$85,15,0)),0,VLOOKUP($T$12,'TAR FIN'!$A$1:$O$85,15,0))</f>
        <v>65.61</v>
      </c>
      <c r="X12" s="6">
        <f>IF(ISERROR(VLOOKUP($U$12,'TAR FIN'!$A$1:$O$85,15,0)),0,VLOOKUP($U$12,'TAR FIN'!$A$1:$O$85,15,0))</f>
        <v>263.29000000000002</v>
      </c>
      <c r="Y12" s="6">
        <f ca="1">('TUSD BE'!$AM$6+'TUSD BF'!$AM$6+'TUSD CVA'!$AM$6)*1</f>
        <v>16.680041929169654</v>
      </c>
      <c r="Z12" s="6">
        <f ca="1">('TUSD BE'!$AM$7+'TUSD BF'!$AM$7+'TUSD CVA'!$AM$7)*1</f>
        <v>100.34646310857573</v>
      </c>
      <c r="AA12" s="6">
        <f>('TE BE'!$AA$6+'TE BF'!$AA$6+'TE CVA'!$AA$6)*1</f>
        <v>210.64397598313801</v>
      </c>
      <c r="AB12" s="6">
        <f>$K$12*$V$12</f>
        <v>3921.96</v>
      </c>
      <c r="AC12" s="6">
        <f>$M$12*$W$12</f>
        <v>3802.6899900000003</v>
      </c>
      <c r="AD12" s="6">
        <f>$O$12*$X$12</f>
        <v>15260.025110000002</v>
      </c>
      <c r="AE12" s="6">
        <f ca="1">$K$12*$Y$12</f>
        <v>3386.04851162144</v>
      </c>
      <c r="AF12" s="6">
        <f ca="1">$M$12*$Z$12</f>
        <v>5815.9806553099415</v>
      </c>
      <c r="AG12" s="6">
        <f>$O$12*$AA$12</f>
        <v>12208.714204006696</v>
      </c>
      <c r="AU12" s="90">
        <f ca="1">AU9+SUM(SUBSIDIO!AJ2:AJ9)</f>
        <v>71663838.468601421</v>
      </c>
    </row>
    <row r="13" spans="1:48" ht="11.25" customHeight="1" x14ac:dyDescent="0.25">
      <c r="A13" s="4" t="s">
        <v>21</v>
      </c>
      <c r="B13" s="4" t="s">
        <v>33</v>
      </c>
      <c r="C13" s="4" t="s">
        <v>41</v>
      </c>
      <c r="D13" s="4" t="s">
        <v>42</v>
      </c>
      <c r="E13" s="4" t="s">
        <v>25</v>
      </c>
      <c r="F13" s="4" t="s">
        <v>25</v>
      </c>
      <c r="G13" s="4" t="s">
        <v>25</v>
      </c>
      <c r="H13" s="4" t="s">
        <v>36</v>
      </c>
      <c r="I13" s="5">
        <v>44652</v>
      </c>
      <c r="J13" s="6">
        <v>194</v>
      </c>
      <c r="K13" s="6">
        <v>194</v>
      </c>
      <c r="L13" s="6">
        <v>51.365000000000002</v>
      </c>
      <c r="M13" s="6">
        <v>51.365000000000002</v>
      </c>
      <c r="N13" s="6">
        <v>51.365000000000002</v>
      </c>
      <c r="O13" s="6">
        <v>51.365000000000002</v>
      </c>
      <c r="P13" s="6">
        <v>0</v>
      </c>
      <c r="Q13" s="4" t="s">
        <v>26</v>
      </c>
      <c r="R13" s="4">
        <v>0</v>
      </c>
      <c r="S13" s="6">
        <v>2</v>
      </c>
      <c r="T13" s="6">
        <v>3</v>
      </c>
      <c r="U13" s="6">
        <v>49</v>
      </c>
      <c r="V13" s="6">
        <f>IF(ISERROR(VLOOKUP($S$13,'TAR FIN'!$A$1:$O$85,15,0)),0,VLOOKUP($S$13,'TAR FIN'!$A$1:$O$85,15,0))</f>
        <v>19.32</v>
      </c>
      <c r="W13" s="6">
        <f>IF(ISERROR(VLOOKUP($T$13,'TAR FIN'!$A$1:$O$85,15,0)),0,VLOOKUP($T$13,'TAR FIN'!$A$1:$O$85,15,0))</f>
        <v>65.61</v>
      </c>
      <c r="X13" s="6">
        <f>IF(ISERROR(VLOOKUP($U$13,'TAR FIN'!$A$1:$O$85,15,0)),0,VLOOKUP($U$13,'TAR FIN'!$A$1:$O$85,15,0))</f>
        <v>263.29000000000002</v>
      </c>
      <c r="Y13" s="6">
        <f ca="1">('TUSD BE'!$AM$6+'TUSD BF'!$AM$6+'TUSD CVA'!$AM$6)*1</f>
        <v>16.680041929169654</v>
      </c>
      <c r="Z13" s="6">
        <f ca="1">('TUSD BE'!$AM$7+'TUSD BF'!$AM$7+'TUSD CVA'!$AM$7)*1</f>
        <v>100.34646310857573</v>
      </c>
      <c r="AA13" s="6">
        <f>('TE BE'!$AA$6+'TE BF'!$AA$6+'TE CVA'!$AA$6)*1</f>
        <v>210.64397598313801</v>
      </c>
      <c r="AB13" s="6">
        <f>$K$13*$V$13</f>
        <v>3748.08</v>
      </c>
      <c r="AC13" s="6">
        <f>$M$13*$W$13</f>
        <v>3370.0576500000002</v>
      </c>
      <c r="AD13" s="6">
        <f>$O$13*$X$13</f>
        <v>13523.890850000002</v>
      </c>
      <c r="AE13" s="6">
        <f ca="1">$K$13*$Y$13</f>
        <v>3235.9281342589129</v>
      </c>
      <c r="AF13" s="6">
        <f ca="1">$M$13*$Z$13</f>
        <v>5154.296077571993</v>
      </c>
      <c r="AG13" s="6">
        <f>$O$13*$AA$13</f>
        <v>10819.727826373884</v>
      </c>
      <c r="AU13" s="90">
        <f ca="1">AU12-AU11</f>
        <v>-1.1920928955078125E-7</v>
      </c>
    </row>
    <row r="14" spans="1:48" ht="11.25" customHeight="1" x14ac:dyDescent="0.25">
      <c r="A14" s="4" t="s">
        <v>21</v>
      </c>
      <c r="B14" s="4" t="s">
        <v>33</v>
      </c>
      <c r="C14" s="4" t="s">
        <v>41</v>
      </c>
      <c r="D14" s="4" t="s">
        <v>42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44317</v>
      </c>
      <c r="J14" s="6">
        <v>125</v>
      </c>
      <c r="K14" s="6">
        <v>125</v>
      </c>
      <c r="L14" s="6">
        <v>3.6440000000000001</v>
      </c>
      <c r="M14" s="6">
        <v>3.6440000000000001</v>
      </c>
      <c r="N14" s="6">
        <v>3.6440000000000001</v>
      </c>
      <c r="O14" s="6">
        <v>3.6440000000000001</v>
      </c>
      <c r="P14" s="6">
        <v>0</v>
      </c>
      <c r="Q14" s="4" t="s">
        <v>26</v>
      </c>
      <c r="R14" s="4">
        <v>0</v>
      </c>
      <c r="S14" s="6">
        <v>1</v>
      </c>
      <c r="T14" s="6">
        <v>3</v>
      </c>
      <c r="U14" s="6">
        <v>48</v>
      </c>
      <c r="V14" s="6">
        <f>IF(ISERROR(VLOOKUP($S$14,'TAR FIN'!$A$1:$O$85,15,0)),0,VLOOKUP($S$14,'TAR FIN'!$A$1:$O$85,15,0))</f>
        <v>36.700000000000003</v>
      </c>
      <c r="W14" s="6">
        <f>IF(ISERROR(VLOOKUP($T$14,'TAR FIN'!$A$1:$O$85,15,0)),0,VLOOKUP($T$14,'TAR FIN'!$A$1:$O$85,15,0))</f>
        <v>65.61</v>
      </c>
      <c r="X14" s="6">
        <f>IF(ISERROR(VLOOKUP($U$14,'TAR FIN'!$A$1:$O$85,15,0)),0,VLOOKUP($U$14,'TAR FIN'!$A$1:$O$85,15,0))</f>
        <v>263.29000000000002</v>
      </c>
      <c r="Y14" s="6">
        <f ca="1">('TUSD BE'!$AM$5+'TUSD BF'!$AM$5+'TUSD CVA'!$AM$5)*1</f>
        <v>36.42728699912557</v>
      </c>
      <c r="Z14" s="6">
        <f ca="1">('TUSD BE'!$AM$7+'TUSD BF'!$AM$7+'TUSD CVA'!$AM$7)*1</f>
        <v>100.34646310857573</v>
      </c>
      <c r="AA14" s="6">
        <f>('TE BE'!$AA$5+'TE BF'!$AA$5+'TE CVA'!$AA$5)*1</f>
        <v>210.64397598313801</v>
      </c>
      <c r="AB14" s="6">
        <f>$K$14*$V$14</f>
        <v>4587.5</v>
      </c>
      <c r="AC14" s="6">
        <f>$M$14*$W$14</f>
        <v>239.08284</v>
      </c>
      <c r="AD14" s="6">
        <f>$O$14*$X$14</f>
        <v>959.42876000000012</v>
      </c>
      <c r="AE14" s="6">
        <f ca="1">$K$14*$Y$14</f>
        <v>4553.4108748906965</v>
      </c>
      <c r="AF14" s="6">
        <f ca="1">$M$14*$Z$14</f>
        <v>365.66251156764997</v>
      </c>
      <c r="AG14" s="6">
        <f>$O$14*$AA$14</f>
        <v>767.58664848255489</v>
      </c>
    </row>
    <row r="15" spans="1:48" ht="11.25" customHeight="1" x14ac:dyDescent="0.25">
      <c r="A15" s="4" t="s">
        <v>21</v>
      </c>
      <c r="B15" s="4" t="s">
        <v>33</v>
      </c>
      <c r="C15" s="4" t="s">
        <v>41</v>
      </c>
      <c r="D15" s="4" t="s">
        <v>42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44348</v>
      </c>
      <c r="J15" s="6">
        <v>125</v>
      </c>
      <c r="K15" s="6">
        <v>125</v>
      </c>
      <c r="L15" s="6">
        <v>2.9910000000000001</v>
      </c>
      <c r="M15" s="6">
        <v>2.9910000000000001</v>
      </c>
      <c r="N15" s="6">
        <v>2.9910000000000001</v>
      </c>
      <c r="O15" s="6">
        <v>2.9910000000000001</v>
      </c>
      <c r="P15" s="6">
        <v>0</v>
      </c>
      <c r="Q15" s="4" t="s">
        <v>26</v>
      </c>
      <c r="R15" s="4">
        <v>0</v>
      </c>
      <c r="S15" s="6">
        <v>1</v>
      </c>
      <c r="T15" s="6">
        <v>3</v>
      </c>
      <c r="U15" s="6">
        <v>48</v>
      </c>
      <c r="V15" s="6">
        <f>IF(ISERROR(VLOOKUP($S$15,'TAR FIN'!$A$1:$O$85,15,0)),0,VLOOKUP($S$15,'TAR FIN'!$A$1:$O$85,15,0))</f>
        <v>36.700000000000003</v>
      </c>
      <c r="W15" s="6">
        <f>IF(ISERROR(VLOOKUP($T$15,'TAR FIN'!$A$1:$O$85,15,0)),0,VLOOKUP($T$15,'TAR FIN'!$A$1:$O$85,15,0))</f>
        <v>65.61</v>
      </c>
      <c r="X15" s="6">
        <f>IF(ISERROR(VLOOKUP($U$15,'TAR FIN'!$A$1:$O$85,15,0)),0,VLOOKUP($U$15,'TAR FIN'!$A$1:$O$85,15,0))</f>
        <v>263.29000000000002</v>
      </c>
      <c r="Y15" s="6">
        <f ca="1">('TUSD BE'!$AM$5+'TUSD BF'!$AM$5+'TUSD CVA'!$AM$5)*1</f>
        <v>36.42728699912557</v>
      </c>
      <c r="Z15" s="6">
        <f ca="1">('TUSD BE'!$AM$7+'TUSD BF'!$AM$7+'TUSD CVA'!$AM$7)*1</f>
        <v>100.34646310857573</v>
      </c>
      <c r="AA15" s="6">
        <f>('TE BE'!$AA$5+'TE BF'!$AA$5+'TE CVA'!$AA$5)*1</f>
        <v>210.64397598313801</v>
      </c>
      <c r="AB15" s="6">
        <f>$K$15*$V$15</f>
        <v>4587.5</v>
      </c>
      <c r="AC15" s="6">
        <f>$M$15*$W$15</f>
        <v>196.23951</v>
      </c>
      <c r="AD15" s="6">
        <f>$O$15*$X$15</f>
        <v>787.50039000000004</v>
      </c>
      <c r="AE15" s="6">
        <f ca="1">$K$15*$Y$15</f>
        <v>4553.4108748906965</v>
      </c>
      <c r="AF15" s="6">
        <f ca="1">$M$15*$Z$15</f>
        <v>300.13627115775</v>
      </c>
      <c r="AG15" s="6">
        <f>$O$15*$AA$15</f>
        <v>630.03613216556585</v>
      </c>
    </row>
    <row r="16" spans="1:48" ht="11.25" customHeight="1" x14ac:dyDescent="0.25">
      <c r="A16" s="4" t="s">
        <v>21</v>
      </c>
      <c r="B16" s="4" t="s">
        <v>33</v>
      </c>
      <c r="C16" s="4" t="s">
        <v>41</v>
      </c>
      <c r="D16" s="4" t="s">
        <v>42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44378</v>
      </c>
      <c r="J16" s="6">
        <v>125</v>
      </c>
      <c r="K16" s="6">
        <v>125</v>
      </c>
      <c r="L16" s="6">
        <v>3.6930000000000001</v>
      </c>
      <c r="M16" s="6">
        <v>3.6930000000000001</v>
      </c>
      <c r="N16" s="6">
        <v>3.6930000000000001</v>
      </c>
      <c r="O16" s="6">
        <v>3.6930000000000001</v>
      </c>
      <c r="P16" s="6">
        <v>0</v>
      </c>
      <c r="Q16" s="4" t="s">
        <v>26</v>
      </c>
      <c r="R16" s="4">
        <v>0</v>
      </c>
      <c r="S16" s="6">
        <v>1</v>
      </c>
      <c r="T16" s="6">
        <v>3</v>
      </c>
      <c r="U16" s="6">
        <v>48</v>
      </c>
      <c r="V16" s="6">
        <f>IF(ISERROR(VLOOKUP($S$16,'TAR FIN'!$A$1:$O$85,15,0)),0,VLOOKUP($S$16,'TAR FIN'!$A$1:$O$85,15,0))</f>
        <v>36.700000000000003</v>
      </c>
      <c r="W16" s="6">
        <f>IF(ISERROR(VLOOKUP($T$16,'TAR FIN'!$A$1:$O$85,15,0)),0,VLOOKUP($T$16,'TAR FIN'!$A$1:$O$85,15,0))</f>
        <v>65.61</v>
      </c>
      <c r="X16" s="6">
        <f>IF(ISERROR(VLOOKUP($U$16,'TAR FIN'!$A$1:$O$85,15,0)),0,VLOOKUP($U$16,'TAR FIN'!$A$1:$O$85,15,0))</f>
        <v>263.29000000000002</v>
      </c>
      <c r="Y16" s="6">
        <f ca="1">('TUSD BE'!$AM$5+'TUSD BF'!$AM$5+'TUSD CVA'!$AM$5)*1</f>
        <v>36.42728699912557</v>
      </c>
      <c r="Z16" s="6">
        <f ca="1">('TUSD BE'!$AM$7+'TUSD BF'!$AM$7+'TUSD CVA'!$AM$7)*1</f>
        <v>100.34646310857573</v>
      </c>
      <c r="AA16" s="6">
        <f>('TE BE'!$AA$5+'TE BF'!$AA$5+'TE CVA'!$AA$5)*1</f>
        <v>210.64397598313801</v>
      </c>
      <c r="AB16" s="6">
        <f>$K$16*$V$16</f>
        <v>4587.5</v>
      </c>
      <c r="AC16" s="6">
        <f>$M$16*$W$16</f>
        <v>242.29773</v>
      </c>
      <c r="AD16" s="6">
        <f>$O$16*$X$16</f>
        <v>972.32997000000012</v>
      </c>
      <c r="AE16" s="6">
        <f ca="1">$K$16*$Y$16</f>
        <v>4553.4108748906965</v>
      </c>
      <c r="AF16" s="6">
        <f ca="1">$M$16*$Z$16</f>
        <v>370.57948825997016</v>
      </c>
      <c r="AG16" s="6">
        <f>$O$16*$AA$16</f>
        <v>777.90820330572865</v>
      </c>
    </row>
    <row r="17" spans="1:33" ht="11.25" customHeight="1" x14ac:dyDescent="0.25">
      <c r="A17" s="4" t="s">
        <v>21</v>
      </c>
      <c r="B17" s="4" t="s">
        <v>33</v>
      </c>
      <c r="C17" s="4" t="s">
        <v>41</v>
      </c>
      <c r="D17" s="4" t="s">
        <v>42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44409</v>
      </c>
      <c r="J17" s="6">
        <v>125</v>
      </c>
      <c r="K17" s="6">
        <v>125</v>
      </c>
      <c r="L17" s="6">
        <v>3.96</v>
      </c>
      <c r="M17" s="6">
        <v>3.96</v>
      </c>
      <c r="N17" s="6">
        <v>3.96</v>
      </c>
      <c r="O17" s="6">
        <v>3.96</v>
      </c>
      <c r="P17" s="6">
        <v>0</v>
      </c>
      <c r="Q17" s="4" t="s">
        <v>26</v>
      </c>
      <c r="R17" s="4">
        <v>0</v>
      </c>
      <c r="S17" s="6">
        <v>1</v>
      </c>
      <c r="T17" s="6">
        <v>3</v>
      </c>
      <c r="U17" s="6">
        <v>48</v>
      </c>
      <c r="V17" s="6">
        <f>IF(ISERROR(VLOOKUP($S$17,'TAR FIN'!$A$1:$O$85,15,0)),0,VLOOKUP($S$17,'TAR FIN'!$A$1:$O$85,15,0))</f>
        <v>36.700000000000003</v>
      </c>
      <c r="W17" s="6">
        <f>IF(ISERROR(VLOOKUP($T$17,'TAR FIN'!$A$1:$O$85,15,0)),0,VLOOKUP($T$17,'TAR FIN'!$A$1:$O$85,15,0))</f>
        <v>65.61</v>
      </c>
      <c r="X17" s="6">
        <f>IF(ISERROR(VLOOKUP($U$17,'TAR FIN'!$A$1:$O$85,15,0)),0,VLOOKUP($U$17,'TAR FIN'!$A$1:$O$85,15,0))</f>
        <v>263.29000000000002</v>
      </c>
      <c r="Y17" s="6">
        <f ca="1">('TUSD BE'!$AM$5+'TUSD BF'!$AM$5+'TUSD CVA'!$AM$5)*1</f>
        <v>36.42728699912557</v>
      </c>
      <c r="Z17" s="6">
        <f ca="1">('TUSD BE'!$AM$7+'TUSD BF'!$AM$7+'TUSD CVA'!$AM$7)*1</f>
        <v>100.34646310857573</v>
      </c>
      <c r="AA17" s="6">
        <f>('TE BE'!$AA$5+'TE BF'!$AA$5+'TE CVA'!$AA$5)*1</f>
        <v>210.64397598313801</v>
      </c>
      <c r="AB17" s="6">
        <f>$K$17*$V$17</f>
        <v>4587.5</v>
      </c>
      <c r="AC17" s="6">
        <f>$M$17*$W$17</f>
        <v>259.81560000000002</v>
      </c>
      <c r="AD17" s="6">
        <f>$O$17*$X$17</f>
        <v>1042.6284000000001</v>
      </c>
      <c r="AE17" s="6">
        <f ca="1">$K$17*$Y$17</f>
        <v>4553.4108748906965</v>
      </c>
      <c r="AF17" s="6">
        <f ca="1">$M$17*$Z$17</f>
        <v>397.37199390995988</v>
      </c>
      <c r="AG17" s="6">
        <f>$O$17*$AA$17</f>
        <v>834.15014489322652</v>
      </c>
    </row>
    <row r="18" spans="1:33" ht="11.25" customHeight="1" x14ac:dyDescent="0.25">
      <c r="A18" s="4" t="s">
        <v>21</v>
      </c>
      <c r="B18" s="4" t="s">
        <v>33</v>
      </c>
      <c r="C18" s="4" t="s">
        <v>41</v>
      </c>
      <c r="D18" s="4" t="s">
        <v>42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44440</v>
      </c>
      <c r="J18" s="6">
        <v>133</v>
      </c>
      <c r="K18" s="6">
        <v>133</v>
      </c>
      <c r="L18" s="6">
        <v>5.1580000000000004</v>
      </c>
      <c r="M18" s="6">
        <v>5.1580000000000004</v>
      </c>
      <c r="N18" s="6">
        <v>5.1580000000000004</v>
      </c>
      <c r="O18" s="6">
        <v>5.1580000000000004</v>
      </c>
      <c r="P18" s="6">
        <v>0</v>
      </c>
      <c r="Q18" s="4" t="s">
        <v>26</v>
      </c>
      <c r="R18" s="4">
        <v>0</v>
      </c>
      <c r="S18" s="6">
        <v>1</v>
      </c>
      <c r="T18" s="6">
        <v>3</v>
      </c>
      <c r="U18" s="6">
        <v>48</v>
      </c>
      <c r="V18" s="6">
        <f>IF(ISERROR(VLOOKUP($S$18,'TAR FIN'!$A$1:$O$85,15,0)),0,VLOOKUP($S$18,'TAR FIN'!$A$1:$O$85,15,0))</f>
        <v>36.700000000000003</v>
      </c>
      <c r="W18" s="6">
        <f>IF(ISERROR(VLOOKUP($T$18,'TAR FIN'!$A$1:$O$85,15,0)),0,VLOOKUP($T$18,'TAR FIN'!$A$1:$O$85,15,0))</f>
        <v>65.61</v>
      </c>
      <c r="X18" s="6">
        <f>IF(ISERROR(VLOOKUP($U$18,'TAR FIN'!$A$1:$O$85,15,0)),0,VLOOKUP($U$18,'TAR FIN'!$A$1:$O$85,15,0))</f>
        <v>263.29000000000002</v>
      </c>
      <c r="Y18" s="6">
        <f ca="1">('TUSD BE'!$AM$5+'TUSD BF'!$AM$5+'TUSD CVA'!$AM$5)*1</f>
        <v>36.42728699912557</v>
      </c>
      <c r="Z18" s="6">
        <f ca="1">('TUSD BE'!$AM$7+'TUSD BF'!$AM$7+'TUSD CVA'!$AM$7)*1</f>
        <v>100.34646310857573</v>
      </c>
      <c r="AA18" s="6">
        <f>('TE BE'!$AA$5+'TE BF'!$AA$5+'TE CVA'!$AA$5)*1</f>
        <v>210.64397598313801</v>
      </c>
      <c r="AB18" s="6">
        <f>$K$18*$V$18</f>
        <v>4881.1000000000004</v>
      </c>
      <c r="AC18" s="6">
        <f>$M$18*$W$18</f>
        <v>338.41638</v>
      </c>
      <c r="AD18" s="6">
        <f>$O$18*$X$18</f>
        <v>1358.0498200000002</v>
      </c>
      <c r="AE18" s="6">
        <f ca="1">$K$18*$Y$18</f>
        <v>4844.8291708837005</v>
      </c>
      <c r="AF18" s="6">
        <f ca="1">$M$18*$Z$18</f>
        <v>517.58705671403368</v>
      </c>
      <c r="AG18" s="6">
        <f>$O$18*$AA$18</f>
        <v>1086.501628121026</v>
      </c>
    </row>
    <row r="19" spans="1:33" ht="11.25" customHeight="1" x14ac:dyDescent="0.25">
      <c r="A19" s="4" t="s">
        <v>21</v>
      </c>
      <c r="B19" s="4" t="s">
        <v>33</v>
      </c>
      <c r="C19" s="4" t="s">
        <v>41</v>
      </c>
      <c r="D19" s="4" t="s">
        <v>42</v>
      </c>
      <c r="E19" s="4" t="s">
        <v>25</v>
      </c>
      <c r="F19" s="4" t="s">
        <v>25</v>
      </c>
      <c r="G19" s="4" t="s">
        <v>25</v>
      </c>
      <c r="H19" s="4" t="s">
        <v>35</v>
      </c>
      <c r="I19" s="5">
        <v>44470</v>
      </c>
      <c r="J19" s="6">
        <v>125</v>
      </c>
      <c r="K19" s="6">
        <v>125</v>
      </c>
      <c r="L19" s="6">
        <v>4.0940000000000003</v>
      </c>
      <c r="M19" s="6">
        <v>4.0940000000000003</v>
      </c>
      <c r="N19" s="6">
        <v>4.0940000000000003</v>
      </c>
      <c r="O19" s="6">
        <v>4.0940000000000003</v>
      </c>
      <c r="P19" s="6">
        <v>0</v>
      </c>
      <c r="Q19" s="4" t="s">
        <v>26</v>
      </c>
      <c r="R19" s="4">
        <v>0</v>
      </c>
      <c r="S19" s="6">
        <v>1</v>
      </c>
      <c r="T19" s="6">
        <v>3</v>
      </c>
      <c r="U19" s="6">
        <v>48</v>
      </c>
      <c r="V19" s="6">
        <f>IF(ISERROR(VLOOKUP($S$19,'TAR FIN'!$A$1:$O$85,15,0)),0,VLOOKUP($S$19,'TAR FIN'!$A$1:$O$85,15,0))</f>
        <v>36.700000000000003</v>
      </c>
      <c r="W19" s="6">
        <f>IF(ISERROR(VLOOKUP($T$19,'TAR FIN'!$A$1:$O$85,15,0)),0,VLOOKUP($T$19,'TAR FIN'!$A$1:$O$85,15,0))</f>
        <v>65.61</v>
      </c>
      <c r="X19" s="6">
        <f>IF(ISERROR(VLOOKUP($U$19,'TAR FIN'!$A$1:$O$85,15,0)),0,VLOOKUP($U$19,'TAR FIN'!$A$1:$O$85,15,0))</f>
        <v>263.29000000000002</v>
      </c>
      <c r="Y19" s="6">
        <f ca="1">('TUSD BE'!$AM$5+'TUSD BF'!$AM$5+'TUSD CVA'!$AM$5)*1</f>
        <v>36.42728699912557</v>
      </c>
      <c r="Z19" s="6">
        <f ca="1">('TUSD BE'!$AM$7+'TUSD BF'!$AM$7+'TUSD CVA'!$AM$7)*1</f>
        <v>100.34646310857573</v>
      </c>
      <c r="AA19" s="6">
        <f>('TE BE'!$AA$5+'TE BF'!$AA$5+'TE CVA'!$AA$5)*1</f>
        <v>210.64397598313801</v>
      </c>
      <c r="AB19" s="6">
        <f>$K$19*$V$19</f>
        <v>4587.5</v>
      </c>
      <c r="AC19" s="6">
        <f>$M$19*$W$19</f>
        <v>268.60734000000002</v>
      </c>
      <c r="AD19" s="6">
        <f>$O$19*$X$19</f>
        <v>1077.9092600000001</v>
      </c>
      <c r="AE19" s="6">
        <f ca="1">$K$19*$Y$19</f>
        <v>4553.4108748906965</v>
      </c>
      <c r="AF19" s="6">
        <f ca="1">$M$19*$Z$19</f>
        <v>410.81841996650905</v>
      </c>
      <c r="AG19" s="6">
        <f>$O$19*$AA$19</f>
        <v>862.37643767496706</v>
      </c>
    </row>
    <row r="20" spans="1:33" ht="11.25" customHeight="1" x14ac:dyDescent="0.25">
      <c r="A20" s="4" t="s">
        <v>21</v>
      </c>
      <c r="B20" s="4" t="s">
        <v>33</v>
      </c>
      <c r="C20" s="4" t="s">
        <v>41</v>
      </c>
      <c r="D20" s="4" t="s">
        <v>42</v>
      </c>
      <c r="E20" s="4" t="s">
        <v>25</v>
      </c>
      <c r="F20" s="4" t="s">
        <v>25</v>
      </c>
      <c r="G20" s="4" t="s">
        <v>25</v>
      </c>
      <c r="H20" s="4" t="s">
        <v>35</v>
      </c>
      <c r="I20" s="5">
        <v>44501</v>
      </c>
      <c r="J20" s="6">
        <v>125</v>
      </c>
      <c r="K20" s="6">
        <v>125</v>
      </c>
      <c r="L20" s="6">
        <v>2.831</v>
      </c>
      <c r="M20" s="6">
        <v>2.831</v>
      </c>
      <c r="N20" s="6">
        <v>2.831</v>
      </c>
      <c r="O20" s="6">
        <v>2.831</v>
      </c>
      <c r="P20" s="6">
        <v>0</v>
      </c>
      <c r="Q20" s="4" t="s">
        <v>26</v>
      </c>
      <c r="R20" s="4">
        <v>0</v>
      </c>
      <c r="S20" s="6">
        <v>1</v>
      </c>
      <c r="T20" s="6">
        <v>3</v>
      </c>
      <c r="U20" s="6">
        <v>48</v>
      </c>
      <c r="V20" s="6">
        <f>IF(ISERROR(VLOOKUP($S$20,'TAR FIN'!$A$1:$O$85,15,0)),0,VLOOKUP($S$20,'TAR FIN'!$A$1:$O$85,15,0))</f>
        <v>36.700000000000003</v>
      </c>
      <c r="W20" s="6">
        <f>IF(ISERROR(VLOOKUP($T$20,'TAR FIN'!$A$1:$O$85,15,0)),0,VLOOKUP($T$20,'TAR FIN'!$A$1:$O$85,15,0))</f>
        <v>65.61</v>
      </c>
      <c r="X20" s="6">
        <f>IF(ISERROR(VLOOKUP($U$20,'TAR FIN'!$A$1:$O$85,15,0)),0,VLOOKUP($U$20,'TAR FIN'!$A$1:$O$85,15,0))</f>
        <v>263.29000000000002</v>
      </c>
      <c r="Y20" s="6">
        <f ca="1">('TUSD BE'!$AM$5+'TUSD BF'!$AM$5+'TUSD CVA'!$AM$5)*1</f>
        <v>36.42728699912557</v>
      </c>
      <c r="Z20" s="6">
        <f ca="1">('TUSD BE'!$AM$7+'TUSD BF'!$AM$7+'TUSD CVA'!$AM$7)*1</f>
        <v>100.34646310857573</v>
      </c>
      <c r="AA20" s="6">
        <f>('TE BE'!$AA$5+'TE BF'!$AA$5+'TE CVA'!$AA$5)*1</f>
        <v>210.64397598313801</v>
      </c>
      <c r="AB20" s="6">
        <f>$K$20*$V$20</f>
        <v>4587.5</v>
      </c>
      <c r="AC20" s="6">
        <f>$M$20*$W$20</f>
        <v>185.74190999999999</v>
      </c>
      <c r="AD20" s="6">
        <f>$O$20*$X$20</f>
        <v>745.37399000000005</v>
      </c>
      <c r="AE20" s="6">
        <f ca="1">$K$20*$Y$20</f>
        <v>4553.4108748906965</v>
      </c>
      <c r="AF20" s="6">
        <f ca="1">$M$20*$Z$20</f>
        <v>284.08083706037792</v>
      </c>
      <c r="AG20" s="6">
        <f>$O$20*$AA$20</f>
        <v>596.33309600826374</v>
      </c>
    </row>
    <row r="21" spans="1:33" ht="11.25" customHeight="1" x14ac:dyDescent="0.25">
      <c r="A21" s="4" t="s">
        <v>21</v>
      </c>
      <c r="B21" s="4" t="s">
        <v>33</v>
      </c>
      <c r="C21" s="4" t="s">
        <v>41</v>
      </c>
      <c r="D21" s="4" t="s">
        <v>42</v>
      </c>
      <c r="E21" s="4" t="s">
        <v>25</v>
      </c>
      <c r="F21" s="4" t="s">
        <v>25</v>
      </c>
      <c r="G21" s="4" t="s">
        <v>25</v>
      </c>
      <c r="H21" s="4" t="s">
        <v>35</v>
      </c>
      <c r="I21" s="5">
        <v>44531</v>
      </c>
      <c r="J21" s="6">
        <v>125</v>
      </c>
      <c r="K21" s="6">
        <v>125</v>
      </c>
      <c r="L21" s="6">
        <v>4.3440000000000003</v>
      </c>
      <c r="M21" s="6">
        <v>4.3440000000000003</v>
      </c>
      <c r="N21" s="6">
        <v>4.3440000000000003</v>
      </c>
      <c r="O21" s="6">
        <v>4.3440000000000003</v>
      </c>
      <c r="P21" s="6">
        <v>0</v>
      </c>
      <c r="Q21" s="4" t="s">
        <v>26</v>
      </c>
      <c r="R21" s="4">
        <v>0</v>
      </c>
      <c r="S21" s="6">
        <v>1</v>
      </c>
      <c r="T21" s="6">
        <v>3</v>
      </c>
      <c r="U21" s="6">
        <v>48</v>
      </c>
      <c r="V21" s="6">
        <f>IF(ISERROR(VLOOKUP($S$21,'TAR FIN'!$A$1:$O$85,15,0)),0,VLOOKUP($S$21,'TAR FIN'!$A$1:$O$85,15,0))</f>
        <v>36.700000000000003</v>
      </c>
      <c r="W21" s="6">
        <f>IF(ISERROR(VLOOKUP($T$21,'TAR FIN'!$A$1:$O$85,15,0)),0,VLOOKUP($T$21,'TAR FIN'!$A$1:$O$85,15,0))</f>
        <v>65.61</v>
      </c>
      <c r="X21" s="6">
        <f>IF(ISERROR(VLOOKUP($U$21,'TAR FIN'!$A$1:$O$85,15,0)),0,VLOOKUP($U$21,'TAR FIN'!$A$1:$O$85,15,0))</f>
        <v>263.29000000000002</v>
      </c>
      <c r="Y21" s="6">
        <f ca="1">('TUSD BE'!$AM$5+'TUSD BF'!$AM$5+'TUSD CVA'!$AM$5)*1</f>
        <v>36.42728699912557</v>
      </c>
      <c r="Z21" s="6">
        <f ca="1">('TUSD BE'!$AM$7+'TUSD BF'!$AM$7+'TUSD CVA'!$AM$7)*1</f>
        <v>100.34646310857573</v>
      </c>
      <c r="AA21" s="6">
        <f>('TE BE'!$AA$5+'TE BF'!$AA$5+'TE CVA'!$AA$5)*1</f>
        <v>210.64397598313801</v>
      </c>
      <c r="AB21" s="6">
        <f>$K$21*$V$21</f>
        <v>4587.5</v>
      </c>
      <c r="AC21" s="6">
        <f>$M$21*$W$21</f>
        <v>285.00984</v>
      </c>
      <c r="AD21" s="6">
        <f>$O$21*$X$21</f>
        <v>1143.7317600000001</v>
      </c>
      <c r="AE21" s="6">
        <f ca="1">$K$21*$Y$21</f>
        <v>4553.4108748906965</v>
      </c>
      <c r="AF21" s="6">
        <f ca="1">$M$21*$Z$21</f>
        <v>435.905035743653</v>
      </c>
      <c r="AG21" s="6">
        <f>$O$21*$AA$21</f>
        <v>915.03743167075152</v>
      </c>
    </row>
    <row r="22" spans="1:33" ht="11.25" customHeight="1" x14ac:dyDescent="0.25">
      <c r="A22" s="4" t="s">
        <v>21</v>
      </c>
      <c r="B22" s="4" t="s">
        <v>33</v>
      </c>
      <c r="C22" s="4" t="s">
        <v>41</v>
      </c>
      <c r="D22" s="4" t="s">
        <v>42</v>
      </c>
      <c r="E22" s="4" t="s">
        <v>25</v>
      </c>
      <c r="F22" s="4" t="s">
        <v>25</v>
      </c>
      <c r="G22" s="4" t="s">
        <v>25</v>
      </c>
      <c r="H22" s="4" t="s">
        <v>35</v>
      </c>
      <c r="I22" s="5">
        <v>44562</v>
      </c>
      <c r="J22" s="6">
        <v>125</v>
      </c>
      <c r="K22" s="6">
        <v>125</v>
      </c>
      <c r="L22" s="6">
        <v>4.3520000000000003</v>
      </c>
      <c r="M22" s="6">
        <v>4.3520000000000003</v>
      </c>
      <c r="N22" s="6">
        <v>4.3520000000000003</v>
      </c>
      <c r="O22" s="6">
        <v>4.3520000000000003</v>
      </c>
      <c r="P22" s="6">
        <v>0</v>
      </c>
      <c r="Q22" s="4" t="s">
        <v>26</v>
      </c>
      <c r="R22" s="4">
        <v>0</v>
      </c>
      <c r="S22" s="6">
        <v>1</v>
      </c>
      <c r="T22" s="6">
        <v>3</v>
      </c>
      <c r="U22" s="6">
        <v>48</v>
      </c>
      <c r="V22" s="6">
        <f>IF(ISERROR(VLOOKUP($S$22,'TAR FIN'!$A$1:$O$85,15,0)),0,VLOOKUP($S$22,'TAR FIN'!$A$1:$O$85,15,0))</f>
        <v>36.700000000000003</v>
      </c>
      <c r="W22" s="6">
        <f>IF(ISERROR(VLOOKUP($T$22,'TAR FIN'!$A$1:$O$85,15,0)),0,VLOOKUP($T$22,'TAR FIN'!$A$1:$O$85,15,0))</f>
        <v>65.61</v>
      </c>
      <c r="X22" s="6">
        <f>IF(ISERROR(VLOOKUP($U$22,'TAR FIN'!$A$1:$O$85,15,0)),0,VLOOKUP($U$22,'TAR FIN'!$A$1:$O$85,15,0))</f>
        <v>263.29000000000002</v>
      </c>
      <c r="Y22" s="6">
        <f ca="1">('TUSD BE'!$AM$5+'TUSD BF'!$AM$5+'TUSD CVA'!$AM$5)*1</f>
        <v>36.42728699912557</v>
      </c>
      <c r="Z22" s="6">
        <f ca="1">('TUSD BE'!$AM$7+'TUSD BF'!$AM$7+'TUSD CVA'!$AM$7)*1</f>
        <v>100.34646310857573</v>
      </c>
      <c r="AA22" s="6">
        <f>('TE BE'!$AA$5+'TE BF'!$AA$5+'TE CVA'!$AA$5)*1</f>
        <v>210.64397598313801</v>
      </c>
      <c r="AB22" s="6">
        <f>$K$22*$V$22</f>
        <v>4587.5</v>
      </c>
      <c r="AC22" s="6">
        <f>$M$22*$W$22</f>
        <v>285.53471999999999</v>
      </c>
      <c r="AD22" s="6">
        <f>$O$22*$X$22</f>
        <v>1145.8380800000002</v>
      </c>
      <c r="AE22" s="6">
        <f ca="1">$K$22*$Y$22</f>
        <v>4553.4108748906965</v>
      </c>
      <c r="AF22" s="6">
        <f ca="1">$M$22*$Z$22</f>
        <v>436.70780744852163</v>
      </c>
      <c r="AG22" s="6">
        <f>$O$22*$AA$22</f>
        <v>916.72258347861668</v>
      </c>
    </row>
    <row r="23" spans="1:33" ht="11.25" customHeight="1" x14ac:dyDescent="0.25">
      <c r="A23" s="4" t="s">
        <v>21</v>
      </c>
      <c r="B23" s="4" t="s">
        <v>33</v>
      </c>
      <c r="C23" s="4" t="s">
        <v>41</v>
      </c>
      <c r="D23" s="4" t="s">
        <v>42</v>
      </c>
      <c r="E23" s="4" t="s">
        <v>25</v>
      </c>
      <c r="F23" s="4" t="s">
        <v>25</v>
      </c>
      <c r="G23" s="4" t="s">
        <v>25</v>
      </c>
      <c r="H23" s="4" t="s">
        <v>35</v>
      </c>
      <c r="I23" s="5">
        <v>44593</v>
      </c>
      <c r="J23" s="6">
        <v>125</v>
      </c>
      <c r="K23" s="6">
        <v>125</v>
      </c>
      <c r="L23" s="6">
        <v>4.077</v>
      </c>
      <c r="M23" s="6">
        <v>4.077</v>
      </c>
      <c r="N23" s="6">
        <v>4.077</v>
      </c>
      <c r="O23" s="6">
        <v>4.077</v>
      </c>
      <c r="P23" s="6">
        <v>0</v>
      </c>
      <c r="Q23" s="4" t="s">
        <v>26</v>
      </c>
      <c r="R23" s="4">
        <v>0</v>
      </c>
      <c r="S23" s="6">
        <v>1</v>
      </c>
      <c r="T23" s="6">
        <v>3</v>
      </c>
      <c r="U23" s="6">
        <v>48</v>
      </c>
      <c r="V23" s="6">
        <f>IF(ISERROR(VLOOKUP($S$23,'TAR FIN'!$A$1:$O$85,15,0)),0,VLOOKUP($S$23,'TAR FIN'!$A$1:$O$85,15,0))</f>
        <v>36.700000000000003</v>
      </c>
      <c r="W23" s="6">
        <f>IF(ISERROR(VLOOKUP($T$23,'TAR FIN'!$A$1:$O$85,15,0)),0,VLOOKUP($T$23,'TAR FIN'!$A$1:$O$85,15,0))</f>
        <v>65.61</v>
      </c>
      <c r="X23" s="6">
        <f>IF(ISERROR(VLOOKUP($U$23,'TAR FIN'!$A$1:$O$85,15,0)),0,VLOOKUP($U$23,'TAR FIN'!$A$1:$O$85,15,0))</f>
        <v>263.29000000000002</v>
      </c>
      <c r="Y23" s="6">
        <f ca="1">('TUSD BE'!$AM$5+'TUSD BF'!$AM$5+'TUSD CVA'!$AM$5)*1</f>
        <v>36.42728699912557</v>
      </c>
      <c r="Z23" s="6">
        <f ca="1">('TUSD BE'!$AM$7+'TUSD BF'!$AM$7+'TUSD CVA'!$AM$7)*1</f>
        <v>100.34646310857573</v>
      </c>
      <c r="AA23" s="6">
        <f>('TE BE'!$AA$5+'TE BF'!$AA$5+'TE CVA'!$AA$5)*1</f>
        <v>210.64397598313801</v>
      </c>
      <c r="AB23" s="6">
        <f>$K$23*$V$23</f>
        <v>4587.5</v>
      </c>
      <c r="AC23" s="6">
        <f>$M$23*$W$23</f>
        <v>267.49196999999998</v>
      </c>
      <c r="AD23" s="6">
        <f>$O$23*$X$23</f>
        <v>1073.4333300000001</v>
      </c>
      <c r="AE23" s="6">
        <f ca="1">$K$23*$Y$23</f>
        <v>4553.4108748906965</v>
      </c>
      <c r="AF23" s="6">
        <f ca="1">$M$23*$Z$23</f>
        <v>409.11253009366328</v>
      </c>
      <c r="AG23" s="6">
        <f>$O$23*$AA$23</f>
        <v>858.79549008325364</v>
      </c>
    </row>
    <row r="24" spans="1:33" ht="11.25" customHeight="1" x14ac:dyDescent="0.25">
      <c r="A24" s="4" t="s">
        <v>21</v>
      </c>
      <c r="B24" s="4" t="s">
        <v>33</v>
      </c>
      <c r="C24" s="4" t="s">
        <v>41</v>
      </c>
      <c r="D24" s="4" t="s">
        <v>42</v>
      </c>
      <c r="E24" s="4" t="s">
        <v>25</v>
      </c>
      <c r="F24" s="4" t="s">
        <v>25</v>
      </c>
      <c r="G24" s="4" t="s">
        <v>25</v>
      </c>
      <c r="H24" s="4" t="s">
        <v>35</v>
      </c>
      <c r="I24" s="5">
        <v>44621</v>
      </c>
      <c r="J24" s="6">
        <v>125</v>
      </c>
      <c r="K24" s="6">
        <v>125</v>
      </c>
      <c r="L24" s="6">
        <v>4.8049999999999997</v>
      </c>
      <c r="M24" s="6">
        <v>4.8049999999999997</v>
      </c>
      <c r="N24" s="6">
        <v>4.8049999999999997</v>
      </c>
      <c r="O24" s="6">
        <v>4.8049999999999997</v>
      </c>
      <c r="P24" s="6">
        <v>0</v>
      </c>
      <c r="Q24" s="4" t="s">
        <v>26</v>
      </c>
      <c r="R24" s="4">
        <v>0</v>
      </c>
      <c r="S24" s="6">
        <v>1</v>
      </c>
      <c r="T24" s="6">
        <v>3</v>
      </c>
      <c r="U24" s="6">
        <v>48</v>
      </c>
      <c r="V24" s="6">
        <f>IF(ISERROR(VLOOKUP($S$24,'TAR FIN'!$A$1:$O$85,15,0)),0,VLOOKUP($S$24,'TAR FIN'!$A$1:$O$85,15,0))</f>
        <v>36.700000000000003</v>
      </c>
      <c r="W24" s="6">
        <f>IF(ISERROR(VLOOKUP($T$24,'TAR FIN'!$A$1:$O$85,15,0)),0,VLOOKUP($T$24,'TAR FIN'!$A$1:$O$85,15,0))</f>
        <v>65.61</v>
      </c>
      <c r="X24" s="6">
        <f>IF(ISERROR(VLOOKUP($U$24,'TAR FIN'!$A$1:$O$85,15,0)),0,VLOOKUP($U$24,'TAR FIN'!$A$1:$O$85,15,0))</f>
        <v>263.29000000000002</v>
      </c>
      <c r="Y24" s="6">
        <f ca="1">('TUSD BE'!$AM$5+'TUSD BF'!$AM$5+'TUSD CVA'!$AM$5)*1</f>
        <v>36.42728699912557</v>
      </c>
      <c r="Z24" s="6">
        <f ca="1">('TUSD BE'!$AM$7+'TUSD BF'!$AM$7+'TUSD CVA'!$AM$7)*1</f>
        <v>100.34646310857573</v>
      </c>
      <c r="AA24" s="6">
        <f>('TE BE'!$AA$5+'TE BF'!$AA$5+'TE CVA'!$AA$5)*1</f>
        <v>210.64397598313801</v>
      </c>
      <c r="AB24" s="6">
        <f>$K$24*$V$24</f>
        <v>4587.5</v>
      </c>
      <c r="AC24" s="6">
        <f>$M$24*$W$24</f>
        <v>315.25604999999996</v>
      </c>
      <c r="AD24" s="6">
        <f>$O$24*$X$24</f>
        <v>1265.1084499999999</v>
      </c>
      <c r="AE24" s="6">
        <f ca="1">$K$24*$Y$24</f>
        <v>4553.4108748906965</v>
      </c>
      <c r="AF24" s="6">
        <f ca="1">$M$24*$Z$24</f>
        <v>482.16475523670636</v>
      </c>
      <c r="AG24" s="6">
        <f>$O$24*$AA$24</f>
        <v>1012.144304598978</v>
      </c>
    </row>
    <row r="25" spans="1:33" ht="11.25" customHeight="1" x14ac:dyDescent="0.25">
      <c r="A25" s="4" t="s">
        <v>21</v>
      </c>
      <c r="B25" s="4" t="s">
        <v>33</v>
      </c>
      <c r="C25" s="4" t="s">
        <v>41</v>
      </c>
      <c r="D25" s="4" t="s">
        <v>42</v>
      </c>
      <c r="E25" s="4" t="s">
        <v>25</v>
      </c>
      <c r="F25" s="4" t="s">
        <v>25</v>
      </c>
      <c r="G25" s="4" t="s">
        <v>25</v>
      </c>
      <c r="H25" s="4" t="s">
        <v>35</v>
      </c>
      <c r="I25" s="5">
        <v>44652</v>
      </c>
      <c r="J25" s="6">
        <v>125</v>
      </c>
      <c r="K25" s="6">
        <v>125</v>
      </c>
      <c r="L25" s="6">
        <v>3.83</v>
      </c>
      <c r="M25" s="6">
        <v>3.83</v>
      </c>
      <c r="N25" s="6">
        <v>3.83</v>
      </c>
      <c r="O25" s="6">
        <v>3.83</v>
      </c>
      <c r="P25" s="6">
        <v>0</v>
      </c>
      <c r="Q25" s="4" t="s">
        <v>26</v>
      </c>
      <c r="R25" s="4">
        <v>0</v>
      </c>
      <c r="S25" s="6">
        <v>1</v>
      </c>
      <c r="T25" s="6">
        <v>3</v>
      </c>
      <c r="U25" s="6">
        <v>48</v>
      </c>
      <c r="V25" s="6">
        <f>IF(ISERROR(VLOOKUP($S$25,'TAR FIN'!$A$1:$O$85,15,0)),0,VLOOKUP($S$25,'TAR FIN'!$A$1:$O$85,15,0))</f>
        <v>36.700000000000003</v>
      </c>
      <c r="W25" s="6">
        <f>IF(ISERROR(VLOOKUP($T$25,'TAR FIN'!$A$1:$O$85,15,0)),0,VLOOKUP($T$25,'TAR FIN'!$A$1:$O$85,15,0))</f>
        <v>65.61</v>
      </c>
      <c r="X25" s="6">
        <f>IF(ISERROR(VLOOKUP($U$25,'TAR FIN'!$A$1:$O$85,15,0)),0,VLOOKUP($U$25,'TAR FIN'!$A$1:$O$85,15,0))</f>
        <v>263.29000000000002</v>
      </c>
      <c r="Y25" s="6">
        <f ca="1">('TUSD BE'!$AM$5+'TUSD BF'!$AM$5+'TUSD CVA'!$AM$5)*1</f>
        <v>36.42728699912557</v>
      </c>
      <c r="Z25" s="6">
        <f ca="1">('TUSD BE'!$AM$7+'TUSD BF'!$AM$7+'TUSD CVA'!$AM$7)*1</f>
        <v>100.34646310857573</v>
      </c>
      <c r="AA25" s="6">
        <f>('TE BE'!$AA$5+'TE BF'!$AA$5+'TE CVA'!$AA$5)*1</f>
        <v>210.64397598313801</v>
      </c>
      <c r="AB25" s="6">
        <f>$K$25*$V$25</f>
        <v>4587.5</v>
      </c>
      <c r="AC25" s="6">
        <f>$M$25*$W$25</f>
        <v>251.28630000000001</v>
      </c>
      <c r="AD25" s="6">
        <f>$O$25*$X$25</f>
        <v>1008.4007000000001</v>
      </c>
      <c r="AE25" s="6">
        <f ca="1">$K$25*$Y$25</f>
        <v>4553.4108748906965</v>
      </c>
      <c r="AF25" s="6">
        <f ca="1">$M$25*$Z$25</f>
        <v>384.32695370584509</v>
      </c>
      <c r="AG25" s="6">
        <f>$O$25*$AA$25</f>
        <v>806.76642801541857</v>
      </c>
    </row>
    <row r="26" spans="1:33" ht="11.25" customHeight="1" x14ac:dyDescent="0.25">
      <c r="A26" s="4" t="s">
        <v>21</v>
      </c>
      <c r="B26" s="4" t="s">
        <v>33</v>
      </c>
      <c r="C26" s="4" t="s">
        <v>41</v>
      </c>
      <c r="D26" s="4" t="s">
        <v>40</v>
      </c>
      <c r="E26" s="4" t="s">
        <v>25</v>
      </c>
      <c r="F26" s="4" t="s">
        <v>25</v>
      </c>
      <c r="G26" s="4" t="s">
        <v>25</v>
      </c>
      <c r="H26" s="4" t="s">
        <v>36</v>
      </c>
      <c r="I26" s="5">
        <v>44317</v>
      </c>
      <c r="J26" s="6">
        <v>213</v>
      </c>
      <c r="K26" s="6">
        <v>213</v>
      </c>
      <c r="L26" s="6">
        <v>17.472000000000001</v>
      </c>
      <c r="M26" s="6">
        <v>17.472000000000001</v>
      </c>
      <c r="N26" s="6">
        <v>17.472000000000001</v>
      </c>
      <c r="O26" s="6">
        <v>17.472000000000001</v>
      </c>
      <c r="P26" s="6">
        <v>0</v>
      </c>
      <c r="Q26" s="4" t="s">
        <v>26</v>
      </c>
      <c r="R26" s="4">
        <v>0</v>
      </c>
      <c r="S26" s="6">
        <v>2</v>
      </c>
      <c r="T26" s="6">
        <v>3</v>
      </c>
      <c r="U26" s="6">
        <v>49</v>
      </c>
      <c r="V26" s="6">
        <f>IF(ISERROR(VLOOKUP($S$26,'TAR FIN'!$A$1:$O$85,15,0)),0,VLOOKUP($S$26,'TAR FIN'!$A$1:$O$85,15,0))</f>
        <v>19.32</v>
      </c>
      <c r="W26" s="6">
        <f>IF(ISERROR(VLOOKUP($T$26,'TAR FIN'!$A$1:$O$85,15,0)),0,VLOOKUP($T$26,'TAR FIN'!$A$1:$O$85,15,0))</f>
        <v>65.61</v>
      </c>
      <c r="X26" s="6">
        <f>IF(ISERROR(VLOOKUP($U$26,'TAR FIN'!$A$1:$O$85,15,0)),0,VLOOKUP($U$26,'TAR FIN'!$A$1:$O$85,15,0))</f>
        <v>263.29000000000002</v>
      </c>
      <c r="Y26" s="6">
        <f ca="1">('TUSD BE'!$AM$6+'TUSD BF'!$AM$6+'TUSD CVA'!$AM$6)*1</f>
        <v>16.680041929169654</v>
      </c>
      <c r="Z26" s="6">
        <f ca="1">('TUSD BE'!$AM$7+'TUSD BF'!$AM$7+'TUSD CVA'!$AM$7)*1</f>
        <v>100.34646310857573</v>
      </c>
      <c r="AA26" s="6">
        <f>('TE BE'!$AA$6+'TE BF'!$AA$6+'TE CVA'!$AA$6)*1</f>
        <v>210.64397598313801</v>
      </c>
      <c r="AB26" s="6">
        <f>$K$26*$V$26</f>
        <v>4115.16</v>
      </c>
      <c r="AC26" s="6">
        <f>$M$26*$W$26</f>
        <v>1146.3379200000002</v>
      </c>
      <c r="AD26" s="6">
        <f>$O$26*$X$26</f>
        <v>4600.2028800000007</v>
      </c>
      <c r="AE26" s="6">
        <f ca="1">$K$26*$Y$26</f>
        <v>3552.8489309131364</v>
      </c>
      <c r="AF26" s="6">
        <f ca="1">$M$26*$Z$26</f>
        <v>1753.2534034330354</v>
      </c>
      <c r="AG26" s="6">
        <f>$O$26*$AA$26</f>
        <v>3680.3715483773876</v>
      </c>
    </row>
    <row r="27" spans="1:33" ht="11.25" customHeight="1" x14ac:dyDescent="0.25">
      <c r="A27" s="4" t="s">
        <v>21</v>
      </c>
      <c r="B27" s="4" t="s">
        <v>33</v>
      </c>
      <c r="C27" s="4" t="s">
        <v>41</v>
      </c>
      <c r="D27" s="4" t="s">
        <v>40</v>
      </c>
      <c r="E27" s="4" t="s">
        <v>25</v>
      </c>
      <c r="F27" s="4" t="s">
        <v>25</v>
      </c>
      <c r="G27" s="4" t="s">
        <v>25</v>
      </c>
      <c r="H27" s="4" t="s">
        <v>36</v>
      </c>
      <c r="I27" s="5">
        <v>44348</v>
      </c>
      <c r="J27" s="6">
        <v>213</v>
      </c>
      <c r="K27" s="6">
        <v>213</v>
      </c>
      <c r="L27" s="6">
        <v>11.420999999999999</v>
      </c>
      <c r="M27" s="6">
        <v>11.420999999999999</v>
      </c>
      <c r="N27" s="6">
        <v>11.420999999999999</v>
      </c>
      <c r="O27" s="6">
        <v>11.420999999999999</v>
      </c>
      <c r="P27" s="6">
        <v>0</v>
      </c>
      <c r="Q27" s="4" t="s">
        <v>26</v>
      </c>
      <c r="R27" s="4">
        <v>0</v>
      </c>
      <c r="S27" s="6">
        <v>2</v>
      </c>
      <c r="T27" s="6">
        <v>3</v>
      </c>
      <c r="U27" s="6">
        <v>49</v>
      </c>
      <c r="V27" s="6">
        <f>IF(ISERROR(VLOOKUP($S$27,'TAR FIN'!$A$1:$O$85,15,0)),0,VLOOKUP($S$27,'TAR FIN'!$A$1:$O$85,15,0))</f>
        <v>19.32</v>
      </c>
      <c r="W27" s="6">
        <f>IF(ISERROR(VLOOKUP($T$27,'TAR FIN'!$A$1:$O$85,15,0)),0,VLOOKUP($T$27,'TAR FIN'!$A$1:$O$85,15,0))</f>
        <v>65.61</v>
      </c>
      <c r="X27" s="6">
        <f>IF(ISERROR(VLOOKUP($U$27,'TAR FIN'!$A$1:$O$85,15,0)),0,VLOOKUP($U$27,'TAR FIN'!$A$1:$O$85,15,0))</f>
        <v>263.29000000000002</v>
      </c>
      <c r="Y27" s="6">
        <f ca="1">('TUSD BE'!$AM$6+'TUSD BF'!$AM$6+'TUSD CVA'!$AM$6)*1</f>
        <v>16.680041929169654</v>
      </c>
      <c r="Z27" s="6">
        <f ca="1">('TUSD BE'!$AM$7+'TUSD BF'!$AM$7+'TUSD CVA'!$AM$7)*1</f>
        <v>100.34646310857573</v>
      </c>
      <c r="AA27" s="6">
        <f>('TE BE'!$AA$6+'TE BF'!$AA$6+'TE CVA'!$AA$6)*1</f>
        <v>210.64397598313801</v>
      </c>
      <c r="AB27" s="6">
        <f>$K$27*$V$27</f>
        <v>4115.16</v>
      </c>
      <c r="AC27" s="6">
        <f>$M$27*$W$27</f>
        <v>749.3318099999999</v>
      </c>
      <c r="AD27" s="6">
        <f>$O$27*$X$27</f>
        <v>3007.0350899999999</v>
      </c>
      <c r="AE27" s="6">
        <f ca="1">$K$27*$Y$27</f>
        <v>3552.8489309131364</v>
      </c>
      <c r="AF27" s="6">
        <f ca="1">$M$27*$Z$27</f>
        <v>1146.0569551630433</v>
      </c>
      <c r="AG27" s="6">
        <f>$O$27*$AA$27</f>
        <v>2405.7648497034193</v>
      </c>
    </row>
    <row r="28" spans="1:33" ht="11.25" customHeight="1" x14ac:dyDescent="0.25">
      <c r="A28" s="4" t="s">
        <v>21</v>
      </c>
      <c r="B28" s="4" t="s">
        <v>33</v>
      </c>
      <c r="C28" s="4" t="s">
        <v>41</v>
      </c>
      <c r="D28" s="4" t="s">
        <v>40</v>
      </c>
      <c r="E28" s="4" t="s">
        <v>25</v>
      </c>
      <c r="F28" s="4" t="s">
        <v>25</v>
      </c>
      <c r="G28" s="4" t="s">
        <v>25</v>
      </c>
      <c r="H28" s="4" t="s">
        <v>36</v>
      </c>
      <c r="I28" s="5">
        <v>44378</v>
      </c>
      <c r="J28" s="6">
        <v>213</v>
      </c>
      <c r="K28" s="6">
        <v>213</v>
      </c>
      <c r="L28" s="6">
        <v>13.015000000000001</v>
      </c>
      <c r="M28" s="6">
        <v>13.015000000000001</v>
      </c>
      <c r="N28" s="6">
        <v>13.015000000000001</v>
      </c>
      <c r="O28" s="6">
        <v>13.015000000000001</v>
      </c>
      <c r="P28" s="6">
        <v>0</v>
      </c>
      <c r="Q28" s="4" t="s">
        <v>26</v>
      </c>
      <c r="R28" s="4">
        <v>0</v>
      </c>
      <c r="S28" s="6">
        <v>2</v>
      </c>
      <c r="T28" s="6">
        <v>3</v>
      </c>
      <c r="U28" s="6">
        <v>49</v>
      </c>
      <c r="V28" s="6">
        <f>IF(ISERROR(VLOOKUP($S$28,'TAR FIN'!$A$1:$O$85,15,0)),0,VLOOKUP($S$28,'TAR FIN'!$A$1:$O$85,15,0))</f>
        <v>19.32</v>
      </c>
      <c r="W28" s="6">
        <f>IF(ISERROR(VLOOKUP($T$28,'TAR FIN'!$A$1:$O$85,15,0)),0,VLOOKUP($T$28,'TAR FIN'!$A$1:$O$85,15,0))</f>
        <v>65.61</v>
      </c>
      <c r="X28" s="6">
        <f>IF(ISERROR(VLOOKUP($U$28,'TAR FIN'!$A$1:$O$85,15,0)),0,VLOOKUP($U$28,'TAR FIN'!$A$1:$O$85,15,0))</f>
        <v>263.29000000000002</v>
      </c>
      <c r="Y28" s="6">
        <f ca="1">('TUSD BE'!$AM$6+'TUSD BF'!$AM$6+'TUSD CVA'!$AM$6)*1</f>
        <v>16.680041929169654</v>
      </c>
      <c r="Z28" s="6">
        <f ca="1">('TUSD BE'!$AM$7+'TUSD BF'!$AM$7+'TUSD CVA'!$AM$7)*1</f>
        <v>100.34646310857573</v>
      </c>
      <c r="AA28" s="6">
        <f>('TE BE'!$AA$6+'TE BF'!$AA$6+'TE CVA'!$AA$6)*1</f>
        <v>210.64397598313801</v>
      </c>
      <c r="AB28" s="6">
        <f>$K$28*$V$28</f>
        <v>4115.16</v>
      </c>
      <c r="AC28" s="6">
        <f>$M$28*$W$28</f>
        <v>853.91415000000006</v>
      </c>
      <c r="AD28" s="6">
        <f>$O$28*$X$28</f>
        <v>3426.7193500000003</v>
      </c>
      <c r="AE28" s="6">
        <f ca="1">$K$28*$Y$28</f>
        <v>3552.8489309131364</v>
      </c>
      <c r="AF28" s="6">
        <f ca="1">$M$28*$Z$28</f>
        <v>1306.0092173581131</v>
      </c>
      <c r="AG28" s="6">
        <f>$O$28*$AA$28</f>
        <v>2741.5313474205414</v>
      </c>
    </row>
    <row r="29" spans="1:33" ht="11.25" customHeight="1" x14ac:dyDescent="0.25">
      <c r="A29" s="4" t="s">
        <v>21</v>
      </c>
      <c r="B29" s="4" t="s">
        <v>33</v>
      </c>
      <c r="C29" s="4" t="s">
        <v>41</v>
      </c>
      <c r="D29" s="4" t="s">
        <v>40</v>
      </c>
      <c r="E29" s="4" t="s">
        <v>25</v>
      </c>
      <c r="F29" s="4" t="s">
        <v>25</v>
      </c>
      <c r="G29" s="4" t="s">
        <v>25</v>
      </c>
      <c r="H29" s="4" t="s">
        <v>35</v>
      </c>
      <c r="I29" s="5">
        <v>44317</v>
      </c>
      <c r="J29" s="6">
        <v>213</v>
      </c>
      <c r="K29" s="6">
        <v>213</v>
      </c>
      <c r="L29" s="6">
        <v>1.349</v>
      </c>
      <c r="M29" s="6">
        <v>1.349</v>
      </c>
      <c r="N29" s="6">
        <v>1.349</v>
      </c>
      <c r="O29" s="6">
        <v>1.349</v>
      </c>
      <c r="P29" s="6">
        <v>0</v>
      </c>
      <c r="Q29" s="4" t="s">
        <v>26</v>
      </c>
      <c r="R29" s="4">
        <v>0</v>
      </c>
      <c r="S29" s="6">
        <v>1</v>
      </c>
      <c r="T29" s="6">
        <v>3</v>
      </c>
      <c r="U29" s="6">
        <v>48</v>
      </c>
      <c r="V29" s="6">
        <f>IF(ISERROR(VLOOKUP($S$29,'TAR FIN'!$A$1:$O$85,15,0)),0,VLOOKUP($S$29,'TAR FIN'!$A$1:$O$85,15,0))</f>
        <v>36.700000000000003</v>
      </c>
      <c r="W29" s="6">
        <f>IF(ISERROR(VLOOKUP($T$29,'TAR FIN'!$A$1:$O$85,15,0)),0,VLOOKUP($T$29,'TAR FIN'!$A$1:$O$85,15,0))</f>
        <v>65.61</v>
      </c>
      <c r="X29" s="6">
        <f>IF(ISERROR(VLOOKUP($U$29,'TAR FIN'!$A$1:$O$85,15,0)),0,VLOOKUP($U$29,'TAR FIN'!$A$1:$O$85,15,0))</f>
        <v>263.29000000000002</v>
      </c>
      <c r="Y29" s="6">
        <f ca="1">('TUSD BE'!$AM$5+'TUSD BF'!$AM$5+'TUSD CVA'!$AM$5)*1</f>
        <v>36.42728699912557</v>
      </c>
      <c r="Z29" s="6">
        <f ca="1">('TUSD BE'!$AM$7+'TUSD BF'!$AM$7+'TUSD CVA'!$AM$7)*1</f>
        <v>100.34646310857573</v>
      </c>
      <c r="AA29" s="6">
        <f>('TE BE'!$AA$5+'TE BF'!$AA$5+'TE CVA'!$AA$5)*1</f>
        <v>210.64397598313801</v>
      </c>
      <c r="AB29" s="6">
        <f>$K$29*$V$29</f>
        <v>7817.1</v>
      </c>
      <c r="AC29" s="6">
        <f>$M$29*$W$29</f>
        <v>88.507890000000003</v>
      </c>
      <c r="AD29" s="6">
        <f>$O$29*$X$29</f>
        <v>355.17821000000004</v>
      </c>
      <c r="AE29" s="6">
        <f ca="1">$K$29*$Y$29</f>
        <v>7759.0121308137468</v>
      </c>
      <c r="AF29" s="6">
        <f ca="1">$M$29*$Z$29</f>
        <v>135.36737873346866</v>
      </c>
      <c r="AG29" s="6">
        <f>$O$29*$AA$29</f>
        <v>284.15872360125314</v>
      </c>
    </row>
    <row r="30" spans="1:33" ht="11.25" customHeight="1" x14ac:dyDescent="0.25">
      <c r="A30" s="4" t="s">
        <v>21</v>
      </c>
      <c r="B30" s="4" t="s">
        <v>33</v>
      </c>
      <c r="C30" s="4" t="s">
        <v>41</v>
      </c>
      <c r="D30" s="4" t="s">
        <v>40</v>
      </c>
      <c r="E30" s="4" t="s">
        <v>25</v>
      </c>
      <c r="F30" s="4" t="s">
        <v>25</v>
      </c>
      <c r="G30" s="4" t="s">
        <v>25</v>
      </c>
      <c r="H30" s="4" t="s">
        <v>35</v>
      </c>
      <c r="I30" s="5">
        <v>44348</v>
      </c>
      <c r="J30" s="6">
        <v>213</v>
      </c>
      <c r="K30" s="6">
        <v>213</v>
      </c>
      <c r="L30" s="6">
        <v>0.16300000000000001</v>
      </c>
      <c r="M30" s="6">
        <v>0.16300000000000001</v>
      </c>
      <c r="N30" s="6">
        <v>0.16300000000000001</v>
      </c>
      <c r="O30" s="6">
        <v>0.16300000000000001</v>
      </c>
      <c r="P30" s="6">
        <v>0</v>
      </c>
      <c r="Q30" s="4" t="s">
        <v>26</v>
      </c>
      <c r="R30" s="4">
        <v>0</v>
      </c>
      <c r="S30" s="6">
        <v>1</v>
      </c>
      <c r="T30" s="6">
        <v>3</v>
      </c>
      <c r="U30" s="6">
        <v>48</v>
      </c>
      <c r="V30" s="6">
        <f>IF(ISERROR(VLOOKUP($S$30,'TAR FIN'!$A$1:$O$85,15,0)),0,VLOOKUP($S$30,'TAR FIN'!$A$1:$O$85,15,0))</f>
        <v>36.700000000000003</v>
      </c>
      <c r="W30" s="6">
        <f>IF(ISERROR(VLOOKUP($T$30,'TAR FIN'!$A$1:$O$85,15,0)),0,VLOOKUP($T$30,'TAR FIN'!$A$1:$O$85,15,0))</f>
        <v>65.61</v>
      </c>
      <c r="X30" s="6">
        <f>IF(ISERROR(VLOOKUP($U$30,'TAR FIN'!$A$1:$O$85,15,0)),0,VLOOKUP($U$30,'TAR FIN'!$A$1:$O$85,15,0))</f>
        <v>263.29000000000002</v>
      </c>
      <c r="Y30" s="6">
        <f ca="1">('TUSD BE'!$AM$5+'TUSD BF'!$AM$5+'TUSD CVA'!$AM$5)*1</f>
        <v>36.42728699912557</v>
      </c>
      <c r="Z30" s="6">
        <f ca="1">('TUSD BE'!$AM$7+'TUSD BF'!$AM$7+'TUSD CVA'!$AM$7)*1</f>
        <v>100.34646310857573</v>
      </c>
      <c r="AA30" s="6">
        <f>('TE BE'!$AA$5+'TE BF'!$AA$5+'TE CVA'!$AA$5)*1</f>
        <v>210.64397598313801</v>
      </c>
      <c r="AB30" s="6">
        <f>$K$30*$V$30</f>
        <v>7817.1</v>
      </c>
      <c r="AC30" s="6">
        <f>$M$30*$W$30</f>
        <v>10.694430000000001</v>
      </c>
      <c r="AD30" s="6">
        <f>$O$30*$X$30</f>
        <v>42.916270000000004</v>
      </c>
      <c r="AE30" s="6">
        <f ca="1">$K$30*$Y$30</f>
        <v>7759.0121308137468</v>
      </c>
      <c r="AF30" s="6">
        <f ca="1">$M$30*$Z$30</f>
        <v>16.356473486697844</v>
      </c>
      <c r="AG30" s="6">
        <f>$O$30*$AA$30</f>
        <v>34.334968085251496</v>
      </c>
    </row>
    <row r="31" spans="1:33" ht="11.25" customHeight="1" x14ac:dyDescent="0.25">
      <c r="A31" s="4" t="s">
        <v>21</v>
      </c>
      <c r="B31" s="4" t="s">
        <v>33</v>
      </c>
      <c r="C31" s="4" t="s">
        <v>41</v>
      </c>
      <c r="D31" s="4" t="s">
        <v>40</v>
      </c>
      <c r="E31" s="4" t="s">
        <v>25</v>
      </c>
      <c r="F31" s="4" t="s">
        <v>25</v>
      </c>
      <c r="G31" s="4" t="s">
        <v>25</v>
      </c>
      <c r="H31" s="4" t="s">
        <v>35</v>
      </c>
      <c r="I31" s="5">
        <v>44378</v>
      </c>
      <c r="J31" s="6">
        <v>213</v>
      </c>
      <c r="K31" s="6">
        <v>213</v>
      </c>
      <c r="L31" s="6">
        <v>0.55100000000000005</v>
      </c>
      <c r="M31" s="6">
        <v>0.55100000000000005</v>
      </c>
      <c r="N31" s="6">
        <v>0.55100000000000005</v>
      </c>
      <c r="O31" s="6">
        <v>0.55100000000000005</v>
      </c>
      <c r="P31" s="6">
        <v>0</v>
      </c>
      <c r="Q31" s="4" t="s">
        <v>26</v>
      </c>
      <c r="R31" s="4">
        <v>0</v>
      </c>
      <c r="S31" s="6">
        <v>1</v>
      </c>
      <c r="T31" s="6">
        <v>3</v>
      </c>
      <c r="U31" s="6">
        <v>48</v>
      </c>
      <c r="V31" s="6">
        <f>IF(ISERROR(VLOOKUP($S$31,'TAR FIN'!$A$1:$O$85,15,0)),0,VLOOKUP($S$31,'TAR FIN'!$A$1:$O$85,15,0))</f>
        <v>36.700000000000003</v>
      </c>
      <c r="W31" s="6">
        <f>IF(ISERROR(VLOOKUP($T$31,'TAR FIN'!$A$1:$O$85,15,0)),0,VLOOKUP($T$31,'TAR FIN'!$A$1:$O$85,15,0))</f>
        <v>65.61</v>
      </c>
      <c r="X31" s="6">
        <f>IF(ISERROR(VLOOKUP($U$31,'TAR FIN'!$A$1:$O$85,15,0)),0,VLOOKUP($U$31,'TAR FIN'!$A$1:$O$85,15,0))</f>
        <v>263.29000000000002</v>
      </c>
      <c r="Y31" s="6">
        <f ca="1">('TUSD BE'!$AM$5+'TUSD BF'!$AM$5+'TUSD CVA'!$AM$5)*1</f>
        <v>36.42728699912557</v>
      </c>
      <c r="Z31" s="6">
        <f ca="1">('TUSD BE'!$AM$7+'TUSD BF'!$AM$7+'TUSD CVA'!$AM$7)*1</f>
        <v>100.34646310857573</v>
      </c>
      <c r="AA31" s="6">
        <f>('TE BE'!$AA$5+'TE BF'!$AA$5+'TE CVA'!$AA$5)*1</f>
        <v>210.64397598313801</v>
      </c>
      <c r="AB31" s="6">
        <f>$K$31*$V$31</f>
        <v>7817.1</v>
      </c>
      <c r="AC31" s="6">
        <f>$M$31*$W$31</f>
        <v>36.151110000000003</v>
      </c>
      <c r="AD31" s="6">
        <f>$O$31*$X$31</f>
        <v>145.07279000000003</v>
      </c>
      <c r="AE31" s="6">
        <f ca="1">$K$31*$Y$31</f>
        <v>7759.0121308137468</v>
      </c>
      <c r="AF31" s="6">
        <f ca="1">$M$31*$Z$31</f>
        <v>55.290901172825237</v>
      </c>
      <c r="AG31" s="6">
        <f>$O$31*$AA$31</f>
        <v>116.06483076670905</v>
      </c>
    </row>
    <row r="32" spans="1:33" ht="11.25" customHeight="1" x14ac:dyDescent="0.25">
      <c r="A32" s="4" t="s">
        <v>21</v>
      </c>
      <c r="B32" s="4" t="s">
        <v>33</v>
      </c>
      <c r="C32" s="4" t="s">
        <v>34</v>
      </c>
      <c r="D32" s="4" t="s">
        <v>42</v>
      </c>
      <c r="E32" s="4" t="s">
        <v>25</v>
      </c>
      <c r="F32" s="4" t="s">
        <v>25</v>
      </c>
      <c r="G32" s="4" t="s">
        <v>25</v>
      </c>
      <c r="H32" s="4" t="s">
        <v>36</v>
      </c>
      <c r="I32" s="5">
        <v>44317</v>
      </c>
      <c r="J32" s="6">
        <v>0</v>
      </c>
      <c r="K32" s="6">
        <v>0</v>
      </c>
      <c r="L32" s="6">
        <v>748.98500000000001</v>
      </c>
      <c r="M32" s="6">
        <v>748.98500000000001</v>
      </c>
      <c r="N32" s="6">
        <v>748.98500000000001</v>
      </c>
      <c r="O32" s="6">
        <v>748.98500000000001</v>
      </c>
      <c r="P32" s="6">
        <v>0</v>
      </c>
      <c r="Q32" s="4" t="s">
        <v>26</v>
      </c>
      <c r="R32" s="4">
        <v>0</v>
      </c>
      <c r="S32" s="6">
        <v>0</v>
      </c>
      <c r="T32" s="6">
        <v>8</v>
      </c>
      <c r="U32" s="6">
        <v>49</v>
      </c>
      <c r="V32" s="6">
        <f>IF(ISERROR(VLOOKUP($S$32,'TAR FIN'!$A$1:$O$85,15,0)),0,VLOOKUP($S$32,'TAR FIN'!$A$1:$O$85,15,0))</f>
        <v>0</v>
      </c>
      <c r="W32" s="6">
        <f>IF(ISERROR(VLOOKUP($T$32,'TAR FIN'!$A$1:$O$85,15,0)),0,VLOOKUP($T$32,'TAR FIN'!$A$1:$O$85,15,0))</f>
        <v>65.61</v>
      </c>
      <c r="X32" s="6">
        <f>IF(ISERROR(VLOOKUP($U$32,'TAR FIN'!$A$1:$O$85,15,0)),0,VLOOKUP($U$32,'TAR FIN'!$A$1:$O$85,15,0))</f>
        <v>263.29000000000002</v>
      </c>
      <c r="Y32" s="6"/>
      <c r="Z32" s="6">
        <f ca="1">('TUSD BE'!$AM$12+'TUSD BF'!$AM$12+'TUSD CVA'!$AM$12)*1</f>
        <v>100.34646310857573</v>
      </c>
      <c r="AA32" s="6">
        <f>('TE BE'!$AA$6+'TE BF'!$AA$6+'TE CVA'!$AA$6)*1</f>
        <v>210.64397598313801</v>
      </c>
      <c r="AB32" s="6">
        <f>$K$32*$V$32</f>
        <v>0</v>
      </c>
      <c r="AC32" s="6">
        <f>$M$32*$W$32</f>
        <v>49140.905850000003</v>
      </c>
      <c r="AD32" s="6">
        <f>$O$32*$X$32</f>
        <v>197200.26065000001</v>
      </c>
      <c r="AE32" s="6">
        <f>$K$32*$Y$32</f>
        <v>0</v>
      </c>
      <c r="AF32" s="6">
        <f ca="1">$M$32*$Z$32</f>
        <v>75157.995671376601</v>
      </c>
      <c r="AG32" s="6">
        <f>$O$32*$AA$32</f>
        <v>157769.17835173063</v>
      </c>
    </row>
    <row r="33" spans="1:33" ht="11.25" customHeight="1" x14ac:dyDescent="0.25">
      <c r="A33" s="4" t="s">
        <v>21</v>
      </c>
      <c r="B33" s="4" t="s">
        <v>33</v>
      </c>
      <c r="C33" s="4" t="s">
        <v>34</v>
      </c>
      <c r="D33" s="4" t="s">
        <v>42</v>
      </c>
      <c r="E33" s="4" t="s">
        <v>25</v>
      </c>
      <c r="F33" s="4" t="s">
        <v>25</v>
      </c>
      <c r="G33" s="4" t="s">
        <v>25</v>
      </c>
      <c r="H33" s="4" t="s">
        <v>36</v>
      </c>
      <c r="I33" s="5">
        <v>44348</v>
      </c>
      <c r="J33" s="6">
        <v>0</v>
      </c>
      <c r="K33" s="6">
        <v>0</v>
      </c>
      <c r="L33" s="6">
        <v>745.10400000000004</v>
      </c>
      <c r="M33" s="6">
        <v>745.10400000000004</v>
      </c>
      <c r="N33" s="6">
        <v>745.10400000000004</v>
      </c>
      <c r="O33" s="6">
        <v>745.10400000000004</v>
      </c>
      <c r="P33" s="6">
        <v>0</v>
      </c>
      <c r="Q33" s="4" t="s">
        <v>26</v>
      </c>
      <c r="R33" s="4">
        <v>0</v>
      </c>
      <c r="S33" s="6">
        <v>0</v>
      </c>
      <c r="T33" s="6">
        <v>8</v>
      </c>
      <c r="U33" s="6">
        <v>49</v>
      </c>
      <c r="V33" s="6">
        <f>IF(ISERROR(VLOOKUP($S$33,'TAR FIN'!$A$1:$O$85,15,0)),0,VLOOKUP($S$33,'TAR FIN'!$A$1:$O$85,15,0))</f>
        <v>0</v>
      </c>
      <c r="W33" s="6">
        <f>IF(ISERROR(VLOOKUP($T$33,'TAR FIN'!$A$1:$O$85,15,0)),0,VLOOKUP($T$33,'TAR FIN'!$A$1:$O$85,15,0))</f>
        <v>65.61</v>
      </c>
      <c r="X33" s="6">
        <f>IF(ISERROR(VLOOKUP($U$33,'TAR FIN'!$A$1:$O$85,15,0)),0,VLOOKUP($U$33,'TAR FIN'!$A$1:$O$85,15,0))</f>
        <v>263.29000000000002</v>
      </c>
      <c r="Y33" s="6"/>
      <c r="Z33" s="6">
        <f ca="1">('TUSD BE'!$AM$12+'TUSD BF'!$AM$12+'TUSD CVA'!$AM$12)*1</f>
        <v>100.34646310857573</v>
      </c>
      <c r="AA33" s="6">
        <f>('TE BE'!$AA$6+'TE BF'!$AA$6+'TE CVA'!$AA$6)*1</f>
        <v>210.64397598313801</v>
      </c>
      <c r="AB33" s="6">
        <f>$K$33*$V$33</f>
        <v>0</v>
      </c>
      <c r="AC33" s="6">
        <f>$M$33*$W$33</f>
        <v>48886.273440000004</v>
      </c>
      <c r="AD33" s="6">
        <f>$O$33*$X$33</f>
        <v>196178.43216000003</v>
      </c>
      <c r="AE33" s="6">
        <f>$K$33*$Y$33</f>
        <v>0</v>
      </c>
      <c r="AF33" s="6">
        <f ca="1">$M$33*$Z$33</f>
        <v>74768.551048052221</v>
      </c>
      <c r="AG33" s="6">
        <f>$O$33*$AA$33</f>
        <v>156951.66908094008</v>
      </c>
    </row>
    <row r="34" spans="1:33" ht="11.25" customHeight="1" x14ac:dyDescent="0.25">
      <c r="A34" s="4" t="s">
        <v>21</v>
      </c>
      <c r="B34" s="4" t="s">
        <v>33</v>
      </c>
      <c r="C34" s="4" t="s">
        <v>34</v>
      </c>
      <c r="D34" s="4" t="s">
        <v>42</v>
      </c>
      <c r="E34" s="4" t="s">
        <v>25</v>
      </c>
      <c r="F34" s="4" t="s">
        <v>25</v>
      </c>
      <c r="G34" s="4" t="s">
        <v>25</v>
      </c>
      <c r="H34" s="4" t="s">
        <v>36</v>
      </c>
      <c r="I34" s="5">
        <v>44378</v>
      </c>
      <c r="J34" s="6">
        <v>0</v>
      </c>
      <c r="K34" s="6">
        <v>0</v>
      </c>
      <c r="L34" s="6">
        <v>773.82600000000002</v>
      </c>
      <c r="M34" s="6">
        <v>773.82600000000002</v>
      </c>
      <c r="N34" s="6">
        <v>773.82600000000002</v>
      </c>
      <c r="O34" s="6">
        <v>773.82600000000002</v>
      </c>
      <c r="P34" s="6">
        <v>0</v>
      </c>
      <c r="Q34" s="4" t="s">
        <v>26</v>
      </c>
      <c r="R34" s="4">
        <v>0</v>
      </c>
      <c r="S34" s="6">
        <v>0</v>
      </c>
      <c r="T34" s="6">
        <v>8</v>
      </c>
      <c r="U34" s="6">
        <v>49</v>
      </c>
      <c r="V34" s="6">
        <f>IF(ISERROR(VLOOKUP($S$34,'TAR FIN'!$A$1:$O$85,15,0)),0,VLOOKUP($S$34,'TAR FIN'!$A$1:$O$85,15,0))</f>
        <v>0</v>
      </c>
      <c r="W34" s="6">
        <f>IF(ISERROR(VLOOKUP($T$34,'TAR FIN'!$A$1:$O$85,15,0)),0,VLOOKUP($T$34,'TAR FIN'!$A$1:$O$85,15,0))</f>
        <v>65.61</v>
      </c>
      <c r="X34" s="6">
        <f>IF(ISERROR(VLOOKUP($U$34,'TAR FIN'!$A$1:$O$85,15,0)),0,VLOOKUP($U$34,'TAR FIN'!$A$1:$O$85,15,0))</f>
        <v>263.29000000000002</v>
      </c>
      <c r="Y34" s="6"/>
      <c r="Z34" s="6">
        <f ca="1">('TUSD BE'!$AM$12+'TUSD BF'!$AM$12+'TUSD CVA'!$AM$12)*1</f>
        <v>100.34646310857573</v>
      </c>
      <c r="AA34" s="6">
        <f>('TE BE'!$AA$6+'TE BF'!$AA$6+'TE CVA'!$AA$6)*1</f>
        <v>210.64397598313801</v>
      </c>
      <c r="AB34" s="6">
        <f>$K$34*$V$34</f>
        <v>0</v>
      </c>
      <c r="AC34" s="6">
        <f>$M$34*$W$34</f>
        <v>50770.723859999998</v>
      </c>
      <c r="AD34" s="6">
        <f>$O$34*$X$34</f>
        <v>203740.64754000003</v>
      </c>
      <c r="AE34" s="6">
        <f>$K$34*$Y$34</f>
        <v>0</v>
      </c>
      <c r="AF34" s="6">
        <f ca="1">$M$34*$Z$34</f>
        <v>77650.702161456735</v>
      </c>
      <c r="AG34" s="6">
        <f>$O$34*$AA$34</f>
        <v>163001.78535912777</v>
      </c>
    </row>
    <row r="35" spans="1:33" ht="11.25" customHeight="1" x14ac:dyDescent="0.25">
      <c r="A35" s="4" t="s">
        <v>21</v>
      </c>
      <c r="B35" s="4" t="s">
        <v>33</v>
      </c>
      <c r="C35" s="4" t="s">
        <v>34</v>
      </c>
      <c r="D35" s="4" t="s">
        <v>42</v>
      </c>
      <c r="E35" s="4" t="s">
        <v>25</v>
      </c>
      <c r="F35" s="4" t="s">
        <v>25</v>
      </c>
      <c r="G35" s="4" t="s">
        <v>25</v>
      </c>
      <c r="H35" s="4" t="s">
        <v>36</v>
      </c>
      <c r="I35" s="5">
        <v>44409</v>
      </c>
      <c r="J35" s="6">
        <v>0</v>
      </c>
      <c r="K35" s="6">
        <v>0</v>
      </c>
      <c r="L35" s="6">
        <v>772.96600000000001</v>
      </c>
      <c r="M35" s="6">
        <v>772.96600000000001</v>
      </c>
      <c r="N35" s="6">
        <v>772.96600000000001</v>
      </c>
      <c r="O35" s="6">
        <v>772.96600000000001</v>
      </c>
      <c r="P35" s="6">
        <v>0</v>
      </c>
      <c r="Q35" s="4" t="s">
        <v>26</v>
      </c>
      <c r="R35" s="4">
        <v>0</v>
      </c>
      <c r="S35" s="6">
        <v>0</v>
      </c>
      <c r="T35" s="6">
        <v>8</v>
      </c>
      <c r="U35" s="6">
        <v>49</v>
      </c>
      <c r="V35" s="6">
        <f>IF(ISERROR(VLOOKUP($S$35,'TAR FIN'!$A$1:$O$85,15,0)),0,VLOOKUP($S$35,'TAR FIN'!$A$1:$O$85,15,0))</f>
        <v>0</v>
      </c>
      <c r="W35" s="6">
        <f>IF(ISERROR(VLOOKUP($T$35,'TAR FIN'!$A$1:$O$85,15,0)),0,VLOOKUP($T$35,'TAR FIN'!$A$1:$O$85,15,0))</f>
        <v>65.61</v>
      </c>
      <c r="X35" s="6">
        <f>IF(ISERROR(VLOOKUP($U$35,'TAR FIN'!$A$1:$O$85,15,0)),0,VLOOKUP($U$35,'TAR FIN'!$A$1:$O$85,15,0))</f>
        <v>263.29000000000002</v>
      </c>
      <c r="Y35" s="6"/>
      <c r="Z35" s="6">
        <f ca="1">('TUSD BE'!$AM$12+'TUSD BF'!$AM$12+'TUSD CVA'!$AM$12)*1</f>
        <v>100.34646310857573</v>
      </c>
      <c r="AA35" s="6">
        <f>('TE BE'!$AA$6+'TE BF'!$AA$6+'TE CVA'!$AA$6)*1</f>
        <v>210.64397598313801</v>
      </c>
      <c r="AB35" s="6">
        <f>$K$35*$V$35</f>
        <v>0</v>
      </c>
      <c r="AC35" s="6">
        <f>$M$35*$W$35</f>
        <v>50714.29926</v>
      </c>
      <c r="AD35" s="6">
        <f>$O$35*$X$35</f>
        <v>203514.21814000001</v>
      </c>
      <c r="AE35" s="6">
        <f>$K$35*$Y$35</f>
        <v>0</v>
      </c>
      <c r="AF35" s="6">
        <f ca="1">$M$35*$Z$35</f>
        <v>77564.404203183352</v>
      </c>
      <c r="AG35" s="6">
        <f>$O$35*$AA$35</f>
        <v>162820.63153978225</v>
      </c>
    </row>
    <row r="36" spans="1:33" ht="11.25" customHeight="1" x14ac:dyDescent="0.25">
      <c r="A36" s="4" t="s">
        <v>21</v>
      </c>
      <c r="B36" s="4" t="s">
        <v>33</v>
      </c>
      <c r="C36" s="4" t="s">
        <v>34</v>
      </c>
      <c r="D36" s="4" t="s">
        <v>42</v>
      </c>
      <c r="E36" s="4" t="s">
        <v>25</v>
      </c>
      <c r="F36" s="4" t="s">
        <v>25</v>
      </c>
      <c r="G36" s="4" t="s">
        <v>25</v>
      </c>
      <c r="H36" s="4" t="s">
        <v>36</v>
      </c>
      <c r="I36" s="5">
        <v>44440</v>
      </c>
      <c r="J36" s="6">
        <v>0</v>
      </c>
      <c r="K36" s="6">
        <v>0</v>
      </c>
      <c r="L36" s="6">
        <v>776.51599999999996</v>
      </c>
      <c r="M36" s="6">
        <v>776.51599999999996</v>
      </c>
      <c r="N36" s="6">
        <v>776.51599999999996</v>
      </c>
      <c r="O36" s="6">
        <v>776.51599999999996</v>
      </c>
      <c r="P36" s="6">
        <v>0</v>
      </c>
      <c r="Q36" s="4" t="s">
        <v>26</v>
      </c>
      <c r="R36" s="4">
        <v>0</v>
      </c>
      <c r="S36" s="6">
        <v>0</v>
      </c>
      <c r="T36" s="6">
        <v>8</v>
      </c>
      <c r="U36" s="6">
        <v>49</v>
      </c>
      <c r="V36" s="6">
        <f>IF(ISERROR(VLOOKUP($S$36,'TAR FIN'!$A$1:$O$85,15,0)),0,VLOOKUP($S$36,'TAR FIN'!$A$1:$O$85,15,0))</f>
        <v>0</v>
      </c>
      <c r="W36" s="6">
        <f>IF(ISERROR(VLOOKUP($T$36,'TAR FIN'!$A$1:$O$85,15,0)),0,VLOOKUP($T$36,'TAR FIN'!$A$1:$O$85,15,0))</f>
        <v>65.61</v>
      </c>
      <c r="X36" s="6">
        <f>IF(ISERROR(VLOOKUP($U$36,'TAR FIN'!$A$1:$O$85,15,0)),0,VLOOKUP($U$36,'TAR FIN'!$A$1:$O$85,15,0))</f>
        <v>263.29000000000002</v>
      </c>
      <c r="Y36" s="6"/>
      <c r="Z36" s="6">
        <f ca="1">('TUSD BE'!$AM$12+'TUSD BF'!$AM$12+'TUSD CVA'!$AM$12)*1</f>
        <v>100.34646310857573</v>
      </c>
      <c r="AA36" s="6">
        <f>('TE BE'!$AA$6+'TE BF'!$AA$6+'TE CVA'!$AA$6)*1</f>
        <v>210.64397598313801</v>
      </c>
      <c r="AB36" s="6">
        <f>$K$36*$V$36</f>
        <v>0</v>
      </c>
      <c r="AC36" s="6">
        <f>$M$36*$W$36</f>
        <v>50947.214759999995</v>
      </c>
      <c r="AD36" s="6">
        <f>$O$36*$X$36</f>
        <v>204448.89764000001</v>
      </c>
      <c r="AE36" s="6">
        <f>$K$36*$Y$36</f>
        <v>0</v>
      </c>
      <c r="AF36" s="6">
        <f ca="1">$M$36*$Z$36</f>
        <v>77920.634147218792</v>
      </c>
      <c r="AG36" s="6">
        <f>$O$36*$AA$36</f>
        <v>163568.41765452237</v>
      </c>
    </row>
    <row r="37" spans="1:33" ht="11.25" customHeight="1" x14ac:dyDescent="0.25">
      <c r="A37" s="4" t="s">
        <v>21</v>
      </c>
      <c r="B37" s="4" t="s">
        <v>33</v>
      </c>
      <c r="C37" s="4" t="s">
        <v>34</v>
      </c>
      <c r="D37" s="4" t="s">
        <v>42</v>
      </c>
      <c r="E37" s="4" t="s">
        <v>25</v>
      </c>
      <c r="F37" s="4" t="s">
        <v>25</v>
      </c>
      <c r="G37" s="4" t="s">
        <v>25</v>
      </c>
      <c r="H37" s="4" t="s">
        <v>36</v>
      </c>
      <c r="I37" s="5">
        <v>44470</v>
      </c>
      <c r="J37" s="6">
        <v>0</v>
      </c>
      <c r="K37" s="6">
        <v>0</v>
      </c>
      <c r="L37" s="6">
        <v>776.18</v>
      </c>
      <c r="M37" s="6">
        <v>776.18</v>
      </c>
      <c r="N37" s="6">
        <v>776.18</v>
      </c>
      <c r="O37" s="6">
        <v>776.18</v>
      </c>
      <c r="P37" s="6">
        <v>0</v>
      </c>
      <c r="Q37" s="4" t="s">
        <v>26</v>
      </c>
      <c r="R37" s="4">
        <v>0</v>
      </c>
      <c r="S37" s="6">
        <v>0</v>
      </c>
      <c r="T37" s="6">
        <v>8</v>
      </c>
      <c r="U37" s="6">
        <v>49</v>
      </c>
      <c r="V37" s="6">
        <f>IF(ISERROR(VLOOKUP($S$37,'TAR FIN'!$A$1:$O$85,15,0)),0,VLOOKUP($S$37,'TAR FIN'!$A$1:$O$85,15,0))</f>
        <v>0</v>
      </c>
      <c r="W37" s="6">
        <f>IF(ISERROR(VLOOKUP($T$37,'TAR FIN'!$A$1:$O$85,15,0)),0,VLOOKUP($T$37,'TAR FIN'!$A$1:$O$85,15,0))</f>
        <v>65.61</v>
      </c>
      <c r="X37" s="6">
        <f>IF(ISERROR(VLOOKUP($U$37,'TAR FIN'!$A$1:$O$85,15,0)),0,VLOOKUP($U$37,'TAR FIN'!$A$1:$O$85,15,0))</f>
        <v>263.29000000000002</v>
      </c>
      <c r="Y37" s="6"/>
      <c r="Z37" s="6">
        <f ca="1">('TUSD BE'!$AM$12+'TUSD BF'!$AM$12+'TUSD CVA'!$AM$12)*1</f>
        <v>100.34646310857573</v>
      </c>
      <c r="AA37" s="6">
        <f>('TE BE'!$AA$6+'TE BF'!$AA$6+'TE CVA'!$AA$6)*1</f>
        <v>210.64397598313801</v>
      </c>
      <c r="AB37" s="6">
        <f>$K$37*$V$37</f>
        <v>0</v>
      </c>
      <c r="AC37" s="6">
        <f>$M$37*$W$37</f>
        <v>50925.169799999996</v>
      </c>
      <c r="AD37" s="6">
        <f>$O$37*$X$37</f>
        <v>204360.43220000001</v>
      </c>
      <c r="AE37" s="6">
        <f>$K$37*$Y$37</f>
        <v>0</v>
      </c>
      <c r="AF37" s="6">
        <f ca="1">$M$37*$Z$37</f>
        <v>77886.917735614305</v>
      </c>
      <c r="AG37" s="6">
        <f>$O$37*$AA$37</f>
        <v>163497.64127859205</v>
      </c>
    </row>
    <row r="38" spans="1:33" ht="11.25" customHeight="1" x14ac:dyDescent="0.25">
      <c r="A38" s="4" t="s">
        <v>21</v>
      </c>
      <c r="B38" s="4" t="s">
        <v>33</v>
      </c>
      <c r="C38" s="4" t="s">
        <v>34</v>
      </c>
      <c r="D38" s="4" t="s">
        <v>42</v>
      </c>
      <c r="E38" s="4" t="s">
        <v>25</v>
      </c>
      <c r="F38" s="4" t="s">
        <v>25</v>
      </c>
      <c r="G38" s="4" t="s">
        <v>25</v>
      </c>
      <c r="H38" s="4" t="s">
        <v>36</v>
      </c>
      <c r="I38" s="5">
        <v>44501</v>
      </c>
      <c r="J38" s="6">
        <v>0</v>
      </c>
      <c r="K38" s="6">
        <v>0</v>
      </c>
      <c r="L38" s="6">
        <v>772.68700000000001</v>
      </c>
      <c r="M38" s="6">
        <v>772.68700000000001</v>
      </c>
      <c r="N38" s="6">
        <v>772.68700000000001</v>
      </c>
      <c r="O38" s="6">
        <v>772.68700000000001</v>
      </c>
      <c r="P38" s="6">
        <v>0</v>
      </c>
      <c r="Q38" s="4" t="s">
        <v>26</v>
      </c>
      <c r="R38" s="4">
        <v>0</v>
      </c>
      <c r="S38" s="6">
        <v>0</v>
      </c>
      <c r="T38" s="6">
        <v>8</v>
      </c>
      <c r="U38" s="6">
        <v>49</v>
      </c>
      <c r="V38" s="6">
        <f>IF(ISERROR(VLOOKUP($S$38,'TAR FIN'!$A$1:$O$85,15,0)),0,VLOOKUP($S$38,'TAR FIN'!$A$1:$O$85,15,0))</f>
        <v>0</v>
      </c>
      <c r="W38" s="6">
        <f>IF(ISERROR(VLOOKUP($T$38,'TAR FIN'!$A$1:$O$85,15,0)),0,VLOOKUP($T$38,'TAR FIN'!$A$1:$O$85,15,0))</f>
        <v>65.61</v>
      </c>
      <c r="X38" s="6">
        <f>IF(ISERROR(VLOOKUP($U$38,'TAR FIN'!$A$1:$O$85,15,0)),0,VLOOKUP($U$38,'TAR FIN'!$A$1:$O$85,15,0))</f>
        <v>263.29000000000002</v>
      </c>
      <c r="Y38" s="6"/>
      <c r="Z38" s="6">
        <f ca="1">('TUSD BE'!$AM$12+'TUSD BF'!$AM$12+'TUSD CVA'!$AM$12)*1</f>
        <v>100.34646310857573</v>
      </c>
      <c r="AA38" s="6">
        <f>('TE BE'!$AA$6+'TE BF'!$AA$6+'TE CVA'!$AA$6)*1</f>
        <v>210.64397598313801</v>
      </c>
      <c r="AB38" s="6">
        <f>$K$38*$V$38</f>
        <v>0</v>
      </c>
      <c r="AC38" s="6">
        <f>$M$38*$W$38</f>
        <v>50695.994070000001</v>
      </c>
      <c r="AD38" s="6">
        <f>$O$38*$X$38</f>
        <v>203440.76023000001</v>
      </c>
      <c r="AE38" s="6">
        <f>$K$38*$Y$38</f>
        <v>0</v>
      </c>
      <c r="AF38" s="6">
        <f ca="1">$M$38*$Z$38</f>
        <v>77536.407539976062</v>
      </c>
      <c r="AG38" s="6">
        <f>$O$38*$AA$38</f>
        <v>162761.86187048297</v>
      </c>
    </row>
    <row r="39" spans="1:33" ht="11.25" customHeight="1" x14ac:dyDescent="0.25">
      <c r="A39" s="4" t="s">
        <v>21</v>
      </c>
      <c r="B39" s="4" t="s">
        <v>33</v>
      </c>
      <c r="C39" s="4" t="s">
        <v>34</v>
      </c>
      <c r="D39" s="4" t="s">
        <v>42</v>
      </c>
      <c r="E39" s="4" t="s">
        <v>25</v>
      </c>
      <c r="F39" s="4" t="s">
        <v>25</v>
      </c>
      <c r="G39" s="4" t="s">
        <v>25</v>
      </c>
      <c r="H39" s="4" t="s">
        <v>36</v>
      </c>
      <c r="I39" s="5">
        <v>44531</v>
      </c>
      <c r="J39" s="6">
        <v>0</v>
      </c>
      <c r="K39" s="6">
        <v>0</v>
      </c>
      <c r="L39" s="6">
        <v>776.61699999999996</v>
      </c>
      <c r="M39" s="6">
        <v>776.61699999999996</v>
      </c>
      <c r="N39" s="6">
        <v>776.61699999999996</v>
      </c>
      <c r="O39" s="6">
        <v>776.61699999999996</v>
      </c>
      <c r="P39" s="6">
        <v>0</v>
      </c>
      <c r="Q39" s="4" t="s">
        <v>26</v>
      </c>
      <c r="R39" s="4">
        <v>0</v>
      </c>
      <c r="S39" s="6">
        <v>0</v>
      </c>
      <c r="T39" s="6">
        <v>8</v>
      </c>
      <c r="U39" s="6">
        <v>49</v>
      </c>
      <c r="V39" s="6">
        <f>IF(ISERROR(VLOOKUP($S$39,'TAR FIN'!$A$1:$O$85,15,0)),0,VLOOKUP($S$39,'TAR FIN'!$A$1:$O$85,15,0))</f>
        <v>0</v>
      </c>
      <c r="W39" s="6">
        <f>IF(ISERROR(VLOOKUP($T$39,'TAR FIN'!$A$1:$O$85,15,0)),0,VLOOKUP($T$39,'TAR FIN'!$A$1:$O$85,15,0))</f>
        <v>65.61</v>
      </c>
      <c r="X39" s="6">
        <f>IF(ISERROR(VLOOKUP($U$39,'TAR FIN'!$A$1:$O$85,15,0)),0,VLOOKUP($U$39,'TAR FIN'!$A$1:$O$85,15,0))</f>
        <v>263.29000000000002</v>
      </c>
      <c r="Y39" s="6"/>
      <c r="Z39" s="6">
        <f ca="1">('TUSD BE'!$AM$12+'TUSD BF'!$AM$12+'TUSD CVA'!$AM$12)*1</f>
        <v>100.34646310857573</v>
      </c>
      <c r="AA39" s="6">
        <f>('TE BE'!$AA$6+'TE BF'!$AA$6+'TE CVA'!$AA$6)*1</f>
        <v>210.64397598313801</v>
      </c>
      <c r="AB39" s="6">
        <f>$K$39*$V$39</f>
        <v>0</v>
      </c>
      <c r="AC39" s="6">
        <f>$M$39*$W$39</f>
        <v>50953.841369999995</v>
      </c>
      <c r="AD39" s="6">
        <f>$O$39*$X$39</f>
        <v>204475.48993000001</v>
      </c>
      <c r="AE39" s="6">
        <f>$K$39*$Y$39</f>
        <v>0</v>
      </c>
      <c r="AF39" s="6">
        <f ca="1">$M$39*$Z$39</f>
        <v>77930.769139992757</v>
      </c>
      <c r="AG39" s="6">
        <f>$O$39*$AA$39</f>
        <v>163589.69269609667</v>
      </c>
    </row>
    <row r="40" spans="1:33" ht="11.25" customHeight="1" x14ac:dyDescent="0.25">
      <c r="A40" s="4" t="s">
        <v>28</v>
      </c>
      <c r="B40" s="4" t="s">
        <v>33</v>
      </c>
      <c r="C40" s="4" t="s">
        <v>34</v>
      </c>
      <c r="D40" s="4" t="s">
        <v>42</v>
      </c>
      <c r="E40" s="4" t="s">
        <v>25</v>
      </c>
      <c r="F40" s="4" t="s">
        <v>25</v>
      </c>
      <c r="G40" s="4" t="s">
        <v>25</v>
      </c>
      <c r="H40" s="4" t="s">
        <v>36</v>
      </c>
      <c r="I40" s="5">
        <v>44531</v>
      </c>
      <c r="J40" s="6">
        <v>0</v>
      </c>
      <c r="K40" s="6">
        <v>0</v>
      </c>
      <c r="L40" s="6">
        <v>19.129000000000001</v>
      </c>
      <c r="M40" s="6">
        <v>19.129000000000001</v>
      </c>
      <c r="N40" s="6">
        <v>19.129000000000001</v>
      </c>
      <c r="O40" s="6">
        <v>19.129000000000001</v>
      </c>
      <c r="P40" s="6">
        <v>0</v>
      </c>
      <c r="Q40" s="4" t="s">
        <v>26</v>
      </c>
      <c r="R40" s="4">
        <v>0</v>
      </c>
      <c r="S40" s="6">
        <v>0</v>
      </c>
      <c r="T40" s="6">
        <v>8</v>
      </c>
      <c r="U40" s="6">
        <v>49</v>
      </c>
      <c r="V40" s="6">
        <f>IF(ISERROR(VLOOKUP($S$40,'TAR FIN'!$A$1:$O$85,15,0)),0,VLOOKUP($S$40,'TAR FIN'!$A$1:$O$85,15,0))</f>
        <v>0</v>
      </c>
      <c r="W40" s="6">
        <f>IF(ISERROR(VLOOKUP($T$40,'TAR FIN'!$A$1:$O$85,15,0)),0,VLOOKUP($T$40,'TAR FIN'!$A$1:$O$85,15,0))</f>
        <v>65.61</v>
      </c>
      <c r="X40" s="6">
        <f>IF(ISERROR(VLOOKUP($U$40,'TAR FIN'!$A$1:$O$85,15,0)),0,VLOOKUP($U$40,'TAR FIN'!$A$1:$O$85,15,0))</f>
        <v>263.29000000000002</v>
      </c>
      <c r="Y40" s="6"/>
      <c r="Z40" s="6">
        <f ca="1">('TUSD BE'!$AM$12+'TUSD BF'!$AM$12+'TUSD CVA'!$AM$12)*1</f>
        <v>100.34646310857573</v>
      </c>
      <c r="AA40" s="6">
        <f>('TE BE'!$AA$6+'TE BF'!$AA$6+'TE CVA'!$AA$6)*1</f>
        <v>210.64397598313801</v>
      </c>
      <c r="AB40" s="6">
        <f>$K$40*$V$40</f>
        <v>0</v>
      </c>
      <c r="AC40" s="6">
        <f>$M$40*$W$40</f>
        <v>1255.0536900000002</v>
      </c>
      <c r="AD40" s="6">
        <f>$O$40*$X$40</f>
        <v>5036.4744100000007</v>
      </c>
      <c r="AE40" s="6">
        <f>$K$40*$Y$40</f>
        <v>0</v>
      </c>
      <c r="AF40" s="6">
        <f ca="1">$M$40*$Z$40</f>
        <v>1919.5274928039453</v>
      </c>
      <c r="AG40" s="6">
        <f>$O$40*$AA$40</f>
        <v>4029.4086165814474</v>
      </c>
    </row>
    <row r="41" spans="1:33" ht="11.25" customHeight="1" x14ac:dyDescent="0.25">
      <c r="A41" s="4" t="s">
        <v>21</v>
      </c>
      <c r="B41" s="4" t="s">
        <v>33</v>
      </c>
      <c r="C41" s="4" t="s">
        <v>34</v>
      </c>
      <c r="D41" s="4" t="s">
        <v>42</v>
      </c>
      <c r="E41" s="4" t="s">
        <v>25</v>
      </c>
      <c r="F41" s="4" t="s">
        <v>25</v>
      </c>
      <c r="G41" s="4" t="s">
        <v>25</v>
      </c>
      <c r="H41" s="4" t="s">
        <v>36</v>
      </c>
      <c r="I41" s="5">
        <v>44562</v>
      </c>
      <c r="J41" s="6">
        <v>0</v>
      </c>
      <c r="K41" s="6">
        <v>0</v>
      </c>
      <c r="L41" s="6">
        <v>857.06399999999996</v>
      </c>
      <c r="M41" s="6">
        <v>857.06399999999996</v>
      </c>
      <c r="N41" s="6">
        <v>857.06399999999996</v>
      </c>
      <c r="O41" s="6">
        <v>857.06399999999996</v>
      </c>
      <c r="P41" s="6">
        <v>0</v>
      </c>
      <c r="Q41" s="4" t="s">
        <v>26</v>
      </c>
      <c r="R41" s="4">
        <v>0</v>
      </c>
      <c r="S41" s="6">
        <v>0</v>
      </c>
      <c r="T41" s="6">
        <v>8</v>
      </c>
      <c r="U41" s="6">
        <v>49</v>
      </c>
      <c r="V41" s="6">
        <f>IF(ISERROR(VLOOKUP($S$41,'TAR FIN'!$A$1:$O$85,15,0)),0,VLOOKUP($S$41,'TAR FIN'!$A$1:$O$85,15,0))</f>
        <v>0</v>
      </c>
      <c r="W41" s="6">
        <f>IF(ISERROR(VLOOKUP($T$41,'TAR FIN'!$A$1:$O$85,15,0)),0,VLOOKUP($T$41,'TAR FIN'!$A$1:$O$85,15,0))</f>
        <v>65.61</v>
      </c>
      <c r="X41" s="6">
        <f>IF(ISERROR(VLOOKUP($U$41,'TAR FIN'!$A$1:$O$85,15,0)),0,VLOOKUP($U$41,'TAR FIN'!$A$1:$O$85,15,0))</f>
        <v>263.29000000000002</v>
      </c>
      <c r="Y41" s="6"/>
      <c r="Z41" s="6">
        <f ca="1">('TUSD BE'!$AM$12+'TUSD BF'!$AM$12+'TUSD CVA'!$AM$12)*1</f>
        <v>100.34646310857573</v>
      </c>
      <c r="AA41" s="6">
        <f>('TE BE'!$AA$6+'TE BF'!$AA$6+'TE CVA'!$AA$6)*1</f>
        <v>210.64397598313801</v>
      </c>
      <c r="AB41" s="6">
        <f>$K$41*$V$41</f>
        <v>0</v>
      </c>
      <c r="AC41" s="6">
        <f>$M$41*$W$41</f>
        <v>56231.969039999996</v>
      </c>
      <c r="AD41" s="6">
        <f>$O$41*$X$41</f>
        <v>225656.38056000002</v>
      </c>
      <c r="AE41" s="6">
        <f>$K$41*$Y$41</f>
        <v>0</v>
      </c>
      <c r="AF41" s="6">
        <f ca="1">$M$41*$Z$41</f>
        <v>86003.341057688347</v>
      </c>
      <c r="AG41" s="6">
        <f>$O$41*$AA$41</f>
        <v>180535.36863201219</v>
      </c>
    </row>
    <row r="42" spans="1:33" ht="11.25" customHeight="1" x14ac:dyDescent="0.25">
      <c r="A42" s="4" t="s">
        <v>21</v>
      </c>
      <c r="B42" s="4" t="s">
        <v>33</v>
      </c>
      <c r="C42" s="4" t="s">
        <v>34</v>
      </c>
      <c r="D42" s="4" t="s">
        <v>42</v>
      </c>
      <c r="E42" s="4" t="s">
        <v>25</v>
      </c>
      <c r="F42" s="4" t="s">
        <v>25</v>
      </c>
      <c r="G42" s="4" t="s">
        <v>25</v>
      </c>
      <c r="H42" s="4" t="s">
        <v>36</v>
      </c>
      <c r="I42" s="5">
        <v>44593</v>
      </c>
      <c r="J42" s="6">
        <v>0</v>
      </c>
      <c r="K42" s="6">
        <v>0</v>
      </c>
      <c r="L42" s="6">
        <v>816.00400000000002</v>
      </c>
      <c r="M42" s="6">
        <v>816.00400000000002</v>
      </c>
      <c r="N42" s="6">
        <v>816.00400000000002</v>
      </c>
      <c r="O42" s="6">
        <v>816.00400000000002</v>
      </c>
      <c r="P42" s="6">
        <v>0</v>
      </c>
      <c r="Q42" s="4" t="s">
        <v>26</v>
      </c>
      <c r="R42" s="4">
        <v>0</v>
      </c>
      <c r="S42" s="6">
        <v>0</v>
      </c>
      <c r="T42" s="6">
        <v>8</v>
      </c>
      <c r="U42" s="6">
        <v>49</v>
      </c>
      <c r="V42" s="6">
        <f>IF(ISERROR(VLOOKUP($S$42,'TAR FIN'!$A$1:$O$85,15,0)),0,VLOOKUP($S$42,'TAR FIN'!$A$1:$O$85,15,0))</f>
        <v>0</v>
      </c>
      <c r="W42" s="6">
        <f>IF(ISERROR(VLOOKUP($T$42,'TAR FIN'!$A$1:$O$85,15,0)),0,VLOOKUP($T$42,'TAR FIN'!$A$1:$O$85,15,0))</f>
        <v>65.61</v>
      </c>
      <c r="X42" s="6">
        <f>IF(ISERROR(VLOOKUP($U$42,'TAR FIN'!$A$1:$O$85,15,0)),0,VLOOKUP($U$42,'TAR FIN'!$A$1:$O$85,15,0))</f>
        <v>263.29000000000002</v>
      </c>
      <c r="Y42" s="6"/>
      <c r="Z42" s="6">
        <f ca="1">('TUSD BE'!$AM$12+'TUSD BF'!$AM$12+'TUSD CVA'!$AM$12)*1</f>
        <v>100.34646310857573</v>
      </c>
      <c r="AA42" s="6">
        <f>('TE BE'!$AA$6+'TE BF'!$AA$6+'TE CVA'!$AA$6)*1</f>
        <v>210.64397598313801</v>
      </c>
      <c r="AB42" s="6">
        <f>$K$42*$V$42</f>
        <v>0</v>
      </c>
      <c r="AC42" s="6">
        <f>$M$42*$W$42</f>
        <v>53538.022440000001</v>
      </c>
      <c r="AD42" s="6">
        <f>$O$42*$X$42</f>
        <v>214845.69316000002</v>
      </c>
      <c r="AE42" s="6">
        <f>$K$42*$Y$42</f>
        <v>0</v>
      </c>
      <c r="AF42" s="6">
        <f ca="1">$M$42*$Z$42</f>
        <v>81883.115282450235</v>
      </c>
      <c r="AG42" s="6">
        <f>$O$42*$AA$42</f>
        <v>171886.32697814456</v>
      </c>
    </row>
    <row r="43" spans="1:33" ht="11.25" customHeight="1" x14ac:dyDescent="0.25">
      <c r="A43" s="4" t="s">
        <v>21</v>
      </c>
      <c r="B43" s="4" t="s">
        <v>33</v>
      </c>
      <c r="C43" s="4" t="s">
        <v>34</v>
      </c>
      <c r="D43" s="4" t="s">
        <v>42</v>
      </c>
      <c r="E43" s="4" t="s">
        <v>25</v>
      </c>
      <c r="F43" s="4" t="s">
        <v>25</v>
      </c>
      <c r="G43" s="4" t="s">
        <v>25</v>
      </c>
      <c r="H43" s="4" t="s">
        <v>36</v>
      </c>
      <c r="I43" s="5">
        <v>44621</v>
      </c>
      <c r="J43" s="6">
        <v>0</v>
      </c>
      <c r="K43" s="6">
        <v>0</v>
      </c>
      <c r="L43" s="6">
        <v>951.88699999999994</v>
      </c>
      <c r="M43" s="6">
        <v>951.88699999999994</v>
      </c>
      <c r="N43" s="6">
        <v>951.88699999999994</v>
      </c>
      <c r="O43" s="6">
        <v>951.88699999999994</v>
      </c>
      <c r="P43" s="6">
        <v>0</v>
      </c>
      <c r="Q43" s="4" t="s">
        <v>26</v>
      </c>
      <c r="R43" s="4">
        <v>0</v>
      </c>
      <c r="S43" s="6">
        <v>0</v>
      </c>
      <c r="T43" s="6">
        <v>8</v>
      </c>
      <c r="U43" s="6">
        <v>49</v>
      </c>
      <c r="V43" s="6">
        <f>IF(ISERROR(VLOOKUP($S$43,'TAR FIN'!$A$1:$O$85,15,0)),0,VLOOKUP($S$43,'TAR FIN'!$A$1:$O$85,15,0))</f>
        <v>0</v>
      </c>
      <c r="W43" s="6">
        <f>IF(ISERROR(VLOOKUP($T$43,'TAR FIN'!$A$1:$O$85,15,0)),0,VLOOKUP($T$43,'TAR FIN'!$A$1:$O$85,15,0))</f>
        <v>65.61</v>
      </c>
      <c r="X43" s="6">
        <f>IF(ISERROR(VLOOKUP($U$43,'TAR FIN'!$A$1:$O$85,15,0)),0,VLOOKUP($U$43,'TAR FIN'!$A$1:$O$85,15,0))</f>
        <v>263.29000000000002</v>
      </c>
      <c r="Y43" s="6"/>
      <c r="Z43" s="6">
        <f ca="1">('TUSD BE'!$AM$12+'TUSD BF'!$AM$12+'TUSD CVA'!$AM$12)*1</f>
        <v>100.34646310857573</v>
      </c>
      <c r="AA43" s="6">
        <f>('TE BE'!$AA$6+'TE BF'!$AA$6+'TE CVA'!$AA$6)*1</f>
        <v>210.64397598313801</v>
      </c>
      <c r="AB43" s="6">
        <f>$K$43*$V$43</f>
        <v>0</v>
      </c>
      <c r="AC43" s="6">
        <f>$M$43*$W$43</f>
        <v>62453.306069999999</v>
      </c>
      <c r="AD43" s="6">
        <f>$O$43*$X$43</f>
        <v>250622.32823000001</v>
      </c>
      <c r="AE43" s="6">
        <f>$K$43*$Y$43</f>
        <v>0</v>
      </c>
      <c r="AF43" s="6">
        <f ca="1">$M$43*$Z$43</f>
        <v>95518.493729032823</v>
      </c>
      <c r="AG43" s="6">
        <f>$O$43*$AA$43</f>
        <v>200509.26236666128</v>
      </c>
    </row>
    <row r="44" spans="1:33" ht="11.25" customHeight="1" x14ac:dyDescent="0.25">
      <c r="A44" s="4" t="s">
        <v>28</v>
      </c>
      <c r="B44" s="4" t="s">
        <v>33</v>
      </c>
      <c r="C44" s="4" t="s">
        <v>34</v>
      </c>
      <c r="D44" s="4" t="s">
        <v>42</v>
      </c>
      <c r="E44" s="4" t="s">
        <v>25</v>
      </c>
      <c r="F44" s="4" t="s">
        <v>25</v>
      </c>
      <c r="G44" s="4" t="s">
        <v>25</v>
      </c>
      <c r="H44" s="4" t="s">
        <v>36</v>
      </c>
      <c r="I44" s="5">
        <v>44621</v>
      </c>
      <c r="J44" s="6">
        <v>0</v>
      </c>
      <c r="K44" s="6">
        <v>0</v>
      </c>
      <c r="L44" s="6">
        <v>27.196999999999999</v>
      </c>
      <c r="M44" s="6">
        <v>27.196999999999999</v>
      </c>
      <c r="N44" s="6">
        <v>27.196999999999999</v>
      </c>
      <c r="O44" s="6">
        <v>27.196999999999999</v>
      </c>
      <c r="P44" s="6">
        <v>0</v>
      </c>
      <c r="Q44" s="4" t="s">
        <v>26</v>
      </c>
      <c r="R44" s="4">
        <v>0</v>
      </c>
      <c r="S44" s="6">
        <v>0</v>
      </c>
      <c r="T44" s="6">
        <v>8</v>
      </c>
      <c r="U44" s="6">
        <v>49</v>
      </c>
      <c r="V44" s="6">
        <f>IF(ISERROR(VLOOKUP($S$44,'TAR FIN'!$A$1:$O$85,15,0)),0,VLOOKUP($S$44,'TAR FIN'!$A$1:$O$85,15,0))</f>
        <v>0</v>
      </c>
      <c r="W44" s="6">
        <f>IF(ISERROR(VLOOKUP($T$44,'TAR FIN'!$A$1:$O$85,15,0)),0,VLOOKUP($T$44,'TAR FIN'!$A$1:$O$85,15,0))</f>
        <v>65.61</v>
      </c>
      <c r="X44" s="6">
        <f>IF(ISERROR(VLOOKUP($U$44,'TAR FIN'!$A$1:$O$85,15,0)),0,VLOOKUP($U$44,'TAR FIN'!$A$1:$O$85,15,0))</f>
        <v>263.29000000000002</v>
      </c>
      <c r="Y44" s="6"/>
      <c r="Z44" s="6">
        <f ca="1">('TUSD BE'!$AM$12+'TUSD BF'!$AM$12+'TUSD CVA'!$AM$12)*1</f>
        <v>100.34646310857573</v>
      </c>
      <c r="AA44" s="6">
        <f>('TE BE'!$AA$6+'TE BF'!$AA$6+'TE CVA'!$AA$6)*1</f>
        <v>210.64397598313801</v>
      </c>
      <c r="AB44" s="6">
        <f>$K$44*$V$44</f>
        <v>0</v>
      </c>
      <c r="AC44" s="6">
        <f>$M$44*$W$44</f>
        <v>1784.39517</v>
      </c>
      <c r="AD44" s="6">
        <f>$O$44*$X$44</f>
        <v>7160.6981300000007</v>
      </c>
      <c r="AE44" s="6">
        <f>$K$44*$Y$44</f>
        <v>0</v>
      </c>
      <c r="AF44" s="6">
        <f ca="1">$M$44*$Z$44</f>
        <v>2729.1227571639342</v>
      </c>
      <c r="AG44" s="6">
        <f>$O$44*$AA$44</f>
        <v>5728.8842148134045</v>
      </c>
    </row>
    <row r="45" spans="1:33" ht="11.25" customHeight="1" x14ac:dyDescent="0.25">
      <c r="A45" s="4" t="s">
        <v>21</v>
      </c>
      <c r="B45" s="4" t="s">
        <v>33</v>
      </c>
      <c r="C45" s="4" t="s">
        <v>34</v>
      </c>
      <c r="D45" s="4" t="s">
        <v>42</v>
      </c>
      <c r="E45" s="4" t="s">
        <v>25</v>
      </c>
      <c r="F45" s="4" t="s">
        <v>25</v>
      </c>
      <c r="G45" s="4" t="s">
        <v>25</v>
      </c>
      <c r="H45" s="4" t="s">
        <v>36</v>
      </c>
      <c r="I45" s="5">
        <v>44652</v>
      </c>
      <c r="J45" s="6">
        <v>0</v>
      </c>
      <c r="K45" s="6">
        <v>0</v>
      </c>
      <c r="L45" s="6">
        <v>812.60900000000004</v>
      </c>
      <c r="M45" s="6">
        <v>812.60900000000004</v>
      </c>
      <c r="N45" s="6">
        <v>812.60900000000004</v>
      </c>
      <c r="O45" s="6">
        <v>812.60900000000004</v>
      </c>
      <c r="P45" s="6">
        <v>0</v>
      </c>
      <c r="Q45" s="4" t="s">
        <v>26</v>
      </c>
      <c r="R45" s="4">
        <v>0</v>
      </c>
      <c r="S45" s="6">
        <v>0</v>
      </c>
      <c r="T45" s="6">
        <v>8</v>
      </c>
      <c r="U45" s="6">
        <v>49</v>
      </c>
      <c r="V45" s="6">
        <f>IF(ISERROR(VLOOKUP($S$45,'TAR FIN'!$A$1:$O$85,15,0)),0,VLOOKUP($S$45,'TAR FIN'!$A$1:$O$85,15,0))</f>
        <v>0</v>
      </c>
      <c r="W45" s="6">
        <f>IF(ISERROR(VLOOKUP($T$45,'TAR FIN'!$A$1:$O$85,15,0)),0,VLOOKUP($T$45,'TAR FIN'!$A$1:$O$85,15,0))</f>
        <v>65.61</v>
      </c>
      <c r="X45" s="6">
        <f>IF(ISERROR(VLOOKUP($U$45,'TAR FIN'!$A$1:$O$85,15,0)),0,VLOOKUP($U$45,'TAR FIN'!$A$1:$O$85,15,0))</f>
        <v>263.29000000000002</v>
      </c>
      <c r="Y45" s="6"/>
      <c r="Z45" s="6">
        <f ca="1">('TUSD BE'!$AM$12+'TUSD BF'!$AM$12+'TUSD CVA'!$AM$12)*1</f>
        <v>100.34646310857573</v>
      </c>
      <c r="AA45" s="6">
        <f>('TE BE'!$AA$6+'TE BF'!$AA$6+'TE CVA'!$AA$6)*1</f>
        <v>210.64397598313801</v>
      </c>
      <c r="AB45" s="6">
        <f>$K$45*$V$45</f>
        <v>0</v>
      </c>
      <c r="AC45" s="6">
        <f>$M$45*$W$45</f>
        <v>53315.276490000004</v>
      </c>
      <c r="AD45" s="6">
        <f>$O$45*$X$45</f>
        <v>213951.82361000002</v>
      </c>
      <c r="AE45" s="6">
        <f>$K$45*$Y$45</f>
        <v>0</v>
      </c>
      <c r="AF45" s="6">
        <f ca="1">$M$45*$Z$45</f>
        <v>81542.439040196623</v>
      </c>
      <c r="AG45" s="6">
        <f>$O$45*$AA$45</f>
        <v>171171.19067968181</v>
      </c>
    </row>
    <row r="46" spans="1:33" ht="11.25" customHeight="1" x14ac:dyDescent="0.25">
      <c r="A46" s="4" t="s">
        <v>21</v>
      </c>
      <c r="B46" s="4" t="s">
        <v>33</v>
      </c>
      <c r="C46" s="4" t="s">
        <v>34</v>
      </c>
      <c r="D46" s="4" t="s">
        <v>42</v>
      </c>
      <c r="E46" s="4" t="s">
        <v>25</v>
      </c>
      <c r="F46" s="4" t="s">
        <v>25</v>
      </c>
      <c r="G46" s="4" t="s">
        <v>25</v>
      </c>
      <c r="H46" s="4" t="s">
        <v>25</v>
      </c>
      <c r="I46" s="5">
        <v>44317</v>
      </c>
      <c r="J46" s="6">
        <v>3613</v>
      </c>
      <c r="K46" s="6">
        <v>3613</v>
      </c>
      <c r="L46" s="6">
        <v>0</v>
      </c>
      <c r="M46" s="6">
        <v>0</v>
      </c>
      <c r="N46" s="6">
        <v>0</v>
      </c>
      <c r="O46" s="6">
        <v>0</v>
      </c>
      <c r="P46" s="6">
        <v>34</v>
      </c>
      <c r="Q46" s="4" t="s">
        <v>26</v>
      </c>
      <c r="R46" s="4">
        <v>0</v>
      </c>
      <c r="S46" s="6">
        <v>6</v>
      </c>
      <c r="T46" s="6">
        <v>0</v>
      </c>
      <c r="U46" s="6">
        <v>0</v>
      </c>
      <c r="V46" s="6">
        <f>IF(ISERROR(VLOOKUP($S$46,'TAR FIN'!$A$1:$O$85,15,0)),0,VLOOKUP($S$46,'TAR FIN'!$A$1:$O$85,15,0))</f>
        <v>19.32</v>
      </c>
      <c r="W46" s="6">
        <f>IF(ISERROR(VLOOKUP($T$46,'TAR FIN'!$A$1:$O$85,15,0)),0,VLOOKUP($T$46,'TAR FIN'!$A$1:$O$85,15,0))</f>
        <v>0</v>
      </c>
      <c r="X46" s="6">
        <f>IF(ISERROR(VLOOKUP($U$46,'TAR FIN'!$A$1:$O$85,15,0)),0,VLOOKUP($U$46,'TAR FIN'!$A$1:$O$85,15,0))</f>
        <v>0</v>
      </c>
      <c r="Y46" s="6">
        <f ca="1">('TUSD BE'!$AM$10+'TUSD BF'!$AM$10+'TUSD CVA'!$AM$10)*1</f>
        <v>16.680041929169654</v>
      </c>
      <c r="Z46" s="6"/>
      <c r="AA46" s="6"/>
      <c r="AB46" s="6">
        <f>$K$46*$V$46</f>
        <v>69803.16</v>
      </c>
      <c r="AC46" s="6">
        <f>$M$46*$W$46</f>
        <v>0</v>
      </c>
      <c r="AD46" s="6">
        <f>$O$46*$X$46</f>
        <v>0</v>
      </c>
      <c r="AE46" s="6">
        <f ca="1">$K$46*$Y$46</f>
        <v>60264.99149008996</v>
      </c>
      <c r="AF46" s="6">
        <f>$M$46*$Z$46</f>
        <v>0</v>
      </c>
      <c r="AG46" s="6">
        <f>$O$46*$AA$46</f>
        <v>0</v>
      </c>
    </row>
    <row r="47" spans="1:33" ht="11.25" customHeight="1" x14ac:dyDescent="0.25">
      <c r="A47" s="4" t="s">
        <v>21</v>
      </c>
      <c r="B47" s="4" t="s">
        <v>33</v>
      </c>
      <c r="C47" s="4" t="s">
        <v>34</v>
      </c>
      <c r="D47" s="4" t="s">
        <v>42</v>
      </c>
      <c r="E47" s="4" t="s">
        <v>25</v>
      </c>
      <c r="F47" s="4" t="s">
        <v>25</v>
      </c>
      <c r="G47" s="4" t="s">
        <v>25</v>
      </c>
      <c r="H47" s="4" t="s">
        <v>25</v>
      </c>
      <c r="I47" s="5">
        <v>44348</v>
      </c>
      <c r="J47" s="6">
        <v>3644</v>
      </c>
      <c r="K47" s="6">
        <v>3644</v>
      </c>
      <c r="L47" s="6">
        <v>0</v>
      </c>
      <c r="M47" s="6">
        <v>0</v>
      </c>
      <c r="N47" s="6">
        <v>0</v>
      </c>
      <c r="O47" s="6">
        <v>0</v>
      </c>
      <c r="P47" s="6">
        <v>34</v>
      </c>
      <c r="Q47" s="4" t="s">
        <v>26</v>
      </c>
      <c r="R47" s="4">
        <v>0</v>
      </c>
      <c r="S47" s="6">
        <v>6</v>
      </c>
      <c r="T47" s="6">
        <v>0</v>
      </c>
      <c r="U47" s="6">
        <v>0</v>
      </c>
      <c r="V47" s="6">
        <f>IF(ISERROR(VLOOKUP($S$47,'TAR FIN'!$A$1:$O$85,15,0)),0,VLOOKUP($S$47,'TAR FIN'!$A$1:$O$85,15,0))</f>
        <v>19.32</v>
      </c>
      <c r="W47" s="6">
        <f>IF(ISERROR(VLOOKUP($T$47,'TAR FIN'!$A$1:$O$85,15,0)),0,VLOOKUP($T$47,'TAR FIN'!$A$1:$O$85,15,0))</f>
        <v>0</v>
      </c>
      <c r="X47" s="6">
        <f>IF(ISERROR(VLOOKUP($U$47,'TAR FIN'!$A$1:$O$85,15,0)),0,VLOOKUP($U$47,'TAR FIN'!$A$1:$O$85,15,0))</f>
        <v>0</v>
      </c>
      <c r="Y47" s="6">
        <f ca="1">('TUSD BE'!$AM$10+'TUSD BF'!$AM$10+'TUSD CVA'!$AM$10)*1</f>
        <v>16.680041929169654</v>
      </c>
      <c r="Z47" s="6"/>
      <c r="AA47" s="6"/>
      <c r="AB47" s="6">
        <f>$K$47*$V$47</f>
        <v>70402.080000000002</v>
      </c>
      <c r="AC47" s="6">
        <f>$M$47*$W$47</f>
        <v>0</v>
      </c>
      <c r="AD47" s="6">
        <f>$O$47*$X$47</f>
        <v>0</v>
      </c>
      <c r="AE47" s="6">
        <f ca="1">$K$47*$Y$47</f>
        <v>60782.07278989422</v>
      </c>
      <c r="AF47" s="6">
        <f>$M$47*$Z$47</f>
        <v>0</v>
      </c>
      <c r="AG47" s="6">
        <f>$O$47*$AA$47</f>
        <v>0</v>
      </c>
    </row>
    <row r="48" spans="1:33" ht="11.25" customHeight="1" x14ac:dyDescent="0.25">
      <c r="A48" s="4" t="s">
        <v>21</v>
      </c>
      <c r="B48" s="4" t="s">
        <v>33</v>
      </c>
      <c r="C48" s="4" t="s">
        <v>34</v>
      </c>
      <c r="D48" s="4" t="s">
        <v>42</v>
      </c>
      <c r="E48" s="4" t="s">
        <v>25</v>
      </c>
      <c r="F48" s="4" t="s">
        <v>25</v>
      </c>
      <c r="G48" s="4" t="s">
        <v>25</v>
      </c>
      <c r="H48" s="4" t="s">
        <v>25</v>
      </c>
      <c r="I48" s="5">
        <v>44378</v>
      </c>
      <c r="J48" s="6">
        <v>3612</v>
      </c>
      <c r="K48" s="6">
        <v>3612</v>
      </c>
      <c r="L48" s="6">
        <v>0</v>
      </c>
      <c r="M48" s="6">
        <v>0</v>
      </c>
      <c r="N48" s="6">
        <v>0</v>
      </c>
      <c r="O48" s="6">
        <v>0</v>
      </c>
      <c r="P48" s="6">
        <v>34</v>
      </c>
      <c r="Q48" s="4" t="s">
        <v>26</v>
      </c>
      <c r="R48" s="4">
        <v>0</v>
      </c>
      <c r="S48" s="6">
        <v>6</v>
      </c>
      <c r="T48" s="6">
        <v>0</v>
      </c>
      <c r="U48" s="6">
        <v>0</v>
      </c>
      <c r="V48" s="6">
        <f>IF(ISERROR(VLOOKUP($S$48,'TAR FIN'!$A$1:$O$85,15,0)),0,VLOOKUP($S$48,'TAR FIN'!$A$1:$O$85,15,0))</f>
        <v>19.32</v>
      </c>
      <c r="W48" s="6">
        <f>IF(ISERROR(VLOOKUP($T$48,'TAR FIN'!$A$1:$O$85,15,0)),0,VLOOKUP($T$48,'TAR FIN'!$A$1:$O$85,15,0))</f>
        <v>0</v>
      </c>
      <c r="X48" s="6">
        <f>IF(ISERROR(VLOOKUP($U$48,'TAR FIN'!$A$1:$O$85,15,0)),0,VLOOKUP($U$48,'TAR FIN'!$A$1:$O$85,15,0))</f>
        <v>0</v>
      </c>
      <c r="Y48" s="6">
        <f ca="1">('TUSD BE'!$AM$10+'TUSD BF'!$AM$10+'TUSD CVA'!$AM$10)*1</f>
        <v>16.680041929169654</v>
      </c>
      <c r="Z48" s="6"/>
      <c r="AA48" s="6"/>
      <c r="AB48" s="6">
        <f>$K$48*$V$48</f>
        <v>69783.839999999997</v>
      </c>
      <c r="AC48" s="6">
        <f>$M$48*$W$48</f>
        <v>0</v>
      </c>
      <c r="AD48" s="6">
        <f>$O$48*$X$48</f>
        <v>0</v>
      </c>
      <c r="AE48" s="6">
        <f ca="1">$K$48*$Y$48</f>
        <v>60248.311448160792</v>
      </c>
      <c r="AF48" s="6">
        <f>$M$48*$Z$48</f>
        <v>0</v>
      </c>
      <c r="AG48" s="6">
        <f>$O$48*$AA$48</f>
        <v>0</v>
      </c>
    </row>
    <row r="49" spans="1:33" ht="11.25" customHeight="1" x14ac:dyDescent="0.25">
      <c r="A49" s="4" t="s">
        <v>21</v>
      </c>
      <c r="B49" s="4" t="s">
        <v>33</v>
      </c>
      <c r="C49" s="4" t="s">
        <v>34</v>
      </c>
      <c r="D49" s="4" t="s">
        <v>42</v>
      </c>
      <c r="E49" s="4" t="s">
        <v>25</v>
      </c>
      <c r="F49" s="4" t="s">
        <v>25</v>
      </c>
      <c r="G49" s="4" t="s">
        <v>25</v>
      </c>
      <c r="H49" s="4" t="s">
        <v>25</v>
      </c>
      <c r="I49" s="5">
        <v>44409</v>
      </c>
      <c r="J49" s="6">
        <v>3621</v>
      </c>
      <c r="K49" s="6">
        <v>3621</v>
      </c>
      <c r="L49" s="6">
        <v>0</v>
      </c>
      <c r="M49" s="6">
        <v>0</v>
      </c>
      <c r="N49" s="6">
        <v>0</v>
      </c>
      <c r="O49" s="6">
        <v>0</v>
      </c>
      <c r="P49" s="6">
        <v>35</v>
      </c>
      <c r="Q49" s="4" t="s">
        <v>26</v>
      </c>
      <c r="R49" s="4">
        <v>0</v>
      </c>
      <c r="S49" s="6">
        <v>6</v>
      </c>
      <c r="T49" s="6">
        <v>0</v>
      </c>
      <c r="U49" s="6">
        <v>0</v>
      </c>
      <c r="V49" s="6">
        <f>IF(ISERROR(VLOOKUP($S$49,'TAR FIN'!$A$1:$O$85,15,0)),0,VLOOKUP($S$49,'TAR FIN'!$A$1:$O$85,15,0))</f>
        <v>19.32</v>
      </c>
      <c r="W49" s="6">
        <f>IF(ISERROR(VLOOKUP($T$49,'TAR FIN'!$A$1:$O$85,15,0)),0,VLOOKUP($T$49,'TAR FIN'!$A$1:$O$85,15,0))</f>
        <v>0</v>
      </c>
      <c r="X49" s="6">
        <f>IF(ISERROR(VLOOKUP($U$49,'TAR FIN'!$A$1:$O$85,15,0)),0,VLOOKUP($U$49,'TAR FIN'!$A$1:$O$85,15,0))</f>
        <v>0</v>
      </c>
      <c r="Y49" s="6">
        <f ca="1">('TUSD BE'!$AM$10+'TUSD BF'!$AM$10+'TUSD CVA'!$AM$10)*1</f>
        <v>16.680041929169654</v>
      </c>
      <c r="Z49" s="6"/>
      <c r="AA49" s="6"/>
      <c r="AB49" s="6">
        <f>$K$49*$V$49</f>
        <v>69957.72</v>
      </c>
      <c r="AC49" s="6">
        <f>$M$49*$W$49</f>
        <v>0</v>
      </c>
      <c r="AD49" s="6">
        <f>$O$49*$X$49</f>
        <v>0</v>
      </c>
      <c r="AE49" s="6">
        <f ca="1">$K$49*$Y$49</f>
        <v>60398.431825523316</v>
      </c>
      <c r="AF49" s="6">
        <f>$M$49*$Z$49</f>
        <v>0</v>
      </c>
      <c r="AG49" s="6">
        <f>$O$49*$AA$49</f>
        <v>0</v>
      </c>
    </row>
    <row r="50" spans="1:33" ht="11.25" customHeight="1" x14ac:dyDescent="0.25">
      <c r="A50" s="4" t="s">
        <v>28</v>
      </c>
      <c r="B50" s="4" t="s">
        <v>33</v>
      </c>
      <c r="C50" s="4" t="s">
        <v>34</v>
      </c>
      <c r="D50" s="4" t="s">
        <v>42</v>
      </c>
      <c r="E50" s="4" t="s">
        <v>25</v>
      </c>
      <c r="F50" s="4" t="s">
        <v>25</v>
      </c>
      <c r="G50" s="4" t="s">
        <v>25</v>
      </c>
      <c r="H50" s="4" t="s">
        <v>25</v>
      </c>
      <c r="I50" s="5">
        <v>44409</v>
      </c>
      <c r="J50" s="6">
        <v>60</v>
      </c>
      <c r="K50" s="6">
        <v>60</v>
      </c>
      <c r="L50" s="6">
        <v>0</v>
      </c>
      <c r="M50" s="6">
        <v>0</v>
      </c>
      <c r="N50" s="6">
        <v>0</v>
      </c>
      <c r="O50" s="6">
        <v>0</v>
      </c>
      <c r="P50" s="6">
        <v>1</v>
      </c>
      <c r="Q50" s="4" t="s">
        <v>26</v>
      </c>
      <c r="R50" s="4">
        <v>0</v>
      </c>
      <c r="S50" s="6">
        <v>6</v>
      </c>
      <c r="T50" s="6">
        <v>0</v>
      </c>
      <c r="U50" s="6">
        <v>0</v>
      </c>
      <c r="V50" s="6">
        <f>IF(ISERROR(VLOOKUP($S$50,'TAR FIN'!$A$1:$O$85,15,0)),0,VLOOKUP($S$50,'TAR FIN'!$A$1:$O$85,15,0))</f>
        <v>19.32</v>
      </c>
      <c r="W50" s="6">
        <f>IF(ISERROR(VLOOKUP($T$50,'TAR FIN'!$A$1:$O$85,15,0)),0,VLOOKUP($T$50,'TAR FIN'!$A$1:$O$85,15,0))</f>
        <v>0</v>
      </c>
      <c r="X50" s="6">
        <f>IF(ISERROR(VLOOKUP($U$50,'TAR FIN'!$A$1:$O$85,15,0)),0,VLOOKUP($U$50,'TAR FIN'!$A$1:$O$85,15,0))</f>
        <v>0</v>
      </c>
      <c r="Y50" s="6">
        <f ca="1">('TUSD BE'!$AM$10+'TUSD BF'!$AM$10+'TUSD CVA'!$AM$10)*1</f>
        <v>16.680041929169654</v>
      </c>
      <c r="Z50" s="6"/>
      <c r="AA50" s="6"/>
      <c r="AB50" s="6">
        <f>$K$50*$V$50</f>
        <v>1159.2</v>
      </c>
      <c r="AC50" s="6">
        <f>$M$50*$W$50</f>
        <v>0</v>
      </c>
      <c r="AD50" s="6">
        <f>$O$50*$X$50</f>
        <v>0</v>
      </c>
      <c r="AE50" s="6">
        <f ca="1">$K$50*$Y$50</f>
        <v>1000.8025157501793</v>
      </c>
      <c r="AF50" s="6">
        <f>$M$50*$Z$50</f>
        <v>0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33</v>
      </c>
      <c r="C51" s="4" t="s">
        <v>34</v>
      </c>
      <c r="D51" s="4" t="s">
        <v>42</v>
      </c>
      <c r="E51" s="4" t="s">
        <v>25</v>
      </c>
      <c r="F51" s="4" t="s">
        <v>25</v>
      </c>
      <c r="G51" s="4" t="s">
        <v>25</v>
      </c>
      <c r="H51" s="4" t="s">
        <v>25</v>
      </c>
      <c r="I51" s="5">
        <v>44440</v>
      </c>
      <c r="J51" s="6">
        <v>3651</v>
      </c>
      <c r="K51" s="6">
        <v>3651</v>
      </c>
      <c r="L51" s="6">
        <v>0</v>
      </c>
      <c r="M51" s="6">
        <v>0</v>
      </c>
      <c r="N51" s="6">
        <v>0</v>
      </c>
      <c r="O51" s="6">
        <v>0</v>
      </c>
      <c r="P51" s="6">
        <v>35</v>
      </c>
      <c r="Q51" s="4" t="s">
        <v>26</v>
      </c>
      <c r="R51" s="4">
        <v>0</v>
      </c>
      <c r="S51" s="6">
        <v>6</v>
      </c>
      <c r="T51" s="6">
        <v>0</v>
      </c>
      <c r="U51" s="6">
        <v>0</v>
      </c>
      <c r="V51" s="6">
        <f>IF(ISERROR(VLOOKUP($S$51,'TAR FIN'!$A$1:$O$85,15,0)),0,VLOOKUP($S$51,'TAR FIN'!$A$1:$O$85,15,0))</f>
        <v>19.32</v>
      </c>
      <c r="W51" s="6">
        <f>IF(ISERROR(VLOOKUP($T$51,'TAR FIN'!$A$1:$O$85,15,0)),0,VLOOKUP($T$51,'TAR FIN'!$A$1:$O$85,15,0))</f>
        <v>0</v>
      </c>
      <c r="X51" s="6">
        <f>IF(ISERROR(VLOOKUP($U$51,'TAR FIN'!$A$1:$O$85,15,0)),0,VLOOKUP($U$51,'TAR FIN'!$A$1:$O$85,15,0))</f>
        <v>0</v>
      </c>
      <c r="Y51" s="6">
        <f ca="1">('TUSD BE'!$AM$10+'TUSD BF'!$AM$10+'TUSD CVA'!$AM$10)*1</f>
        <v>16.680041929169654</v>
      </c>
      <c r="Z51" s="6"/>
      <c r="AA51" s="6"/>
      <c r="AB51" s="6">
        <f>$K$51*$V$51</f>
        <v>70537.320000000007</v>
      </c>
      <c r="AC51" s="6">
        <f>$M$51*$W$51</f>
        <v>0</v>
      </c>
      <c r="AD51" s="6">
        <f>$O$51*$X$51</f>
        <v>0</v>
      </c>
      <c r="AE51" s="6">
        <f ca="1">$K$51*$Y$51</f>
        <v>60898.833083398407</v>
      </c>
      <c r="AF51" s="6">
        <f>$M$51*$Z$51</f>
        <v>0</v>
      </c>
      <c r="AG51" s="6">
        <f>$O$51*$AA$51</f>
        <v>0</v>
      </c>
    </row>
    <row r="52" spans="1:33" ht="11.25" customHeight="1" x14ac:dyDescent="0.25">
      <c r="A52" s="4" t="s">
        <v>28</v>
      </c>
      <c r="B52" s="4" t="s">
        <v>33</v>
      </c>
      <c r="C52" s="4" t="s">
        <v>34</v>
      </c>
      <c r="D52" s="4" t="s">
        <v>42</v>
      </c>
      <c r="E52" s="4" t="s">
        <v>25</v>
      </c>
      <c r="F52" s="4" t="s">
        <v>25</v>
      </c>
      <c r="G52" s="4" t="s">
        <v>25</v>
      </c>
      <c r="H52" s="4" t="s">
        <v>25</v>
      </c>
      <c r="I52" s="5">
        <v>44440</v>
      </c>
      <c r="J52" s="6">
        <v>64</v>
      </c>
      <c r="K52" s="6">
        <v>64</v>
      </c>
      <c r="L52" s="6">
        <v>0</v>
      </c>
      <c r="M52" s="6">
        <v>0</v>
      </c>
      <c r="N52" s="6">
        <v>0</v>
      </c>
      <c r="O52" s="6">
        <v>0</v>
      </c>
      <c r="P52" s="6">
        <v>1</v>
      </c>
      <c r="Q52" s="4" t="s">
        <v>26</v>
      </c>
      <c r="R52" s="4">
        <v>0</v>
      </c>
      <c r="S52" s="6">
        <v>6</v>
      </c>
      <c r="T52" s="6">
        <v>0</v>
      </c>
      <c r="U52" s="6">
        <v>0</v>
      </c>
      <c r="V52" s="6">
        <f>IF(ISERROR(VLOOKUP($S$52,'TAR FIN'!$A$1:$O$85,15,0)),0,VLOOKUP($S$52,'TAR FIN'!$A$1:$O$85,15,0))</f>
        <v>19.32</v>
      </c>
      <c r="W52" s="6">
        <f>IF(ISERROR(VLOOKUP($T$52,'TAR FIN'!$A$1:$O$85,15,0)),0,VLOOKUP($T$52,'TAR FIN'!$A$1:$O$85,15,0))</f>
        <v>0</v>
      </c>
      <c r="X52" s="6">
        <f>IF(ISERROR(VLOOKUP($U$52,'TAR FIN'!$A$1:$O$85,15,0)),0,VLOOKUP($U$52,'TAR FIN'!$A$1:$O$85,15,0))</f>
        <v>0</v>
      </c>
      <c r="Y52" s="6">
        <f ca="1">('TUSD BE'!$AM$10+'TUSD BF'!$AM$10+'TUSD CVA'!$AM$10)*1</f>
        <v>16.680041929169654</v>
      </c>
      <c r="Z52" s="6"/>
      <c r="AA52" s="6"/>
      <c r="AB52" s="6">
        <f>$K$52*$V$52</f>
        <v>1236.48</v>
      </c>
      <c r="AC52" s="6">
        <f>$M$52*$W$52</f>
        <v>0</v>
      </c>
      <c r="AD52" s="6">
        <f>$O$52*$X$52</f>
        <v>0</v>
      </c>
      <c r="AE52" s="6">
        <f ca="1">$K$52*$Y$52</f>
        <v>1067.5226834668579</v>
      </c>
      <c r="AF52" s="6">
        <f>$M$52*$Z$52</f>
        <v>0</v>
      </c>
      <c r="AG52" s="6">
        <f>$O$52*$AA$52</f>
        <v>0</v>
      </c>
    </row>
    <row r="53" spans="1:33" ht="11.25" customHeight="1" x14ac:dyDescent="0.25">
      <c r="A53" s="4" t="s">
        <v>21</v>
      </c>
      <c r="B53" s="4" t="s">
        <v>33</v>
      </c>
      <c r="C53" s="4" t="s">
        <v>34</v>
      </c>
      <c r="D53" s="4" t="s">
        <v>42</v>
      </c>
      <c r="E53" s="4" t="s">
        <v>25</v>
      </c>
      <c r="F53" s="4" t="s">
        <v>25</v>
      </c>
      <c r="G53" s="4" t="s">
        <v>25</v>
      </c>
      <c r="H53" s="4" t="s">
        <v>25</v>
      </c>
      <c r="I53" s="5">
        <v>44470</v>
      </c>
      <c r="J53" s="6">
        <v>3691</v>
      </c>
      <c r="K53" s="6">
        <v>3691</v>
      </c>
      <c r="L53" s="6">
        <v>0</v>
      </c>
      <c r="M53" s="6">
        <v>0</v>
      </c>
      <c r="N53" s="6">
        <v>0</v>
      </c>
      <c r="O53" s="6">
        <v>0</v>
      </c>
      <c r="P53" s="6">
        <v>35</v>
      </c>
      <c r="Q53" s="4" t="s">
        <v>26</v>
      </c>
      <c r="R53" s="4">
        <v>0</v>
      </c>
      <c r="S53" s="6">
        <v>6</v>
      </c>
      <c r="T53" s="6">
        <v>0</v>
      </c>
      <c r="U53" s="6">
        <v>0</v>
      </c>
      <c r="V53" s="6">
        <f>IF(ISERROR(VLOOKUP($S$53,'TAR FIN'!$A$1:$O$85,15,0)),0,VLOOKUP($S$53,'TAR FIN'!$A$1:$O$85,15,0))</f>
        <v>19.32</v>
      </c>
      <c r="W53" s="6">
        <f>IF(ISERROR(VLOOKUP($T$53,'TAR FIN'!$A$1:$O$85,15,0)),0,VLOOKUP($T$53,'TAR FIN'!$A$1:$O$85,15,0))</f>
        <v>0</v>
      </c>
      <c r="X53" s="6">
        <f>IF(ISERROR(VLOOKUP($U$53,'TAR FIN'!$A$1:$O$85,15,0)),0,VLOOKUP($U$53,'TAR FIN'!$A$1:$O$85,15,0))</f>
        <v>0</v>
      </c>
      <c r="Y53" s="6">
        <f ca="1">('TUSD BE'!$AM$10+'TUSD BF'!$AM$10+'TUSD CVA'!$AM$10)*1</f>
        <v>16.680041929169654</v>
      </c>
      <c r="Z53" s="6"/>
      <c r="AA53" s="6"/>
      <c r="AB53" s="6">
        <f>$K$53*$V$53</f>
        <v>71310.12</v>
      </c>
      <c r="AC53" s="6">
        <f>$M$53*$W$53</f>
        <v>0</v>
      </c>
      <c r="AD53" s="6">
        <f>$O$53*$X$53</f>
        <v>0</v>
      </c>
      <c r="AE53" s="6">
        <f ca="1">$K$53*$Y$53</f>
        <v>61566.034760565191</v>
      </c>
      <c r="AF53" s="6">
        <f>$M$53*$Z$53</f>
        <v>0</v>
      </c>
      <c r="AG53" s="6">
        <f>$O$53*$AA$53</f>
        <v>0</v>
      </c>
    </row>
    <row r="54" spans="1:33" ht="11.25" customHeight="1" x14ac:dyDescent="0.25">
      <c r="A54" s="4" t="s">
        <v>28</v>
      </c>
      <c r="B54" s="4" t="s">
        <v>33</v>
      </c>
      <c r="C54" s="4" t="s">
        <v>34</v>
      </c>
      <c r="D54" s="4" t="s">
        <v>42</v>
      </c>
      <c r="E54" s="4" t="s">
        <v>25</v>
      </c>
      <c r="F54" s="4" t="s">
        <v>25</v>
      </c>
      <c r="G54" s="4" t="s">
        <v>25</v>
      </c>
      <c r="H54" s="4" t="s">
        <v>25</v>
      </c>
      <c r="I54" s="5">
        <v>44470</v>
      </c>
      <c r="J54" s="6">
        <v>63</v>
      </c>
      <c r="K54" s="6">
        <v>63</v>
      </c>
      <c r="L54" s="6">
        <v>0</v>
      </c>
      <c r="M54" s="6">
        <v>0</v>
      </c>
      <c r="N54" s="6">
        <v>0</v>
      </c>
      <c r="O54" s="6">
        <v>0</v>
      </c>
      <c r="P54" s="6">
        <v>1</v>
      </c>
      <c r="Q54" s="4" t="s">
        <v>26</v>
      </c>
      <c r="R54" s="4">
        <v>0</v>
      </c>
      <c r="S54" s="6">
        <v>6</v>
      </c>
      <c r="T54" s="6">
        <v>0</v>
      </c>
      <c r="U54" s="6">
        <v>0</v>
      </c>
      <c r="V54" s="6">
        <f>IF(ISERROR(VLOOKUP($S$54,'TAR FIN'!$A$1:$O$85,15,0)),0,VLOOKUP($S$54,'TAR FIN'!$A$1:$O$85,15,0))</f>
        <v>19.32</v>
      </c>
      <c r="W54" s="6">
        <f>IF(ISERROR(VLOOKUP($T$54,'TAR FIN'!$A$1:$O$85,15,0)),0,VLOOKUP($T$54,'TAR FIN'!$A$1:$O$85,15,0))</f>
        <v>0</v>
      </c>
      <c r="X54" s="6">
        <f>IF(ISERROR(VLOOKUP($U$54,'TAR FIN'!$A$1:$O$85,15,0)),0,VLOOKUP($U$54,'TAR FIN'!$A$1:$O$85,15,0))</f>
        <v>0</v>
      </c>
      <c r="Y54" s="6">
        <f ca="1">('TUSD BE'!$AM$10+'TUSD BF'!$AM$10+'TUSD CVA'!$AM$10)*1</f>
        <v>16.680041929169654</v>
      </c>
      <c r="Z54" s="6"/>
      <c r="AA54" s="6"/>
      <c r="AB54" s="6">
        <f>$K$54*$V$54</f>
        <v>1217.1600000000001</v>
      </c>
      <c r="AC54" s="6">
        <f>$M$54*$W$54</f>
        <v>0</v>
      </c>
      <c r="AD54" s="6">
        <f>$O$54*$X$54</f>
        <v>0</v>
      </c>
      <c r="AE54" s="6">
        <f ca="1">$K$54*$Y$54</f>
        <v>1050.8426415376882</v>
      </c>
      <c r="AF54" s="6">
        <f>$M$54*$Z$54</f>
        <v>0</v>
      </c>
      <c r="AG54" s="6">
        <f>$O$54*$AA$54</f>
        <v>0</v>
      </c>
    </row>
    <row r="55" spans="1:33" ht="11.25" customHeight="1" x14ac:dyDescent="0.25">
      <c r="A55" s="4" t="s">
        <v>21</v>
      </c>
      <c r="B55" s="4" t="s">
        <v>33</v>
      </c>
      <c r="C55" s="4" t="s">
        <v>34</v>
      </c>
      <c r="D55" s="4" t="s">
        <v>42</v>
      </c>
      <c r="E55" s="4" t="s">
        <v>25</v>
      </c>
      <c r="F55" s="4" t="s">
        <v>25</v>
      </c>
      <c r="G55" s="4" t="s">
        <v>25</v>
      </c>
      <c r="H55" s="4" t="s">
        <v>25</v>
      </c>
      <c r="I55" s="5">
        <v>44501</v>
      </c>
      <c r="J55" s="6">
        <v>3825</v>
      </c>
      <c r="K55" s="6">
        <v>3825</v>
      </c>
      <c r="L55" s="6">
        <v>0</v>
      </c>
      <c r="M55" s="6">
        <v>0</v>
      </c>
      <c r="N55" s="6">
        <v>0</v>
      </c>
      <c r="O55" s="6">
        <v>0</v>
      </c>
      <c r="P55" s="6">
        <v>35</v>
      </c>
      <c r="Q55" s="4" t="s">
        <v>26</v>
      </c>
      <c r="R55" s="4">
        <v>0</v>
      </c>
      <c r="S55" s="6">
        <v>6</v>
      </c>
      <c r="T55" s="6">
        <v>0</v>
      </c>
      <c r="U55" s="6">
        <v>0</v>
      </c>
      <c r="V55" s="6">
        <f>IF(ISERROR(VLOOKUP($S$55,'TAR FIN'!$A$1:$O$85,15,0)),0,VLOOKUP($S$55,'TAR FIN'!$A$1:$O$85,15,0))</f>
        <v>19.32</v>
      </c>
      <c r="W55" s="6">
        <f>IF(ISERROR(VLOOKUP($T$55,'TAR FIN'!$A$1:$O$85,15,0)),0,VLOOKUP($T$55,'TAR FIN'!$A$1:$O$85,15,0))</f>
        <v>0</v>
      </c>
      <c r="X55" s="6">
        <f>IF(ISERROR(VLOOKUP($U$55,'TAR FIN'!$A$1:$O$85,15,0)),0,VLOOKUP($U$55,'TAR FIN'!$A$1:$O$85,15,0))</f>
        <v>0</v>
      </c>
      <c r="Y55" s="6">
        <f ca="1">('TUSD BE'!$AM$10+'TUSD BF'!$AM$10+'TUSD CVA'!$AM$10)*1</f>
        <v>16.680041929169654</v>
      </c>
      <c r="Z55" s="6"/>
      <c r="AA55" s="6"/>
      <c r="AB55" s="6">
        <f>$K$55*$V$55</f>
        <v>73899</v>
      </c>
      <c r="AC55" s="6">
        <f>$M$55*$W$55</f>
        <v>0</v>
      </c>
      <c r="AD55" s="6">
        <f>$O$55*$X$55</f>
        <v>0</v>
      </c>
      <c r="AE55" s="6">
        <f ca="1">$K$55*$Y$55</f>
        <v>63801.160379073925</v>
      </c>
      <c r="AF55" s="6">
        <f>$M$55*$Z$55</f>
        <v>0</v>
      </c>
      <c r="AG55" s="6">
        <f>$O$55*$AA$55</f>
        <v>0</v>
      </c>
    </row>
    <row r="56" spans="1:33" ht="11.25" customHeight="1" x14ac:dyDescent="0.25">
      <c r="A56" s="4" t="s">
        <v>28</v>
      </c>
      <c r="B56" s="4" t="s">
        <v>33</v>
      </c>
      <c r="C56" s="4" t="s">
        <v>34</v>
      </c>
      <c r="D56" s="4" t="s">
        <v>42</v>
      </c>
      <c r="E56" s="4" t="s">
        <v>25</v>
      </c>
      <c r="F56" s="4" t="s">
        <v>25</v>
      </c>
      <c r="G56" s="4" t="s">
        <v>25</v>
      </c>
      <c r="H56" s="4" t="s">
        <v>25</v>
      </c>
      <c r="I56" s="5">
        <v>44501</v>
      </c>
      <c r="J56" s="6">
        <v>66</v>
      </c>
      <c r="K56" s="6">
        <v>66</v>
      </c>
      <c r="L56" s="6">
        <v>0</v>
      </c>
      <c r="M56" s="6">
        <v>0</v>
      </c>
      <c r="N56" s="6">
        <v>0</v>
      </c>
      <c r="O56" s="6">
        <v>0</v>
      </c>
      <c r="P56" s="6">
        <v>1</v>
      </c>
      <c r="Q56" s="4" t="s">
        <v>26</v>
      </c>
      <c r="R56" s="4">
        <v>0</v>
      </c>
      <c r="S56" s="6">
        <v>6</v>
      </c>
      <c r="T56" s="6">
        <v>0</v>
      </c>
      <c r="U56" s="6">
        <v>0</v>
      </c>
      <c r="V56" s="6">
        <f>IF(ISERROR(VLOOKUP($S$56,'TAR FIN'!$A$1:$O$85,15,0)),0,VLOOKUP($S$56,'TAR FIN'!$A$1:$O$85,15,0))</f>
        <v>19.32</v>
      </c>
      <c r="W56" s="6">
        <f>IF(ISERROR(VLOOKUP($T$56,'TAR FIN'!$A$1:$O$85,15,0)),0,VLOOKUP($T$56,'TAR FIN'!$A$1:$O$85,15,0))</f>
        <v>0</v>
      </c>
      <c r="X56" s="6">
        <f>IF(ISERROR(VLOOKUP($U$56,'TAR FIN'!$A$1:$O$85,15,0)),0,VLOOKUP($U$56,'TAR FIN'!$A$1:$O$85,15,0))</f>
        <v>0</v>
      </c>
      <c r="Y56" s="6">
        <f ca="1">('TUSD BE'!$AM$10+'TUSD BF'!$AM$10+'TUSD CVA'!$AM$10)*1</f>
        <v>16.680041929169654</v>
      </c>
      <c r="Z56" s="6"/>
      <c r="AA56" s="6"/>
      <c r="AB56" s="6">
        <f>$K$56*$V$56</f>
        <v>1275.1200000000001</v>
      </c>
      <c r="AC56" s="6">
        <f>$M$56*$W$56</f>
        <v>0</v>
      </c>
      <c r="AD56" s="6">
        <f>$O$56*$X$56</f>
        <v>0</v>
      </c>
      <c r="AE56" s="6">
        <f ca="1">$K$56*$Y$56</f>
        <v>1100.8827673251972</v>
      </c>
      <c r="AF56" s="6">
        <f>$M$56*$Z$56</f>
        <v>0</v>
      </c>
      <c r="AG56" s="6">
        <f>$O$56*$AA$56</f>
        <v>0</v>
      </c>
    </row>
    <row r="57" spans="1:33" ht="11.25" customHeight="1" x14ac:dyDescent="0.25">
      <c r="A57" s="4" t="s">
        <v>21</v>
      </c>
      <c r="B57" s="4" t="s">
        <v>33</v>
      </c>
      <c r="C57" s="4" t="s">
        <v>34</v>
      </c>
      <c r="D57" s="4" t="s">
        <v>42</v>
      </c>
      <c r="E57" s="4" t="s">
        <v>25</v>
      </c>
      <c r="F57" s="4" t="s">
        <v>25</v>
      </c>
      <c r="G57" s="4" t="s">
        <v>25</v>
      </c>
      <c r="H57" s="4" t="s">
        <v>25</v>
      </c>
      <c r="I57" s="5">
        <v>44531</v>
      </c>
      <c r="J57" s="6">
        <v>3934</v>
      </c>
      <c r="K57" s="6">
        <v>3934</v>
      </c>
      <c r="L57" s="6">
        <v>0</v>
      </c>
      <c r="M57" s="6">
        <v>0</v>
      </c>
      <c r="N57" s="6">
        <v>0</v>
      </c>
      <c r="O57" s="6">
        <v>0</v>
      </c>
      <c r="P57" s="6">
        <v>36</v>
      </c>
      <c r="Q57" s="4" t="s">
        <v>26</v>
      </c>
      <c r="R57" s="4">
        <v>0</v>
      </c>
      <c r="S57" s="6">
        <v>6</v>
      </c>
      <c r="T57" s="6">
        <v>0</v>
      </c>
      <c r="U57" s="6">
        <v>0</v>
      </c>
      <c r="V57" s="6">
        <f>IF(ISERROR(VLOOKUP($S$57,'TAR FIN'!$A$1:$O$85,15,0)),0,VLOOKUP($S$57,'TAR FIN'!$A$1:$O$85,15,0))</f>
        <v>19.32</v>
      </c>
      <c r="W57" s="6">
        <f>IF(ISERROR(VLOOKUP($T$57,'TAR FIN'!$A$1:$O$85,15,0)),0,VLOOKUP($T$57,'TAR FIN'!$A$1:$O$85,15,0))</f>
        <v>0</v>
      </c>
      <c r="X57" s="6">
        <f>IF(ISERROR(VLOOKUP($U$57,'TAR FIN'!$A$1:$O$85,15,0)),0,VLOOKUP($U$57,'TAR FIN'!$A$1:$O$85,15,0))</f>
        <v>0</v>
      </c>
      <c r="Y57" s="6">
        <f ca="1">('TUSD BE'!$AM$10+'TUSD BF'!$AM$10+'TUSD CVA'!$AM$10)*1</f>
        <v>16.680041929169654</v>
      </c>
      <c r="Z57" s="6"/>
      <c r="AA57" s="6"/>
      <c r="AB57" s="6">
        <f>$K$57*$V$57</f>
        <v>76004.88</v>
      </c>
      <c r="AC57" s="6">
        <f>$M$57*$W$57</f>
        <v>0</v>
      </c>
      <c r="AD57" s="6">
        <f>$O$57*$X$57</f>
        <v>0</v>
      </c>
      <c r="AE57" s="6">
        <f ca="1">$K$57*$Y$57</f>
        <v>65619.284949353416</v>
      </c>
      <c r="AF57" s="6">
        <f>$M$57*$Z$57</f>
        <v>0</v>
      </c>
      <c r="AG57" s="6">
        <f>$O$57*$AA$57</f>
        <v>0</v>
      </c>
    </row>
    <row r="58" spans="1:33" ht="11.25" customHeight="1" x14ac:dyDescent="0.25">
      <c r="A58" s="4" t="s">
        <v>28</v>
      </c>
      <c r="B58" s="4" t="s">
        <v>33</v>
      </c>
      <c r="C58" s="4" t="s">
        <v>34</v>
      </c>
      <c r="D58" s="4" t="s">
        <v>42</v>
      </c>
      <c r="E58" s="4" t="s">
        <v>25</v>
      </c>
      <c r="F58" s="4" t="s">
        <v>25</v>
      </c>
      <c r="G58" s="4" t="s">
        <v>25</v>
      </c>
      <c r="H58" s="4" t="s">
        <v>25</v>
      </c>
      <c r="I58" s="5">
        <v>44531</v>
      </c>
      <c r="J58" s="6">
        <v>63</v>
      </c>
      <c r="K58" s="6">
        <v>63</v>
      </c>
      <c r="L58" s="6">
        <v>0</v>
      </c>
      <c r="M58" s="6">
        <v>0</v>
      </c>
      <c r="N58" s="6">
        <v>0</v>
      </c>
      <c r="O58" s="6">
        <v>0</v>
      </c>
      <c r="P58" s="6">
        <v>1</v>
      </c>
      <c r="Q58" s="4" t="s">
        <v>26</v>
      </c>
      <c r="R58" s="4">
        <v>0</v>
      </c>
      <c r="S58" s="6">
        <v>6</v>
      </c>
      <c r="T58" s="6">
        <v>0</v>
      </c>
      <c r="U58" s="6">
        <v>0</v>
      </c>
      <c r="V58" s="6">
        <f>IF(ISERROR(VLOOKUP($S$58,'TAR FIN'!$A$1:$O$85,15,0)),0,VLOOKUP($S$58,'TAR FIN'!$A$1:$O$85,15,0))</f>
        <v>19.32</v>
      </c>
      <c r="W58" s="6">
        <f>IF(ISERROR(VLOOKUP($T$58,'TAR FIN'!$A$1:$O$85,15,0)),0,VLOOKUP($T$58,'TAR FIN'!$A$1:$O$85,15,0))</f>
        <v>0</v>
      </c>
      <c r="X58" s="6">
        <f>IF(ISERROR(VLOOKUP($U$58,'TAR FIN'!$A$1:$O$85,15,0)),0,VLOOKUP($U$58,'TAR FIN'!$A$1:$O$85,15,0))</f>
        <v>0</v>
      </c>
      <c r="Y58" s="6">
        <f ca="1">('TUSD BE'!$AM$10+'TUSD BF'!$AM$10+'TUSD CVA'!$AM$10)*1</f>
        <v>16.680041929169654</v>
      </c>
      <c r="Z58" s="6"/>
      <c r="AA58" s="6"/>
      <c r="AB58" s="6">
        <f>$K$58*$V$58</f>
        <v>1217.1600000000001</v>
      </c>
      <c r="AC58" s="6">
        <f>$M$58*$W$58</f>
        <v>0</v>
      </c>
      <c r="AD58" s="6">
        <f>$O$58*$X$58</f>
        <v>0</v>
      </c>
      <c r="AE58" s="6">
        <f ca="1">$K$58*$Y$58</f>
        <v>1050.8426415376882</v>
      </c>
      <c r="AF58" s="6">
        <f>$M$58*$Z$58</f>
        <v>0</v>
      </c>
      <c r="AG58" s="6">
        <f>$O$58*$AA$58</f>
        <v>0</v>
      </c>
    </row>
    <row r="59" spans="1:33" ht="11.25" customHeight="1" x14ac:dyDescent="0.25">
      <c r="A59" s="4" t="s">
        <v>21</v>
      </c>
      <c r="B59" s="4" t="s">
        <v>33</v>
      </c>
      <c r="C59" s="4" t="s">
        <v>34</v>
      </c>
      <c r="D59" s="4" t="s">
        <v>42</v>
      </c>
      <c r="E59" s="4" t="s">
        <v>25</v>
      </c>
      <c r="F59" s="4" t="s">
        <v>25</v>
      </c>
      <c r="G59" s="4" t="s">
        <v>25</v>
      </c>
      <c r="H59" s="4" t="s">
        <v>25</v>
      </c>
      <c r="I59" s="5">
        <v>44562</v>
      </c>
      <c r="J59" s="6">
        <v>4124</v>
      </c>
      <c r="K59" s="6">
        <v>4124</v>
      </c>
      <c r="L59" s="6">
        <v>0</v>
      </c>
      <c r="M59" s="6">
        <v>0</v>
      </c>
      <c r="N59" s="6">
        <v>0</v>
      </c>
      <c r="O59" s="6">
        <v>0</v>
      </c>
      <c r="P59" s="6">
        <v>39</v>
      </c>
      <c r="Q59" s="4" t="s">
        <v>26</v>
      </c>
      <c r="R59" s="4">
        <v>0</v>
      </c>
      <c r="S59" s="6">
        <v>6</v>
      </c>
      <c r="T59" s="6">
        <v>0</v>
      </c>
      <c r="U59" s="6">
        <v>0</v>
      </c>
      <c r="V59" s="6">
        <f>IF(ISERROR(VLOOKUP($S$59,'TAR FIN'!$A$1:$O$85,15,0)),0,VLOOKUP($S$59,'TAR FIN'!$A$1:$O$85,15,0))</f>
        <v>19.32</v>
      </c>
      <c r="W59" s="6">
        <f>IF(ISERROR(VLOOKUP($T$59,'TAR FIN'!$A$1:$O$85,15,0)),0,VLOOKUP($T$59,'TAR FIN'!$A$1:$O$85,15,0))</f>
        <v>0</v>
      </c>
      <c r="X59" s="6">
        <f>IF(ISERROR(VLOOKUP($U$59,'TAR FIN'!$A$1:$O$85,15,0)),0,VLOOKUP($U$59,'TAR FIN'!$A$1:$O$85,15,0))</f>
        <v>0</v>
      </c>
      <c r="Y59" s="6">
        <f ca="1">('TUSD BE'!$AM$10+'TUSD BF'!$AM$10+'TUSD CVA'!$AM$10)*1</f>
        <v>16.680041929169654</v>
      </c>
      <c r="Z59" s="6"/>
      <c r="AA59" s="6"/>
      <c r="AB59" s="6">
        <f>$K$59*$V$59</f>
        <v>79675.680000000008</v>
      </c>
      <c r="AC59" s="6">
        <f>$M$59*$W$59</f>
        <v>0</v>
      </c>
      <c r="AD59" s="6">
        <f>$O$59*$X$59</f>
        <v>0</v>
      </c>
      <c r="AE59" s="6">
        <f ca="1">$K$59*$Y$59</f>
        <v>68788.492915895651</v>
      </c>
      <c r="AF59" s="6">
        <f>$M$59*$Z$59</f>
        <v>0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33</v>
      </c>
      <c r="C60" s="4" t="s">
        <v>34</v>
      </c>
      <c r="D60" s="4" t="s">
        <v>42</v>
      </c>
      <c r="E60" s="4" t="s">
        <v>25</v>
      </c>
      <c r="F60" s="4" t="s">
        <v>25</v>
      </c>
      <c r="G60" s="4" t="s">
        <v>25</v>
      </c>
      <c r="H60" s="4" t="s">
        <v>25</v>
      </c>
      <c r="I60" s="5">
        <v>44593</v>
      </c>
      <c r="J60" s="6">
        <v>4179</v>
      </c>
      <c r="K60" s="6">
        <v>4179</v>
      </c>
      <c r="L60" s="6">
        <v>0</v>
      </c>
      <c r="M60" s="6">
        <v>0</v>
      </c>
      <c r="N60" s="6">
        <v>0</v>
      </c>
      <c r="O60" s="6">
        <v>0</v>
      </c>
      <c r="P60" s="6">
        <v>39</v>
      </c>
      <c r="Q60" s="4" t="s">
        <v>26</v>
      </c>
      <c r="R60" s="4">
        <v>0</v>
      </c>
      <c r="S60" s="6">
        <v>6</v>
      </c>
      <c r="T60" s="6">
        <v>0</v>
      </c>
      <c r="U60" s="6">
        <v>0</v>
      </c>
      <c r="V60" s="6">
        <f>IF(ISERROR(VLOOKUP($S$60,'TAR FIN'!$A$1:$O$85,15,0)),0,VLOOKUP($S$60,'TAR FIN'!$A$1:$O$85,15,0))</f>
        <v>19.32</v>
      </c>
      <c r="W60" s="6">
        <f>IF(ISERROR(VLOOKUP($T$60,'TAR FIN'!$A$1:$O$85,15,0)),0,VLOOKUP($T$60,'TAR FIN'!$A$1:$O$85,15,0))</f>
        <v>0</v>
      </c>
      <c r="X60" s="6">
        <f>IF(ISERROR(VLOOKUP($U$60,'TAR FIN'!$A$1:$O$85,15,0)),0,VLOOKUP($U$60,'TAR FIN'!$A$1:$O$85,15,0))</f>
        <v>0</v>
      </c>
      <c r="Y60" s="6">
        <f ca="1">('TUSD BE'!$AM$10+'TUSD BF'!$AM$10+'TUSD CVA'!$AM$10)*1</f>
        <v>16.680041929169654</v>
      </c>
      <c r="Z60" s="6"/>
      <c r="AA60" s="6"/>
      <c r="AB60" s="6">
        <f>$K$60*$V$60</f>
        <v>80738.28</v>
      </c>
      <c r="AC60" s="6">
        <f>$M$60*$W$60</f>
        <v>0</v>
      </c>
      <c r="AD60" s="6">
        <f>$O$60*$X$60</f>
        <v>0</v>
      </c>
      <c r="AE60" s="6">
        <f ca="1">$K$60*$Y$60</f>
        <v>69705.895221999992</v>
      </c>
      <c r="AF60" s="6">
        <f>$M$60*$Z$60</f>
        <v>0</v>
      </c>
      <c r="AG60" s="6">
        <f>$O$60*$AA$60</f>
        <v>0</v>
      </c>
    </row>
    <row r="61" spans="1:33" ht="11.25" customHeight="1" x14ac:dyDescent="0.25">
      <c r="A61" s="4" t="s">
        <v>21</v>
      </c>
      <c r="B61" s="4" t="s">
        <v>33</v>
      </c>
      <c r="C61" s="4" t="s">
        <v>34</v>
      </c>
      <c r="D61" s="4" t="s">
        <v>42</v>
      </c>
      <c r="E61" s="4" t="s">
        <v>25</v>
      </c>
      <c r="F61" s="4" t="s">
        <v>25</v>
      </c>
      <c r="G61" s="4" t="s">
        <v>25</v>
      </c>
      <c r="H61" s="4" t="s">
        <v>25</v>
      </c>
      <c r="I61" s="5">
        <v>44621</v>
      </c>
      <c r="J61" s="6">
        <v>4232</v>
      </c>
      <c r="K61" s="6">
        <v>4232</v>
      </c>
      <c r="L61" s="6">
        <v>0</v>
      </c>
      <c r="M61" s="6">
        <v>0</v>
      </c>
      <c r="N61" s="6">
        <v>0</v>
      </c>
      <c r="O61" s="6">
        <v>0</v>
      </c>
      <c r="P61" s="6">
        <v>38</v>
      </c>
      <c r="Q61" s="4" t="s">
        <v>26</v>
      </c>
      <c r="R61" s="4">
        <v>0</v>
      </c>
      <c r="S61" s="6">
        <v>6</v>
      </c>
      <c r="T61" s="6">
        <v>0</v>
      </c>
      <c r="U61" s="6">
        <v>0</v>
      </c>
      <c r="V61" s="6">
        <f>IF(ISERROR(VLOOKUP($S$61,'TAR FIN'!$A$1:$O$85,15,0)),0,VLOOKUP($S$61,'TAR FIN'!$A$1:$O$85,15,0))</f>
        <v>19.32</v>
      </c>
      <c r="W61" s="6">
        <f>IF(ISERROR(VLOOKUP($T$61,'TAR FIN'!$A$1:$O$85,15,0)),0,VLOOKUP($T$61,'TAR FIN'!$A$1:$O$85,15,0))</f>
        <v>0</v>
      </c>
      <c r="X61" s="6">
        <f>IF(ISERROR(VLOOKUP($U$61,'TAR FIN'!$A$1:$O$85,15,0)),0,VLOOKUP($U$61,'TAR FIN'!$A$1:$O$85,15,0))</f>
        <v>0</v>
      </c>
      <c r="Y61" s="6">
        <f ca="1">('TUSD BE'!$AM$10+'TUSD BF'!$AM$10+'TUSD CVA'!$AM$10)*1</f>
        <v>16.680041929169654</v>
      </c>
      <c r="Z61" s="6"/>
      <c r="AA61" s="6"/>
      <c r="AB61" s="6">
        <f>$K$61*$V$61</f>
        <v>81762.240000000005</v>
      </c>
      <c r="AC61" s="6">
        <f>$M$61*$W$61</f>
        <v>0</v>
      </c>
      <c r="AD61" s="6">
        <f>$O$61*$X$61</f>
        <v>0</v>
      </c>
      <c r="AE61" s="6">
        <f ca="1">$K$61*$Y$61</f>
        <v>70589.937444245981</v>
      </c>
      <c r="AF61" s="6">
        <f>$M$61*$Z$61</f>
        <v>0</v>
      </c>
      <c r="AG61" s="6">
        <f>$O$61*$AA$61</f>
        <v>0</v>
      </c>
    </row>
    <row r="62" spans="1:33" ht="11.25" customHeight="1" x14ac:dyDescent="0.25">
      <c r="A62" s="4" t="s">
        <v>28</v>
      </c>
      <c r="B62" s="4" t="s">
        <v>33</v>
      </c>
      <c r="C62" s="4" t="s">
        <v>34</v>
      </c>
      <c r="D62" s="4" t="s">
        <v>42</v>
      </c>
      <c r="E62" s="4" t="s">
        <v>25</v>
      </c>
      <c r="F62" s="4" t="s">
        <v>25</v>
      </c>
      <c r="G62" s="4" t="s">
        <v>25</v>
      </c>
      <c r="H62" s="4" t="s">
        <v>25</v>
      </c>
      <c r="I62" s="5">
        <v>44621</v>
      </c>
      <c r="J62" s="6">
        <v>81</v>
      </c>
      <c r="K62" s="6">
        <v>81</v>
      </c>
      <c r="L62" s="6">
        <v>0</v>
      </c>
      <c r="M62" s="6">
        <v>0</v>
      </c>
      <c r="N62" s="6">
        <v>0</v>
      </c>
      <c r="O62" s="6">
        <v>0</v>
      </c>
      <c r="P62" s="6">
        <v>1</v>
      </c>
      <c r="Q62" s="4" t="s">
        <v>26</v>
      </c>
      <c r="R62" s="4">
        <v>0</v>
      </c>
      <c r="S62" s="6">
        <v>6</v>
      </c>
      <c r="T62" s="6">
        <v>0</v>
      </c>
      <c r="U62" s="6">
        <v>0</v>
      </c>
      <c r="V62" s="6">
        <f>IF(ISERROR(VLOOKUP($S$62,'TAR FIN'!$A$1:$O$85,15,0)),0,VLOOKUP($S$62,'TAR FIN'!$A$1:$O$85,15,0))</f>
        <v>19.32</v>
      </c>
      <c r="W62" s="6">
        <f>IF(ISERROR(VLOOKUP($T$62,'TAR FIN'!$A$1:$O$85,15,0)),0,VLOOKUP($T$62,'TAR FIN'!$A$1:$O$85,15,0))</f>
        <v>0</v>
      </c>
      <c r="X62" s="6">
        <f>IF(ISERROR(VLOOKUP($U$62,'TAR FIN'!$A$1:$O$85,15,0)),0,VLOOKUP($U$62,'TAR FIN'!$A$1:$O$85,15,0))</f>
        <v>0</v>
      </c>
      <c r="Y62" s="6">
        <f ca="1">('TUSD BE'!$AM$10+'TUSD BF'!$AM$10+'TUSD CVA'!$AM$10)*1</f>
        <v>16.680041929169654</v>
      </c>
      <c r="Z62" s="6"/>
      <c r="AA62" s="6"/>
      <c r="AB62" s="6">
        <f>$K$62*$V$62</f>
        <v>1564.92</v>
      </c>
      <c r="AC62" s="6">
        <f>$M$62*$W$62</f>
        <v>0</v>
      </c>
      <c r="AD62" s="6">
        <f>$O$62*$X$62</f>
        <v>0</v>
      </c>
      <c r="AE62" s="6">
        <f ca="1">$K$62*$Y$62</f>
        <v>1351.0833962627421</v>
      </c>
      <c r="AF62" s="6">
        <f>$M$62*$Z$62</f>
        <v>0</v>
      </c>
      <c r="AG62" s="6">
        <f>$O$62*$AA$62</f>
        <v>0</v>
      </c>
    </row>
    <row r="63" spans="1:33" ht="11.25" customHeight="1" x14ac:dyDescent="0.25">
      <c r="A63" s="4" t="s">
        <v>21</v>
      </c>
      <c r="B63" s="4" t="s">
        <v>33</v>
      </c>
      <c r="C63" s="4" t="s">
        <v>34</v>
      </c>
      <c r="D63" s="4" t="s">
        <v>42</v>
      </c>
      <c r="E63" s="4" t="s">
        <v>25</v>
      </c>
      <c r="F63" s="4" t="s">
        <v>25</v>
      </c>
      <c r="G63" s="4" t="s">
        <v>25</v>
      </c>
      <c r="H63" s="4" t="s">
        <v>25</v>
      </c>
      <c r="I63" s="5">
        <v>44652</v>
      </c>
      <c r="J63" s="6">
        <v>4318</v>
      </c>
      <c r="K63" s="6">
        <v>4318</v>
      </c>
      <c r="L63" s="6">
        <v>0</v>
      </c>
      <c r="M63" s="6">
        <v>0</v>
      </c>
      <c r="N63" s="6">
        <v>0</v>
      </c>
      <c r="O63" s="6">
        <v>0</v>
      </c>
      <c r="P63" s="6">
        <v>38</v>
      </c>
      <c r="Q63" s="4" t="s">
        <v>26</v>
      </c>
      <c r="R63" s="4">
        <v>0</v>
      </c>
      <c r="S63" s="6">
        <v>6</v>
      </c>
      <c r="T63" s="6">
        <v>0</v>
      </c>
      <c r="U63" s="6">
        <v>0</v>
      </c>
      <c r="V63" s="6">
        <f>IF(ISERROR(VLOOKUP($S$63,'TAR FIN'!$A$1:$O$85,15,0)),0,VLOOKUP($S$63,'TAR FIN'!$A$1:$O$85,15,0))</f>
        <v>19.32</v>
      </c>
      <c r="W63" s="6">
        <f>IF(ISERROR(VLOOKUP($T$63,'TAR FIN'!$A$1:$O$85,15,0)),0,VLOOKUP($T$63,'TAR FIN'!$A$1:$O$85,15,0))</f>
        <v>0</v>
      </c>
      <c r="X63" s="6">
        <f>IF(ISERROR(VLOOKUP($U$63,'TAR FIN'!$A$1:$O$85,15,0)),0,VLOOKUP($U$63,'TAR FIN'!$A$1:$O$85,15,0))</f>
        <v>0</v>
      </c>
      <c r="Y63" s="6">
        <f ca="1">('TUSD BE'!$AM$10+'TUSD BF'!$AM$10+'TUSD CVA'!$AM$10)*1</f>
        <v>16.680041929169654</v>
      </c>
      <c r="Z63" s="6"/>
      <c r="AA63" s="6"/>
      <c r="AB63" s="6">
        <f>$K$63*$V$63</f>
        <v>83423.759999999995</v>
      </c>
      <c r="AC63" s="6">
        <f>$M$63*$W$63</f>
        <v>0</v>
      </c>
      <c r="AD63" s="6">
        <f>$O$63*$X$63</f>
        <v>0</v>
      </c>
      <c r="AE63" s="6">
        <f ca="1">$K$63*$Y$63</f>
        <v>72024.42105015456</v>
      </c>
      <c r="AF63" s="6">
        <f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33</v>
      </c>
      <c r="C64" s="4" t="s">
        <v>34</v>
      </c>
      <c r="D64" s="4" t="s">
        <v>42</v>
      </c>
      <c r="E64" s="4" t="s">
        <v>25</v>
      </c>
      <c r="F64" s="4" t="s">
        <v>25</v>
      </c>
      <c r="G64" s="4" t="s">
        <v>25</v>
      </c>
      <c r="H64" s="4" t="s">
        <v>35</v>
      </c>
      <c r="I64" s="5">
        <v>44317</v>
      </c>
      <c r="J64" s="6">
        <v>0</v>
      </c>
      <c r="K64" s="6">
        <v>0</v>
      </c>
      <c r="L64" s="6">
        <v>46.808</v>
      </c>
      <c r="M64" s="6">
        <v>46.808</v>
      </c>
      <c r="N64" s="6">
        <v>46.808</v>
      </c>
      <c r="O64" s="6">
        <v>46.808</v>
      </c>
      <c r="P64" s="6">
        <v>0</v>
      </c>
      <c r="Q64" s="4" t="s">
        <v>26</v>
      </c>
      <c r="R64" s="4">
        <v>0</v>
      </c>
      <c r="S64" s="6">
        <v>0</v>
      </c>
      <c r="T64" s="6">
        <v>7</v>
      </c>
      <c r="U64" s="6">
        <v>48</v>
      </c>
      <c r="V64" s="6">
        <f>IF(ISERROR(VLOOKUP($S$64,'TAR FIN'!$A$1:$O$85,15,0)),0,VLOOKUP($S$64,'TAR FIN'!$A$1:$O$85,15,0))</f>
        <v>0</v>
      </c>
      <c r="W64" s="6">
        <f>IF(ISERROR(VLOOKUP($T$64,'TAR FIN'!$A$1:$O$85,15,0)),0,VLOOKUP($T$64,'TAR FIN'!$A$1:$O$85,15,0))</f>
        <v>948.15</v>
      </c>
      <c r="X64" s="6">
        <f>IF(ISERROR(VLOOKUP($U$64,'TAR FIN'!$A$1:$O$85,15,0)),0,VLOOKUP($U$64,'TAR FIN'!$A$1:$O$85,15,0))</f>
        <v>263.29000000000002</v>
      </c>
      <c r="Y64" s="6"/>
      <c r="Z64" s="6">
        <f ca="1">('TUSD BE'!$AM$11+'TUSD BF'!$AM$11+'TUSD CVA'!$AM$11)*1</f>
        <v>976.42305228824534</v>
      </c>
      <c r="AA64" s="6">
        <f>('TE BE'!$AA$5+'TE BF'!$AA$5+'TE CVA'!$AA$5)*1</f>
        <v>210.64397598313801</v>
      </c>
      <c r="AB64" s="6">
        <f>$K$64*$V$64</f>
        <v>0</v>
      </c>
      <c r="AC64" s="6">
        <f>$M$64*$W$64</f>
        <v>44381.0052</v>
      </c>
      <c r="AD64" s="6">
        <f>$O$64*$X$64</f>
        <v>12324.078320000001</v>
      </c>
      <c r="AE64" s="6">
        <f>$K$64*$Y$64</f>
        <v>0</v>
      </c>
      <c r="AF64" s="6">
        <f ca="1">$M$64*$Z$64</f>
        <v>45704.410231508191</v>
      </c>
      <c r="AG64" s="6">
        <f>$O$64*$AA$64</f>
        <v>9859.8232278187243</v>
      </c>
    </row>
    <row r="65" spans="1:33" ht="11.25" customHeight="1" x14ac:dyDescent="0.25">
      <c r="A65" s="4" t="s">
        <v>21</v>
      </c>
      <c r="B65" s="4" t="s">
        <v>33</v>
      </c>
      <c r="C65" s="4" t="s">
        <v>34</v>
      </c>
      <c r="D65" s="4" t="s">
        <v>42</v>
      </c>
      <c r="E65" s="4" t="s">
        <v>25</v>
      </c>
      <c r="F65" s="4" t="s">
        <v>25</v>
      </c>
      <c r="G65" s="4" t="s">
        <v>25</v>
      </c>
      <c r="H65" s="4" t="s">
        <v>35</v>
      </c>
      <c r="I65" s="5">
        <v>44348</v>
      </c>
      <c r="J65" s="6">
        <v>0</v>
      </c>
      <c r="K65" s="6">
        <v>0</v>
      </c>
      <c r="L65" s="6">
        <v>47.941000000000003</v>
      </c>
      <c r="M65" s="6">
        <v>47.941000000000003</v>
      </c>
      <c r="N65" s="6">
        <v>47.941000000000003</v>
      </c>
      <c r="O65" s="6">
        <v>47.941000000000003</v>
      </c>
      <c r="P65" s="6">
        <v>0</v>
      </c>
      <c r="Q65" s="4" t="s">
        <v>26</v>
      </c>
      <c r="R65" s="4">
        <v>0</v>
      </c>
      <c r="S65" s="6">
        <v>0</v>
      </c>
      <c r="T65" s="6">
        <v>7</v>
      </c>
      <c r="U65" s="6">
        <v>48</v>
      </c>
      <c r="V65" s="6">
        <f>IF(ISERROR(VLOOKUP($S$65,'TAR FIN'!$A$1:$O$85,15,0)),0,VLOOKUP($S$65,'TAR FIN'!$A$1:$O$85,15,0))</f>
        <v>0</v>
      </c>
      <c r="W65" s="6">
        <f>IF(ISERROR(VLOOKUP($T$65,'TAR FIN'!$A$1:$O$85,15,0)),0,VLOOKUP($T$65,'TAR FIN'!$A$1:$O$85,15,0))</f>
        <v>948.15</v>
      </c>
      <c r="X65" s="6">
        <f>IF(ISERROR(VLOOKUP($U$65,'TAR FIN'!$A$1:$O$85,15,0)),0,VLOOKUP($U$65,'TAR FIN'!$A$1:$O$85,15,0))</f>
        <v>263.29000000000002</v>
      </c>
      <c r="Y65" s="6"/>
      <c r="Z65" s="6">
        <f ca="1">('TUSD BE'!$AM$11+'TUSD BF'!$AM$11+'TUSD CVA'!$AM$11)*1</f>
        <v>976.42305228824534</v>
      </c>
      <c r="AA65" s="6">
        <f>('TE BE'!$AA$5+'TE BF'!$AA$5+'TE CVA'!$AA$5)*1</f>
        <v>210.64397598313801</v>
      </c>
      <c r="AB65" s="6">
        <f>$K$65*$V$65</f>
        <v>0</v>
      </c>
      <c r="AC65" s="6">
        <f>$M$65*$W$65</f>
        <v>45455.259149999998</v>
      </c>
      <c r="AD65" s="6">
        <f>$O$65*$X$65</f>
        <v>12622.385890000001</v>
      </c>
      <c r="AE65" s="6">
        <f>$K$65*$Y$65</f>
        <v>0</v>
      </c>
      <c r="AF65" s="6">
        <f ca="1">$M$65*$Z$65</f>
        <v>46810.697549750774</v>
      </c>
      <c r="AG65" s="6">
        <f>$O$65*$AA$65</f>
        <v>10098.48285260762</v>
      </c>
    </row>
    <row r="66" spans="1:33" ht="11.25" customHeight="1" x14ac:dyDescent="0.25">
      <c r="A66" s="4" t="s">
        <v>21</v>
      </c>
      <c r="B66" s="4" t="s">
        <v>33</v>
      </c>
      <c r="C66" s="4" t="s">
        <v>34</v>
      </c>
      <c r="D66" s="4" t="s">
        <v>42</v>
      </c>
      <c r="E66" s="4" t="s">
        <v>25</v>
      </c>
      <c r="F66" s="4" t="s">
        <v>25</v>
      </c>
      <c r="G66" s="4" t="s">
        <v>25</v>
      </c>
      <c r="H66" s="4" t="s">
        <v>35</v>
      </c>
      <c r="I66" s="5">
        <v>44378</v>
      </c>
      <c r="J66" s="6">
        <v>0</v>
      </c>
      <c r="K66" s="6">
        <v>0</v>
      </c>
      <c r="L66" s="6">
        <v>55.206000000000003</v>
      </c>
      <c r="M66" s="6">
        <v>55.206000000000003</v>
      </c>
      <c r="N66" s="6">
        <v>55.206000000000003</v>
      </c>
      <c r="O66" s="6">
        <v>55.206000000000003</v>
      </c>
      <c r="P66" s="6">
        <v>0</v>
      </c>
      <c r="Q66" s="4" t="s">
        <v>26</v>
      </c>
      <c r="R66" s="4">
        <v>0</v>
      </c>
      <c r="S66" s="6">
        <v>0</v>
      </c>
      <c r="T66" s="6">
        <v>7</v>
      </c>
      <c r="U66" s="6">
        <v>48</v>
      </c>
      <c r="V66" s="6">
        <f>IF(ISERROR(VLOOKUP($S$66,'TAR FIN'!$A$1:$O$85,15,0)),0,VLOOKUP($S$66,'TAR FIN'!$A$1:$O$85,15,0))</f>
        <v>0</v>
      </c>
      <c r="W66" s="6">
        <f>IF(ISERROR(VLOOKUP($T$66,'TAR FIN'!$A$1:$O$85,15,0)),0,VLOOKUP($T$66,'TAR FIN'!$A$1:$O$85,15,0))</f>
        <v>948.15</v>
      </c>
      <c r="X66" s="6">
        <f>IF(ISERROR(VLOOKUP($U$66,'TAR FIN'!$A$1:$O$85,15,0)),0,VLOOKUP($U$66,'TAR FIN'!$A$1:$O$85,15,0))</f>
        <v>263.29000000000002</v>
      </c>
      <c r="Y66" s="6"/>
      <c r="Z66" s="6">
        <f ca="1">('TUSD BE'!$AM$11+'TUSD BF'!$AM$11+'TUSD CVA'!$AM$11)*1</f>
        <v>976.42305228824534</v>
      </c>
      <c r="AA66" s="6">
        <f>('TE BE'!$AA$5+'TE BF'!$AA$5+'TE CVA'!$AA$5)*1</f>
        <v>210.64397598313801</v>
      </c>
      <c r="AB66" s="6">
        <f>$K$66*$V$66</f>
        <v>0</v>
      </c>
      <c r="AC66" s="6">
        <f>$M$66*$W$66</f>
        <v>52343.568899999998</v>
      </c>
      <c r="AD66" s="6">
        <f>$O$66*$X$66</f>
        <v>14535.187740000001</v>
      </c>
      <c r="AE66" s="6">
        <f>$K$66*$Y$66</f>
        <v>0</v>
      </c>
      <c r="AF66" s="6">
        <f ca="1">$M$66*$Z$66</f>
        <v>53904.411024624875</v>
      </c>
      <c r="AG66" s="6">
        <f>$O$66*$AA$66</f>
        <v>11628.811338125117</v>
      </c>
    </row>
    <row r="67" spans="1:33" ht="11.25" customHeight="1" x14ac:dyDescent="0.25">
      <c r="A67" s="4" t="s">
        <v>21</v>
      </c>
      <c r="B67" s="4" t="s">
        <v>33</v>
      </c>
      <c r="C67" s="4" t="s">
        <v>34</v>
      </c>
      <c r="D67" s="4" t="s">
        <v>42</v>
      </c>
      <c r="E67" s="4" t="s">
        <v>25</v>
      </c>
      <c r="F67" s="4" t="s">
        <v>25</v>
      </c>
      <c r="G67" s="4" t="s">
        <v>25</v>
      </c>
      <c r="H67" s="4" t="s">
        <v>35</v>
      </c>
      <c r="I67" s="5">
        <v>44409</v>
      </c>
      <c r="J67" s="6">
        <v>0</v>
      </c>
      <c r="K67" s="6">
        <v>0</v>
      </c>
      <c r="L67" s="6">
        <v>50.712000000000003</v>
      </c>
      <c r="M67" s="6">
        <v>50.712000000000003</v>
      </c>
      <c r="N67" s="6">
        <v>50.712000000000003</v>
      </c>
      <c r="O67" s="6">
        <v>50.712000000000003</v>
      </c>
      <c r="P67" s="6">
        <v>0</v>
      </c>
      <c r="Q67" s="4" t="s">
        <v>26</v>
      </c>
      <c r="R67" s="4">
        <v>0</v>
      </c>
      <c r="S67" s="6">
        <v>0</v>
      </c>
      <c r="T67" s="6">
        <v>7</v>
      </c>
      <c r="U67" s="6">
        <v>48</v>
      </c>
      <c r="V67" s="6">
        <f>IF(ISERROR(VLOOKUP($S$67,'TAR FIN'!$A$1:$O$85,15,0)),0,VLOOKUP($S$67,'TAR FIN'!$A$1:$O$85,15,0))</f>
        <v>0</v>
      </c>
      <c r="W67" s="6">
        <f>IF(ISERROR(VLOOKUP($T$67,'TAR FIN'!$A$1:$O$85,15,0)),0,VLOOKUP($T$67,'TAR FIN'!$A$1:$O$85,15,0))</f>
        <v>948.15</v>
      </c>
      <c r="X67" s="6">
        <f>IF(ISERROR(VLOOKUP($U$67,'TAR FIN'!$A$1:$O$85,15,0)),0,VLOOKUP($U$67,'TAR FIN'!$A$1:$O$85,15,0))</f>
        <v>263.29000000000002</v>
      </c>
      <c r="Y67" s="6"/>
      <c r="Z67" s="6">
        <f ca="1">('TUSD BE'!$AM$11+'TUSD BF'!$AM$11+'TUSD CVA'!$AM$11)*1</f>
        <v>976.42305228824534</v>
      </c>
      <c r="AA67" s="6">
        <f>('TE BE'!$AA$5+'TE BF'!$AA$5+'TE CVA'!$AA$5)*1</f>
        <v>210.64397598313801</v>
      </c>
      <c r="AB67" s="6">
        <f>$K$67*$V$67</f>
        <v>0</v>
      </c>
      <c r="AC67" s="6">
        <f>$M$67*$W$67</f>
        <v>48082.582800000004</v>
      </c>
      <c r="AD67" s="6">
        <f>$O$67*$X$67</f>
        <v>13351.962480000002</v>
      </c>
      <c r="AE67" s="6">
        <f>$K$67*$Y$67</f>
        <v>0</v>
      </c>
      <c r="AF67" s="6">
        <f ca="1">$M$67*$Z$67</f>
        <v>49516.365827641501</v>
      </c>
      <c r="AG67" s="6">
        <f>$O$67*$AA$67</f>
        <v>10682.177310056895</v>
      </c>
    </row>
    <row r="68" spans="1:33" ht="11.25" customHeight="1" x14ac:dyDescent="0.25">
      <c r="A68" s="4" t="s">
        <v>21</v>
      </c>
      <c r="B68" s="4" t="s">
        <v>33</v>
      </c>
      <c r="C68" s="4" t="s">
        <v>34</v>
      </c>
      <c r="D68" s="4" t="s">
        <v>42</v>
      </c>
      <c r="E68" s="4" t="s">
        <v>25</v>
      </c>
      <c r="F68" s="4" t="s">
        <v>25</v>
      </c>
      <c r="G68" s="4" t="s">
        <v>25</v>
      </c>
      <c r="H68" s="4" t="s">
        <v>35</v>
      </c>
      <c r="I68" s="5">
        <v>44440</v>
      </c>
      <c r="J68" s="6">
        <v>0</v>
      </c>
      <c r="K68" s="6">
        <v>0</v>
      </c>
      <c r="L68" s="6">
        <v>50.768000000000001</v>
      </c>
      <c r="M68" s="6">
        <v>50.768000000000001</v>
      </c>
      <c r="N68" s="6">
        <v>50.768000000000001</v>
      </c>
      <c r="O68" s="6">
        <v>50.768000000000001</v>
      </c>
      <c r="P68" s="6">
        <v>0</v>
      </c>
      <c r="Q68" s="4" t="s">
        <v>26</v>
      </c>
      <c r="R68" s="4">
        <v>0</v>
      </c>
      <c r="S68" s="6">
        <v>0</v>
      </c>
      <c r="T68" s="6">
        <v>7</v>
      </c>
      <c r="U68" s="6">
        <v>48</v>
      </c>
      <c r="V68" s="6">
        <f>IF(ISERROR(VLOOKUP($S$68,'TAR FIN'!$A$1:$O$85,15,0)),0,VLOOKUP($S$68,'TAR FIN'!$A$1:$O$85,15,0))</f>
        <v>0</v>
      </c>
      <c r="W68" s="6">
        <f>IF(ISERROR(VLOOKUP($T$68,'TAR FIN'!$A$1:$O$85,15,0)),0,VLOOKUP($T$68,'TAR FIN'!$A$1:$O$85,15,0))</f>
        <v>948.15</v>
      </c>
      <c r="X68" s="6">
        <f>IF(ISERROR(VLOOKUP($U$68,'TAR FIN'!$A$1:$O$85,15,0)),0,VLOOKUP($U$68,'TAR FIN'!$A$1:$O$85,15,0))</f>
        <v>263.29000000000002</v>
      </c>
      <c r="Y68" s="6"/>
      <c r="Z68" s="6">
        <f ca="1">('TUSD BE'!$AM$11+'TUSD BF'!$AM$11+'TUSD CVA'!$AM$11)*1</f>
        <v>976.42305228824534</v>
      </c>
      <c r="AA68" s="6">
        <f>('TE BE'!$AA$5+'TE BF'!$AA$5+'TE CVA'!$AA$5)*1</f>
        <v>210.64397598313801</v>
      </c>
      <c r="AB68" s="6">
        <f>$K$68*$V$68</f>
        <v>0</v>
      </c>
      <c r="AC68" s="6">
        <f>$M$68*$W$68</f>
        <v>48135.679199999999</v>
      </c>
      <c r="AD68" s="6">
        <f>$O$68*$X$68</f>
        <v>13366.706720000002</v>
      </c>
      <c r="AE68" s="6">
        <f>$K$68*$Y$68</f>
        <v>0</v>
      </c>
      <c r="AF68" s="6">
        <f ca="1">$M$68*$Z$68</f>
        <v>49571.045518569641</v>
      </c>
      <c r="AG68" s="6">
        <f>$O$68*$AA$68</f>
        <v>10693.973372711951</v>
      </c>
    </row>
    <row r="69" spans="1:33" ht="11.25" customHeight="1" x14ac:dyDescent="0.25">
      <c r="A69" s="4" t="s">
        <v>21</v>
      </c>
      <c r="B69" s="4" t="s">
        <v>33</v>
      </c>
      <c r="C69" s="4" t="s">
        <v>34</v>
      </c>
      <c r="D69" s="4" t="s">
        <v>42</v>
      </c>
      <c r="E69" s="4" t="s">
        <v>25</v>
      </c>
      <c r="F69" s="4" t="s">
        <v>25</v>
      </c>
      <c r="G69" s="4" t="s">
        <v>25</v>
      </c>
      <c r="H69" s="4" t="s">
        <v>35</v>
      </c>
      <c r="I69" s="5">
        <v>44470</v>
      </c>
      <c r="J69" s="6">
        <v>0</v>
      </c>
      <c r="K69" s="6">
        <v>0</v>
      </c>
      <c r="L69" s="6">
        <v>43.844999999999999</v>
      </c>
      <c r="M69" s="6">
        <v>43.844999999999999</v>
      </c>
      <c r="N69" s="6">
        <v>43.844999999999999</v>
      </c>
      <c r="O69" s="6">
        <v>43.844999999999999</v>
      </c>
      <c r="P69" s="6">
        <v>0</v>
      </c>
      <c r="Q69" s="4" t="s">
        <v>26</v>
      </c>
      <c r="R69" s="4">
        <v>0</v>
      </c>
      <c r="S69" s="6">
        <v>0</v>
      </c>
      <c r="T69" s="6">
        <v>7</v>
      </c>
      <c r="U69" s="6">
        <v>48</v>
      </c>
      <c r="V69" s="6">
        <f>IF(ISERROR(VLOOKUP($S$69,'TAR FIN'!$A$1:$O$85,15,0)),0,VLOOKUP($S$69,'TAR FIN'!$A$1:$O$85,15,0))</f>
        <v>0</v>
      </c>
      <c r="W69" s="6">
        <f>IF(ISERROR(VLOOKUP($T$69,'TAR FIN'!$A$1:$O$85,15,0)),0,VLOOKUP($T$69,'TAR FIN'!$A$1:$O$85,15,0))</f>
        <v>948.15</v>
      </c>
      <c r="X69" s="6">
        <f>IF(ISERROR(VLOOKUP($U$69,'TAR FIN'!$A$1:$O$85,15,0)),0,VLOOKUP($U$69,'TAR FIN'!$A$1:$O$85,15,0))</f>
        <v>263.29000000000002</v>
      </c>
      <c r="Y69" s="6"/>
      <c r="Z69" s="6">
        <f ca="1">('TUSD BE'!$AM$11+'TUSD BF'!$AM$11+'TUSD CVA'!$AM$11)*1</f>
        <v>976.42305228824534</v>
      </c>
      <c r="AA69" s="6">
        <f>('TE BE'!$AA$5+'TE BF'!$AA$5+'TE CVA'!$AA$5)*1</f>
        <v>210.64397598313801</v>
      </c>
      <c r="AB69" s="6">
        <f>$K$69*$V$69</f>
        <v>0</v>
      </c>
      <c r="AC69" s="6">
        <f>$M$69*$W$69</f>
        <v>41571.636749999998</v>
      </c>
      <c r="AD69" s="6">
        <f>$O$69*$X$69</f>
        <v>11543.950050000001</v>
      </c>
      <c r="AE69" s="6">
        <f>$K$69*$Y$69</f>
        <v>0</v>
      </c>
      <c r="AF69" s="6">
        <f ca="1">$M$69*$Z$69</f>
        <v>42811.268727578114</v>
      </c>
      <c r="AG69" s="6">
        <f>$O$69*$AA$69</f>
        <v>9235.6851269806848</v>
      </c>
    </row>
    <row r="70" spans="1:33" ht="11.25" customHeight="1" x14ac:dyDescent="0.25">
      <c r="A70" s="4" t="s">
        <v>28</v>
      </c>
      <c r="B70" s="4" t="s">
        <v>33</v>
      </c>
      <c r="C70" s="4" t="s">
        <v>34</v>
      </c>
      <c r="D70" s="4" t="s">
        <v>42</v>
      </c>
      <c r="E70" s="4" t="s">
        <v>25</v>
      </c>
      <c r="F70" s="4" t="s">
        <v>25</v>
      </c>
      <c r="G70" s="4" t="s">
        <v>25</v>
      </c>
      <c r="H70" s="4" t="s">
        <v>35</v>
      </c>
      <c r="I70" s="5">
        <v>44470</v>
      </c>
      <c r="J70" s="6">
        <v>0</v>
      </c>
      <c r="K70" s="6">
        <v>0</v>
      </c>
      <c r="L70" s="6">
        <v>6.8000000000000005E-2</v>
      </c>
      <c r="M70" s="6">
        <v>6.8000000000000005E-2</v>
      </c>
      <c r="N70" s="6">
        <v>6.8000000000000005E-2</v>
      </c>
      <c r="O70" s="6">
        <v>6.8000000000000005E-2</v>
      </c>
      <c r="P70" s="6">
        <v>0</v>
      </c>
      <c r="Q70" s="4" t="s">
        <v>26</v>
      </c>
      <c r="R70" s="4">
        <v>0</v>
      </c>
      <c r="S70" s="6">
        <v>0</v>
      </c>
      <c r="T70" s="6">
        <v>7</v>
      </c>
      <c r="U70" s="6">
        <v>48</v>
      </c>
      <c r="V70" s="6">
        <f>IF(ISERROR(VLOOKUP($S$70,'TAR FIN'!$A$1:$O$85,15,0)),0,VLOOKUP($S$70,'TAR FIN'!$A$1:$O$85,15,0))</f>
        <v>0</v>
      </c>
      <c r="W70" s="6">
        <f>IF(ISERROR(VLOOKUP($T$70,'TAR FIN'!$A$1:$O$85,15,0)),0,VLOOKUP($T$70,'TAR FIN'!$A$1:$O$85,15,0))</f>
        <v>948.15</v>
      </c>
      <c r="X70" s="6">
        <f>IF(ISERROR(VLOOKUP($U$70,'TAR FIN'!$A$1:$O$85,15,0)),0,VLOOKUP($U$70,'TAR FIN'!$A$1:$O$85,15,0))</f>
        <v>263.29000000000002</v>
      </c>
      <c r="Y70" s="6"/>
      <c r="Z70" s="6">
        <f ca="1">('TUSD BE'!$AM$11+'TUSD BF'!$AM$11+'TUSD CVA'!$AM$11)*1</f>
        <v>976.42305228824534</v>
      </c>
      <c r="AA70" s="6">
        <f>('TE BE'!$AA$5+'TE BF'!$AA$5+'TE CVA'!$AA$5)*1</f>
        <v>210.64397598313801</v>
      </c>
      <c r="AB70" s="6">
        <f>$K$70*$V$70</f>
        <v>0</v>
      </c>
      <c r="AC70" s="6">
        <f>$M$70*$W$70</f>
        <v>64.474199999999996</v>
      </c>
      <c r="AD70" s="6">
        <f>$O$70*$X$70</f>
        <v>17.903720000000003</v>
      </c>
      <c r="AE70" s="6">
        <f>$K$70*$Y$70</f>
        <v>0</v>
      </c>
      <c r="AF70" s="6">
        <f ca="1">$M$70*$Z$70</f>
        <v>66.39676755560069</v>
      </c>
      <c r="AG70" s="6">
        <f>$O$70*$AA$70</f>
        <v>14.323790366853386</v>
      </c>
    </row>
    <row r="71" spans="1:33" ht="11.25" customHeight="1" x14ac:dyDescent="0.25">
      <c r="A71" s="4" t="s">
        <v>21</v>
      </c>
      <c r="B71" s="4" t="s">
        <v>33</v>
      </c>
      <c r="C71" s="4" t="s">
        <v>34</v>
      </c>
      <c r="D71" s="4" t="s">
        <v>42</v>
      </c>
      <c r="E71" s="4" t="s">
        <v>25</v>
      </c>
      <c r="F71" s="4" t="s">
        <v>25</v>
      </c>
      <c r="G71" s="4" t="s">
        <v>25</v>
      </c>
      <c r="H71" s="4" t="s">
        <v>35</v>
      </c>
      <c r="I71" s="5">
        <v>44501</v>
      </c>
      <c r="J71" s="6">
        <v>0</v>
      </c>
      <c r="K71" s="6">
        <v>0</v>
      </c>
      <c r="L71" s="6">
        <v>51.140999999999998</v>
      </c>
      <c r="M71" s="6">
        <v>51.140999999999998</v>
      </c>
      <c r="N71" s="6">
        <v>51.140999999999998</v>
      </c>
      <c r="O71" s="6">
        <v>51.140999999999998</v>
      </c>
      <c r="P71" s="6">
        <v>0</v>
      </c>
      <c r="Q71" s="4" t="s">
        <v>26</v>
      </c>
      <c r="R71" s="4">
        <v>0</v>
      </c>
      <c r="S71" s="6">
        <v>0</v>
      </c>
      <c r="T71" s="6">
        <v>7</v>
      </c>
      <c r="U71" s="6">
        <v>48</v>
      </c>
      <c r="V71" s="6">
        <f>IF(ISERROR(VLOOKUP($S$71,'TAR FIN'!$A$1:$O$85,15,0)),0,VLOOKUP($S$71,'TAR FIN'!$A$1:$O$85,15,0))</f>
        <v>0</v>
      </c>
      <c r="W71" s="6">
        <f>IF(ISERROR(VLOOKUP($T$71,'TAR FIN'!$A$1:$O$85,15,0)),0,VLOOKUP($T$71,'TAR FIN'!$A$1:$O$85,15,0))</f>
        <v>948.15</v>
      </c>
      <c r="X71" s="6">
        <f>IF(ISERROR(VLOOKUP($U$71,'TAR FIN'!$A$1:$O$85,15,0)),0,VLOOKUP($U$71,'TAR FIN'!$A$1:$O$85,15,0))</f>
        <v>263.29000000000002</v>
      </c>
      <c r="Y71" s="6"/>
      <c r="Z71" s="6">
        <f ca="1">('TUSD BE'!$AM$11+'TUSD BF'!$AM$11+'TUSD CVA'!$AM$11)*1</f>
        <v>976.42305228824534</v>
      </c>
      <c r="AA71" s="6">
        <f>('TE BE'!$AA$5+'TE BF'!$AA$5+'TE CVA'!$AA$5)*1</f>
        <v>210.64397598313801</v>
      </c>
      <c r="AB71" s="6">
        <f>$K$71*$V$71</f>
        <v>0</v>
      </c>
      <c r="AC71" s="6">
        <f>$M$71*$W$71</f>
        <v>48489.33915</v>
      </c>
      <c r="AD71" s="6">
        <f>$O$71*$X$71</f>
        <v>13464.91389</v>
      </c>
      <c r="AE71" s="6">
        <f>$K$71*$Y$71</f>
        <v>0</v>
      </c>
      <c r="AF71" s="6">
        <f ca="1">$M$71*$Z$71</f>
        <v>49935.251317073154</v>
      </c>
      <c r="AG71" s="6">
        <f>$O$71*$AA$71</f>
        <v>10772.54357575366</v>
      </c>
    </row>
    <row r="72" spans="1:33" ht="11.25" customHeight="1" x14ac:dyDescent="0.25">
      <c r="A72" s="4" t="s">
        <v>21</v>
      </c>
      <c r="B72" s="4" t="s">
        <v>33</v>
      </c>
      <c r="C72" s="4" t="s">
        <v>34</v>
      </c>
      <c r="D72" s="4" t="s">
        <v>42</v>
      </c>
      <c r="E72" s="4" t="s">
        <v>25</v>
      </c>
      <c r="F72" s="4" t="s">
        <v>25</v>
      </c>
      <c r="G72" s="4" t="s">
        <v>25</v>
      </c>
      <c r="H72" s="4" t="s">
        <v>35</v>
      </c>
      <c r="I72" s="5">
        <v>44531</v>
      </c>
      <c r="J72" s="6">
        <v>0</v>
      </c>
      <c r="K72" s="6">
        <v>0</v>
      </c>
      <c r="L72" s="6">
        <v>49.939</v>
      </c>
      <c r="M72" s="6">
        <v>49.939</v>
      </c>
      <c r="N72" s="6">
        <v>49.939</v>
      </c>
      <c r="O72" s="6">
        <v>49.939</v>
      </c>
      <c r="P72" s="6">
        <v>0</v>
      </c>
      <c r="Q72" s="4" t="s">
        <v>26</v>
      </c>
      <c r="R72" s="4">
        <v>0</v>
      </c>
      <c r="S72" s="6">
        <v>0</v>
      </c>
      <c r="T72" s="6">
        <v>7</v>
      </c>
      <c r="U72" s="6">
        <v>48</v>
      </c>
      <c r="V72" s="6">
        <f>IF(ISERROR(VLOOKUP($S$72,'TAR FIN'!$A$1:$O$85,15,0)),0,VLOOKUP($S$72,'TAR FIN'!$A$1:$O$85,15,0))</f>
        <v>0</v>
      </c>
      <c r="W72" s="6">
        <f>IF(ISERROR(VLOOKUP($T$72,'TAR FIN'!$A$1:$O$85,15,0)),0,VLOOKUP($T$72,'TAR FIN'!$A$1:$O$85,15,0))</f>
        <v>948.15</v>
      </c>
      <c r="X72" s="6">
        <f>IF(ISERROR(VLOOKUP($U$72,'TAR FIN'!$A$1:$O$85,15,0)),0,VLOOKUP($U$72,'TAR FIN'!$A$1:$O$85,15,0))</f>
        <v>263.29000000000002</v>
      </c>
      <c r="Y72" s="6"/>
      <c r="Z72" s="6">
        <f ca="1">('TUSD BE'!$AM$11+'TUSD BF'!$AM$11+'TUSD CVA'!$AM$11)*1</f>
        <v>976.42305228824534</v>
      </c>
      <c r="AA72" s="6">
        <f>('TE BE'!$AA$5+'TE BF'!$AA$5+'TE CVA'!$AA$5)*1</f>
        <v>210.64397598313801</v>
      </c>
      <c r="AB72" s="6">
        <f>$K$72*$V$72</f>
        <v>0</v>
      </c>
      <c r="AC72" s="6">
        <f>$M$72*$W$72</f>
        <v>47349.662850000001</v>
      </c>
      <c r="AD72" s="6">
        <f>$O$72*$X$72</f>
        <v>13148.439310000002</v>
      </c>
      <c r="AE72" s="6">
        <f>$K$72*$Y$72</f>
        <v>0</v>
      </c>
      <c r="AF72" s="6">
        <f ca="1">$M$72*$Z$72</f>
        <v>48761.590808222682</v>
      </c>
      <c r="AG72" s="6">
        <f>$O$72*$AA$72</f>
        <v>10519.349516621929</v>
      </c>
    </row>
    <row r="73" spans="1:33" ht="11.25" customHeight="1" x14ac:dyDescent="0.25">
      <c r="A73" s="4" t="s">
        <v>28</v>
      </c>
      <c r="B73" s="4" t="s">
        <v>33</v>
      </c>
      <c r="C73" s="4" t="s">
        <v>34</v>
      </c>
      <c r="D73" s="4" t="s">
        <v>42</v>
      </c>
      <c r="E73" s="4" t="s">
        <v>25</v>
      </c>
      <c r="F73" s="4" t="s">
        <v>25</v>
      </c>
      <c r="G73" s="4" t="s">
        <v>25</v>
      </c>
      <c r="H73" s="4" t="s">
        <v>35</v>
      </c>
      <c r="I73" s="5">
        <v>44531</v>
      </c>
      <c r="J73" s="6">
        <v>0</v>
      </c>
      <c r="K73" s="6">
        <v>0</v>
      </c>
      <c r="L73" s="6">
        <v>2.8340000000000001</v>
      </c>
      <c r="M73" s="6">
        <v>2.8340000000000001</v>
      </c>
      <c r="N73" s="6">
        <v>2.8340000000000001</v>
      </c>
      <c r="O73" s="6">
        <v>2.8340000000000001</v>
      </c>
      <c r="P73" s="6">
        <v>0</v>
      </c>
      <c r="Q73" s="4" t="s">
        <v>26</v>
      </c>
      <c r="R73" s="4">
        <v>0</v>
      </c>
      <c r="S73" s="6">
        <v>0</v>
      </c>
      <c r="T73" s="6">
        <v>7</v>
      </c>
      <c r="U73" s="6">
        <v>48</v>
      </c>
      <c r="V73" s="6">
        <f>IF(ISERROR(VLOOKUP($S$73,'TAR FIN'!$A$1:$O$85,15,0)),0,VLOOKUP($S$73,'TAR FIN'!$A$1:$O$85,15,0))</f>
        <v>0</v>
      </c>
      <c r="W73" s="6">
        <f>IF(ISERROR(VLOOKUP($T$73,'TAR FIN'!$A$1:$O$85,15,0)),0,VLOOKUP($T$73,'TAR FIN'!$A$1:$O$85,15,0))</f>
        <v>948.15</v>
      </c>
      <c r="X73" s="6">
        <f>IF(ISERROR(VLOOKUP($U$73,'TAR FIN'!$A$1:$O$85,15,0)),0,VLOOKUP($U$73,'TAR FIN'!$A$1:$O$85,15,0))</f>
        <v>263.29000000000002</v>
      </c>
      <c r="Y73" s="6"/>
      <c r="Z73" s="6">
        <f ca="1">('TUSD BE'!$AM$11+'TUSD BF'!$AM$11+'TUSD CVA'!$AM$11)*1</f>
        <v>976.42305228824534</v>
      </c>
      <c r="AA73" s="6">
        <f>('TE BE'!$AA$5+'TE BF'!$AA$5+'TE CVA'!$AA$5)*1</f>
        <v>210.64397598313801</v>
      </c>
      <c r="AB73" s="6">
        <f>$K$73*$V$73</f>
        <v>0</v>
      </c>
      <c r="AC73" s="6">
        <f>$M$73*$W$73</f>
        <v>2687.0571</v>
      </c>
      <c r="AD73" s="6">
        <f>$O$73*$X$73</f>
        <v>746.16386000000011</v>
      </c>
      <c r="AE73" s="6">
        <f>$K$73*$Y$73</f>
        <v>0</v>
      </c>
      <c r="AF73" s="6">
        <f ca="1">$M$73*$Z$73</f>
        <v>2767.1829301848875</v>
      </c>
      <c r="AG73" s="6">
        <f>$O$73*$AA$73</f>
        <v>596.96502793621312</v>
      </c>
    </row>
    <row r="74" spans="1:33" ht="11.25" customHeight="1" x14ac:dyDescent="0.25">
      <c r="A74" s="4" t="s">
        <v>21</v>
      </c>
      <c r="B74" s="4" t="s">
        <v>33</v>
      </c>
      <c r="C74" s="4" t="s">
        <v>34</v>
      </c>
      <c r="D74" s="4" t="s">
        <v>42</v>
      </c>
      <c r="E74" s="4" t="s">
        <v>25</v>
      </c>
      <c r="F74" s="4" t="s">
        <v>25</v>
      </c>
      <c r="G74" s="4" t="s">
        <v>25</v>
      </c>
      <c r="H74" s="4" t="s">
        <v>35</v>
      </c>
      <c r="I74" s="5">
        <v>44562</v>
      </c>
      <c r="J74" s="6">
        <v>0</v>
      </c>
      <c r="K74" s="6">
        <v>0</v>
      </c>
      <c r="L74" s="6">
        <v>50.679000000000002</v>
      </c>
      <c r="M74" s="6">
        <v>50.679000000000002</v>
      </c>
      <c r="N74" s="6">
        <v>50.679000000000002</v>
      </c>
      <c r="O74" s="6">
        <v>50.679000000000002</v>
      </c>
      <c r="P74" s="6">
        <v>0</v>
      </c>
      <c r="Q74" s="4" t="s">
        <v>26</v>
      </c>
      <c r="R74" s="4">
        <v>0</v>
      </c>
      <c r="S74" s="6">
        <v>0</v>
      </c>
      <c r="T74" s="6">
        <v>7</v>
      </c>
      <c r="U74" s="6">
        <v>48</v>
      </c>
      <c r="V74" s="6">
        <f>IF(ISERROR(VLOOKUP($S$74,'TAR FIN'!$A$1:$O$85,15,0)),0,VLOOKUP($S$74,'TAR FIN'!$A$1:$O$85,15,0))</f>
        <v>0</v>
      </c>
      <c r="W74" s="6">
        <f>IF(ISERROR(VLOOKUP($T$74,'TAR FIN'!$A$1:$O$85,15,0)),0,VLOOKUP($T$74,'TAR FIN'!$A$1:$O$85,15,0))</f>
        <v>948.15</v>
      </c>
      <c r="X74" s="6">
        <f>IF(ISERROR(VLOOKUP($U$74,'TAR FIN'!$A$1:$O$85,15,0)),0,VLOOKUP($U$74,'TAR FIN'!$A$1:$O$85,15,0))</f>
        <v>263.29000000000002</v>
      </c>
      <c r="Y74" s="6"/>
      <c r="Z74" s="6">
        <f ca="1">('TUSD BE'!$AM$11+'TUSD BF'!$AM$11+'TUSD CVA'!$AM$11)*1</f>
        <v>976.42305228824534</v>
      </c>
      <c r="AA74" s="6">
        <f>('TE BE'!$AA$5+'TE BF'!$AA$5+'TE CVA'!$AA$5)*1</f>
        <v>210.64397598313801</v>
      </c>
      <c r="AB74" s="6">
        <f>$K$74*$V$74</f>
        <v>0</v>
      </c>
      <c r="AC74" s="6">
        <f>$M$74*$W$74</f>
        <v>48051.293850000002</v>
      </c>
      <c r="AD74" s="6">
        <f>$O$74*$X$74</f>
        <v>13343.273910000002</v>
      </c>
      <c r="AE74" s="6">
        <f>$K$74*$Y$74</f>
        <v>0</v>
      </c>
      <c r="AF74" s="6">
        <f ca="1">$M$74*$Z$74</f>
        <v>49484.143866915991</v>
      </c>
      <c r="AG74" s="6">
        <f>$O$74*$AA$74</f>
        <v>10675.226058849452</v>
      </c>
    </row>
    <row r="75" spans="1:33" ht="11.25" customHeight="1" x14ac:dyDescent="0.25">
      <c r="A75" s="4" t="s">
        <v>21</v>
      </c>
      <c r="B75" s="4" t="s">
        <v>33</v>
      </c>
      <c r="C75" s="4" t="s">
        <v>34</v>
      </c>
      <c r="D75" s="4" t="s">
        <v>42</v>
      </c>
      <c r="E75" s="4" t="s">
        <v>25</v>
      </c>
      <c r="F75" s="4" t="s">
        <v>25</v>
      </c>
      <c r="G75" s="4" t="s">
        <v>25</v>
      </c>
      <c r="H75" s="4" t="s">
        <v>35</v>
      </c>
      <c r="I75" s="5">
        <v>44593</v>
      </c>
      <c r="J75" s="6">
        <v>0</v>
      </c>
      <c r="K75" s="6">
        <v>0</v>
      </c>
      <c r="L75" s="6">
        <v>50.673999999999999</v>
      </c>
      <c r="M75" s="6">
        <v>50.673999999999999</v>
      </c>
      <c r="N75" s="6">
        <v>50.673999999999999</v>
      </c>
      <c r="O75" s="6">
        <v>50.673999999999999</v>
      </c>
      <c r="P75" s="6">
        <v>0</v>
      </c>
      <c r="Q75" s="4" t="s">
        <v>26</v>
      </c>
      <c r="R75" s="4">
        <v>0</v>
      </c>
      <c r="S75" s="6">
        <v>0</v>
      </c>
      <c r="T75" s="6">
        <v>7</v>
      </c>
      <c r="U75" s="6">
        <v>48</v>
      </c>
      <c r="V75" s="6">
        <f>IF(ISERROR(VLOOKUP($S$75,'TAR FIN'!$A$1:$O$85,15,0)),0,VLOOKUP($S$75,'TAR FIN'!$A$1:$O$85,15,0))</f>
        <v>0</v>
      </c>
      <c r="W75" s="6">
        <f>IF(ISERROR(VLOOKUP($T$75,'TAR FIN'!$A$1:$O$85,15,0)),0,VLOOKUP($T$75,'TAR FIN'!$A$1:$O$85,15,0))</f>
        <v>948.15</v>
      </c>
      <c r="X75" s="6">
        <f>IF(ISERROR(VLOOKUP($U$75,'TAR FIN'!$A$1:$O$85,15,0)),0,VLOOKUP($U$75,'TAR FIN'!$A$1:$O$85,15,0))</f>
        <v>263.29000000000002</v>
      </c>
      <c r="Y75" s="6"/>
      <c r="Z75" s="6">
        <f ca="1">('TUSD BE'!$AM$11+'TUSD BF'!$AM$11+'TUSD CVA'!$AM$11)*1</f>
        <v>976.42305228824534</v>
      </c>
      <c r="AA75" s="6">
        <f>('TE BE'!$AA$5+'TE BF'!$AA$5+'TE CVA'!$AA$5)*1</f>
        <v>210.64397598313801</v>
      </c>
      <c r="AB75" s="6">
        <f>$K$75*$V$75</f>
        <v>0</v>
      </c>
      <c r="AC75" s="6">
        <f>$M$75*$W$75</f>
        <v>48046.553099999997</v>
      </c>
      <c r="AD75" s="6">
        <f>$O$75*$X$75</f>
        <v>13341.957460000001</v>
      </c>
      <c r="AE75" s="6">
        <f>$K$75*$Y$75</f>
        <v>0</v>
      </c>
      <c r="AF75" s="6">
        <f ca="1">$M$75*$Z$75</f>
        <v>49479.261751654543</v>
      </c>
      <c r="AG75" s="6">
        <f>$O$75*$AA$75</f>
        <v>10674.172838969534</v>
      </c>
    </row>
    <row r="76" spans="1:33" ht="11.25" customHeight="1" x14ac:dyDescent="0.25">
      <c r="A76" s="4" t="s">
        <v>21</v>
      </c>
      <c r="B76" s="4" t="s">
        <v>33</v>
      </c>
      <c r="C76" s="4" t="s">
        <v>34</v>
      </c>
      <c r="D76" s="4" t="s">
        <v>42</v>
      </c>
      <c r="E76" s="4" t="s">
        <v>25</v>
      </c>
      <c r="F76" s="4" t="s">
        <v>25</v>
      </c>
      <c r="G76" s="4" t="s">
        <v>25</v>
      </c>
      <c r="H76" s="4" t="s">
        <v>35</v>
      </c>
      <c r="I76" s="5">
        <v>44621</v>
      </c>
      <c r="J76" s="6">
        <v>0</v>
      </c>
      <c r="K76" s="6">
        <v>0</v>
      </c>
      <c r="L76" s="6">
        <v>64.727999999999994</v>
      </c>
      <c r="M76" s="6">
        <v>64.727999999999994</v>
      </c>
      <c r="N76" s="6">
        <v>64.727999999999994</v>
      </c>
      <c r="O76" s="6">
        <v>64.727999999999994</v>
      </c>
      <c r="P76" s="6">
        <v>0</v>
      </c>
      <c r="Q76" s="4" t="s">
        <v>26</v>
      </c>
      <c r="R76" s="4">
        <v>0</v>
      </c>
      <c r="S76" s="6">
        <v>0</v>
      </c>
      <c r="T76" s="6">
        <v>7</v>
      </c>
      <c r="U76" s="6">
        <v>48</v>
      </c>
      <c r="V76" s="6">
        <f>IF(ISERROR(VLOOKUP($S$76,'TAR FIN'!$A$1:$O$85,15,0)),0,VLOOKUP($S$76,'TAR FIN'!$A$1:$O$85,15,0))</f>
        <v>0</v>
      </c>
      <c r="W76" s="6">
        <f>IF(ISERROR(VLOOKUP($T$76,'TAR FIN'!$A$1:$O$85,15,0)),0,VLOOKUP($T$76,'TAR FIN'!$A$1:$O$85,15,0))</f>
        <v>948.15</v>
      </c>
      <c r="X76" s="6">
        <f>IF(ISERROR(VLOOKUP($U$76,'TAR FIN'!$A$1:$O$85,15,0)),0,VLOOKUP($U$76,'TAR FIN'!$A$1:$O$85,15,0))</f>
        <v>263.29000000000002</v>
      </c>
      <c r="Y76" s="6"/>
      <c r="Z76" s="6">
        <f ca="1">('TUSD BE'!$AM$11+'TUSD BF'!$AM$11+'TUSD CVA'!$AM$11)*1</f>
        <v>976.42305228824534</v>
      </c>
      <c r="AA76" s="6">
        <f>('TE BE'!$AA$5+'TE BF'!$AA$5+'TE CVA'!$AA$5)*1</f>
        <v>210.64397598313801</v>
      </c>
      <c r="AB76" s="6">
        <f>$K$76*$V$76</f>
        <v>0</v>
      </c>
      <c r="AC76" s="6">
        <f>$M$76*$W$76</f>
        <v>61371.85319999999</v>
      </c>
      <c r="AD76" s="6">
        <f>$O$76*$X$76</f>
        <v>17042.235120000001</v>
      </c>
      <c r="AE76" s="6">
        <f>$K$76*$Y$76</f>
        <v>0</v>
      </c>
      <c r="AF76" s="6">
        <f ca="1">$M$76*$Z$76</f>
        <v>63201.911328513539</v>
      </c>
      <c r="AG76" s="6">
        <f>$O$76*$AA$76</f>
        <v>13634.563277436555</v>
      </c>
    </row>
    <row r="77" spans="1:33" ht="11.25" customHeight="1" x14ac:dyDescent="0.25">
      <c r="A77" s="4" t="s">
        <v>28</v>
      </c>
      <c r="B77" s="4" t="s">
        <v>33</v>
      </c>
      <c r="C77" s="4" t="s">
        <v>34</v>
      </c>
      <c r="D77" s="4" t="s">
        <v>42</v>
      </c>
      <c r="E77" s="4" t="s">
        <v>25</v>
      </c>
      <c r="F77" s="4" t="s">
        <v>25</v>
      </c>
      <c r="G77" s="4" t="s">
        <v>25</v>
      </c>
      <c r="H77" s="4" t="s">
        <v>35</v>
      </c>
      <c r="I77" s="5">
        <v>44621</v>
      </c>
      <c r="J77" s="6">
        <v>0</v>
      </c>
      <c r="K77" s="6">
        <v>0</v>
      </c>
      <c r="L77" s="6">
        <v>4.7</v>
      </c>
      <c r="M77" s="6">
        <v>4.7</v>
      </c>
      <c r="N77" s="6">
        <v>4.7</v>
      </c>
      <c r="O77" s="6">
        <v>4.7</v>
      </c>
      <c r="P77" s="6">
        <v>0</v>
      </c>
      <c r="Q77" s="4" t="s">
        <v>26</v>
      </c>
      <c r="R77" s="4">
        <v>0</v>
      </c>
      <c r="S77" s="6">
        <v>0</v>
      </c>
      <c r="T77" s="6">
        <v>7</v>
      </c>
      <c r="U77" s="6">
        <v>48</v>
      </c>
      <c r="V77" s="6">
        <f>IF(ISERROR(VLOOKUP($S$77,'TAR FIN'!$A$1:$O$85,15,0)),0,VLOOKUP($S$77,'TAR FIN'!$A$1:$O$85,15,0))</f>
        <v>0</v>
      </c>
      <c r="W77" s="6">
        <f>IF(ISERROR(VLOOKUP($T$77,'TAR FIN'!$A$1:$O$85,15,0)),0,VLOOKUP($T$77,'TAR FIN'!$A$1:$O$85,15,0))</f>
        <v>948.15</v>
      </c>
      <c r="X77" s="6">
        <f>IF(ISERROR(VLOOKUP($U$77,'TAR FIN'!$A$1:$O$85,15,0)),0,VLOOKUP($U$77,'TAR FIN'!$A$1:$O$85,15,0))</f>
        <v>263.29000000000002</v>
      </c>
      <c r="Y77" s="6"/>
      <c r="Z77" s="6">
        <f ca="1">('TUSD BE'!$AM$11+'TUSD BF'!$AM$11+'TUSD CVA'!$AM$11)*1</f>
        <v>976.42305228824534</v>
      </c>
      <c r="AA77" s="6">
        <f>('TE BE'!$AA$5+'TE BF'!$AA$5+'TE CVA'!$AA$5)*1</f>
        <v>210.64397598313801</v>
      </c>
      <c r="AB77" s="6">
        <f>$K$77*$V$77</f>
        <v>0</v>
      </c>
      <c r="AC77" s="6">
        <f>$M$77*$W$77</f>
        <v>4456.3050000000003</v>
      </c>
      <c r="AD77" s="6">
        <f>$O$77*$X$77</f>
        <v>1237.4630000000002</v>
      </c>
      <c r="AE77" s="6">
        <f>$K$77*$Y$77</f>
        <v>0</v>
      </c>
      <c r="AF77" s="6">
        <f ca="1">$M$77*$Z$77</f>
        <v>4589.1883457547528</v>
      </c>
      <c r="AG77" s="6">
        <f>$O$77*$AA$77</f>
        <v>990.02668712074865</v>
      </c>
    </row>
    <row r="78" spans="1:33" ht="11.25" customHeight="1" x14ac:dyDescent="0.25">
      <c r="A78" s="4" t="s">
        <v>21</v>
      </c>
      <c r="B78" s="4" t="s">
        <v>33</v>
      </c>
      <c r="C78" s="4" t="s">
        <v>34</v>
      </c>
      <c r="D78" s="4" t="s">
        <v>42</v>
      </c>
      <c r="E78" s="4" t="s">
        <v>25</v>
      </c>
      <c r="F78" s="4" t="s">
        <v>25</v>
      </c>
      <c r="G78" s="4" t="s">
        <v>25</v>
      </c>
      <c r="H78" s="4" t="s">
        <v>35</v>
      </c>
      <c r="I78" s="5">
        <v>44652</v>
      </c>
      <c r="J78" s="6">
        <v>0</v>
      </c>
      <c r="K78" s="6">
        <v>0</v>
      </c>
      <c r="L78" s="6">
        <v>49.351999999999997</v>
      </c>
      <c r="M78" s="6">
        <v>49.351999999999997</v>
      </c>
      <c r="N78" s="6">
        <v>49.351999999999997</v>
      </c>
      <c r="O78" s="6">
        <v>49.351999999999997</v>
      </c>
      <c r="P78" s="6">
        <v>0</v>
      </c>
      <c r="Q78" s="4" t="s">
        <v>26</v>
      </c>
      <c r="R78" s="4">
        <v>0</v>
      </c>
      <c r="S78" s="6">
        <v>0</v>
      </c>
      <c r="T78" s="6">
        <v>7</v>
      </c>
      <c r="U78" s="6">
        <v>48</v>
      </c>
      <c r="V78" s="6">
        <f>IF(ISERROR(VLOOKUP($S$78,'TAR FIN'!$A$1:$O$85,15,0)),0,VLOOKUP($S$78,'TAR FIN'!$A$1:$O$85,15,0))</f>
        <v>0</v>
      </c>
      <c r="W78" s="6">
        <f>IF(ISERROR(VLOOKUP($T$78,'TAR FIN'!$A$1:$O$85,15,0)),0,VLOOKUP($T$78,'TAR FIN'!$A$1:$O$85,15,0))</f>
        <v>948.15</v>
      </c>
      <c r="X78" s="6">
        <f>IF(ISERROR(VLOOKUP($U$78,'TAR FIN'!$A$1:$O$85,15,0)),0,VLOOKUP($U$78,'TAR FIN'!$A$1:$O$85,15,0))</f>
        <v>263.29000000000002</v>
      </c>
      <c r="Y78" s="6"/>
      <c r="Z78" s="6">
        <f ca="1">('TUSD BE'!$AM$11+'TUSD BF'!$AM$11+'TUSD CVA'!$AM$11)*1</f>
        <v>976.42305228824534</v>
      </c>
      <c r="AA78" s="6">
        <f>('TE BE'!$AA$5+'TE BF'!$AA$5+'TE CVA'!$AA$5)*1</f>
        <v>210.64397598313801</v>
      </c>
      <c r="AB78" s="6">
        <f>$K$78*$V$78</f>
        <v>0</v>
      </c>
      <c r="AC78" s="6">
        <f>$M$78*$W$78</f>
        <v>46793.098799999992</v>
      </c>
      <c r="AD78" s="6">
        <f>$O$78*$X$78</f>
        <v>12993.888080000001</v>
      </c>
      <c r="AE78" s="6">
        <f>$K$78*$Y$78</f>
        <v>0</v>
      </c>
      <c r="AF78" s="6">
        <f ca="1">$M$78*$Z$78</f>
        <v>48188.43047652948</v>
      </c>
      <c r="AG78" s="6">
        <f>$O$78*$AA$78</f>
        <v>10395.701502719827</v>
      </c>
    </row>
    <row r="79" spans="1:33" ht="11.25" customHeight="1" x14ac:dyDescent="0.25">
      <c r="A79" s="4" t="s">
        <v>21</v>
      </c>
      <c r="B79" s="4" t="s">
        <v>33</v>
      </c>
      <c r="C79" s="4" t="s">
        <v>34</v>
      </c>
      <c r="D79" s="4" t="s">
        <v>40</v>
      </c>
      <c r="E79" s="4" t="s">
        <v>25</v>
      </c>
      <c r="F79" s="4" t="s">
        <v>57</v>
      </c>
      <c r="G79" s="4" t="s">
        <v>25</v>
      </c>
      <c r="H79" s="4" t="s">
        <v>36</v>
      </c>
      <c r="I79" s="5">
        <v>44317</v>
      </c>
      <c r="J79" s="6">
        <v>0</v>
      </c>
      <c r="K79" s="6">
        <v>0</v>
      </c>
      <c r="L79" s="6">
        <v>2414.2550000000001</v>
      </c>
      <c r="M79" s="6">
        <v>2414.2550000000001</v>
      </c>
      <c r="N79" s="6">
        <v>0</v>
      </c>
      <c r="O79" s="6">
        <v>0</v>
      </c>
      <c r="P79" s="6">
        <v>0</v>
      </c>
      <c r="Q79" s="4" t="s">
        <v>58</v>
      </c>
      <c r="R79" s="4">
        <v>0</v>
      </c>
      <c r="S79" s="6">
        <v>0</v>
      </c>
      <c r="T79" s="6">
        <v>8</v>
      </c>
      <c r="U79" s="6">
        <v>0</v>
      </c>
      <c r="V79" s="6">
        <f>IF(ISERROR(VLOOKUP($S$79,'TAR FIN'!$A$1:$O$85,15,0)),0,VLOOKUP($S$79,'TAR FIN'!$A$1:$O$85,15,0))</f>
        <v>0</v>
      </c>
      <c r="W79" s="6">
        <f>IF(ISERROR(VLOOKUP($T$79,'TAR FIN'!$A$1:$O$85,15,0)),0,VLOOKUP($T$79,'TAR FIN'!$A$1:$O$85,15,0))</f>
        <v>65.61</v>
      </c>
      <c r="X79" s="6">
        <f>IF(ISERROR(VLOOKUP($U$79,'TAR FIN'!$A$1:$O$85,15,0)),0,VLOOKUP($U$79,'TAR FIN'!$A$1:$O$85,15,0))</f>
        <v>0</v>
      </c>
      <c r="Y79" s="6"/>
      <c r="Z79" s="6">
        <f ca="1">('TUSD BE'!$AM$12+'TUSD BF'!$AM$12+'TUSD CVA'!$AM$12)*1</f>
        <v>100.34646310857573</v>
      </c>
      <c r="AA79" s="6"/>
      <c r="AB79" s="6">
        <f>$K$79*$V$79</f>
        <v>0</v>
      </c>
      <c r="AC79" s="6">
        <f>$M$79*$W$79</f>
        <v>158399.27055000002</v>
      </c>
      <c r="AD79" s="6">
        <f>$O$79*$X$79</f>
        <v>0</v>
      </c>
      <c r="AE79" s="6">
        <f>$K$79*$Y$79</f>
        <v>0</v>
      </c>
      <c r="AF79" s="6">
        <f ca="1">$M$79*$Z$79</f>
        <v>242261.95029219452</v>
      </c>
      <c r="AG79" s="6">
        <f>$O$79*$AA$79</f>
        <v>0</v>
      </c>
    </row>
    <row r="80" spans="1:33" ht="11.25" customHeight="1" x14ac:dyDescent="0.25">
      <c r="A80" s="4" t="s">
        <v>21</v>
      </c>
      <c r="B80" s="4" t="s">
        <v>33</v>
      </c>
      <c r="C80" s="4" t="s">
        <v>34</v>
      </c>
      <c r="D80" s="4" t="s">
        <v>40</v>
      </c>
      <c r="E80" s="4" t="s">
        <v>25</v>
      </c>
      <c r="F80" s="4" t="s">
        <v>57</v>
      </c>
      <c r="G80" s="4" t="s">
        <v>25</v>
      </c>
      <c r="H80" s="4" t="s">
        <v>36</v>
      </c>
      <c r="I80" s="5">
        <v>44348</v>
      </c>
      <c r="J80" s="6">
        <v>0</v>
      </c>
      <c r="K80" s="6">
        <v>0</v>
      </c>
      <c r="L80" s="6">
        <v>2776.94</v>
      </c>
      <c r="M80" s="6">
        <v>2776.94</v>
      </c>
      <c r="N80" s="6">
        <v>0</v>
      </c>
      <c r="O80" s="6">
        <v>0</v>
      </c>
      <c r="P80" s="6">
        <v>0</v>
      </c>
      <c r="Q80" s="4" t="s">
        <v>58</v>
      </c>
      <c r="R80" s="4">
        <v>0</v>
      </c>
      <c r="S80" s="6">
        <v>0</v>
      </c>
      <c r="T80" s="6">
        <v>8</v>
      </c>
      <c r="U80" s="6">
        <v>0</v>
      </c>
      <c r="V80" s="6">
        <f>IF(ISERROR(VLOOKUP($S$80,'TAR FIN'!$A$1:$O$85,15,0)),0,VLOOKUP($S$80,'TAR FIN'!$A$1:$O$85,15,0))</f>
        <v>0</v>
      </c>
      <c r="W80" s="6">
        <f>IF(ISERROR(VLOOKUP($T$80,'TAR FIN'!$A$1:$O$85,15,0)),0,VLOOKUP($T$80,'TAR FIN'!$A$1:$O$85,15,0))</f>
        <v>65.61</v>
      </c>
      <c r="X80" s="6">
        <f>IF(ISERROR(VLOOKUP($U$80,'TAR FIN'!$A$1:$O$85,15,0)),0,VLOOKUP($U$80,'TAR FIN'!$A$1:$O$85,15,0))</f>
        <v>0</v>
      </c>
      <c r="Y80" s="6"/>
      <c r="Z80" s="6">
        <f ca="1">('TUSD BE'!$AM$12+'TUSD BF'!$AM$12+'TUSD CVA'!$AM$12)*1</f>
        <v>100.34646310857573</v>
      </c>
      <c r="AA80" s="6"/>
      <c r="AB80" s="6">
        <f>$K$80*$V$80</f>
        <v>0</v>
      </c>
      <c r="AC80" s="6">
        <f>$M$80*$W$80</f>
        <v>182195.03340000001</v>
      </c>
      <c r="AD80" s="6">
        <f>$O$80*$X$80</f>
        <v>0</v>
      </c>
      <c r="AE80" s="6">
        <f>$K$80*$Y$80</f>
        <v>0</v>
      </c>
      <c r="AF80" s="6">
        <f ca="1">$M$80*$Z$80</f>
        <v>278656.10726472829</v>
      </c>
      <c r="AG80" s="6">
        <f>$O$80*$AA$80</f>
        <v>0</v>
      </c>
    </row>
    <row r="81" spans="1:33" ht="11.25" customHeight="1" x14ac:dyDescent="0.25">
      <c r="A81" s="4" t="s">
        <v>21</v>
      </c>
      <c r="B81" s="4" t="s">
        <v>33</v>
      </c>
      <c r="C81" s="4" t="s">
        <v>34</v>
      </c>
      <c r="D81" s="4" t="s">
        <v>40</v>
      </c>
      <c r="E81" s="4" t="s">
        <v>25</v>
      </c>
      <c r="F81" s="4" t="s">
        <v>57</v>
      </c>
      <c r="G81" s="4" t="s">
        <v>25</v>
      </c>
      <c r="H81" s="4" t="s">
        <v>36</v>
      </c>
      <c r="I81" s="5">
        <v>44378</v>
      </c>
      <c r="J81" s="6">
        <v>0</v>
      </c>
      <c r="K81" s="6">
        <v>0</v>
      </c>
      <c r="L81" s="6">
        <v>3072.7150000000001</v>
      </c>
      <c r="M81" s="6">
        <v>3072.7150000000001</v>
      </c>
      <c r="N81" s="6">
        <v>0</v>
      </c>
      <c r="O81" s="6">
        <v>0</v>
      </c>
      <c r="P81" s="6">
        <v>0</v>
      </c>
      <c r="Q81" s="4" t="s">
        <v>58</v>
      </c>
      <c r="R81" s="4">
        <v>0</v>
      </c>
      <c r="S81" s="6">
        <v>0</v>
      </c>
      <c r="T81" s="6">
        <v>8</v>
      </c>
      <c r="U81" s="6">
        <v>0</v>
      </c>
      <c r="V81" s="6">
        <f>IF(ISERROR(VLOOKUP($S$81,'TAR FIN'!$A$1:$O$85,15,0)),0,VLOOKUP($S$81,'TAR FIN'!$A$1:$O$85,15,0))</f>
        <v>0</v>
      </c>
      <c r="W81" s="6">
        <f>IF(ISERROR(VLOOKUP($T$81,'TAR FIN'!$A$1:$O$85,15,0)),0,VLOOKUP($T$81,'TAR FIN'!$A$1:$O$85,15,0))</f>
        <v>65.61</v>
      </c>
      <c r="X81" s="6">
        <f>IF(ISERROR(VLOOKUP($U$81,'TAR FIN'!$A$1:$O$85,15,0)),0,VLOOKUP($U$81,'TAR FIN'!$A$1:$O$85,15,0))</f>
        <v>0</v>
      </c>
      <c r="Y81" s="6"/>
      <c r="Z81" s="6">
        <f ca="1">('TUSD BE'!$AM$12+'TUSD BF'!$AM$12+'TUSD CVA'!$AM$12)*1</f>
        <v>100.34646310857573</v>
      </c>
      <c r="AA81" s="6"/>
      <c r="AB81" s="6">
        <f>$K$81*$V$81</f>
        <v>0</v>
      </c>
      <c r="AC81" s="6">
        <f>$M$81*$W$81</f>
        <v>201600.83115000001</v>
      </c>
      <c r="AD81" s="6">
        <f>$O$81*$X$81</f>
        <v>0</v>
      </c>
      <c r="AE81" s="6">
        <f>$K$81*$Y$81</f>
        <v>0</v>
      </c>
      <c r="AF81" s="6">
        <f ca="1">$M$81*$Z$81</f>
        <v>308336.08239066729</v>
      </c>
      <c r="AG81" s="6">
        <f>$O$81*$AA$81</f>
        <v>0</v>
      </c>
    </row>
    <row r="82" spans="1:33" ht="11.25" customHeight="1" x14ac:dyDescent="0.25">
      <c r="A82" s="4" t="s">
        <v>21</v>
      </c>
      <c r="B82" s="4" t="s">
        <v>33</v>
      </c>
      <c r="C82" s="4" t="s">
        <v>34</v>
      </c>
      <c r="D82" s="4" t="s">
        <v>40</v>
      </c>
      <c r="E82" s="4" t="s">
        <v>25</v>
      </c>
      <c r="F82" s="4" t="s">
        <v>57</v>
      </c>
      <c r="G82" s="4" t="s">
        <v>25</v>
      </c>
      <c r="H82" s="4" t="s">
        <v>36</v>
      </c>
      <c r="I82" s="5">
        <v>44409</v>
      </c>
      <c r="J82" s="6">
        <v>0</v>
      </c>
      <c r="K82" s="6">
        <v>0</v>
      </c>
      <c r="L82" s="6">
        <v>3175.6680000000001</v>
      </c>
      <c r="M82" s="6">
        <v>3175.6680000000001</v>
      </c>
      <c r="N82" s="6">
        <v>0</v>
      </c>
      <c r="O82" s="6">
        <v>0</v>
      </c>
      <c r="P82" s="6">
        <v>0</v>
      </c>
      <c r="Q82" s="4" t="s">
        <v>58</v>
      </c>
      <c r="R82" s="4">
        <v>0</v>
      </c>
      <c r="S82" s="6">
        <v>0</v>
      </c>
      <c r="T82" s="6">
        <v>8</v>
      </c>
      <c r="U82" s="6">
        <v>0</v>
      </c>
      <c r="V82" s="6">
        <f>IF(ISERROR(VLOOKUP($S$82,'TAR FIN'!$A$1:$O$85,15,0)),0,VLOOKUP($S$82,'TAR FIN'!$A$1:$O$85,15,0))</f>
        <v>0</v>
      </c>
      <c r="W82" s="6">
        <f>IF(ISERROR(VLOOKUP($T$82,'TAR FIN'!$A$1:$O$85,15,0)),0,VLOOKUP($T$82,'TAR FIN'!$A$1:$O$85,15,0))</f>
        <v>65.61</v>
      </c>
      <c r="X82" s="6">
        <f>IF(ISERROR(VLOOKUP($U$82,'TAR FIN'!$A$1:$O$85,15,0)),0,VLOOKUP($U$82,'TAR FIN'!$A$1:$O$85,15,0))</f>
        <v>0</v>
      </c>
      <c r="Y82" s="6"/>
      <c r="Z82" s="6">
        <f ca="1">('TUSD BE'!$AM$12+'TUSD BF'!$AM$12+'TUSD CVA'!$AM$12)*1</f>
        <v>100.34646310857573</v>
      </c>
      <c r="AA82" s="6"/>
      <c r="AB82" s="6">
        <f>$K$82*$V$82</f>
        <v>0</v>
      </c>
      <c r="AC82" s="6">
        <f>$M$82*$W$82</f>
        <v>208355.57748000001</v>
      </c>
      <c r="AD82" s="6">
        <f>$O$82*$X$82</f>
        <v>0</v>
      </c>
      <c r="AE82" s="6">
        <f>$K$82*$Y$82</f>
        <v>0</v>
      </c>
      <c r="AF82" s="6">
        <f ca="1">$M$82*$Z$82</f>
        <v>318667.05180708447</v>
      </c>
      <c r="AG82" s="6">
        <f>$O$82*$AA$82</f>
        <v>0</v>
      </c>
    </row>
    <row r="83" spans="1:33" ht="11.25" customHeight="1" x14ac:dyDescent="0.25">
      <c r="A83" s="4" t="s">
        <v>21</v>
      </c>
      <c r="B83" s="4" t="s">
        <v>33</v>
      </c>
      <c r="C83" s="4" t="s">
        <v>34</v>
      </c>
      <c r="D83" s="4" t="s">
        <v>40</v>
      </c>
      <c r="E83" s="4" t="s">
        <v>25</v>
      </c>
      <c r="F83" s="4" t="s">
        <v>57</v>
      </c>
      <c r="G83" s="4" t="s">
        <v>25</v>
      </c>
      <c r="H83" s="4" t="s">
        <v>36</v>
      </c>
      <c r="I83" s="5">
        <v>44440</v>
      </c>
      <c r="J83" s="6">
        <v>0</v>
      </c>
      <c r="K83" s="6">
        <v>0</v>
      </c>
      <c r="L83" s="6">
        <v>3182.2460000000001</v>
      </c>
      <c r="M83" s="6">
        <v>3182.2460000000001</v>
      </c>
      <c r="N83" s="6">
        <v>0</v>
      </c>
      <c r="O83" s="6">
        <v>0</v>
      </c>
      <c r="P83" s="6">
        <v>0</v>
      </c>
      <c r="Q83" s="4" t="s">
        <v>58</v>
      </c>
      <c r="R83" s="4">
        <v>0</v>
      </c>
      <c r="S83" s="6">
        <v>0</v>
      </c>
      <c r="T83" s="6">
        <v>8</v>
      </c>
      <c r="U83" s="6">
        <v>0</v>
      </c>
      <c r="V83" s="6">
        <f>IF(ISERROR(VLOOKUP($S$83,'TAR FIN'!$A$1:$O$85,15,0)),0,VLOOKUP($S$83,'TAR FIN'!$A$1:$O$85,15,0))</f>
        <v>0</v>
      </c>
      <c r="W83" s="6">
        <f>IF(ISERROR(VLOOKUP($T$83,'TAR FIN'!$A$1:$O$85,15,0)),0,VLOOKUP($T$83,'TAR FIN'!$A$1:$O$85,15,0))</f>
        <v>65.61</v>
      </c>
      <c r="X83" s="6">
        <f>IF(ISERROR(VLOOKUP($U$83,'TAR FIN'!$A$1:$O$85,15,0)),0,VLOOKUP($U$83,'TAR FIN'!$A$1:$O$85,15,0))</f>
        <v>0</v>
      </c>
      <c r="Y83" s="6"/>
      <c r="Z83" s="6">
        <f ca="1">('TUSD BE'!$AM$12+'TUSD BF'!$AM$12+'TUSD CVA'!$AM$12)*1</f>
        <v>100.34646310857573</v>
      </c>
      <c r="AA83" s="6"/>
      <c r="AB83" s="6">
        <f>$K$83*$V$83</f>
        <v>0</v>
      </c>
      <c r="AC83" s="6">
        <f>$M$83*$W$83</f>
        <v>208787.16005999999</v>
      </c>
      <c r="AD83" s="6">
        <f>$O$83*$X$83</f>
        <v>0</v>
      </c>
      <c r="AE83" s="6">
        <f>$K$83*$Y$83</f>
        <v>0</v>
      </c>
      <c r="AF83" s="6">
        <f ca="1">$M$83*$Z$83</f>
        <v>319327.1308414127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33</v>
      </c>
      <c r="C84" s="4" t="s">
        <v>34</v>
      </c>
      <c r="D84" s="4" t="s">
        <v>40</v>
      </c>
      <c r="E84" s="4" t="s">
        <v>25</v>
      </c>
      <c r="F84" s="4" t="s">
        <v>57</v>
      </c>
      <c r="G84" s="4" t="s">
        <v>25</v>
      </c>
      <c r="H84" s="4" t="s">
        <v>36</v>
      </c>
      <c r="I84" s="5">
        <v>44470</v>
      </c>
      <c r="J84" s="6">
        <v>0</v>
      </c>
      <c r="K84" s="6">
        <v>0</v>
      </c>
      <c r="L84" s="6">
        <v>3193.2080000000001</v>
      </c>
      <c r="M84" s="6">
        <v>3193.2080000000001</v>
      </c>
      <c r="N84" s="6">
        <v>0</v>
      </c>
      <c r="O84" s="6">
        <v>0</v>
      </c>
      <c r="P84" s="6">
        <v>0</v>
      </c>
      <c r="Q84" s="4" t="s">
        <v>58</v>
      </c>
      <c r="R84" s="4">
        <v>0</v>
      </c>
      <c r="S84" s="6">
        <v>0</v>
      </c>
      <c r="T84" s="6">
        <v>8</v>
      </c>
      <c r="U84" s="6">
        <v>0</v>
      </c>
      <c r="V84" s="6">
        <f>IF(ISERROR(VLOOKUP($S$84,'TAR FIN'!$A$1:$O$85,15,0)),0,VLOOKUP($S$84,'TAR FIN'!$A$1:$O$85,15,0))</f>
        <v>0</v>
      </c>
      <c r="W84" s="6">
        <f>IF(ISERROR(VLOOKUP($T$84,'TAR FIN'!$A$1:$O$85,15,0)),0,VLOOKUP($T$84,'TAR FIN'!$A$1:$O$85,15,0))</f>
        <v>65.61</v>
      </c>
      <c r="X84" s="6">
        <f>IF(ISERROR(VLOOKUP($U$84,'TAR FIN'!$A$1:$O$85,15,0)),0,VLOOKUP($U$84,'TAR FIN'!$A$1:$O$85,15,0))</f>
        <v>0</v>
      </c>
      <c r="Y84" s="6"/>
      <c r="Z84" s="6">
        <f ca="1">('TUSD BE'!$AM$12+'TUSD BF'!$AM$12+'TUSD CVA'!$AM$12)*1</f>
        <v>100.34646310857573</v>
      </c>
      <c r="AA84" s="6"/>
      <c r="AB84" s="6">
        <f>$K$84*$V$84</f>
        <v>0</v>
      </c>
      <c r="AC84" s="6">
        <f>$M$84*$W$84</f>
        <v>209506.37688</v>
      </c>
      <c r="AD84" s="6">
        <f>$O$84*$X$84</f>
        <v>0</v>
      </c>
      <c r="AE84" s="6">
        <f>$K$84*$Y$84</f>
        <v>0</v>
      </c>
      <c r="AF84" s="6">
        <f ca="1">$M$84*$Z$84</f>
        <v>320427.12877000892</v>
      </c>
      <c r="AG84" s="6">
        <f>$O$84*$AA$84</f>
        <v>0</v>
      </c>
    </row>
    <row r="85" spans="1:33" ht="11.25" customHeight="1" x14ac:dyDescent="0.25">
      <c r="A85" s="4" t="s">
        <v>21</v>
      </c>
      <c r="B85" s="4" t="s">
        <v>33</v>
      </c>
      <c r="C85" s="4" t="s">
        <v>34</v>
      </c>
      <c r="D85" s="4" t="s">
        <v>40</v>
      </c>
      <c r="E85" s="4" t="s">
        <v>25</v>
      </c>
      <c r="F85" s="4" t="s">
        <v>57</v>
      </c>
      <c r="G85" s="4" t="s">
        <v>25</v>
      </c>
      <c r="H85" s="4" t="s">
        <v>36</v>
      </c>
      <c r="I85" s="5">
        <v>44501</v>
      </c>
      <c r="J85" s="6">
        <v>0</v>
      </c>
      <c r="K85" s="6">
        <v>0</v>
      </c>
      <c r="L85" s="6">
        <v>3324.471</v>
      </c>
      <c r="M85" s="6">
        <v>3324.471</v>
      </c>
      <c r="N85" s="6">
        <v>0</v>
      </c>
      <c r="O85" s="6">
        <v>0</v>
      </c>
      <c r="P85" s="6">
        <v>0</v>
      </c>
      <c r="Q85" s="4" t="s">
        <v>58</v>
      </c>
      <c r="R85" s="4">
        <v>0</v>
      </c>
      <c r="S85" s="6">
        <v>0</v>
      </c>
      <c r="T85" s="6">
        <v>8</v>
      </c>
      <c r="U85" s="6">
        <v>0</v>
      </c>
      <c r="V85" s="6">
        <f>IF(ISERROR(VLOOKUP($S$85,'TAR FIN'!$A$1:$O$85,15,0)),0,VLOOKUP($S$85,'TAR FIN'!$A$1:$O$85,15,0))</f>
        <v>0</v>
      </c>
      <c r="W85" s="6">
        <f>IF(ISERROR(VLOOKUP($T$85,'TAR FIN'!$A$1:$O$85,15,0)),0,VLOOKUP($T$85,'TAR FIN'!$A$1:$O$85,15,0))</f>
        <v>65.61</v>
      </c>
      <c r="X85" s="6">
        <f>IF(ISERROR(VLOOKUP($U$85,'TAR FIN'!$A$1:$O$85,15,0)),0,VLOOKUP($U$85,'TAR FIN'!$A$1:$O$85,15,0))</f>
        <v>0</v>
      </c>
      <c r="Y85" s="6"/>
      <c r="Z85" s="6">
        <f ca="1">('TUSD BE'!$AM$12+'TUSD BF'!$AM$12+'TUSD CVA'!$AM$12)*1</f>
        <v>100.34646310857573</v>
      </c>
      <c r="AA85" s="6"/>
      <c r="AB85" s="6">
        <f>$K$85*$V$85</f>
        <v>0</v>
      </c>
      <c r="AC85" s="6">
        <f>$M$85*$W$85</f>
        <v>218118.54230999999</v>
      </c>
      <c r="AD85" s="6">
        <f>$O$85*$X$85</f>
        <v>0</v>
      </c>
      <c r="AE85" s="6">
        <f>$K$85*$Y$85</f>
        <v>0</v>
      </c>
      <c r="AF85" s="6">
        <f ca="1">$M$85*$Z$85</f>
        <v>333598.90655702987</v>
      </c>
      <c r="AG85" s="6">
        <f>$O$85*$AA$85</f>
        <v>0</v>
      </c>
    </row>
    <row r="86" spans="1:33" ht="11.25" customHeight="1" x14ac:dyDescent="0.25">
      <c r="A86" s="4" t="s">
        <v>21</v>
      </c>
      <c r="B86" s="4" t="s">
        <v>33</v>
      </c>
      <c r="C86" s="4" t="s">
        <v>34</v>
      </c>
      <c r="D86" s="4" t="s">
        <v>40</v>
      </c>
      <c r="E86" s="4" t="s">
        <v>25</v>
      </c>
      <c r="F86" s="4" t="s">
        <v>57</v>
      </c>
      <c r="G86" s="4" t="s">
        <v>25</v>
      </c>
      <c r="H86" s="4" t="s">
        <v>36</v>
      </c>
      <c r="I86" s="5">
        <v>44531</v>
      </c>
      <c r="J86" s="6">
        <v>0</v>
      </c>
      <c r="K86" s="6">
        <v>0</v>
      </c>
      <c r="L86" s="6">
        <v>3218.1550000000002</v>
      </c>
      <c r="M86" s="6">
        <v>3218.1550000000002</v>
      </c>
      <c r="N86" s="6">
        <v>0</v>
      </c>
      <c r="O86" s="6">
        <v>0</v>
      </c>
      <c r="P86" s="6">
        <v>0</v>
      </c>
      <c r="Q86" s="4" t="s">
        <v>58</v>
      </c>
      <c r="R86" s="4">
        <v>0</v>
      </c>
      <c r="S86" s="6">
        <v>0</v>
      </c>
      <c r="T86" s="6">
        <v>8</v>
      </c>
      <c r="U86" s="6">
        <v>0</v>
      </c>
      <c r="V86" s="6">
        <f>IF(ISERROR(VLOOKUP($S$86,'TAR FIN'!$A$1:$O$85,15,0)),0,VLOOKUP($S$86,'TAR FIN'!$A$1:$O$85,15,0))</f>
        <v>0</v>
      </c>
      <c r="W86" s="6">
        <f>IF(ISERROR(VLOOKUP($T$86,'TAR FIN'!$A$1:$O$85,15,0)),0,VLOOKUP($T$86,'TAR FIN'!$A$1:$O$85,15,0))</f>
        <v>65.61</v>
      </c>
      <c r="X86" s="6">
        <f>IF(ISERROR(VLOOKUP($U$86,'TAR FIN'!$A$1:$O$85,15,0)),0,VLOOKUP($U$86,'TAR FIN'!$A$1:$O$85,15,0))</f>
        <v>0</v>
      </c>
      <c r="Y86" s="6"/>
      <c r="Z86" s="6">
        <f ca="1">('TUSD BE'!$AM$12+'TUSD BF'!$AM$12+'TUSD CVA'!$AM$12)*1</f>
        <v>100.34646310857573</v>
      </c>
      <c r="AA86" s="6"/>
      <c r="AB86" s="6">
        <f>$K$86*$V$86</f>
        <v>0</v>
      </c>
      <c r="AC86" s="6">
        <f>$M$86*$W$86</f>
        <v>211143.14955</v>
      </c>
      <c r="AD86" s="6">
        <f>$O$86*$X$86</f>
        <v>0</v>
      </c>
      <c r="AE86" s="6">
        <f>$K$86*$Y$86</f>
        <v>0</v>
      </c>
      <c r="AF86" s="6">
        <f ca="1">$M$86*$Z$86</f>
        <v>322930.47198517853</v>
      </c>
      <c r="AG86" s="6">
        <f>$O$86*$AA$86</f>
        <v>0</v>
      </c>
    </row>
    <row r="87" spans="1:33" ht="11.25" customHeight="1" x14ac:dyDescent="0.25">
      <c r="A87" s="4" t="s">
        <v>21</v>
      </c>
      <c r="B87" s="4" t="s">
        <v>33</v>
      </c>
      <c r="C87" s="4" t="s">
        <v>34</v>
      </c>
      <c r="D87" s="4" t="s">
        <v>40</v>
      </c>
      <c r="E87" s="4" t="s">
        <v>25</v>
      </c>
      <c r="F87" s="4" t="s">
        <v>57</v>
      </c>
      <c r="G87" s="4" t="s">
        <v>25</v>
      </c>
      <c r="H87" s="4" t="s">
        <v>36</v>
      </c>
      <c r="I87" s="5">
        <v>44562</v>
      </c>
      <c r="J87" s="6">
        <v>0</v>
      </c>
      <c r="K87" s="6">
        <v>0</v>
      </c>
      <c r="L87" s="6">
        <v>3222.1680000000001</v>
      </c>
      <c r="M87" s="6">
        <v>1611.0840000000001</v>
      </c>
      <c r="N87" s="6">
        <v>0</v>
      </c>
      <c r="O87" s="6">
        <v>0</v>
      </c>
      <c r="P87" s="6">
        <v>0</v>
      </c>
      <c r="Q87" s="4" t="s">
        <v>58</v>
      </c>
      <c r="R87" s="4">
        <v>0</v>
      </c>
      <c r="S87" s="6">
        <v>0</v>
      </c>
      <c r="T87" s="6">
        <v>8</v>
      </c>
      <c r="U87" s="6">
        <v>0</v>
      </c>
      <c r="V87" s="6">
        <f>IF(ISERROR(VLOOKUP($S$87,'TAR FIN'!$A$1:$O$85,15,0)),0,VLOOKUP($S$87,'TAR FIN'!$A$1:$O$85,15,0))</f>
        <v>0</v>
      </c>
      <c r="W87" s="6">
        <f>IF(ISERROR(VLOOKUP($T$87,'TAR FIN'!$A$1:$O$85,15,0)),0,VLOOKUP($T$87,'TAR FIN'!$A$1:$O$85,15,0))</f>
        <v>65.61</v>
      </c>
      <c r="X87" s="6">
        <f>IF(ISERROR(VLOOKUP($U$87,'TAR FIN'!$A$1:$O$85,15,0)),0,VLOOKUP($U$87,'TAR FIN'!$A$1:$O$85,15,0))</f>
        <v>0</v>
      </c>
      <c r="Y87" s="6"/>
      <c r="Z87" s="6">
        <f ca="1">('TUSD BE'!$AM$12+'TUSD BF'!$AM$12+'TUSD CVA'!$AM$12)*1</f>
        <v>100.34646310857573</v>
      </c>
      <c r="AA87" s="6"/>
      <c r="AB87" s="6">
        <f>$K$87*$V$87</f>
        <v>0</v>
      </c>
      <c r="AC87" s="6">
        <f>$M$87*$W$87</f>
        <v>105703.22124</v>
      </c>
      <c r="AD87" s="6">
        <f>$O$87*$X$87</f>
        <v>0</v>
      </c>
      <c r="AE87" s="6">
        <f>$K$87*$Y$87</f>
        <v>0</v>
      </c>
      <c r="AF87" s="6">
        <f ca="1">$M$87*$Z$87</f>
        <v>161666.58117081664</v>
      </c>
      <c r="AG87" s="6">
        <f>$O$87*$AA$87</f>
        <v>0</v>
      </c>
    </row>
    <row r="88" spans="1:33" ht="11.25" customHeight="1" x14ac:dyDescent="0.25">
      <c r="A88" s="4" t="s">
        <v>21</v>
      </c>
      <c r="B88" s="4" t="s">
        <v>33</v>
      </c>
      <c r="C88" s="4" t="s">
        <v>34</v>
      </c>
      <c r="D88" s="4" t="s">
        <v>40</v>
      </c>
      <c r="E88" s="4" t="s">
        <v>25</v>
      </c>
      <c r="F88" s="4" t="s">
        <v>57</v>
      </c>
      <c r="G88" s="4" t="s">
        <v>25</v>
      </c>
      <c r="H88" s="4" t="s">
        <v>36</v>
      </c>
      <c r="I88" s="5">
        <v>44593</v>
      </c>
      <c r="J88" s="6">
        <v>0</v>
      </c>
      <c r="K88" s="6">
        <v>0</v>
      </c>
      <c r="L88" s="6">
        <v>3045.0740000000001</v>
      </c>
      <c r="M88" s="6">
        <v>3045.0740000000001</v>
      </c>
      <c r="N88" s="6">
        <v>0</v>
      </c>
      <c r="O88" s="6">
        <v>0</v>
      </c>
      <c r="P88" s="6">
        <v>0</v>
      </c>
      <c r="Q88" s="4" t="s">
        <v>58</v>
      </c>
      <c r="R88" s="4">
        <v>0</v>
      </c>
      <c r="S88" s="6">
        <v>0</v>
      </c>
      <c r="T88" s="6">
        <v>8</v>
      </c>
      <c r="U88" s="6">
        <v>0</v>
      </c>
      <c r="V88" s="6">
        <f>IF(ISERROR(VLOOKUP($S$88,'TAR FIN'!$A$1:$O$85,15,0)),0,VLOOKUP($S$88,'TAR FIN'!$A$1:$O$85,15,0))</f>
        <v>0</v>
      </c>
      <c r="W88" s="6">
        <f>IF(ISERROR(VLOOKUP($T$88,'TAR FIN'!$A$1:$O$85,15,0)),0,VLOOKUP($T$88,'TAR FIN'!$A$1:$O$85,15,0))</f>
        <v>65.61</v>
      </c>
      <c r="X88" s="6">
        <f>IF(ISERROR(VLOOKUP($U$88,'TAR FIN'!$A$1:$O$85,15,0)),0,VLOOKUP($U$88,'TAR FIN'!$A$1:$O$85,15,0))</f>
        <v>0</v>
      </c>
      <c r="Y88" s="6"/>
      <c r="Z88" s="6">
        <f ca="1">('TUSD BE'!$AM$12+'TUSD BF'!$AM$12+'TUSD CVA'!$AM$12)*1</f>
        <v>100.34646310857573</v>
      </c>
      <c r="AA88" s="6"/>
      <c r="AB88" s="6">
        <f>$K$88*$V$88</f>
        <v>0</v>
      </c>
      <c r="AC88" s="6">
        <f>$M$88*$W$88</f>
        <v>199787.30514000001</v>
      </c>
      <c r="AD88" s="6">
        <f>$O$88*$X$88</f>
        <v>0</v>
      </c>
      <c r="AE88" s="6">
        <f>$K$88*$Y$88</f>
        <v>0</v>
      </c>
      <c r="AF88" s="6">
        <f ca="1">$M$88*$Z$88</f>
        <v>305562.40580388316</v>
      </c>
      <c r="AG88" s="6">
        <f>$O$88*$AA$88</f>
        <v>0</v>
      </c>
    </row>
    <row r="89" spans="1:33" ht="11.25" customHeight="1" x14ac:dyDescent="0.25">
      <c r="A89" s="4" t="s">
        <v>21</v>
      </c>
      <c r="B89" s="4" t="s">
        <v>33</v>
      </c>
      <c r="C89" s="4" t="s">
        <v>34</v>
      </c>
      <c r="D89" s="4" t="s">
        <v>40</v>
      </c>
      <c r="E89" s="4" t="s">
        <v>25</v>
      </c>
      <c r="F89" s="4" t="s">
        <v>57</v>
      </c>
      <c r="G89" s="4" t="s">
        <v>25</v>
      </c>
      <c r="H89" s="4" t="s">
        <v>36</v>
      </c>
      <c r="I89" s="5">
        <v>44621</v>
      </c>
      <c r="J89" s="6">
        <v>0</v>
      </c>
      <c r="K89" s="6">
        <v>0</v>
      </c>
      <c r="L89" s="6">
        <v>3725.3910000000001</v>
      </c>
      <c r="M89" s="6">
        <v>3725.3910000000001</v>
      </c>
      <c r="N89" s="6">
        <v>0</v>
      </c>
      <c r="O89" s="6">
        <v>0</v>
      </c>
      <c r="P89" s="6">
        <v>0</v>
      </c>
      <c r="Q89" s="4" t="s">
        <v>58</v>
      </c>
      <c r="R89" s="4">
        <v>0</v>
      </c>
      <c r="S89" s="6">
        <v>0</v>
      </c>
      <c r="T89" s="6">
        <v>8</v>
      </c>
      <c r="U89" s="6">
        <v>0</v>
      </c>
      <c r="V89" s="6">
        <f>IF(ISERROR(VLOOKUP($S$89,'TAR FIN'!$A$1:$O$85,15,0)),0,VLOOKUP($S$89,'TAR FIN'!$A$1:$O$85,15,0))</f>
        <v>0</v>
      </c>
      <c r="W89" s="6">
        <f>IF(ISERROR(VLOOKUP($T$89,'TAR FIN'!$A$1:$O$85,15,0)),0,VLOOKUP($T$89,'TAR FIN'!$A$1:$O$85,15,0))</f>
        <v>65.61</v>
      </c>
      <c r="X89" s="6">
        <f>IF(ISERROR(VLOOKUP($U$89,'TAR FIN'!$A$1:$O$85,15,0)),0,VLOOKUP($U$89,'TAR FIN'!$A$1:$O$85,15,0))</f>
        <v>0</v>
      </c>
      <c r="Y89" s="6"/>
      <c r="Z89" s="6">
        <f ca="1">('TUSD BE'!$AM$12+'TUSD BF'!$AM$12+'TUSD CVA'!$AM$12)*1</f>
        <v>100.34646310857573</v>
      </c>
      <c r="AA89" s="6"/>
      <c r="AB89" s="6">
        <f>$K$89*$V$89</f>
        <v>0</v>
      </c>
      <c r="AC89" s="6">
        <f>$M$89*$W$89</f>
        <v>244422.90351</v>
      </c>
      <c r="AD89" s="6">
        <f>$O$89*$X$89</f>
        <v>0</v>
      </c>
      <c r="AE89" s="6">
        <f>$K$89*$Y$89</f>
        <v>0</v>
      </c>
      <c r="AF89" s="6">
        <f ca="1">$M$89*$Z$89</f>
        <v>373829.81054652005</v>
      </c>
      <c r="AG89" s="6">
        <f>$O$89*$AA$89</f>
        <v>0</v>
      </c>
    </row>
    <row r="90" spans="1:33" ht="11.25" customHeight="1" x14ac:dyDescent="0.25">
      <c r="A90" s="4" t="s">
        <v>59</v>
      </c>
      <c r="B90" s="4" t="s">
        <v>33</v>
      </c>
      <c r="C90" s="4" t="s">
        <v>34</v>
      </c>
      <c r="D90" s="4" t="s">
        <v>40</v>
      </c>
      <c r="E90" s="4" t="s">
        <v>25</v>
      </c>
      <c r="F90" s="4" t="s">
        <v>57</v>
      </c>
      <c r="G90" s="4" t="s">
        <v>25</v>
      </c>
      <c r="H90" s="4" t="s">
        <v>36</v>
      </c>
      <c r="I90" s="5">
        <v>44652</v>
      </c>
      <c r="J90" s="6">
        <v>0</v>
      </c>
      <c r="K90" s="6">
        <v>0</v>
      </c>
      <c r="L90" s="6">
        <v>3725.3910000000001</v>
      </c>
      <c r="M90" s="6">
        <v>3725.3910000000001</v>
      </c>
      <c r="N90" s="6">
        <v>0</v>
      </c>
      <c r="O90" s="6">
        <v>0</v>
      </c>
      <c r="P90" s="6">
        <v>0</v>
      </c>
      <c r="Q90" s="4" t="s">
        <v>58</v>
      </c>
      <c r="R90" s="4">
        <v>0</v>
      </c>
      <c r="S90" s="6">
        <v>0</v>
      </c>
      <c r="T90" s="6">
        <v>8</v>
      </c>
      <c r="U90" s="6">
        <v>0</v>
      </c>
      <c r="V90" s="6">
        <f>IF(ISERROR(VLOOKUP($S$90,'TAR FIN'!$A$1:$O$85,15,0)),0,VLOOKUP($S$90,'TAR FIN'!$A$1:$O$85,15,0))</f>
        <v>0</v>
      </c>
      <c r="W90" s="6">
        <f>IF(ISERROR(VLOOKUP($T$90,'TAR FIN'!$A$1:$O$85,15,0)),0,VLOOKUP($T$90,'TAR FIN'!$A$1:$O$85,15,0))</f>
        <v>65.61</v>
      </c>
      <c r="X90" s="6">
        <f>IF(ISERROR(VLOOKUP($U$90,'TAR FIN'!$A$1:$O$85,15,0)),0,VLOOKUP($U$90,'TAR FIN'!$A$1:$O$85,15,0))</f>
        <v>0</v>
      </c>
      <c r="Y90" s="6"/>
      <c r="Z90" s="6">
        <f ca="1">('TUSD BE'!$AM$12+'TUSD BF'!$AM$12+'TUSD CVA'!$AM$12)*1</f>
        <v>100.34646310857573</v>
      </c>
      <c r="AA90" s="6"/>
      <c r="AB90" s="6">
        <f>$K$90*$V$90</f>
        <v>0</v>
      </c>
      <c r="AC90" s="6">
        <f>$M$90*$W$90</f>
        <v>244422.90351</v>
      </c>
      <c r="AD90" s="6">
        <f>$O$90*$X$90</f>
        <v>0</v>
      </c>
      <c r="AE90" s="6">
        <f>$K$90*$Y$90</f>
        <v>0</v>
      </c>
      <c r="AF90" s="6">
        <f ca="1">$M$90*$Z$90</f>
        <v>373829.81054652005</v>
      </c>
      <c r="AG90" s="6">
        <f>$O$90*$AA$90</f>
        <v>0</v>
      </c>
    </row>
    <row r="91" spans="1:33" ht="11.25" customHeight="1" x14ac:dyDescent="0.25">
      <c r="A91" s="4" t="s">
        <v>21</v>
      </c>
      <c r="B91" s="4" t="s">
        <v>33</v>
      </c>
      <c r="C91" s="4" t="s">
        <v>34</v>
      </c>
      <c r="D91" s="4" t="s">
        <v>40</v>
      </c>
      <c r="E91" s="4" t="s">
        <v>25</v>
      </c>
      <c r="F91" s="4" t="s">
        <v>57</v>
      </c>
      <c r="G91" s="4" t="s">
        <v>25</v>
      </c>
      <c r="H91" s="4" t="s">
        <v>25</v>
      </c>
      <c r="I91" s="5">
        <v>44317</v>
      </c>
      <c r="J91" s="6">
        <v>7450</v>
      </c>
      <c r="K91" s="6">
        <v>3725</v>
      </c>
      <c r="L91" s="6">
        <v>0</v>
      </c>
      <c r="M91" s="6">
        <v>0</v>
      </c>
      <c r="N91" s="6">
        <v>0</v>
      </c>
      <c r="O91" s="6">
        <v>0</v>
      </c>
      <c r="P91" s="6">
        <v>3</v>
      </c>
      <c r="Q91" s="4" t="s">
        <v>58</v>
      </c>
      <c r="R91" s="4">
        <v>0</v>
      </c>
      <c r="S91" s="6">
        <v>6</v>
      </c>
      <c r="T91" s="6">
        <v>0</v>
      </c>
      <c r="U91" s="6">
        <v>0</v>
      </c>
      <c r="V91" s="6">
        <f>IF(ISERROR(VLOOKUP($S$91,'TAR FIN'!$A$1:$O$85,15,0)),0,VLOOKUP($S$91,'TAR FIN'!$A$1:$O$85,15,0))</f>
        <v>19.32</v>
      </c>
      <c r="W91" s="6">
        <f>IF(ISERROR(VLOOKUP($T$91,'TAR FIN'!$A$1:$O$85,15,0)),0,VLOOKUP($T$91,'TAR FIN'!$A$1:$O$85,15,0))</f>
        <v>0</v>
      </c>
      <c r="X91" s="6">
        <f>IF(ISERROR(VLOOKUP($U$91,'TAR FIN'!$A$1:$O$85,15,0)),0,VLOOKUP($U$91,'TAR FIN'!$A$1:$O$85,15,0))</f>
        <v>0</v>
      </c>
      <c r="Y91" s="6">
        <f ca="1">('TUSD BE'!$AM$10+'TUSD BF'!$AM$10+'TUSD CVA'!$AM$10)*1</f>
        <v>16.680041929169654</v>
      </c>
      <c r="Z91" s="6"/>
      <c r="AA91" s="6"/>
      <c r="AB91" s="6">
        <f>$K$91*$V$91</f>
        <v>71967</v>
      </c>
      <c r="AC91" s="6">
        <f>$M$91*$W$91</f>
        <v>0</v>
      </c>
      <c r="AD91" s="6">
        <f>$O$91*$X$91</f>
        <v>0</v>
      </c>
      <c r="AE91" s="6">
        <f ca="1">$K$91*$Y$91</f>
        <v>62133.156186156964</v>
      </c>
      <c r="AF91" s="6">
        <f>$M$91*$Z$91</f>
        <v>0</v>
      </c>
      <c r="AG91" s="6">
        <f>$O$91*$AA$91</f>
        <v>0</v>
      </c>
    </row>
    <row r="92" spans="1:33" ht="11.25" customHeight="1" x14ac:dyDescent="0.25">
      <c r="A92" s="4" t="s">
        <v>21</v>
      </c>
      <c r="B92" s="4" t="s">
        <v>33</v>
      </c>
      <c r="C92" s="4" t="s">
        <v>34</v>
      </c>
      <c r="D92" s="4" t="s">
        <v>40</v>
      </c>
      <c r="E92" s="4" t="s">
        <v>25</v>
      </c>
      <c r="F92" s="4" t="s">
        <v>57</v>
      </c>
      <c r="G92" s="4" t="s">
        <v>25</v>
      </c>
      <c r="H92" s="4" t="s">
        <v>25</v>
      </c>
      <c r="I92" s="5">
        <v>44348</v>
      </c>
      <c r="J92" s="6">
        <v>8580</v>
      </c>
      <c r="K92" s="6">
        <v>4290</v>
      </c>
      <c r="L92" s="6">
        <v>0</v>
      </c>
      <c r="M92" s="6">
        <v>0</v>
      </c>
      <c r="N92" s="6">
        <v>0</v>
      </c>
      <c r="O92" s="6">
        <v>0</v>
      </c>
      <c r="P92" s="6">
        <v>4</v>
      </c>
      <c r="Q92" s="4" t="s">
        <v>58</v>
      </c>
      <c r="R92" s="4">
        <v>0</v>
      </c>
      <c r="S92" s="6">
        <v>6</v>
      </c>
      <c r="T92" s="6">
        <v>0</v>
      </c>
      <c r="U92" s="6">
        <v>0</v>
      </c>
      <c r="V92" s="6">
        <f>IF(ISERROR(VLOOKUP($S$92,'TAR FIN'!$A$1:$O$85,15,0)),0,VLOOKUP($S$92,'TAR FIN'!$A$1:$O$85,15,0))</f>
        <v>19.32</v>
      </c>
      <c r="W92" s="6">
        <f>IF(ISERROR(VLOOKUP($T$92,'TAR FIN'!$A$1:$O$85,15,0)),0,VLOOKUP($T$92,'TAR FIN'!$A$1:$O$85,15,0))</f>
        <v>0</v>
      </c>
      <c r="X92" s="6">
        <f>IF(ISERROR(VLOOKUP($U$92,'TAR FIN'!$A$1:$O$85,15,0)),0,VLOOKUP($U$92,'TAR FIN'!$A$1:$O$85,15,0))</f>
        <v>0</v>
      </c>
      <c r="Y92" s="6">
        <f ca="1">('TUSD BE'!$AM$10+'TUSD BF'!$AM$10+'TUSD CVA'!$AM$10)*1</f>
        <v>16.680041929169654</v>
      </c>
      <c r="Z92" s="6"/>
      <c r="AA92" s="6"/>
      <c r="AB92" s="6">
        <f>$K$92*$V$92</f>
        <v>82882.8</v>
      </c>
      <c r="AC92" s="6">
        <f>$M$92*$W$92</f>
        <v>0</v>
      </c>
      <c r="AD92" s="6">
        <f>$O$92*$X$92</f>
        <v>0</v>
      </c>
      <c r="AE92" s="6">
        <f ca="1">$K$92*$Y$92</f>
        <v>71557.379876137813</v>
      </c>
      <c r="AF92" s="6">
        <f>$M$92*$Z$92</f>
        <v>0</v>
      </c>
      <c r="AG92" s="6">
        <f>$O$92*$AA$92</f>
        <v>0</v>
      </c>
    </row>
    <row r="93" spans="1:33" ht="11.25" customHeight="1" x14ac:dyDescent="0.25">
      <c r="A93" s="4" t="s">
        <v>21</v>
      </c>
      <c r="B93" s="4" t="s">
        <v>33</v>
      </c>
      <c r="C93" s="4" t="s">
        <v>34</v>
      </c>
      <c r="D93" s="4" t="s">
        <v>40</v>
      </c>
      <c r="E93" s="4" t="s">
        <v>25</v>
      </c>
      <c r="F93" s="4" t="s">
        <v>57</v>
      </c>
      <c r="G93" s="4" t="s">
        <v>25</v>
      </c>
      <c r="H93" s="4" t="s">
        <v>25</v>
      </c>
      <c r="I93" s="5">
        <v>44378</v>
      </c>
      <c r="J93" s="6">
        <v>9550</v>
      </c>
      <c r="K93" s="6">
        <v>4775</v>
      </c>
      <c r="L93" s="6">
        <v>0</v>
      </c>
      <c r="M93" s="6">
        <v>0</v>
      </c>
      <c r="N93" s="6">
        <v>0</v>
      </c>
      <c r="O93" s="6">
        <v>0</v>
      </c>
      <c r="P93" s="6">
        <v>5</v>
      </c>
      <c r="Q93" s="4" t="s">
        <v>58</v>
      </c>
      <c r="R93" s="4">
        <v>0</v>
      </c>
      <c r="S93" s="6">
        <v>6</v>
      </c>
      <c r="T93" s="6">
        <v>0</v>
      </c>
      <c r="U93" s="6">
        <v>0</v>
      </c>
      <c r="V93" s="6">
        <f>IF(ISERROR(VLOOKUP($S$93,'TAR FIN'!$A$1:$O$85,15,0)),0,VLOOKUP($S$93,'TAR FIN'!$A$1:$O$85,15,0))</f>
        <v>19.32</v>
      </c>
      <c r="W93" s="6">
        <f>IF(ISERROR(VLOOKUP($T$93,'TAR FIN'!$A$1:$O$85,15,0)),0,VLOOKUP($T$93,'TAR FIN'!$A$1:$O$85,15,0))</f>
        <v>0</v>
      </c>
      <c r="X93" s="6">
        <f>IF(ISERROR(VLOOKUP($U$93,'TAR FIN'!$A$1:$O$85,15,0)),0,VLOOKUP($U$93,'TAR FIN'!$A$1:$O$85,15,0))</f>
        <v>0</v>
      </c>
      <c r="Y93" s="6">
        <f ca="1">('TUSD BE'!$AM$10+'TUSD BF'!$AM$10+'TUSD CVA'!$AM$10)*1</f>
        <v>16.680041929169654</v>
      </c>
      <c r="Z93" s="6"/>
      <c r="AA93" s="6"/>
      <c r="AB93" s="6">
        <f>$K$93*$V$93</f>
        <v>92253</v>
      </c>
      <c r="AC93" s="6">
        <f>$M$93*$W$93</f>
        <v>0</v>
      </c>
      <c r="AD93" s="6">
        <f>$O$93*$X$93</f>
        <v>0</v>
      </c>
      <c r="AE93" s="6">
        <f ca="1">$K$93*$Y$93</f>
        <v>79647.200211785093</v>
      </c>
      <c r="AF93" s="6">
        <f>$M$93*$Z$93</f>
        <v>0</v>
      </c>
      <c r="AG93" s="6">
        <f>$O$93*$AA$93</f>
        <v>0</v>
      </c>
    </row>
    <row r="94" spans="1:33" ht="11.25" customHeight="1" x14ac:dyDescent="0.25">
      <c r="A94" s="4" t="s">
        <v>21</v>
      </c>
      <c r="B94" s="4" t="s">
        <v>33</v>
      </c>
      <c r="C94" s="4" t="s">
        <v>34</v>
      </c>
      <c r="D94" s="4" t="s">
        <v>40</v>
      </c>
      <c r="E94" s="4" t="s">
        <v>25</v>
      </c>
      <c r="F94" s="4" t="s">
        <v>57</v>
      </c>
      <c r="G94" s="4" t="s">
        <v>25</v>
      </c>
      <c r="H94" s="4" t="s">
        <v>25</v>
      </c>
      <c r="I94" s="5">
        <v>44409</v>
      </c>
      <c r="J94" s="6">
        <v>9550</v>
      </c>
      <c r="K94" s="6">
        <v>4775</v>
      </c>
      <c r="L94" s="6">
        <v>0</v>
      </c>
      <c r="M94" s="6">
        <v>0</v>
      </c>
      <c r="N94" s="6">
        <v>0</v>
      </c>
      <c r="O94" s="6">
        <v>0</v>
      </c>
      <c r="P94" s="6">
        <v>5</v>
      </c>
      <c r="Q94" s="4" t="s">
        <v>58</v>
      </c>
      <c r="R94" s="4">
        <v>0</v>
      </c>
      <c r="S94" s="6">
        <v>6</v>
      </c>
      <c r="T94" s="6">
        <v>0</v>
      </c>
      <c r="U94" s="6">
        <v>0</v>
      </c>
      <c r="V94" s="6">
        <f>IF(ISERROR(VLOOKUP($S$94,'TAR FIN'!$A$1:$O$85,15,0)),0,VLOOKUP($S$94,'TAR FIN'!$A$1:$O$85,15,0))</f>
        <v>19.32</v>
      </c>
      <c r="W94" s="6">
        <f>IF(ISERROR(VLOOKUP($T$94,'TAR FIN'!$A$1:$O$85,15,0)),0,VLOOKUP($T$94,'TAR FIN'!$A$1:$O$85,15,0))</f>
        <v>0</v>
      </c>
      <c r="X94" s="6">
        <f>IF(ISERROR(VLOOKUP($U$94,'TAR FIN'!$A$1:$O$85,15,0)),0,VLOOKUP($U$94,'TAR FIN'!$A$1:$O$85,15,0))</f>
        <v>0</v>
      </c>
      <c r="Y94" s="6">
        <f ca="1">('TUSD BE'!$AM$10+'TUSD BF'!$AM$10+'TUSD CVA'!$AM$10)*1</f>
        <v>16.680041929169654</v>
      </c>
      <c r="Z94" s="6"/>
      <c r="AA94" s="6"/>
      <c r="AB94" s="6">
        <f>$K$94*$V$94</f>
        <v>92253</v>
      </c>
      <c r="AC94" s="6">
        <f>$M$94*$W$94</f>
        <v>0</v>
      </c>
      <c r="AD94" s="6">
        <f>$O$94*$X$94</f>
        <v>0</v>
      </c>
      <c r="AE94" s="6">
        <f ca="1">$K$94*$Y$94</f>
        <v>79647.200211785093</v>
      </c>
      <c r="AF94" s="6">
        <f>$M$94*$Z$94</f>
        <v>0</v>
      </c>
      <c r="AG94" s="6">
        <f>$O$94*$AA$94</f>
        <v>0</v>
      </c>
    </row>
    <row r="95" spans="1:33" ht="11.25" customHeight="1" x14ac:dyDescent="0.25">
      <c r="A95" s="4" t="s">
        <v>21</v>
      </c>
      <c r="B95" s="4" t="s">
        <v>33</v>
      </c>
      <c r="C95" s="4" t="s">
        <v>34</v>
      </c>
      <c r="D95" s="4" t="s">
        <v>40</v>
      </c>
      <c r="E95" s="4" t="s">
        <v>25</v>
      </c>
      <c r="F95" s="4" t="s">
        <v>57</v>
      </c>
      <c r="G95" s="4" t="s">
        <v>25</v>
      </c>
      <c r="H95" s="4" t="s">
        <v>25</v>
      </c>
      <c r="I95" s="5">
        <v>44440</v>
      </c>
      <c r="J95" s="6">
        <v>9733</v>
      </c>
      <c r="K95" s="6">
        <v>4866.5</v>
      </c>
      <c r="L95" s="6">
        <v>0</v>
      </c>
      <c r="M95" s="6">
        <v>0</v>
      </c>
      <c r="N95" s="6">
        <v>0</v>
      </c>
      <c r="O95" s="6">
        <v>0</v>
      </c>
      <c r="P95" s="6">
        <v>5</v>
      </c>
      <c r="Q95" s="4" t="s">
        <v>58</v>
      </c>
      <c r="R95" s="4">
        <v>0</v>
      </c>
      <c r="S95" s="6">
        <v>6</v>
      </c>
      <c r="T95" s="6">
        <v>0</v>
      </c>
      <c r="U95" s="6">
        <v>0</v>
      </c>
      <c r="V95" s="6">
        <f>IF(ISERROR(VLOOKUP($S$95,'TAR FIN'!$A$1:$O$85,15,0)),0,VLOOKUP($S$95,'TAR FIN'!$A$1:$O$85,15,0))</f>
        <v>19.32</v>
      </c>
      <c r="W95" s="6">
        <f>IF(ISERROR(VLOOKUP($T$95,'TAR FIN'!$A$1:$O$85,15,0)),0,VLOOKUP($T$95,'TAR FIN'!$A$1:$O$85,15,0))</f>
        <v>0</v>
      </c>
      <c r="X95" s="6">
        <f>IF(ISERROR(VLOOKUP($U$95,'TAR FIN'!$A$1:$O$85,15,0)),0,VLOOKUP($U$95,'TAR FIN'!$A$1:$O$85,15,0))</f>
        <v>0</v>
      </c>
      <c r="Y95" s="6">
        <f ca="1">('TUSD BE'!$AM$10+'TUSD BF'!$AM$10+'TUSD CVA'!$AM$10)*1</f>
        <v>16.680041929169654</v>
      </c>
      <c r="Z95" s="6"/>
      <c r="AA95" s="6"/>
      <c r="AB95" s="6">
        <f>$K$95*$V$95</f>
        <v>94020.78</v>
      </c>
      <c r="AC95" s="6">
        <f>$M$95*$W$95</f>
        <v>0</v>
      </c>
      <c r="AD95" s="6">
        <f>$O$95*$X$95</f>
        <v>0</v>
      </c>
      <c r="AE95" s="6">
        <f ca="1">$K$95*$Y$95</f>
        <v>81173.424048304121</v>
      </c>
      <c r="AF95" s="6">
        <f>$M$95*$Z$95</f>
        <v>0</v>
      </c>
      <c r="AG95" s="6">
        <f>$O$95*$AA$95</f>
        <v>0</v>
      </c>
    </row>
    <row r="96" spans="1:33" ht="11.25" customHeight="1" x14ac:dyDescent="0.25">
      <c r="A96" s="4" t="s">
        <v>21</v>
      </c>
      <c r="B96" s="4" t="s">
        <v>33</v>
      </c>
      <c r="C96" s="4" t="s">
        <v>34</v>
      </c>
      <c r="D96" s="4" t="s">
        <v>40</v>
      </c>
      <c r="E96" s="4" t="s">
        <v>25</v>
      </c>
      <c r="F96" s="4" t="s">
        <v>57</v>
      </c>
      <c r="G96" s="4" t="s">
        <v>25</v>
      </c>
      <c r="H96" s="4" t="s">
        <v>25</v>
      </c>
      <c r="I96" s="5">
        <v>44470</v>
      </c>
      <c r="J96" s="6">
        <v>9787</v>
      </c>
      <c r="K96" s="6">
        <v>4893.5</v>
      </c>
      <c r="L96" s="6">
        <v>0</v>
      </c>
      <c r="M96" s="6">
        <v>0</v>
      </c>
      <c r="N96" s="6">
        <v>0</v>
      </c>
      <c r="O96" s="6">
        <v>0</v>
      </c>
      <c r="P96" s="6">
        <v>5</v>
      </c>
      <c r="Q96" s="4" t="s">
        <v>58</v>
      </c>
      <c r="R96" s="4">
        <v>0</v>
      </c>
      <c r="S96" s="6">
        <v>6</v>
      </c>
      <c r="T96" s="6">
        <v>0</v>
      </c>
      <c r="U96" s="6">
        <v>0</v>
      </c>
      <c r="V96" s="6">
        <f>IF(ISERROR(VLOOKUP($S$96,'TAR FIN'!$A$1:$O$85,15,0)),0,VLOOKUP($S$96,'TAR FIN'!$A$1:$O$85,15,0))</f>
        <v>19.32</v>
      </c>
      <c r="W96" s="6">
        <f>IF(ISERROR(VLOOKUP($T$96,'TAR FIN'!$A$1:$O$85,15,0)),0,VLOOKUP($T$96,'TAR FIN'!$A$1:$O$85,15,0))</f>
        <v>0</v>
      </c>
      <c r="X96" s="6">
        <f>IF(ISERROR(VLOOKUP($U$96,'TAR FIN'!$A$1:$O$85,15,0)),0,VLOOKUP($U$96,'TAR FIN'!$A$1:$O$85,15,0))</f>
        <v>0</v>
      </c>
      <c r="Y96" s="6">
        <f ca="1">('TUSD BE'!$AM$10+'TUSD BF'!$AM$10+'TUSD CVA'!$AM$10)*1</f>
        <v>16.680041929169654</v>
      </c>
      <c r="Z96" s="6"/>
      <c r="AA96" s="6"/>
      <c r="AB96" s="6">
        <f>$K$96*$V$96</f>
        <v>94542.42</v>
      </c>
      <c r="AC96" s="6">
        <f>$M$96*$W$96</f>
        <v>0</v>
      </c>
      <c r="AD96" s="6">
        <f>$O$96*$X$96</f>
        <v>0</v>
      </c>
      <c r="AE96" s="6">
        <f ca="1">$K$96*$Y$96</f>
        <v>81623.7851803917</v>
      </c>
      <c r="AF96" s="6">
        <f>$M$96*$Z$96</f>
        <v>0</v>
      </c>
      <c r="AG96" s="6">
        <f>$O$96*$AA$96</f>
        <v>0</v>
      </c>
    </row>
    <row r="97" spans="1:33" ht="11.25" customHeight="1" x14ac:dyDescent="0.25">
      <c r="A97" s="4" t="s">
        <v>21</v>
      </c>
      <c r="B97" s="4" t="s">
        <v>33</v>
      </c>
      <c r="C97" s="4" t="s">
        <v>34</v>
      </c>
      <c r="D97" s="4" t="s">
        <v>40</v>
      </c>
      <c r="E97" s="4" t="s">
        <v>25</v>
      </c>
      <c r="F97" s="4" t="s">
        <v>57</v>
      </c>
      <c r="G97" s="4" t="s">
        <v>25</v>
      </c>
      <c r="H97" s="4" t="s">
        <v>25</v>
      </c>
      <c r="I97" s="5">
        <v>44501</v>
      </c>
      <c r="J97" s="6">
        <v>10337</v>
      </c>
      <c r="K97" s="6">
        <v>5168.5</v>
      </c>
      <c r="L97" s="6">
        <v>0</v>
      </c>
      <c r="M97" s="6">
        <v>0</v>
      </c>
      <c r="N97" s="6">
        <v>0</v>
      </c>
      <c r="O97" s="6">
        <v>0</v>
      </c>
      <c r="P97" s="6">
        <v>6</v>
      </c>
      <c r="Q97" s="4" t="s">
        <v>58</v>
      </c>
      <c r="R97" s="4">
        <v>0</v>
      </c>
      <c r="S97" s="6">
        <v>6</v>
      </c>
      <c r="T97" s="6">
        <v>0</v>
      </c>
      <c r="U97" s="6">
        <v>0</v>
      </c>
      <c r="V97" s="6">
        <f>IF(ISERROR(VLOOKUP($S$97,'TAR FIN'!$A$1:$O$85,15,0)),0,VLOOKUP($S$97,'TAR FIN'!$A$1:$O$85,15,0))</f>
        <v>19.32</v>
      </c>
      <c r="W97" s="6">
        <f>IF(ISERROR(VLOOKUP($T$97,'TAR FIN'!$A$1:$O$85,15,0)),0,VLOOKUP($T$97,'TAR FIN'!$A$1:$O$85,15,0))</f>
        <v>0</v>
      </c>
      <c r="X97" s="6">
        <f>IF(ISERROR(VLOOKUP($U$97,'TAR FIN'!$A$1:$O$85,15,0)),0,VLOOKUP($U$97,'TAR FIN'!$A$1:$O$85,15,0))</f>
        <v>0</v>
      </c>
      <c r="Y97" s="6">
        <f ca="1">('TUSD BE'!$AM$10+'TUSD BF'!$AM$10+'TUSD CVA'!$AM$10)*1</f>
        <v>16.680041929169654</v>
      </c>
      <c r="Z97" s="6"/>
      <c r="AA97" s="6"/>
      <c r="AB97" s="6">
        <f>$K$97*$V$97</f>
        <v>99855.42</v>
      </c>
      <c r="AC97" s="6">
        <f>$M$97*$W$97</f>
        <v>0</v>
      </c>
      <c r="AD97" s="6">
        <f>$O$97*$X$97</f>
        <v>0</v>
      </c>
      <c r="AE97" s="6">
        <f ca="1">$K$97*$Y$97</f>
        <v>86210.796710913361</v>
      </c>
      <c r="AF97" s="6">
        <f>$M$97*$Z$97</f>
        <v>0</v>
      </c>
      <c r="AG97" s="6">
        <f>$O$97*$AA$97</f>
        <v>0</v>
      </c>
    </row>
    <row r="98" spans="1:33" ht="11.25" customHeight="1" x14ac:dyDescent="0.25">
      <c r="A98" s="4" t="s">
        <v>21</v>
      </c>
      <c r="B98" s="4" t="s">
        <v>33</v>
      </c>
      <c r="C98" s="4" t="s">
        <v>34</v>
      </c>
      <c r="D98" s="4" t="s">
        <v>40</v>
      </c>
      <c r="E98" s="4" t="s">
        <v>25</v>
      </c>
      <c r="F98" s="4" t="s">
        <v>57</v>
      </c>
      <c r="G98" s="4" t="s">
        <v>25</v>
      </c>
      <c r="H98" s="4" t="s">
        <v>25</v>
      </c>
      <c r="I98" s="5">
        <v>44531</v>
      </c>
      <c r="J98" s="6">
        <v>10370</v>
      </c>
      <c r="K98" s="6">
        <v>5185</v>
      </c>
      <c r="L98" s="6">
        <v>0</v>
      </c>
      <c r="M98" s="6">
        <v>0</v>
      </c>
      <c r="N98" s="6">
        <v>0</v>
      </c>
      <c r="O98" s="6">
        <v>0</v>
      </c>
      <c r="P98" s="6">
        <v>6</v>
      </c>
      <c r="Q98" s="4" t="s">
        <v>58</v>
      </c>
      <c r="R98" s="4">
        <v>0</v>
      </c>
      <c r="S98" s="6">
        <v>6</v>
      </c>
      <c r="T98" s="6">
        <v>0</v>
      </c>
      <c r="U98" s="6">
        <v>0</v>
      </c>
      <c r="V98" s="6">
        <f>IF(ISERROR(VLOOKUP($S$98,'TAR FIN'!$A$1:$O$85,15,0)),0,VLOOKUP($S$98,'TAR FIN'!$A$1:$O$85,15,0))</f>
        <v>19.32</v>
      </c>
      <c r="W98" s="6">
        <f>IF(ISERROR(VLOOKUP($T$98,'TAR FIN'!$A$1:$O$85,15,0)),0,VLOOKUP($T$98,'TAR FIN'!$A$1:$O$85,15,0))</f>
        <v>0</v>
      </c>
      <c r="X98" s="6">
        <f>IF(ISERROR(VLOOKUP($U$98,'TAR FIN'!$A$1:$O$85,15,0)),0,VLOOKUP($U$98,'TAR FIN'!$A$1:$O$85,15,0))</f>
        <v>0</v>
      </c>
      <c r="Y98" s="6">
        <f ca="1">('TUSD BE'!$AM$10+'TUSD BF'!$AM$10+'TUSD CVA'!$AM$10)*1</f>
        <v>16.680041929169654</v>
      </c>
      <c r="Z98" s="6"/>
      <c r="AA98" s="6"/>
      <c r="AB98" s="6">
        <f>$K$98*$V$98</f>
        <v>100174.2</v>
      </c>
      <c r="AC98" s="6">
        <f>$M$98*$W$98</f>
        <v>0</v>
      </c>
      <c r="AD98" s="6">
        <f>$O$98*$X$98</f>
        <v>0</v>
      </c>
      <c r="AE98" s="6">
        <f ca="1">$K$98*$Y$98</f>
        <v>86486.017402744663</v>
      </c>
      <c r="AF98" s="6">
        <f>$M$98*$Z$98</f>
        <v>0</v>
      </c>
      <c r="AG98" s="6">
        <f>$O$98*$AA$98</f>
        <v>0</v>
      </c>
    </row>
    <row r="99" spans="1:33" ht="11.25" customHeight="1" x14ac:dyDescent="0.25">
      <c r="A99" s="4" t="s">
        <v>21</v>
      </c>
      <c r="B99" s="4" t="s">
        <v>33</v>
      </c>
      <c r="C99" s="4" t="s">
        <v>34</v>
      </c>
      <c r="D99" s="4" t="s">
        <v>40</v>
      </c>
      <c r="E99" s="4" t="s">
        <v>25</v>
      </c>
      <c r="F99" s="4" t="s">
        <v>57</v>
      </c>
      <c r="G99" s="4" t="s">
        <v>25</v>
      </c>
      <c r="H99" s="4" t="s">
        <v>25</v>
      </c>
      <c r="I99" s="5">
        <v>44562</v>
      </c>
      <c r="J99" s="6">
        <v>10222</v>
      </c>
      <c r="K99" s="6">
        <v>5111</v>
      </c>
      <c r="L99" s="6">
        <v>0</v>
      </c>
      <c r="M99" s="6">
        <v>0</v>
      </c>
      <c r="N99" s="6">
        <v>0</v>
      </c>
      <c r="O99" s="6">
        <v>0</v>
      </c>
      <c r="P99" s="6">
        <v>6</v>
      </c>
      <c r="Q99" s="4" t="s">
        <v>58</v>
      </c>
      <c r="R99" s="4">
        <v>0</v>
      </c>
      <c r="S99" s="6">
        <v>6</v>
      </c>
      <c r="T99" s="6">
        <v>0</v>
      </c>
      <c r="U99" s="6">
        <v>0</v>
      </c>
      <c r="V99" s="6">
        <f>IF(ISERROR(VLOOKUP($S$99,'TAR FIN'!$A$1:$O$85,15,0)),0,VLOOKUP($S$99,'TAR FIN'!$A$1:$O$85,15,0))</f>
        <v>19.32</v>
      </c>
      <c r="W99" s="6">
        <f>IF(ISERROR(VLOOKUP($T$99,'TAR FIN'!$A$1:$O$85,15,0)),0,VLOOKUP($T$99,'TAR FIN'!$A$1:$O$85,15,0))</f>
        <v>0</v>
      </c>
      <c r="X99" s="6">
        <f>IF(ISERROR(VLOOKUP($U$99,'TAR FIN'!$A$1:$O$85,15,0)),0,VLOOKUP($U$99,'TAR FIN'!$A$1:$O$85,15,0))</f>
        <v>0</v>
      </c>
      <c r="Y99" s="6">
        <f ca="1">('TUSD BE'!$AM$10+'TUSD BF'!$AM$10+'TUSD CVA'!$AM$10)*1</f>
        <v>16.680041929169654</v>
      </c>
      <c r="Z99" s="6"/>
      <c r="AA99" s="6"/>
      <c r="AB99" s="6">
        <f>$K$99*$V$99</f>
        <v>98744.52</v>
      </c>
      <c r="AC99" s="6">
        <f>$M$99*$W$99</f>
        <v>0</v>
      </c>
      <c r="AD99" s="6">
        <f>$O$99*$X$99</f>
        <v>0</v>
      </c>
      <c r="AE99" s="6">
        <f ca="1">$K$99*$Y$99</f>
        <v>85251.694299986106</v>
      </c>
      <c r="AF99" s="6">
        <f>$M$99*$Z$99</f>
        <v>0</v>
      </c>
      <c r="AG99" s="6">
        <f>$O$99*$AA$99</f>
        <v>0</v>
      </c>
    </row>
    <row r="100" spans="1:33" ht="11.25" customHeight="1" x14ac:dyDescent="0.25">
      <c r="A100" s="4" t="s">
        <v>21</v>
      </c>
      <c r="B100" s="4" t="s">
        <v>33</v>
      </c>
      <c r="C100" s="4" t="s">
        <v>34</v>
      </c>
      <c r="D100" s="4" t="s">
        <v>40</v>
      </c>
      <c r="E100" s="4" t="s">
        <v>25</v>
      </c>
      <c r="F100" s="4" t="s">
        <v>57</v>
      </c>
      <c r="G100" s="4" t="s">
        <v>25</v>
      </c>
      <c r="H100" s="4" t="s">
        <v>25</v>
      </c>
      <c r="I100" s="5">
        <v>44593</v>
      </c>
      <c r="J100" s="6">
        <v>10132</v>
      </c>
      <c r="K100" s="6">
        <v>5066</v>
      </c>
      <c r="L100" s="6">
        <v>0</v>
      </c>
      <c r="M100" s="6">
        <v>0</v>
      </c>
      <c r="N100" s="6">
        <v>0</v>
      </c>
      <c r="O100" s="6">
        <v>0</v>
      </c>
      <c r="P100" s="6">
        <v>6</v>
      </c>
      <c r="Q100" s="4" t="s">
        <v>58</v>
      </c>
      <c r="R100" s="4">
        <v>0</v>
      </c>
      <c r="S100" s="6">
        <v>6</v>
      </c>
      <c r="T100" s="6">
        <v>0</v>
      </c>
      <c r="U100" s="6">
        <v>0</v>
      </c>
      <c r="V100" s="6">
        <f>IF(ISERROR(VLOOKUP($S$100,'TAR FIN'!$A$1:$O$85,15,0)),0,VLOOKUP($S$100,'TAR FIN'!$A$1:$O$85,15,0))</f>
        <v>19.32</v>
      </c>
      <c r="W100" s="6">
        <f>IF(ISERROR(VLOOKUP($T$100,'TAR FIN'!$A$1:$O$85,15,0)),0,VLOOKUP($T$100,'TAR FIN'!$A$1:$O$85,15,0))</f>
        <v>0</v>
      </c>
      <c r="X100" s="6">
        <f>IF(ISERROR(VLOOKUP($U$100,'TAR FIN'!$A$1:$O$85,15,0)),0,VLOOKUP($U$100,'TAR FIN'!$A$1:$O$85,15,0))</f>
        <v>0</v>
      </c>
      <c r="Y100" s="6">
        <f ca="1">('TUSD BE'!$AM$10+'TUSD BF'!$AM$10+'TUSD CVA'!$AM$10)*1</f>
        <v>16.680041929169654</v>
      </c>
      <c r="Z100" s="6"/>
      <c r="AA100" s="6"/>
      <c r="AB100" s="6">
        <f>$K$100*$V$100</f>
        <v>97875.12</v>
      </c>
      <c r="AC100" s="6">
        <f>$M$100*$W$100</f>
        <v>0</v>
      </c>
      <c r="AD100" s="6">
        <f>$O$100*$X$100</f>
        <v>0</v>
      </c>
      <c r="AE100" s="6">
        <f ca="1">$K$100*$Y$100</f>
        <v>84501.092413173465</v>
      </c>
      <c r="AF100" s="6">
        <f>$M$100*$Z$100</f>
        <v>0</v>
      </c>
      <c r="AG100" s="6">
        <f>$O$100*$AA$100</f>
        <v>0</v>
      </c>
    </row>
    <row r="101" spans="1:33" ht="11.25" customHeight="1" x14ac:dyDescent="0.25">
      <c r="A101" s="4" t="s">
        <v>21</v>
      </c>
      <c r="B101" s="4" t="s">
        <v>33</v>
      </c>
      <c r="C101" s="4" t="s">
        <v>34</v>
      </c>
      <c r="D101" s="4" t="s">
        <v>40</v>
      </c>
      <c r="E101" s="4" t="s">
        <v>25</v>
      </c>
      <c r="F101" s="4" t="s">
        <v>57</v>
      </c>
      <c r="G101" s="4" t="s">
        <v>25</v>
      </c>
      <c r="H101" s="4" t="s">
        <v>25</v>
      </c>
      <c r="I101" s="5">
        <v>44621</v>
      </c>
      <c r="J101" s="6">
        <v>10313</v>
      </c>
      <c r="K101" s="6">
        <v>5156.5</v>
      </c>
      <c r="L101" s="6">
        <v>0</v>
      </c>
      <c r="M101" s="6">
        <v>0</v>
      </c>
      <c r="N101" s="6">
        <v>0</v>
      </c>
      <c r="O101" s="6">
        <v>0</v>
      </c>
      <c r="P101" s="6">
        <v>6</v>
      </c>
      <c r="Q101" s="4" t="s">
        <v>58</v>
      </c>
      <c r="R101" s="4">
        <v>0</v>
      </c>
      <c r="S101" s="6">
        <v>6</v>
      </c>
      <c r="T101" s="6">
        <v>0</v>
      </c>
      <c r="U101" s="6">
        <v>0</v>
      </c>
      <c r="V101" s="6">
        <f>IF(ISERROR(VLOOKUP($S$101,'TAR FIN'!$A$1:$O$85,15,0)),0,VLOOKUP($S$101,'TAR FIN'!$A$1:$O$85,15,0))</f>
        <v>19.32</v>
      </c>
      <c r="W101" s="6">
        <f>IF(ISERROR(VLOOKUP($T$101,'TAR FIN'!$A$1:$O$85,15,0)),0,VLOOKUP($T$101,'TAR FIN'!$A$1:$O$85,15,0))</f>
        <v>0</v>
      </c>
      <c r="X101" s="6">
        <f>IF(ISERROR(VLOOKUP($U$101,'TAR FIN'!$A$1:$O$85,15,0)),0,VLOOKUP($U$101,'TAR FIN'!$A$1:$O$85,15,0))</f>
        <v>0</v>
      </c>
      <c r="Y101" s="6">
        <f ca="1">('TUSD BE'!$AM$10+'TUSD BF'!$AM$10+'TUSD CVA'!$AM$10)*1</f>
        <v>16.680041929169654</v>
      </c>
      <c r="Z101" s="6"/>
      <c r="AA101" s="6"/>
      <c r="AB101" s="6">
        <f>$K$101*$V$101</f>
        <v>99623.58</v>
      </c>
      <c r="AC101" s="6">
        <f>$M$101*$W$101</f>
        <v>0</v>
      </c>
      <c r="AD101" s="6">
        <f>$O$101*$X$101</f>
        <v>0</v>
      </c>
      <c r="AE101" s="6">
        <f ca="1">$K$101*$Y$101</f>
        <v>86010.636207763324</v>
      </c>
      <c r="AF101" s="6">
        <f>$M$101*$Z$101</f>
        <v>0</v>
      </c>
      <c r="AG101" s="6">
        <f>$O$101*$AA$101</f>
        <v>0</v>
      </c>
    </row>
    <row r="102" spans="1:33" ht="11.25" customHeight="1" x14ac:dyDescent="0.25">
      <c r="A102" s="4" t="s">
        <v>59</v>
      </c>
      <c r="B102" s="4" t="s">
        <v>33</v>
      </c>
      <c r="C102" s="4" t="s">
        <v>34</v>
      </c>
      <c r="D102" s="4" t="s">
        <v>40</v>
      </c>
      <c r="E102" s="4" t="s">
        <v>25</v>
      </c>
      <c r="F102" s="4" t="s">
        <v>57</v>
      </c>
      <c r="G102" s="4" t="s">
        <v>25</v>
      </c>
      <c r="H102" s="4" t="s">
        <v>25</v>
      </c>
      <c r="I102" s="5">
        <v>44652</v>
      </c>
      <c r="J102" s="6">
        <v>10313</v>
      </c>
      <c r="K102" s="6">
        <v>5156.5</v>
      </c>
      <c r="L102" s="6">
        <v>0</v>
      </c>
      <c r="M102" s="6">
        <v>0</v>
      </c>
      <c r="N102" s="6">
        <v>0</v>
      </c>
      <c r="O102" s="6">
        <v>0</v>
      </c>
      <c r="P102" s="6">
        <v>6</v>
      </c>
      <c r="Q102" s="4" t="s">
        <v>58</v>
      </c>
      <c r="R102" s="4">
        <v>0</v>
      </c>
      <c r="S102" s="6">
        <v>6</v>
      </c>
      <c r="T102" s="6">
        <v>0</v>
      </c>
      <c r="U102" s="6">
        <v>0</v>
      </c>
      <c r="V102" s="6">
        <f>IF(ISERROR(VLOOKUP($S$102,'TAR FIN'!$A$1:$O$85,15,0)),0,VLOOKUP($S$102,'TAR FIN'!$A$1:$O$85,15,0))</f>
        <v>19.32</v>
      </c>
      <c r="W102" s="6">
        <f>IF(ISERROR(VLOOKUP($T$102,'TAR FIN'!$A$1:$O$85,15,0)),0,VLOOKUP($T$102,'TAR FIN'!$A$1:$O$85,15,0))</f>
        <v>0</v>
      </c>
      <c r="X102" s="6">
        <f>IF(ISERROR(VLOOKUP($U$102,'TAR FIN'!$A$1:$O$85,15,0)),0,VLOOKUP($U$102,'TAR FIN'!$A$1:$O$85,15,0))</f>
        <v>0</v>
      </c>
      <c r="Y102" s="6">
        <f ca="1">('TUSD BE'!$AM$10+'TUSD BF'!$AM$10+'TUSD CVA'!$AM$10)*1</f>
        <v>16.680041929169654</v>
      </c>
      <c r="Z102" s="6"/>
      <c r="AA102" s="6"/>
      <c r="AB102" s="6">
        <f>$K$102*$V$102</f>
        <v>99623.58</v>
      </c>
      <c r="AC102" s="6">
        <f>$M$102*$W$102</f>
        <v>0</v>
      </c>
      <c r="AD102" s="6">
        <f>$O$102*$X$102</f>
        <v>0</v>
      </c>
      <c r="AE102" s="6">
        <f ca="1">$K$102*$Y$102</f>
        <v>86010.636207763324</v>
      </c>
      <c r="AF102" s="6">
        <f>$M$102*$Z$102</f>
        <v>0</v>
      </c>
      <c r="AG102" s="6">
        <f>$O$102*$AA$102</f>
        <v>0</v>
      </c>
    </row>
    <row r="103" spans="1:33" ht="11.25" customHeight="1" x14ac:dyDescent="0.25">
      <c r="A103" s="4" t="s">
        <v>21</v>
      </c>
      <c r="B103" s="4" t="s">
        <v>33</v>
      </c>
      <c r="C103" s="4" t="s">
        <v>34</v>
      </c>
      <c r="D103" s="4" t="s">
        <v>40</v>
      </c>
      <c r="E103" s="4" t="s">
        <v>25</v>
      </c>
      <c r="F103" s="4" t="s">
        <v>57</v>
      </c>
      <c r="G103" s="4" t="s">
        <v>25</v>
      </c>
      <c r="H103" s="4" t="s">
        <v>35</v>
      </c>
      <c r="I103" s="5">
        <v>44317</v>
      </c>
      <c r="J103" s="6">
        <v>0</v>
      </c>
      <c r="K103" s="6">
        <v>0</v>
      </c>
      <c r="L103" s="6">
        <v>165.279</v>
      </c>
      <c r="M103" s="6">
        <v>82.639499999999998</v>
      </c>
      <c r="N103" s="6">
        <v>0</v>
      </c>
      <c r="O103" s="6">
        <v>0</v>
      </c>
      <c r="P103" s="6">
        <v>0</v>
      </c>
      <c r="Q103" s="4" t="s">
        <v>58</v>
      </c>
      <c r="R103" s="4">
        <v>0</v>
      </c>
      <c r="S103" s="6">
        <v>0</v>
      </c>
      <c r="T103" s="6">
        <v>7</v>
      </c>
      <c r="U103" s="6">
        <v>0</v>
      </c>
      <c r="V103" s="6">
        <f>IF(ISERROR(VLOOKUP($S$103,'TAR FIN'!$A$1:$O$85,15,0)),0,VLOOKUP($S$103,'TAR FIN'!$A$1:$O$85,15,0))</f>
        <v>0</v>
      </c>
      <c r="W103" s="6">
        <f>IF(ISERROR(VLOOKUP($T$103,'TAR FIN'!$A$1:$O$85,15,0)),0,VLOOKUP($T$103,'TAR FIN'!$A$1:$O$85,15,0))</f>
        <v>948.15</v>
      </c>
      <c r="X103" s="6">
        <f>IF(ISERROR(VLOOKUP($U$103,'TAR FIN'!$A$1:$O$85,15,0)),0,VLOOKUP($U$103,'TAR FIN'!$A$1:$O$85,15,0))</f>
        <v>0</v>
      </c>
      <c r="Y103" s="6"/>
      <c r="Z103" s="6">
        <f ca="1">('TUSD BE'!$AM$11+'TUSD BF'!$AM$11+'TUSD CVA'!$AM$11)*1</f>
        <v>976.42305228824534</v>
      </c>
      <c r="AA103" s="6"/>
      <c r="AB103" s="6">
        <f>$K$103*$V$103</f>
        <v>0</v>
      </c>
      <c r="AC103" s="6">
        <f>$M$103*$W$103</f>
        <v>78354.641925000004</v>
      </c>
      <c r="AD103" s="6">
        <f>$O$103*$X$103</f>
        <v>0</v>
      </c>
      <c r="AE103" s="6">
        <f>$K$103*$Y$103</f>
        <v>0</v>
      </c>
      <c r="AF103" s="6">
        <f ca="1">$M$103*$Z$103</f>
        <v>80691.112829574457</v>
      </c>
      <c r="AG103" s="6">
        <f>$O$103*$AA$103</f>
        <v>0</v>
      </c>
    </row>
    <row r="104" spans="1:33" ht="11.25" customHeight="1" x14ac:dyDescent="0.25">
      <c r="A104" s="4" t="s">
        <v>21</v>
      </c>
      <c r="B104" s="4" t="s">
        <v>33</v>
      </c>
      <c r="C104" s="4" t="s">
        <v>34</v>
      </c>
      <c r="D104" s="4" t="s">
        <v>40</v>
      </c>
      <c r="E104" s="4" t="s">
        <v>25</v>
      </c>
      <c r="F104" s="4" t="s">
        <v>57</v>
      </c>
      <c r="G104" s="4" t="s">
        <v>25</v>
      </c>
      <c r="H104" s="4" t="s">
        <v>35</v>
      </c>
      <c r="I104" s="5">
        <v>44348</v>
      </c>
      <c r="J104" s="6">
        <v>0</v>
      </c>
      <c r="K104" s="6">
        <v>0</v>
      </c>
      <c r="L104" s="6">
        <v>201.74299999999999</v>
      </c>
      <c r="M104" s="6">
        <v>100.8715</v>
      </c>
      <c r="N104" s="6">
        <v>0</v>
      </c>
      <c r="O104" s="6">
        <v>0</v>
      </c>
      <c r="P104" s="6">
        <v>0</v>
      </c>
      <c r="Q104" s="4" t="s">
        <v>58</v>
      </c>
      <c r="R104" s="4">
        <v>0</v>
      </c>
      <c r="S104" s="6">
        <v>0</v>
      </c>
      <c r="T104" s="6">
        <v>7</v>
      </c>
      <c r="U104" s="6">
        <v>0</v>
      </c>
      <c r="V104" s="6">
        <f>IF(ISERROR(VLOOKUP($S$104,'TAR FIN'!$A$1:$O$85,15,0)),0,VLOOKUP($S$104,'TAR FIN'!$A$1:$O$85,15,0))</f>
        <v>0</v>
      </c>
      <c r="W104" s="6">
        <f>IF(ISERROR(VLOOKUP($T$104,'TAR FIN'!$A$1:$O$85,15,0)),0,VLOOKUP($T$104,'TAR FIN'!$A$1:$O$85,15,0))</f>
        <v>948.15</v>
      </c>
      <c r="X104" s="6">
        <f>IF(ISERROR(VLOOKUP($U$104,'TAR FIN'!$A$1:$O$85,15,0)),0,VLOOKUP($U$104,'TAR FIN'!$A$1:$O$85,15,0))</f>
        <v>0</v>
      </c>
      <c r="Y104" s="6"/>
      <c r="Z104" s="6">
        <f ca="1">('TUSD BE'!$AM$11+'TUSD BF'!$AM$11+'TUSD CVA'!$AM$11)*1</f>
        <v>976.42305228824534</v>
      </c>
      <c r="AA104" s="6"/>
      <c r="AB104" s="6">
        <f>$K$104*$V$104</f>
        <v>0</v>
      </c>
      <c r="AC104" s="6">
        <f>$M$104*$W$104</f>
        <v>95641.312724999996</v>
      </c>
      <c r="AD104" s="6">
        <f>$O$104*$X$104</f>
        <v>0</v>
      </c>
      <c r="AE104" s="6">
        <f>$K$104*$Y$104</f>
        <v>0</v>
      </c>
      <c r="AF104" s="6">
        <f ca="1">$M$104*$Z$104</f>
        <v>98493.257918893738</v>
      </c>
      <c r="AG104" s="6">
        <f>$O$104*$AA$104</f>
        <v>0</v>
      </c>
    </row>
    <row r="105" spans="1:33" ht="11.25" customHeight="1" x14ac:dyDescent="0.25">
      <c r="A105" s="4" t="s">
        <v>21</v>
      </c>
      <c r="B105" s="4" t="s">
        <v>33</v>
      </c>
      <c r="C105" s="4" t="s">
        <v>34</v>
      </c>
      <c r="D105" s="4" t="s">
        <v>40</v>
      </c>
      <c r="E105" s="4" t="s">
        <v>25</v>
      </c>
      <c r="F105" s="4" t="s">
        <v>57</v>
      </c>
      <c r="G105" s="4" t="s">
        <v>25</v>
      </c>
      <c r="H105" s="4" t="s">
        <v>35</v>
      </c>
      <c r="I105" s="5">
        <v>44378</v>
      </c>
      <c r="J105" s="6">
        <v>0</v>
      </c>
      <c r="K105" s="6">
        <v>0</v>
      </c>
      <c r="L105" s="6">
        <v>244.71199999999999</v>
      </c>
      <c r="M105" s="6">
        <v>122.35599999999999</v>
      </c>
      <c r="N105" s="6">
        <v>0</v>
      </c>
      <c r="O105" s="6">
        <v>0</v>
      </c>
      <c r="P105" s="6">
        <v>0</v>
      </c>
      <c r="Q105" s="4" t="s">
        <v>58</v>
      </c>
      <c r="R105" s="4">
        <v>0</v>
      </c>
      <c r="S105" s="6">
        <v>0</v>
      </c>
      <c r="T105" s="6">
        <v>7</v>
      </c>
      <c r="U105" s="6">
        <v>0</v>
      </c>
      <c r="V105" s="6">
        <f>IF(ISERROR(VLOOKUP($S$105,'TAR FIN'!$A$1:$O$85,15,0)),0,VLOOKUP($S$105,'TAR FIN'!$A$1:$O$85,15,0))</f>
        <v>0</v>
      </c>
      <c r="W105" s="6">
        <f>IF(ISERROR(VLOOKUP($T$105,'TAR FIN'!$A$1:$O$85,15,0)),0,VLOOKUP($T$105,'TAR FIN'!$A$1:$O$85,15,0))</f>
        <v>948.15</v>
      </c>
      <c r="X105" s="6">
        <f>IF(ISERROR(VLOOKUP($U$105,'TAR FIN'!$A$1:$O$85,15,0)),0,VLOOKUP($U$105,'TAR FIN'!$A$1:$O$85,15,0))</f>
        <v>0</v>
      </c>
      <c r="Y105" s="6"/>
      <c r="Z105" s="6">
        <f ca="1">('TUSD BE'!$AM$11+'TUSD BF'!$AM$11+'TUSD CVA'!$AM$11)*1</f>
        <v>976.42305228824534</v>
      </c>
      <c r="AA105" s="6"/>
      <c r="AB105" s="6">
        <f>$K$105*$V$105</f>
        <v>0</v>
      </c>
      <c r="AC105" s="6">
        <f>$M$105*$W$105</f>
        <v>116011.84139999999</v>
      </c>
      <c r="AD105" s="6">
        <f>$O$105*$X$105</f>
        <v>0</v>
      </c>
      <c r="AE105" s="6">
        <f>$K$105*$Y$105</f>
        <v>0</v>
      </c>
      <c r="AF105" s="6">
        <f ca="1">$M$105*$Z$105</f>
        <v>119471.21898578054</v>
      </c>
      <c r="AG105" s="6">
        <f>$O$105*$AA$105</f>
        <v>0</v>
      </c>
    </row>
    <row r="106" spans="1:33" ht="11.25" customHeight="1" x14ac:dyDescent="0.25">
      <c r="A106" s="4" t="s">
        <v>21</v>
      </c>
      <c r="B106" s="4" t="s">
        <v>33</v>
      </c>
      <c r="C106" s="4" t="s">
        <v>34</v>
      </c>
      <c r="D106" s="4" t="s">
        <v>40</v>
      </c>
      <c r="E106" s="4" t="s">
        <v>25</v>
      </c>
      <c r="F106" s="4" t="s">
        <v>57</v>
      </c>
      <c r="G106" s="4" t="s">
        <v>25</v>
      </c>
      <c r="H106" s="4" t="s">
        <v>35</v>
      </c>
      <c r="I106" s="5">
        <v>44409</v>
      </c>
      <c r="J106" s="6">
        <v>0</v>
      </c>
      <c r="K106" s="6">
        <v>0</v>
      </c>
      <c r="L106" s="6">
        <v>259.11500000000001</v>
      </c>
      <c r="M106" s="6">
        <v>129.5575</v>
      </c>
      <c r="N106" s="6">
        <v>0</v>
      </c>
      <c r="O106" s="6">
        <v>0</v>
      </c>
      <c r="P106" s="6">
        <v>0</v>
      </c>
      <c r="Q106" s="4" t="s">
        <v>58</v>
      </c>
      <c r="R106" s="4">
        <v>0</v>
      </c>
      <c r="S106" s="6">
        <v>0</v>
      </c>
      <c r="T106" s="6">
        <v>7</v>
      </c>
      <c r="U106" s="6">
        <v>0</v>
      </c>
      <c r="V106" s="6">
        <f>IF(ISERROR(VLOOKUP($S$106,'TAR FIN'!$A$1:$O$85,15,0)),0,VLOOKUP($S$106,'TAR FIN'!$A$1:$O$85,15,0))</f>
        <v>0</v>
      </c>
      <c r="W106" s="6">
        <f>IF(ISERROR(VLOOKUP($T$106,'TAR FIN'!$A$1:$O$85,15,0)),0,VLOOKUP($T$106,'TAR FIN'!$A$1:$O$85,15,0))</f>
        <v>948.15</v>
      </c>
      <c r="X106" s="6">
        <f>IF(ISERROR(VLOOKUP($U$106,'TAR FIN'!$A$1:$O$85,15,0)),0,VLOOKUP($U$106,'TAR FIN'!$A$1:$O$85,15,0))</f>
        <v>0</v>
      </c>
      <c r="Y106" s="6"/>
      <c r="Z106" s="6">
        <f ca="1">('TUSD BE'!$AM$11+'TUSD BF'!$AM$11+'TUSD CVA'!$AM$11)*1</f>
        <v>976.42305228824534</v>
      </c>
      <c r="AA106" s="6"/>
      <c r="AB106" s="6">
        <f>$K$106*$V$106</f>
        <v>0</v>
      </c>
      <c r="AC106" s="6">
        <f>$M$106*$W$106</f>
        <v>122839.943625</v>
      </c>
      <c r="AD106" s="6">
        <f>$O$106*$X$106</f>
        <v>0</v>
      </c>
      <c r="AE106" s="6">
        <f>$K$106*$Y$106</f>
        <v>0</v>
      </c>
      <c r="AF106" s="6">
        <f ca="1">$M$106*$Z$106</f>
        <v>126502.92959683435</v>
      </c>
      <c r="AG106" s="6">
        <f>$O$106*$AA$106</f>
        <v>0</v>
      </c>
    </row>
    <row r="107" spans="1:33" ht="11.25" customHeight="1" x14ac:dyDescent="0.25">
      <c r="A107" s="4" t="s">
        <v>21</v>
      </c>
      <c r="B107" s="4" t="s">
        <v>33</v>
      </c>
      <c r="C107" s="4" t="s">
        <v>34</v>
      </c>
      <c r="D107" s="4" t="s">
        <v>40</v>
      </c>
      <c r="E107" s="4" t="s">
        <v>25</v>
      </c>
      <c r="F107" s="4" t="s">
        <v>57</v>
      </c>
      <c r="G107" s="4" t="s">
        <v>25</v>
      </c>
      <c r="H107" s="4" t="s">
        <v>35</v>
      </c>
      <c r="I107" s="5">
        <v>44440</v>
      </c>
      <c r="J107" s="6">
        <v>0</v>
      </c>
      <c r="K107" s="6">
        <v>0</v>
      </c>
      <c r="L107" s="6">
        <v>251.54400000000001</v>
      </c>
      <c r="M107" s="6">
        <v>125.77200000000001</v>
      </c>
      <c r="N107" s="6">
        <v>0</v>
      </c>
      <c r="O107" s="6">
        <v>0</v>
      </c>
      <c r="P107" s="6">
        <v>0</v>
      </c>
      <c r="Q107" s="4" t="s">
        <v>58</v>
      </c>
      <c r="R107" s="4">
        <v>0</v>
      </c>
      <c r="S107" s="6">
        <v>0</v>
      </c>
      <c r="T107" s="6">
        <v>7</v>
      </c>
      <c r="U107" s="6">
        <v>0</v>
      </c>
      <c r="V107" s="6">
        <f>IF(ISERROR(VLOOKUP($S$107,'TAR FIN'!$A$1:$O$85,15,0)),0,VLOOKUP($S$107,'TAR FIN'!$A$1:$O$85,15,0))</f>
        <v>0</v>
      </c>
      <c r="W107" s="6">
        <f>IF(ISERROR(VLOOKUP($T$107,'TAR FIN'!$A$1:$O$85,15,0)),0,VLOOKUP($T$107,'TAR FIN'!$A$1:$O$85,15,0))</f>
        <v>948.15</v>
      </c>
      <c r="X107" s="6">
        <f>IF(ISERROR(VLOOKUP($U$107,'TAR FIN'!$A$1:$O$85,15,0)),0,VLOOKUP($U$107,'TAR FIN'!$A$1:$O$85,15,0))</f>
        <v>0</v>
      </c>
      <c r="Y107" s="6"/>
      <c r="Z107" s="6">
        <f ca="1">('TUSD BE'!$AM$11+'TUSD BF'!$AM$11+'TUSD CVA'!$AM$11)*1</f>
        <v>976.42305228824534</v>
      </c>
      <c r="AA107" s="6"/>
      <c r="AB107" s="6">
        <f>$K$107*$V$107</f>
        <v>0</v>
      </c>
      <c r="AC107" s="6">
        <f>$M$107*$W$107</f>
        <v>119250.7218</v>
      </c>
      <c r="AD107" s="6">
        <f>$O$107*$X$107</f>
        <v>0</v>
      </c>
      <c r="AE107" s="6">
        <f>$K$107*$Y$107</f>
        <v>0</v>
      </c>
      <c r="AF107" s="6">
        <f ca="1">$M$107*$Z$107</f>
        <v>122806.6801323972</v>
      </c>
      <c r="AG107" s="6">
        <f>$O$107*$AA$107</f>
        <v>0</v>
      </c>
    </row>
    <row r="108" spans="1:33" ht="11.25" customHeight="1" x14ac:dyDescent="0.25">
      <c r="A108" s="4" t="s">
        <v>21</v>
      </c>
      <c r="B108" s="4" t="s">
        <v>33</v>
      </c>
      <c r="C108" s="4" t="s">
        <v>34</v>
      </c>
      <c r="D108" s="4" t="s">
        <v>40</v>
      </c>
      <c r="E108" s="4" t="s">
        <v>25</v>
      </c>
      <c r="F108" s="4" t="s">
        <v>57</v>
      </c>
      <c r="G108" s="4" t="s">
        <v>25</v>
      </c>
      <c r="H108" s="4" t="s">
        <v>35</v>
      </c>
      <c r="I108" s="5">
        <v>44470</v>
      </c>
      <c r="J108" s="6">
        <v>0</v>
      </c>
      <c r="K108" s="6">
        <v>0</v>
      </c>
      <c r="L108" s="6">
        <v>245.708</v>
      </c>
      <c r="M108" s="6">
        <v>122.854</v>
      </c>
      <c r="N108" s="6">
        <v>0</v>
      </c>
      <c r="O108" s="6">
        <v>0</v>
      </c>
      <c r="P108" s="6">
        <v>0</v>
      </c>
      <c r="Q108" s="4" t="s">
        <v>58</v>
      </c>
      <c r="R108" s="4">
        <v>0</v>
      </c>
      <c r="S108" s="6">
        <v>0</v>
      </c>
      <c r="T108" s="6">
        <v>7</v>
      </c>
      <c r="U108" s="6">
        <v>0</v>
      </c>
      <c r="V108" s="6">
        <f>IF(ISERROR(VLOOKUP($S$108,'TAR FIN'!$A$1:$O$85,15,0)),0,VLOOKUP($S$108,'TAR FIN'!$A$1:$O$85,15,0))</f>
        <v>0</v>
      </c>
      <c r="W108" s="6">
        <f>IF(ISERROR(VLOOKUP($T$108,'TAR FIN'!$A$1:$O$85,15,0)),0,VLOOKUP($T$108,'TAR FIN'!$A$1:$O$85,15,0))</f>
        <v>948.15</v>
      </c>
      <c r="X108" s="6">
        <f>IF(ISERROR(VLOOKUP($U$108,'TAR FIN'!$A$1:$O$85,15,0)),0,VLOOKUP($U$108,'TAR FIN'!$A$1:$O$85,15,0))</f>
        <v>0</v>
      </c>
      <c r="Y108" s="6"/>
      <c r="Z108" s="6">
        <f ca="1">('TUSD BE'!$AM$11+'TUSD BF'!$AM$11+'TUSD CVA'!$AM$11)*1</f>
        <v>976.42305228824534</v>
      </c>
      <c r="AA108" s="6"/>
      <c r="AB108" s="6">
        <f>$K$108*$V$108</f>
        <v>0</v>
      </c>
      <c r="AC108" s="6">
        <f>$M$108*$W$108</f>
        <v>116484.02009999999</v>
      </c>
      <c r="AD108" s="6">
        <f>$O$108*$X$108</f>
        <v>0</v>
      </c>
      <c r="AE108" s="6">
        <f>$K$108*$Y$108</f>
        <v>0</v>
      </c>
      <c r="AF108" s="6">
        <f ca="1">$M$108*$Z$108</f>
        <v>119957.47766582009</v>
      </c>
      <c r="AG108" s="6">
        <f>$O$108*$AA$108</f>
        <v>0</v>
      </c>
    </row>
    <row r="109" spans="1:33" ht="11.25" customHeight="1" x14ac:dyDescent="0.25">
      <c r="A109" s="4" t="s">
        <v>21</v>
      </c>
      <c r="B109" s="4" t="s">
        <v>33</v>
      </c>
      <c r="C109" s="4" t="s">
        <v>34</v>
      </c>
      <c r="D109" s="4" t="s">
        <v>40</v>
      </c>
      <c r="E109" s="4" t="s">
        <v>25</v>
      </c>
      <c r="F109" s="4" t="s">
        <v>57</v>
      </c>
      <c r="G109" s="4" t="s">
        <v>25</v>
      </c>
      <c r="H109" s="4" t="s">
        <v>35</v>
      </c>
      <c r="I109" s="5">
        <v>44501</v>
      </c>
      <c r="J109" s="6">
        <v>0</v>
      </c>
      <c r="K109" s="6">
        <v>0</v>
      </c>
      <c r="L109" s="6">
        <v>267.46600000000001</v>
      </c>
      <c r="M109" s="6">
        <v>133.733</v>
      </c>
      <c r="N109" s="6">
        <v>0</v>
      </c>
      <c r="O109" s="6">
        <v>0</v>
      </c>
      <c r="P109" s="6">
        <v>0</v>
      </c>
      <c r="Q109" s="4" t="s">
        <v>58</v>
      </c>
      <c r="R109" s="4">
        <v>0</v>
      </c>
      <c r="S109" s="6">
        <v>0</v>
      </c>
      <c r="T109" s="6">
        <v>7</v>
      </c>
      <c r="U109" s="6">
        <v>0</v>
      </c>
      <c r="V109" s="6">
        <f>IF(ISERROR(VLOOKUP($S$109,'TAR FIN'!$A$1:$O$85,15,0)),0,VLOOKUP($S$109,'TAR FIN'!$A$1:$O$85,15,0))</f>
        <v>0</v>
      </c>
      <c r="W109" s="6">
        <f>IF(ISERROR(VLOOKUP($T$109,'TAR FIN'!$A$1:$O$85,15,0)),0,VLOOKUP($T$109,'TAR FIN'!$A$1:$O$85,15,0))</f>
        <v>948.15</v>
      </c>
      <c r="X109" s="6">
        <f>IF(ISERROR(VLOOKUP($U$109,'TAR FIN'!$A$1:$O$85,15,0)),0,VLOOKUP($U$109,'TAR FIN'!$A$1:$O$85,15,0))</f>
        <v>0</v>
      </c>
      <c r="Y109" s="6"/>
      <c r="Z109" s="6">
        <f ca="1">('TUSD BE'!$AM$11+'TUSD BF'!$AM$11+'TUSD CVA'!$AM$11)*1</f>
        <v>976.42305228824534</v>
      </c>
      <c r="AA109" s="6"/>
      <c r="AB109" s="6">
        <f>$K$109*$V$109</f>
        <v>0</v>
      </c>
      <c r="AC109" s="6">
        <f>$M$109*$W$109</f>
        <v>126798.94395</v>
      </c>
      <c r="AD109" s="6">
        <f>$O$109*$X$109</f>
        <v>0</v>
      </c>
      <c r="AE109" s="6">
        <f>$K$109*$Y$109</f>
        <v>0</v>
      </c>
      <c r="AF109" s="6">
        <f ca="1">$M$109*$Z$109</f>
        <v>130579.98405166392</v>
      </c>
      <c r="AG109" s="6">
        <f>$O$109*$AA$109</f>
        <v>0</v>
      </c>
    </row>
    <row r="110" spans="1:33" ht="11.25" customHeight="1" x14ac:dyDescent="0.25">
      <c r="A110" s="4" t="s">
        <v>21</v>
      </c>
      <c r="B110" s="4" t="s">
        <v>33</v>
      </c>
      <c r="C110" s="4" t="s">
        <v>34</v>
      </c>
      <c r="D110" s="4" t="s">
        <v>40</v>
      </c>
      <c r="E110" s="4" t="s">
        <v>25</v>
      </c>
      <c r="F110" s="4" t="s">
        <v>57</v>
      </c>
      <c r="G110" s="4" t="s">
        <v>25</v>
      </c>
      <c r="H110" s="4" t="s">
        <v>35</v>
      </c>
      <c r="I110" s="5">
        <v>44531</v>
      </c>
      <c r="J110" s="6">
        <v>0</v>
      </c>
      <c r="K110" s="6">
        <v>0</v>
      </c>
      <c r="L110" s="6">
        <v>252.32900000000001</v>
      </c>
      <c r="M110" s="6">
        <v>126.1645</v>
      </c>
      <c r="N110" s="6">
        <v>0</v>
      </c>
      <c r="O110" s="6">
        <v>0</v>
      </c>
      <c r="P110" s="6">
        <v>0</v>
      </c>
      <c r="Q110" s="4" t="s">
        <v>58</v>
      </c>
      <c r="R110" s="4">
        <v>0</v>
      </c>
      <c r="S110" s="6">
        <v>0</v>
      </c>
      <c r="T110" s="6">
        <v>7</v>
      </c>
      <c r="U110" s="6">
        <v>0</v>
      </c>
      <c r="V110" s="6">
        <f>IF(ISERROR(VLOOKUP($S$110,'TAR FIN'!$A$1:$O$85,15,0)),0,VLOOKUP($S$110,'TAR FIN'!$A$1:$O$85,15,0))</f>
        <v>0</v>
      </c>
      <c r="W110" s="6">
        <f>IF(ISERROR(VLOOKUP($T$110,'TAR FIN'!$A$1:$O$85,15,0)),0,VLOOKUP($T$110,'TAR FIN'!$A$1:$O$85,15,0))</f>
        <v>948.15</v>
      </c>
      <c r="X110" s="6">
        <f>IF(ISERROR(VLOOKUP($U$110,'TAR FIN'!$A$1:$O$85,15,0)),0,VLOOKUP($U$110,'TAR FIN'!$A$1:$O$85,15,0))</f>
        <v>0</v>
      </c>
      <c r="Y110" s="6"/>
      <c r="Z110" s="6">
        <f ca="1">('TUSD BE'!$AM$11+'TUSD BF'!$AM$11+'TUSD CVA'!$AM$11)*1</f>
        <v>976.42305228824534</v>
      </c>
      <c r="AA110" s="6"/>
      <c r="AB110" s="6">
        <f>$K$110*$V$110</f>
        <v>0</v>
      </c>
      <c r="AC110" s="6">
        <f>$M$110*$W$110</f>
        <v>119622.870675</v>
      </c>
      <c r="AD110" s="6">
        <f>$O$110*$X$110</f>
        <v>0</v>
      </c>
      <c r="AE110" s="6">
        <f>$K$110*$Y$110</f>
        <v>0</v>
      </c>
      <c r="AF110" s="6">
        <f ca="1">$M$110*$Z$110</f>
        <v>123189.92618042033</v>
      </c>
      <c r="AG110" s="6">
        <f>$O$110*$AA$110</f>
        <v>0</v>
      </c>
    </row>
    <row r="111" spans="1:33" ht="11.25" customHeight="1" x14ac:dyDescent="0.25">
      <c r="A111" s="4" t="s">
        <v>21</v>
      </c>
      <c r="B111" s="4" t="s">
        <v>33</v>
      </c>
      <c r="C111" s="4" t="s">
        <v>34</v>
      </c>
      <c r="D111" s="4" t="s">
        <v>40</v>
      </c>
      <c r="E111" s="4" t="s">
        <v>25</v>
      </c>
      <c r="F111" s="4" t="s">
        <v>57</v>
      </c>
      <c r="G111" s="4" t="s">
        <v>25</v>
      </c>
      <c r="H111" s="4" t="s">
        <v>35</v>
      </c>
      <c r="I111" s="5">
        <v>44562</v>
      </c>
      <c r="J111" s="6">
        <v>0</v>
      </c>
      <c r="K111" s="6">
        <v>0</v>
      </c>
      <c r="L111" s="6">
        <v>256.38400000000001</v>
      </c>
      <c r="M111" s="6">
        <v>128.19200000000001</v>
      </c>
      <c r="N111" s="6">
        <v>0</v>
      </c>
      <c r="O111" s="6">
        <v>0</v>
      </c>
      <c r="P111" s="6">
        <v>0</v>
      </c>
      <c r="Q111" s="4" t="s">
        <v>58</v>
      </c>
      <c r="R111" s="4">
        <v>0</v>
      </c>
      <c r="S111" s="6">
        <v>0</v>
      </c>
      <c r="T111" s="6">
        <v>7</v>
      </c>
      <c r="U111" s="6">
        <v>0</v>
      </c>
      <c r="V111" s="6">
        <f>IF(ISERROR(VLOOKUP($S$111,'TAR FIN'!$A$1:$O$85,15,0)),0,VLOOKUP($S$111,'TAR FIN'!$A$1:$O$85,15,0))</f>
        <v>0</v>
      </c>
      <c r="W111" s="6">
        <f>IF(ISERROR(VLOOKUP($T$111,'TAR FIN'!$A$1:$O$85,15,0)),0,VLOOKUP($T$111,'TAR FIN'!$A$1:$O$85,15,0))</f>
        <v>948.15</v>
      </c>
      <c r="X111" s="6">
        <f>IF(ISERROR(VLOOKUP($U$111,'TAR FIN'!$A$1:$O$85,15,0)),0,VLOOKUP($U$111,'TAR FIN'!$A$1:$O$85,15,0))</f>
        <v>0</v>
      </c>
      <c r="Y111" s="6"/>
      <c r="Z111" s="6">
        <f ca="1">('TUSD BE'!$AM$11+'TUSD BF'!$AM$11+'TUSD CVA'!$AM$11)*1</f>
        <v>976.42305228824534</v>
      </c>
      <c r="AA111" s="6"/>
      <c r="AB111" s="6">
        <f>$K$111*$V$111</f>
        <v>0</v>
      </c>
      <c r="AC111" s="6">
        <f>$M$111*$W$111</f>
        <v>121545.2448</v>
      </c>
      <c r="AD111" s="6">
        <f>$O$111*$X$111</f>
        <v>0</v>
      </c>
      <c r="AE111" s="6">
        <f>$K$111*$Y$111</f>
        <v>0</v>
      </c>
      <c r="AF111" s="6">
        <f ca="1">$M$111*$Z$111</f>
        <v>125169.62391893475</v>
      </c>
      <c r="AG111" s="6">
        <f>$O$111*$AA$111</f>
        <v>0</v>
      </c>
    </row>
    <row r="112" spans="1:33" ht="11.25" customHeight="1" x14ac:dyDescent="0.25">
      <c r="A112" s="4" t="s">
        <v>21</v>
      </c>
      <c r="B112" s="4" t="s">
        <v>33</v>
      </c>
      <c r="C112" s="4" t="s">
        <v>34</v>
      </c>
      <c r="D112" s="4" t="s">
        <v>40</v>
      </c>
      <c r="E112" s="4" t="s">
        <v>25</v>
      </c>
      <c r="F112" s="4" t="s">
        <v>57</v>
      </c>
      <c r="G112" s="4" t="s">
        <v>25</v>
      </c>
      <c r="H112" s="4" t="s">
        <v>35</v>
      </c>
      <c r="I112" s="5">
        <v>44593</v>
      </c>
      <c r="J112" s="6">
        <v>0</v>
      </c>
      <c r="K112" s="6">
        <v>0</v>
      </c>
      <c r="L112" s="6">
        <v>242.602</v>
      </c>
      <c r="M112" s="6">
        <v>121.301</v>
      </c>
      <c r="N112" s="6">
        <v>0</v>
      </c>
      <c r="O112" s="6">
        <v>0</v>
      </c>
      <c r="P112" s="6">
        <v>0</v>
      </c>
      <c r="Q112" s="4" t="s">
        <v>58</v>
      </c>
      <c r="R112" s="4">
        <v>0</v>
      </c>
      <c r="S112" s="6">
        <v>0</v>
      </c>
      <c r="T112" s="6">
        <v>7</v>
      </c>
      <c r="U112" s="6">
        <v>0</v>
      </c>
      <c r="V112" s="6">
        <f>IF(ISERROR(VLOOKUP($S$112,'TAR FIN'!$A$1:$O$85,15,0)),0,VLOOKUP($S$112,'TAR FIN'!$A$1:$O$85,15,0))</f>
        <v>0</v>
      </c>
      <c r="W112" s="6">
        <f>IF(ISERROR(VLOOKUP($T$112,'TAR FIN'!$A$1:$O$85,15,0)),0,VLOOKUP($T$112,'TAR FIN'!$A$1:$O$85,15,0))</f>
        <v>948.15</v>
      </c>
      <c r="X112" s="6">
        <f>IF(ISERROR(VLOOKUP($U$112,'TAR FIN'!$A$1:$O$85,15,0)),0,VLOOKUP($U$112,'TAR FIN'!$A$1:$O$85,15,0))</f>
        <v>0</v>
      </c>
      <c r="Y112" s="6"/>
      <c r="Z112" s="6">
        <f ca="1">('TUSD BE'!$AM$11+'TUSD BF'!$AM$11+'TUSD CVA'!$AM$11)*1</f>
        <v>976.42305228824534</v>
      </c>
      <c r="AA112" s="6"/>
      <c r="AB112" s="6">
        <f>$K$112*$V$112</f>
        <v>0</v>
      </c>
      <c r="AC112" s="6">
        <f>$M$112*$W$112</f>
        <v>115011.54315</v>
      </c>
      <c r="AD112" s="6">
        <f>$O$112*$X$112</f>
        <v>0</v>
      </c>
      <c r="AE112" s="6">
        <f>$K$112*$Y$112</f>
        <v>0</v>
      </c>
      <c r="AF112" s="6">
        <f ca="1">$M$112*$Z$112</f>
        <v>118441.09266561645</v>
      </c>
      <c r="AG112" s="6">
        <f>$O$112*$AA$112</f>
        <v>0</v>
      </c>
    </row>
    <row r="113" spans="1:33" ht="11.25" customHeight="1" x14ac:dyDescent="0.25">
      <c r="A113" s="4" t="s">
        <v>21</v>
      </c>
      <c r="B113" s="4" t="s">
        <v>33</v>
      </c>
      <c r="C113" s="4" t="s">
        <v>34</v>
      </c>
      <c r="D113" s="4" t="s">
        <v>40</v>
      </c>
      <c r="E113" s="4" t="s">
        <v>25</v>
      </c>
      <c r="F113" s="4" t="s">
        <v>57</v>
      </c>
      <c r="G113" s="4" t="s">
        <v>25</v>
      </c>
      <c r="H113" s="4" t="s">
        <v>35</v>
      </c>
      <c r="I113" s="5">
        <v>44621</v>
      </c>
      <c r="J113" s="6">
        <v>0</v>
      </c>
      <c r="K113" s="6">
        <v>0</v>
      </c>
      <c r="L113" s="6">
        <v>257.65499999999997</v>
      </c>
      <c r="M113" s="6">
        <v>128.82749999999999</v>
      </c>
      <c r="N113" s="6">
        <v>0</v>
      </c>
      <c r="O113" s="6">
        <v>0</v>
      </c>
      <c r="P113" s="6">
        <v>0</v>
      </c>
      <c r="Q113" s="4" t="s">
        <v>58</v>
      </c>
      <c r="R113" s="4">
        <v>0</v>
      </c>
      <c r="S113" s="6">
        <v>0</v>
      </c>
      <c r="T113" s="6">
        <v>7</v>
      </c>
      <c r="U113" s="6">
        <v>0</v>
      </c>
      <c r="V113" s="6">
        <f>IF(ISERROR(VLOOKUP($S$113,'TAR FIN'!$A$1:$O$85,15,0)),0,VLOOKUP($S$113,'TAR FIN'!$A$1:$O$85,15,0))</f>
        <v>0</v>
      </c>
      <c r="W113" s="6">
        <f>IF(ISERROR(VLOOKUP($T$113,'TAR FIN'!$A$1:$O$85,15,0)),0,VLOOKUP($T$113,'TAR FIN'!$A$1:$O$85,15,0))</f>
        <v>948.15</v>
      </c>
      <c r="X113" s="6">
        <f>IF(ISERROR(VLOOKUP($U$113,'TAR FIN'!$A$1:$O$85,15,0)),0,VLOOKUP($U$113,'TAR FIN'!$A$1:$O$85,15,0))</f>
        <v>0</v>
      </c>
      <c r="Y113" s="6"/>
      <c r="Z113" s="6">
        <f ca="1">('TUSD BE'!$AM$11+'TUSD BF'!$AM$11+'TUSD CVA'!$AM$11)*1</f>
        <v>976.42305228824534</v>
      </c>
      <c r="AA113" s="6"/>
      <c r="AB113" s="6">
        <f>$K$113*$V$113</f>
        <v>0</v>
      </c>
      <c r="AC113" s="6">
        <f>$M$113*$W$113</f>
        <v>122147.79412499999</v>
      </c>
      <c r="AD113" s="6">
        <f>$O$113*$X$113</f>
        <v>0</v>
      </c>
      <c r="AE113" s="6">
        <f>$K$113*$Y$113</f>
        <v>0</v>
      </c>
      <c r="AF113" s="6">
        <f ca="1">$M$113*$Z$113</f>
        <v>125790.14076866391</v>
      </c>
      <c r="AG113" s="6">
        <f>$O$113*$AA$113</f>
        <v>0</v>
      </c>
    </row>
    <row r="114" spans="1:33" ht="11.25" customHeight="1" x14ac:dyDescent="0.25">
      <c r="A114" s="4" t="s">
        <v>59</v>
      </c>
      <c r="B114" s="4" t="s">
        <v>33</v>
      </c>
      <c r="C114" s="4" t="s">
        <v>34</v>
      </c>
      <c r="D114" s="4" t="s">
        <v>40</v>
      </c>
      <c r="E114" s="4" t="s">
        <v>25</v>
      </c>
      <c r="F114" s="4" t="s">
        <v>57</v>
      </c>
      <c r="G114" s="4" t="s">
        <v>25</v>
      </c>
      <c r="H114" s="4" t="s">
        <v>35</v>
      </c>
      <c r="I114" s="5">
        <v>44652</v>
      </c>
      <c r="J114" s="6">
        <v>0</v>
      </c>
      <c r="K114" s="6">
        <v>0</v>
      </c>
      <c r="L114" s="6">
        <v>257.65499999999997</v>
      </c>
      <c r="M114" s="6">
        <v>128.82749999999999</v>
      </c>
      <c r="N114" s="6">
        <v>0</v>
      </c>
      <c r="O114" s="6">
        <v>0</v>
      </c>
      <c r="P114" s="6">
        <v>0</v>
      </c>
      <c r="Q114" s="4" t="s">
        <v>58</v>
      </c>
      <c r="R114" s="4">
        <v>0</v>
      </c>
      <c r="S114" s="6">
        <v>0</v>
      </c>
      <c r="T114" s="6">
        <v>7</v>
      </c>
      <c r="U114" s="6">
        <v>0</v>
      </c>
      <c r="V114" s="6">
        <f>IF(ISERROR(VLOOKUP($S$114,'TAR FIN'!$A$1:$O$85,15,0)),0,VLOOKUP($S$114,'TAR FIN'!$A$1:$O$85,15,0))</f>
        <v>0</v>
      </c>
      <c r="W114" s="6">
        <f>IF(ISERROR(VLOOKUP($T$114,'TAR FIN'!$A$1:$O$85,15,0)),0,VLOOKUP($T$114,'TAR FIN'!$A$1:$O$85,15,0))</f>
        <v>948.15</v>
      </c>
      <c r="X114" s="6">
        <f>IF(ISERROR(VLOOKUP($U$114,'TAR FIN'!$A$1:$O$85,15,0)),0,VLOOKUP($U$114,'TAR FIN'!$A$1:$O$85,15,0))</f>
        <v>0</v>
      </c>
      <c r="Y114" s="6"/>
      <c r="Z114" s="6">
        <f ca="1">('TUSD BE'!$AM$11+'TUSD BF'!$AM$11+'TUSD CVA'!$AM$11)*1</f>
        <v>976.42305228824534</v>
      </c>
      <c r="AA114" s="6"/>
      <c r="AB114" s="6">
        <f>$K$114*$V$114</f>
        <v>0</v>
      </c>
      <c r="AC114" s="6">
        <f>$M$114*$W$114</f>
        <v>122147.79412499999</v>
      </c>
      <c r="AD114" s="6">
        <f>$O$114*$X$114</f>
        <v>0</v>
      </c>
      <c r="AE114" s="6">
        <f>$K$114*$Y$114</f>
        <v>0</v>
      </c>
      <c r="AF114" s="6">
        <f ca="1">$M$114*$Z$114</f>
        <v>125790.14076866391</v>
      </c>
      <c r="AG114" s="6">
        <f>$O$114*$AA$114</f>
        <v>0</v>
      </c>
    </row>
    <row r="115" spans="1:33" ht="11.25" customHeight="1" x14ac:dyDescent="0.25">
      <c r="A115" s="4" t="s">
        <v>21</v>
      </c>
      <c r="B115" s="4" t="s">
        <v>33</v>
      </c>
      <c r="C115" s="4" t="s">
        <v>34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36</v>
      </c>
      <c r="I115" s="5">
        <v>44317</v>
      </c>
      <c r="J115" s="6">
        <v>0</v>
      </c>
      <c r="K115" s="6">
        <v>0</v>
      </c>
      <c r="L115" s="6">
        <v>1216.633</v>
      </c>
      <c r="M115" s="6">
        <v>1216.633</v>
      </c>
      <c r="N115" s="6">
        <v>1216.633</v>
      </c>
      <c r="O115" s="6">
        <v>1216.633</v>
      </c>
      <c r="P115" s="6">
        <v>0</v>
      </c>
      <c r="Q115" s="4" t="s">
        <v>26</v>
      </c>
      <c r="R115" s="4">
        <v>0</v>
      </c>
      <c r="S115" s="6">
        <v>0</v>
      </c>
      <c r="T115" s="6">
        <v>8</v>
      </c>
      <c r="U115" s="6">
        <v>49</v>
      </c>
      <c r="V115" s="6">
        <f>IF(ISERROR(VLOOKUP($S$115,'TAR FIN'!$A$1:$O$85,15,0)),0,VLOOKUP($S$115,'TAR FIN'!$A$1:$O$85,15,0))</f>
        <v>0</v>
      </c>
      <c r="W115" s="6">
        <f>IF(ISERROR(VLOOKUP($T$115,'TAR FIN'!$A$1:$O$85,15,0)),0,VLOOKUP($T$115,'TAR FIN'!$A$1:$O$85,15,0))</f>
        <v>65.61</v>
      </c>
      <c r="X115" s="6">
        <f>IF(ISERROR(VLOOKUP($U$115,'TAR FIN'!$A$1:$O$85,15,0)),0,VLOOKUP($U$115,'TAR FIN'!$A$1:$O$85,15,0))</f>
        <v>263.29000000000002</v>
      </c>
      <c r="Y115" s="6"/>
      <c r="Z115" s="6">
        <f ca="1">('TUSD BE'!$AM$12+'TUSD BF'!$AM$12+'TUSD CVA'!$AM$12)*1</f>
        <v>100.34646310857573</v>
      </c>
      <c r="AA115" s="6">
        <f>('TE BE'!$AA$6+'TE BF'!$AA$6+'TE CVA'!$AA$6)*1</f>
        <v>210.64397598313801</v>
      </c>
      <c r="AB115" s="6">
        <f>$K$115*$V$115</f>
        <v>0</v>
      </c>
      <c r="AC115" s="6">
        <f>$M$115*$W$115</f>
        <v>79823.291129999998</v>
      </c>
      <c r="AD115" s="6">
        <f>$O$115*$X$115</f>
        <v>320327.30257000006</v>
      </c>
      <c r="AE115" s="6">
        <f>$K$115*$Y$115</f>
        <v>0</v>
      </c>
      <c r="AF115" s="6">
        <f ca="1">$M$115*$Z$115</f>
        <v>122084.81845117583</v>
      </c>
      <c r="AG115" s="6">
        <f>$O$115*$AA$115</f>
        <v>256276.41243229315</v>
      </c>
    </row>
    <row r="116" spans="1:33" ht="11.25" customHeight="1" x14ac:dyDescent="0.25">
      <c r="A116" s="4" t="s">
        <v>28</v>
      </c>
      <c r="B116" s="4" t="s">
        <v>33</v>
      </c>
      <c r="C116" s="4" t="s">
        <v>34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36</v>
      </c>
      <c r="I116" s="5">
        <v>44317</v>
      </c>
      <c r="J116" s="6">
        <v>0</v>
      </c>
      <c r="K116" s="6">
        <v>0</v>
      </c>
      <c r="L116" s="6">
        <v>19.672000000000001</v>
      </c>
      <c r="M116" s="6">
        <v>19.672000000000001</v>
      </c>
      <c r="N116" s="6">
        <v>19.672000000000001</v>
      </c>
      <c r="O116" s="6">
        <v>19.672000000000001</v>
      </c>
      <c r="P116" s="6">
        <v>0</v>
      </c>
      <c r="Q116" s="4" t="s">
        <v>26</v>
      </c>
      <c r="R116" s="4">
        <v>0</v>
      </c>
      <c r="S116" s="6">
        <v>0</v>
      </c>
      <c r="T116" s="6">
        <v>8</v>
      </c>
      <c r="U116" s="6">
        <v>49</v>
      </c>
      <c r="V116" s="6">
        <f>IF(ISERROR(VLOOKUP($S$116,'TAR FIN'!$A$1:$O$85,15,0)),0,VLOOKUP($S$116,'TAR FIN'!$A$1:$O$85,15,0))</f>
        <v>0</v>
      </c>
      <c r="W116" s="6">
        <f>IF(ISERROR(VLOOKUP($T$116,'TAR FIN'!$A$1:$O$85,15,0)),0,VLOOKUP($T$116,'TAR FIN'!$A$1:$O$85,15,0))</f>
        <v>65.61</v>
      </c>
      <c r="X116" s="6">
        <f>IF(ISERROR(VLOOKUP($U$116,'TAR FIN'!$A$1:$O$85,15,0)),0,VLOOKUP($U$116,'TAR FIN'!$A$1:$O$85,15,0))</f>
        <v>263.29000000000002</v>
      </c>
      <c r="Y116" s="6"/>
      <c r="Z116" s="6">
        <f ca="1">('TUSD BE'!$AM$12+'TUSD BF'!$AM$12+'TUSD CVA'!$AM$12)*1</f>
        <v>100.34646310857573</v>
      </c>
      <c r="AA116" s="6">
        <f>('TE BE'!$AA$6+'TE BF'!$AA$6+'TE CVA'!$AA$6)*1</f>
        <v>210.64397598313801</v>
      </c>
      <c r="AB116" s="6">
        <f>$K$116*$V$116</f>
        <v>0</v>
      </c>
      <c r="AC116" s="6">
        <f>$M$116*$W$116</f>
        <v>1290.67992</v>
      </c>
      <c r="AD116" s="6">
        <f>$O$116*$X$116</f>
        <v>5179.4408800000001</v>
      </c>
      <c r="AE116" s="6">
        <f>$K$116*$Y$116</f>
        <v>0</v>
      </c>
      <c r="AF116" s="6">
        <f ca="1">$M$116*$Z$116</f>
        <v>1974.015622271902</v>
      </c>
      <c r="AG116" s="6">
        <f>$O$116*$AA$116</f>
        <v>4143.7882955402911</v>
      </c>
    </row>
    <row r="117" spans="1:33" ht="11.25" customHeight="1" x14ac:dyDescent="0.25">
      <c r="A117" s="4" t="s">
        <v>21</v>
      </c>
      <c r="B117" s="4" t="s">
        <v>33</v>
      </c>
      <c r="C117" s="4" t="s">
        <v>34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36</v>
      </c>
      <c r="I117" s="5">
        <v>44348</v>
      </c>
      <c r="J117" s="6">
        <v>0</v>
      </c>
      <c r="K117" s="6">
        <v>0</v>
      </c>
      <c r="L117" s="6">
        <v>737.26400000000001</v>
      </c>
      <c r="M117" s="6">
        <v>737.26400000000001</v>
      </c>
      <c r="N117" s="6">
        <v>737.26400000000001</v>
      </c>
      <c r="O117" s="6">
        <v>737.26400000000001</v>
      </c>
      <c r="P117" s="6">
        <v>0</v>
      </c>
      <c r="Q117" s="4" t="s">
        <v>26</v>
      </c>
      <c r="R117" s="4">
        <v>0</v>
      </c>
      <c r="S117" s="6">
        <v>0</v>
      </c>
      <c r="T117" s="6">
        <v>8</v>
      </c>
      <c r="U117" s="6">
        <v>49</v>
      </c>
      <c r="V117" s="6">
        <f>IF(ISERROR(VLOOKUP($S$117,'TAR FIN'!$A$1:$O$85,15,0)),0,VLOOKUP($S$117,'TAR FIN'!$A$1:$O$85,15,0))</f>
        <v>0</v>
      </c>
      <c r="W117" s="6">
        <f>IF(ISERROR(VLOOKUP($T$117,'TAR FIN'!$A$1:$O$85,15,0)),0,VLOOKUP($T$117,'TAR FIN'!$A$1:$O$85,15,0))</f>
        <v>65.61</v>
      </c>
      <c r="X117" s="6">
        <f>IF(ISERROR(VLOOKUP($U$117,'TAR FIN'!$A$1:$O$85,15,0)),0,VLOOKUP($U$117,'TAR FIN'!$A$1:$O$85,15,0))</f>
        <v>263.29000000000002</v>
      </c>
      <c r="Y117" s="6"/>
      <c r="Z117" s="6">
        <f ca="1">('TUSD BE'!$AM$12+'TUSD BF'!$AM$12+'TUSD CVA'!$AM$12)*1</f>
        <v>100.34646310857573</v>
      </c>
      <c r="AA117" s="6">
        <f>('TE BE'!$AA$6+'TE BF'!$AA$6+'TE CVA'!$AA$6)*1</f>
        <v>210.64397598313801</v>
      </c>
      <c r="AB117" s="6">
        <f>$K$117*$V$117</f>
        <v>0</v>
      </c>
      <c r="AC117" s="6">
        <f>$M$117*$W$117</f>
        <v>48371.891040000002</v>
      </c>
      <c r="AD117" s="6">
        <f>$O$117*$X$117</f>
        <v>194114.23856000003</v>
      </c>
      <c r="AE117" s="6">
        <f>$K$117*$Y$117</f>
        <v>0</v>
      </c>
      <c r="AF117" s="6">
        <f ca="1">$M$117*$Z$117</f>
        <v>73981.834777280979</v>
      </c>
      <c r="AG117" s="6">
        <f>$O$117*$AA$117</f>
        <v>155300.22030923227</v>
      </c>
    </row>
    <row r="118" spans="1:33" ht="11.25" customHeight="1" x14ac:dyDescent="0.25">
      <c r="A118" s="4" t="s">
        <v>28</v>
      </c>
      <c r="B118" s="4" t="s">
        <v>33</v>
      </c>
      <c r="C118" s="4" t="s">
        <v>34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36</v>
      </c>
      <c r="I118" s="5">
        <v>44348</v>
      </c>
      <c r="J118" s="6">
        <v>0</v>
      </c>
      <c r="K118" s="6">
        <v>0</v>
      </c>
      <c r="L118" s="6">
        <v>19.667000000000002</v>
      </c>
      <c r="M118" s="6">
        <v>19.667000000000002</v>
      </c>
      <c r="N118" s="6">
        <v>19.667000000000002</v>
      </c>
      <c r="O118" s="6">
        <v>19.667000000000002</v>
      </c>
      <c r="P118" s="6">
        <v>0</v>
      </c>
      <c r="Q118" s="4" t="s">
        <v>26</v>
      </c>
      <c r="R118" s="4">
        <v>0</v>
      </c>
      <c r="S118" s="6">
        <v>0</v>
      </c>
      <c r="T118" s="6">
        <v>8</v>
      </c>
      <c r="U118" s="6">
        <v>49</v>
      </c>
      <c r="V118" s="6">
        <f>IF(ISERROR(VLOOKUP($S$118,'TAR FIN'!$A$1:$O$85,15,0)),0,VLOOKUP($S$118,'TAR FIN'!$A$1:$O$85,15,0))</f>
        <v>0</v>
      </c>
      <c r="W118" s="6">
        <f>IF(ISERROR(VLOOKUP($T$118,'TAR FIN'!$A$1:$O$85,15,0)),0,VLOOKUP($T$118,'TAR FIN'!$A$1:$O$85,15,0))</f>
        <v>65.61</v>
      </c>
      <c r="X118" s="6">
        <f>IF(ISERROR(VLOOKUP($U$118,'TAR FIN'!$A$1:$O$85,15,0)),0,VLOOKUP($U$118,'TAR FIN'!$A$1:$O$85,15,0))</f>
        <v>263.29000000000002</v>
      </c>
      <c r="Y118" s="6"/>
      <c r="Z118" s="6">
        <f ca="1">('TUSD BE'!$AM$12+'TUSD BF'!$AM$12+'TUSD CVA'!$AM$12)*1</f>
        <v>100.34646310857573</v>
      </c>
      <c r="AA118" s="6">
        <f>('TE BE'!$AA$6+'TE BF'!$AA$6+'TE CVA'!$AA$6)*1</f>
        <v>210.64397598313801</v>
      </c>
      <c r="AB118" s="6">
        <f>$K$118*$V$118</f>
        <v>0</v>
      </c>
      <c r="AC118" s="6">
        <f>$M$118*$W$118</f>
        <v>1290.3518700000002</v>
      </c>
      <c r="AD118" s="6">
        <f>$O$118*$X$118</f>
        <v>5178.1244300000008</v>
      </c>
      <c r="AE118" s="6">
        <f>$K$118*$Y$118</f>
        <v>0</v>
      </c>
      <c r="AF118" s="6">
        <f ca="1">$M$118*$Z$118</f>
        <v>1973.5138899563592</v>
      </c>
      <c r="AG118" s="6">
        <f>$O$118*$AA$118</f>
        <v>4142.7350756603755</v>
      </c>
    </row>
    <row r="119" spans="1:33" ht="11.25" customHeight="1" x14ac:dyDescent="0.25">
      <c r="A119" s="4" t="s">
        <v>21</v>
      </c>
      <c r="B119" s="4" t="s">
        <v>33</v>
      </c>
      <c r="C119" s="4" t="s">
        <v>34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36</v>
      </c>
      <c r="I119" s="5">
        <v>44378</v>
      </c>
      <c r="J119" s="6">
        <v>0</v>
      </c>
      <c r="K119" s="6">
        <v>0</v>
      </c>
      <c r="L119" s="6">
        <v>535.947</v>
      </c>
      <c r="M119" s="6">
        <v>535.947</v>
      </c>
      <c r="N119" s="6">
        <v>535.947</v>
      </c>
      <c r="O119" s="6">
        <v>535.947</v>
      </c>
      <c r="P119" s="6">
        <v>0</v>
      </c>
      <c r="Q119" s="4" t="s">
        <v>26</v>
      </c>
      <c r="R119" s="4">
        <v>0</v>
      </c>
      <c r="S119" s="6">
        <v>0</v>
      </c>
      <c r="T119" s="6">
        <v>8</v>
      </c>
      <c r="U119" s="6">
        <v>49</v>
      </c>
      <c r="V119" s="6">
        <f>IF(ISERROR(VLOOKUP($S$119,'TAR FIN'!$A$1:$O$85,15,0)),0,VLOOKUP($S$119,'TAR FIN'!$A$1:$O$85,15,0))</f>
        <v>0</v>
      </c>
      <c r="W119" s="6">
        <f>IF(ISERROR(VLOOKUP($T$119,'TAR FIN'!$A$1:$O$85,15,0)),0,VLOOKUP($T$119,'TAR FIN'!$A$1:$O$85,15,0))</f>
        <v>65.61</v>
      </c>
      <c r="X119" s="6">
        <f>IF(ISERROR(VLOOKUP($U$119,'TAR FIN'!$A$1:$O$85,15,0)),0,VLOOKUP($U$119,'TAR FIN'!$A$1:$O$85,15,0))</f>
        <v>263.29000000000002</v>
      </c>
      <c r="Y119" s="6"/>
      <c r="Z119" s="6">
        <f ca="1">('TUSD BE'!$AM$12+'TUSD BF'!$AM$12+'TUSD CVA'!$AM$12)*1</f>
        <v>100.34646310857573</v>
      </c>
      <c r="AA119" s="6">
        <f>('TE BE'!$AA$6+'TE BF'!$AA$6+'TE CVA'!$AA$6)*1</f>
        <v>210.64397598313801</v>
      </c>
      <c r="AB119" s="6">
        <f>$K$119*$V$119</f>
        <v>0</v>
      </c>
      <c r="AC119" s="6">
        <f>$M$119*$W$119</f>
        <v>35163.482669999998</v>
      </c>
      <c r="AD119" s="6">
        <f>$O$119*$X$119</f>
        <v>141109.48563000001</v>
      </c>
      <c r="AE119" s="6">
        <f>$K$119*$Y$119</f>
        <v>0</v>
      </c>
      <c r="AF119" s="6">
        <f ca="1">$M$119*$Z$119</f>
        <v>53780.385863651842</v>
      </c>
      <c r="AG119" s="6">
        <f>$O$119*$AA$119</f>
        <v>112894.00699623486</v>
      </c>
    </row>
    <row r="120" spans="1:33" ht="11.25" customHeight="1" x14ac:dyDescent="0.25">
      <c r="A120" s="4" t="s">
        <v>28</v>
      </c>
      <c r="B120" s="4" t="s">
        <v>33</v>
      </c>
      <c r="C120" s="4" t="s">
        <v>34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36</v>
      </c>
      <c r="I120" s="5">
        <v>44378</v>
      </c>
      <c r="J120" s="6">
        <v>0</v>
      </c>
      <c r="K120" s="6">
        <v>0</v>
      </c>
      <c r="L120" s="6">
        <v>27.774000000000001</v>
      </c>
      <c r="M120" s="6">
        <v>27.774000000000001</v>
      </c>
      <c r="N120" s="6">
        <v>27.774000000000001</v>
      </c>
      <c r="O120" s="6">
        <v>27.774000000000001</v>
      </c>
      <c r="P120" s="6">
        <v>0</v>
      </c>
      <c r="Q120" s="4" t="s">
        <v>26</v>
      </c>
      <c r="R120" s="4">
        <v>0</v>
      </c>
      <c r="S120" s="6">
        <v>0</v>
      </c>
      <c r="T120" s="6">
        <v>8</v>
      </c>
      <c r="U120" s="6">
        <v>49</v>
      </c>
      <c r="V120" s="6">
        <f>IF(ISERROR(VLOOKUP($S$120,'TAR FIN'!$A$1:$O$85,15,0)),0,VLOOKUP($S$120,'TAR FIN'!$A$1:$O$85,15,0))</f>
        <v>0</v>
      </c>
      <c r="W120" s="6">
        <f>IF(ISERROR(VLOOKUP($T$120,'TAR FIN'!$A$1:$O$85,15,0)),0,VLOOKUP($T$120,'TAR FIN'!$A$1:$O$85,15,0))</f>
        <v>65.61</v>
      </c>
      <c r="X120" s="6">
        <f>IF(ISERROR(VLOOKUP($U$120,'TAR FIN'!$A$1:$O$85,15,0)),0,VLOOKUP($U$120,'TAR FIN'!$A$1:$O$85,15,0))</f>
        <v>263.29000000000002</v>
      </c>
      <c r="Y120" s="6"/>
      <c r="Z120" s="6">
        <f ca="1">('TUSD BE'!$AM$12+'TUSD BF'!$AM$12+'TUSD CVA'!$AM$12)*1</f>
        <v>100.34646310857573</v>
      </c>
      <c r="AA120" s="6">
        <f>('TE BE'!$AA$6+'TE BF'!$AA$6+'TE CVA'!$AA$6)*1</f>
        <v>210.64397598313801</v>
      </c>
      <c r="AB120" s="6">
        <f>$K$120*$V$120</f>
        <v>0</v>
      </c>
      <c r="AC120" s="6">
        <f>$M$120*$W$120</f>
        <v>1822.2521400000001</v>
      </c>
      <c r="AD120" s="6">
        <f>$O$120*$X$120</f>
        <v>7312.6164600000011</v>
      </c>
      <c r="AE120" s="6">
        <f>$K$120*$Y$120</f>
        <v>0</v>
      </c>
      <c r="AF120" s="6">
        <f ca="1">$M$120*$Z$120</f>
        <v>2787.0226663775825</v>
      </c>
      <c r="AG120" s="6">
        <f>$O$120*$AA$120</f>
        <v>5850.4257889556748</v>
      </c>
    </row>
    <row r="121" spans="1:33" ht="11.25" customHeight="1" x14ac:dyDescent="0.25">
      <c r="A121" s="4" t="s">
        <v>21</v>
      </c>
      <c r="B121" s="4" t="s">
        <v>33</v>
      </c>
      <c r="C121" s="4" t="s">
        <v>34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36</v>
      </c>
      <c r="I121" s="5">
        <v>44409</v>
      </c>
      <c r="J121" s="6">
        <v>0</v>
      </c>
      <c r="K121" s="6">
        <v>0</v>
      </c>
      <c r="L121" s="6">
        <v>578.35299999999995</v>
      </c>
      <c r="M121" s="6">
        <v>578.35299999999995</v>
      </c>
      <c r="N121" s="6">
        <v>578.35299999999995</v>
      </c>
      <c r="O121" s="6">
        <v>578.35299999999995</v>
      </c>
      <c r="P121" s="6">
        <v>0</v>
      </c>
      <c r="Q121" s="4" t="s">
        <v>26</v>
      </c>
      <c r="R121" s="4">
        <v>0</v>
      </c>
      <c r="S121" s="6">
        <v>0</v>
      </c>
      <c r="T121" s="6">
        <v>8</v>
      </c>
      <c r="U121" s="6">
        <v>49</v>
      </c>
      <c r="V121" s="6">
        <f>IF(ISERROR(VLOOKUP($S$121,'TAR FIN'!$A$1:$O$85,15,0)),0,VLOOKUP($S$121,'TAR FIN'!$A$1:$O$85,15,0))</f>
        <v>0</v>
      </c>
      <c r="W121" s="6">
        <f>IF(ISERROR(VLOOKUP($T$121,'TAR FIN'!$A$1:$O$85,15,0)),0,VLOOKUP($T$121,'TAR FIN'!$A$1:$O$85,15,0))</f>
        <v>65.61</v>
      </c>
      <c r="X121" s="6">
        <f>IF(ISERROR(VLOOKUP($U$121,'TAR FIN'!$A$1:$O$85,15,0)),0,VLOOKUP($U$121,'TAR FIN'!$A$1:$O$85,15,0))</f>
        <v>263.29000000000002</v>
      </c>
      <c r="Y121" s="6"/>
      <c r="Z121" s="6">
        <f ca="1">('TUSD BE'!$AM$12+'TUSD BF'!$AM$12+'TUSD CVA'!$AM$12)*1</f>
        <v>100.34646310857573</v>
      </c>
      <c r="AA121" s="6">
        <f>('TE BE'!$AA$6+'TE BF'!$AA$6+'TE CVA'!$AA$6)*1</f>
        <v>210.64397598313801</v>
      </c>
      <c r="AB121" s="6">
        <f>$K$121*$V$121</f>
        <v>0</v>
      </c>
      <c r="AC121" s="6">
        <f>$M$121*$W$121</f>
        <v>37945.740329999993</v>
      </c>
      <c r="AD121" s="6">
        <f>$O$121*$X$121</f>
        <v>152274.56137000001</v>
      </c>
      <c r="AE121" s="6">
        <f>$K$121*$Y$121</f>
        <v>0</v>
      </c>
      <c r="AF121" s="6">
        <f ca="1">$M$121*$Z$121</f>
        <v>58035.677978234096</v>
      </c>
      <c r="AG121" s="6">
        <f>$O$121*$AA$121</f>
        <v>121826.5754417758</v>
      </c>
    </row>
    <row r="122" spans="1:33" ht="11.25" customHeight="1" x14ac:dyDescent="0.25">
      <c r="A122" s="4" t="s">
        <v>28</v>
      </c>
      <c r="B122" s="4" t="s">
        <v>33</v>
      </c>
      <c r="C122" s="4" t="s">
        <v>34</v>
      </c>
      <c r="D122" s="4" t="s">
        <v>40</v>
      </c>
      <c r="E122" s="4" t="s">
        <v>25</v>
      </c>
      <c r="F122" s="4" t="s">
        <v>25</v>
      </c>
      <c r="G122" s="4" t="s">
        <v>25</v>
      </c>
      <c r="H122" s="4" t="s">
        <v>36</v>
      </c>
      <c r="I122" s="5">
        <v>44409</v>
      </c>
      <c r="J122" s="6">
        <v>0</v>
      </c>
      <c r="K122" s="6">
        <v>0</v>
      </c>
      <c r="L122" s="6">
        <v>52.45</v>
      </c>
      <c r="M122" s="6">
        <v>52.45</v>
      </c>
      <c r="N122" s="6">
        <v>52.45</v>
      </c>
      <c r="O122" s="6">
        <v>52.45</v>
      </c>
      <c r="P122" s="6">
        <v>0</v>
      </c>
      <c r="Q122" s="4" t="s">
        <v>26</v>
      </c>
      <c r="R122" s="4">
        <v>0</v>
      </c>
      <c r="S122" s="6">
        <v>0</v>
      </c>
      <c r="T122" s="6">
        <v>8</v>
      </c>
      <c r="U122" s="6">
        <v>49</v>
      </c>
      <c r="V122" s="6">
        <f>IF(ISERROR(VLOOKUP($S$122,'TAR FIN'!$A$1:$O$85,15,0)),0,VLOOKUP($S$122,'TAR FIN'!$A$1:$O$85,15,0))</f>
        <v>0</v>
      </c>
      <c r="W122" s="6">
        <f>IF(ISERROR(VLOOKUP($T$122,'TAR FIN'!$A$1:$O$85,15,0)),0,VLOOKUP($T$122,'TAR FIN'!$A$1:$O$85,15,0))</f>
        <v>65.61</v>
      </c>
      <c r="X122" s="6">
        <f>IF(ISERROR(VLOOKUP($U$122,'TAR FIN'!$A$1:$O$85,15,0)),0,VLOOKUP($U$122,'TAR FIN'!$A$1:$O$85,15,0))</f>
        <v>263.29000000000002</v>
      </c>
      <c r="Y122" s="6"/>
      <c r="Z122" s="6">
        <f ca="1">('TUSD BE'!$AM$12+'TUSD BF'!$AM$12+'TUSD CVA'!$AM$12)*1</f>
        <v>100.34646310857573</v>
      </c>
      <c r="AA122" s="6">
        <f>('TE BE'!$AA$6+'TE BF'!$AA$6+'TE CVA'!$AA$6)*1</f>
        <v>210.64397598313801</v>
      </c>
      <c r="AB122" s="6">
        <f>$K$122*$V$122</f>
        <v>0</v>
      </c>
      <c r="AC122" s="6">
        <f>$M$122*$W$122</f>
        <v>3441.2445000000002</v>
      </c>
      <c r="AD122" s="6">
        <f>$O$122*$X$122</f>
        <v>13809.560500000001</v>
      </c>
      <c r="AE122" s="6">
        <f>$K$122*$Y$122</f>
        <v>0</v>
      </c>
      <c r="AF122" s="6">
        <f ca="1">$M$122*$Z$122</f>
        <v>5263.1719900447979</v>
      </c>
      <c r="AG122" s="6">
        <f>$O$122*$AA$122</f>
        <v>11048.276540315588</v>
      </c>
    </row>
    <row r="123" spans="1:33" ht="11.25" customHeight="1" x14ac:dyDescent="0.25">
      <c r="A123" s="4" t="s">
        <v>21</v>
      </c>
      <c r="B123" s="4" t="s">
        <v>33</v>
      </c>
      <c r="C123" s="4" t="s">
        <v>34</v>
      </c>
      <c r="D123" s="4" t="s">
        <v>40</v>
      </c>
      <c r="E123" s="4" t="s">
        <v>25</v>
      </c>
      <c r="F123" s="4" t="s">
        <v>25</v>
      </c>
      <c r="G123" s="4" t="s">
        <v>25</v>
      </c>
      <c r="H123" s="4" t="s">
        <v>36</v>
      </c>
      <c r="I123" s="5">
        <v>44440</v>
      </c>
      <c r="J123" s="6">
        <v>0</v>
      </c>
      <c r="K123" s="6">
        <v>0</v>
      </c>
      <c r="L123" s="6">
        <v>572.12699999999995</v>
      </c>
      <c r="M123" s="6">
        <v>572.12699999999995</v>
      </c>
      <c r="N123" s="6">
        <v>572.12699999999995</v>
      </c>
      <c r="O123" s="6">
        <v>572.12699999999995</v>
      </c>
      <c r="P123" s="6">
        <v>0</v>
      </c>
      <c r="Q123" s="4" t="s">
        <v>26</v>
      </c>
      <c r="R123" s="4">
        <v>0</v>
      </c>
      <c r="S123" s="6">
        <v>0</v>
      </c>
      <c r="T123" s="6">
        <v>8</v>
      </c>
      <c r="U123" s="6">
        <v>49</v>
      </c>
      <c r="V123" s="6">
        <f>IF(ISERROR(VLOOKUP($S$123,'TAR FIN'!$A$1:$O$85,15,0)),0,VLOOKUP($S$123,'TAR FIN'!$A$1:$O$85,15,0))</f>
        <v>0</v>
      </c>
      <c r="W123" s="6">
        <f>IF(ISERROR(VLOOKUP($T$123,'TAR FIN'!$A$1:$O$85,15,0)),0,VLOOKUP($T$123,'TAR FIN'!$A$1:$O$85,15,0))</f>
        <v>65.61</v>
      </c>
      <c r="X123" s="6">
        <f>IF(ISERROR(VLOOKUP($U$123,'TAR FIN'!$A$1:$O$85,15,0)),0,VLOOKUP($U$123,'TAR FIN'!$A$1:$O$85,15,0))</f>
        <v>263.29000000000002</v>
      </c>
      <c r="Y123" s="6"/>
      <c r="Z123" s="6">
        <f ca="1">('TUSD BE'!$AM$12+'TUSD BF'!$AM$12+'TUSD CVA'!$AM$12)*1</f>
        <v>100.34646310857573</v>
      </c>
      <c r="AA123" s="6">
        <f>('TE BE'!$AA$6+'TE BF'!$AA$6+'TE CVA'!$AA$6)*1</f>
        <v>210.64397598313801</v>
      </c>
      <c r="AB123" s="6">
        <f>$K$123*$V$123</f>
        <v>0</v>
      </c>
      <c r="AC123" s="6">
        <f>$M$123*$W$123</f>
        <v>37537.252469999999</v>
      </c>
      <c r="AD123" s="6">
        <f>$O$123*$X$123</f>
        <v>150635.31782999999</v>
      </c>
      <c r="AE123" s="6">
        <f>$K$123*$Y$123</f>
        <v>0</v>
      </c>
      <c r="AF123" s="6">
        <f ca="1">$M$123*$Z$123</f>
        <v>57410.920898920107</v>
      </c>
      <c r="AG123" s="6">
        <f>$O$123*$AA$123</f>
        <v>120515.10604730478</v>
      </c>
    </row>
    <row r="124" spans="1:33" ht="11.25" customHeight="1" x14ac:dyDescent="0.25">
      <c r="A124" s="4" t="s">
        <v>28</v>
      </c>
      <c r="B124" s="4" t="s">
        <v>33</v>
      </c>
      <c r="C124" s="4" t="s">
        <v>34</v>
      </c>
      <c r="D124" s="4" t="s">
        <v>40</v>
      </c>
      <c r="E124" s="4" t="s">
        <v>25</v>
      </c>
      <c r="F124" s="4" t="s">
        <v>25</v>
      </c>
      <c r="G124" s="4" t="s">
        <v>25</v>
      </c>
      <c r="H124" s="4" t="s">
        <v>36</v>
      </c>
      <c r="I124" s="5">
        <v>44440</v>
      </c>
      <c r="J124" s="6">
        <v>0</v>
      </c>
      <c r="K124" s="6">
        <v>0</v>
      </c>
      <c r="L124" s="6">
        <v>19.739000000000001</v>
      </c>
      <c r="M124" s="6">
        <v>19.739000000000001</v>
      </c>
      <c r="N124" s="6">
        <v>19.739000000000001</v>
      </c>
      <c r="O124" s="6">
        <v>19.739000000000001</v>
      </c>
      <c r="P124" s="6">
        <v>0</v>
      </c>
      <c r="Q124" s="4" t="s">
        <v>26</v>
      </c>
      <c r="R124" s="4">
        <v>0</v>
      </c>
      <c r="S124" s="6">
        <v>0</v>
      </c>
      <c r="T124" s="6">
        <v>8</v>
      </c>
      <c r="U124" s="6">
        <v>49</v>
      </c>
      <c r="V124" s="6">
        <f>IF(ISERROR(VLOOKUP($S$124,'TAR FIN'!$A$1:$O$85,15,0)),0,VLOOKUP($S$124,'TAR FIN'!$A$1:$O$85,15,0))</f>
        <v>0</v>
      </c>
      <c r="W124" s="6">
        <f>IF(ISERROR(VLOOKUP($T$124,'TAR FIN'!$A$1:$O$85,15,0)),0,VLOOKUP($T$124,'TAR FIN'!$A$1:$O$85,15,0))</f>
        <v>65.61</v>
      </c>
      <c r="X124" s="6">
        <f>IF(ISERROR(VLOOKUP($U$124,'TAR FIN'!$A$1:$O$85,15,0)),0,VLOOKUP($U$124,'TAR FIN'!$A$1:$O$85,15,0))</f>
        <v>263.29000000000002</v>
      </c>
      <c r="Y124" s="6"/>
      <c r="Z124" s="6">
        <f ca="1">('TUSD BE'!$AM$12+'TUSD BF'!$AM$12+'TUSD CVA'!$AM$12)*1</f>
        <v>100.34646310857573</v>
      </c>
      <c r="AA124" s="6">
        <f>('TE BE'!$AA$6+'TE BF'!$AA$6+'TE CVA'!$AA$6)*1</f>
        <v>210.64397598313801</v>
      </c>
      <c r="AB124" s="6">
        <f>$K$124*$V$124</f>
        <v>0</v>
      </c>
      <c r="AC124" s="6">
        <f>$M$124*$W$124</f>
        <v>1295.0757900000001</v>
      </c>
      <c r="AD124" s="6">
        <f>$O$124*$X$124</f>
        <v>5197.0813100000005</v>
      </c>
      <c r="AE124" s="6">
        <f>$K$124*$Y$124</f>
        <v>0</v>
      </c>
      <c r="AF124" s="6">
        <f ca="1">$M$124*$Z$124</f>
        <v>1980.7388353001766</v>
      </c>
      <c r="AG124" s="6">
        <f>$O$124*$AA$124</f>
        <v>4157.9014419311616</v>
      </c>
    </row>
    <row r="125" spans="1:33" ht="11.25" customHeight="1" x14ac:dyDescent="0.25">
      <c r="A125" s="4" t="s">
        <v>21</v>
      </c>
      <c r="B125" s="4" t="s">
        <v>33</v>
      </c>
      <c r="C125" s="4" t="s">
        <v>34</v>
      </c>
      <c r="D125" s="4" t="s">
        <v>40</v>
      </c>
      <c r="E125" s="4" t="s">
        <v>25</v>
      </c>
      <c r="F125" s="4" t="s">
        <v>25</v>
      </c>
      <c r="G125" s="4" t="s">
        <v>25</v>
      </c>
      <c r="H125" s="4" t="s">
        <v>36</v>
      </c>
      <c r="I125" s="5">
        <v>44470</v>
      </c>
      <c r="J125" s="6">
        <v>0</v>
      </c>
      <c r="K125" s="6">
        <v>0</v>
      </c>
      <c r="L125" s="6">
        <v>567.31200000000001</v>
      </c>
      <c r="M125" s="6">
        <v>567.31200000000001</v>
      </c>
      <c r="N125" s="6">
        <v>567.31200000000001</v>
      </c>
      <c r="O125" s="6">
        <v>567.31200000000001</v>
      </c>
      <c r="P125" s="6">
        <v>0</v>
      </c>
      <c r="Q125" s="4" t="s">
        <v>26</v>
      </c>
      <c r="R125" s="4">
        <v>0</v>
      </c>
      <c r="S125" s="6">
        <v>0</v>
      </c>
      <c r="T125" s="6">
        <v>8</v>
      </c>
      <c r="U125" s="6">
        <v>49</v>
      </c>
      <c r="V125" s="6">
        <f>IF(ISERROR(VLOOKUP($S$125,'TAR FIN'!$A$1:$O$85,15,0)),0,VLOOKUP($S$125,'TAR FIN'!$A$1:$O$85,15,0))</f>
        <v>0</v>
      </c>
      <c r="W125" s="6">
        <f>IF(ISERROR(VLOOKUP($T$125,'TAR FIN'!$A$1:$O$85,15,0)),0,VLOOKUP($T$125,'TAR FIN'!$A$1:$O$85,15,0))</f>
        <v>65.61</v>
      </c>
      <c r="X125" s="6">
        <f>IF(ISERROR(VLOOKUP($U$125,'TAR FIN'!$A$1:$O$85,15,0)),0,VLOOKUP($U$125,'TAR FIN'!$A$1:$O$85,15,0))</f>
        <v>263.29000000000002</v>
      </c>
      <c r="Y125" s="6"/>
      <c r="Z125" s="6">
        <f ca="1">('TUSD BE'!$AM$12+'TUSD BF'!$AM$12+'TUSD CVA'!$AM$12)*1</f>
        <v>100.34646310857573</v>
      </c>
      <c r="AA125" s="6">
        <f>('TE BE'!$AA$6+'TE BF'!$AA$6+'TE CVA'!$AA$6)*1</f>
        <v>210.64397598313801</v>
      </c>
      <c r="AB125" s="6">
        <f>$K$125*$V$125</f>
        <v>0</v>
      </c>
      <c r="AC125" s="6">
        <f>$M$125*$W$125</f>
        <v>37221.340320000003</v>
      </c>
      <c r="AD125" s="6">
        <f>$O$125*$X$125</f>
        <v>149367.57648000002</v>
      </c>
      <c r="AE125" s="6">
        <f>$K$125*$Y$125</f>
        <v>0</v>
      </c>
      <c r="AF125" s="6">
        <f ca="1">$M$125*$Z$125</f>
        <v>56927.752679052319</v>
      </c>
      <c r="AG125" s="6">
        <f>$O$125*$AA$125</f>
        <v>119500.85530294599</v>
      </c>
    </row>
    <row r="126" spans="1:33" ht="11.25" customHeight="1" x14ac:dyDescent="0.25">
      <c r="A126" s="4" t="s">
        <v>28</v>
      </c>
      <c r="B126" s="4" t="s">
        <v>33</v>
      </c>
      <c r="C126" s="4" t="s">
        <v>34</v>
      </c>
      <c r="D126" s="4" t="s">
        <v>40</v>
      </c>
      <c r="E126" s="4" t="s">
        <v>25</v>
      </c>
      <c r="F126" s="4" t="s">
        <v>25</v>
      </c>
      <c r="G126" s="4" t="s">
        <v>25</v>
      </c>
      <c r="H126" s="4" t="s">
        <v>36</v>
      </c>
      <c r="I126" s="5">
        <v>44470</v>
      </c>
      <c r="J126" s="6">
        <v>0</v>
      </c>
      <c r="K126" s="6">
        <v>0</v>
      </c>
      <c r="L126" s="6">
        <v>28.971</v>
      </c>
      <c r="M126" s="6">
        <v>28.971</v>
      </c>
      <c r="N126" s="6">
        <v>28.971</v>
      </c>
      <c r="O126" s="6">
        <v>28.971</v>
      </c>
      <c r="P126" s="6">
        <v>0</v>
      </c>
      <c r="Q126" s="4" t="s">
        <v>26</v>
      </c>
      <c r="R126" s="4">
        <v>0</v>
      </c>
      <c r="S126" s="6">
        <v>0</v>
      </c>
      <c r="T126" s="6">
        <v>8</v>
      </c>
      <c r="U126" s="6">
        <v>49</v>
      </c>
      <c r="V126" s="6">
        <f>IF(ISERROR(VLOOKUP($S$126,'TAR FIN'!$A$1:$O$85,15,0)),0,VLOOKUP($S$126,'TAR FIN'!$A$1:$O$85,15,0))</f>
        <v>0</v>
      </c>
      <c r="W126" s="6">
        <f>IF(ISERROR(VLOOKUP($T$126,'TAR FIN'!$A$1:$O$85,15,0)),0,VLOOKUP($T$126,'TAR FIN'!$A$1:$O$85,15,0))</f>
        <v>65.61</v>
      </c>
      <c r="X126" s="6">
        <f>IF(ISERROR(VLOOKUP($U$126,'TAR FIN'!$A$1:$O$85,15,0)),0,VLOOKUP($U$126,'TAR FIN'!$A$1:$O$85,15,0))</f>
        <v>263.29000000000002</v>
      </c>
      <c r="Y126" s="6"/>
      <c r="Z126" s="6">
        <f ca="1">('TUSD BE'!$AM$12+'TUSD BF'!$AM$12+'TUSD CVA'!$AM$12)*1</f>
        <v>100.34646310857573</v>
      </c>
      <c r="AA126" s="6">
        <f>('TE BE'!$AA$6+'TE BF'!$AA$6+'TE CVA'!$AA$6)*1</f>
        <v>210.64397598313801</v>
      </c>
      <c r="AB126" s="6">
        <f>$K$126*$V$126</f>
        <v>0</v>
      </c>
      <c r="AC126" s="6">
        <f>$M$126*$W$126</f>
        <v>1900.7873099999999</v>
      </c>
      <c r="AD126" s="6">
        <f>$O$126*$X$126</f>
        <v>7627.7745900000009</v>
      </c>
      <c r="AE126" s="6">
        <f>$K$126*$Y$126</f>
        <v>0</v>
      </c>
      <c r="AF126" s="6">
        <f ca="1">$M$126*$Z$126</f>
        <v>2907.1373827185475</v>
      </c>
      <c r="AG126" s="6">
        <f>$O$126*$AA$126</f>
        <v>6102.5666282074908</v>
      </c>
    </row>
    <row r="127" spans="1:33" ht="11.25" customHeight="1" x14ac:dyDescent="0.25">
      <c r="A127" s="4" t="s">
        <v>21</v>
      </c>
      <c r="B127" s="4" t="s">
        <v>33</v>
      </c>
      <c r="C127" s="4" t="s">
        <v>34</v>
      </c>
      <c r="D127" s="4" t="s">
        <v>40</v>
      </c>
      <c r="E127" s="4" t="s">
        <v>25</v>
      </c>
      <c r="F127" s="4" t="s">
        <v>25</v>
      </c>
      <c r="G127" s="4" t="s">
        <v>25</v>
      </c>
      <c r="H127" s="4" t="s">
        <v>36</v>
      </c>
      <c r="I127" s="5">
        <v>44501</v>
      </c>
      <c r="J127" s="6">
        <v>0</v>
      </c>
      <c r="K127" s="6">
        <v>0</v>
      </c>
      <c r="L127" s="6">
        <v>435.51400000000001</v>
      </c>
      <c r="M127" s="6">
        <v>435.51400000000001</v>
      </c>
      <c r="N127" s="6">
        <v>435.51400000000001</v>
      </c>
      <c r="O127" s="6">
        <v>435.51400000000001</v>
      </c>
      <c r="P127" s="6">
        <v>0</v>
      </c>
      <c r="Q127" s="4" t="s">
        <v>26</v>
      </c>
      <c r="R127" s="4">
        <v>0</v>
      </c>
      <c r="S127" s="6">
        <v>0</v>
      </c>
      <c r="T127" s="6">
        <v>8</v>
      </c>
      <c r="U127" s="6">
        <v>49</v>
      </c>
      <c r="V127" s="6">
        <f>IF(ISERROR(VLOOKUP($S$127,'TAR FIN'!$A$1:$O$85,15,0)),0,VLOOKUP($S$127,'TAR FIN'!$A$1:$O$85,15,0))</f>
        <v>0</v>
      </c>
      <c r="W127" s="6">
        <f>IF(ISERROR(VLOOKUP($T$127,'TAR FIN'!$A$1:$O$85,15,0)),0,VLOOKUP($T$127,'TAR FIN'!$A$1:$O$85,15,0))</f>
        <v>65.61</v>
      </c>
      <c r="X127" s="6">
        <f>IF(ISERROR(VLOOKUP($U$127,'TAR FIN'!$A$1:$O$85,15,0)),0,VLOOKUP($U$127,'TAR FIN'!$A$1:$O$85,15,0))</f>
        <v>263.29000000000002</v>
      </c>
      <c r="Y127" s="6"/>
      <c r="Z127" s="6">
        <f ca="1">('TUSD BE'!$AM$12+'TUSD BF'!$AM$12+'TUSD CVA'!$AM$12)*1</f>
        <v>100.34646310857573</v>
      </c>
      <c r="AA127" s="6">
        <f>('TE BE'!$AA$6+'TE BF'!$AA$6+'TE CVA'!$AA$6)*1</f>
        <v>210.64397598313801</v>
      </c>
      <c r="AB127" s="6">
        <f>$K$127*$V$127</f>
        <v>0</v>
      </c>
      <c r="AC127" s="6">
        <f>$M$127*$W$127</f>
        <v>28574.073540000001</v>
      </c>
      <c r="AD127" s="6">
        <f>$O$127*$X$127</f>
        <v>114666.48106000001</v>
      </c>
      <c r="AE127" s="6">
        <f>$K$127*$Y$127</f>
        <v>0</v>
      </c>
      <c r="AF127" s="6">
        <f ca="1">$M$127*$Z$127</f>
        <v>43702.289534268253</v>
      </c>
      <c r="AG127" s="6">
        <f>$O$127*$AA$127</f>
        <v>91738.400556320368</v>
      </c>
    </row>
    <row r="128" spans="1:33" ht="11.25" customHeight="1" x14ac:dyDescent="0.25">
      <c r="A128" s="4" t="s">
        <v>28</v>
      </c>
      <c r="B128" s="4" t="s">
        <v>33</v>
      </c>
      <c r="C128" s="4" t="s">
        <v>34</v>
      </c>
      <c r="D128" s="4" t="s">
        <v>40</v>
      </c>
      <c r="E128" s="4" t="s">
        <v>25</v>
      </c>
      <c r="F128" s="4" t="s">
        <v>25</v>
      </c>
      <c r="G128" s="4" t="s">
        <v>25</v>
      </c>
      <c r="H128" s="4" t="s">
        <v>36</v>
      </c>
      <c r="I128" s="5">
        <v>44501</v>
      </c>
      <c r="J128" s="6">
        <v>0</v>
      </c>
      <c r="K128" s="6">
        <v>0</v>
      </c>
      <c r="L128" s="6">
        <v>28.448</v>
      </c>
      <c r="M128" s="6">
        <v>28.448</v>
      </c>
      <c r="N128" s="6">
        <v>28.448</v>
      </c>
      <c r="O128" s="6">
        <v>28.448</v>
      </c>
      <c r="P128" s="6">
        <v>0</v>
      </c>
      <c r="Q128" s="4" t="s">
        <v>26</v>
      </c>
      <c r="R128" s="4">
        <v>0</v>
      </c>
      <c r="S128" s="6">
        <v>0</v>
      </c>
      <c r="T128" s="6">
        <v>8</v>
      </c>
      <c r="U128" s="6">
        <v>49</v>
      </c>
      <c r="V128" s="6">
        <f>IF(ISERROR(VLOOKUP($S$128,'TAR FIN'!$A$1:$O$85,15,0)),0,VLOOKUP($S$128,'TAR FIN'!$A$1:$O$85,15,0))</f>
        <v>0</v>
      </c>
      <c r="W128" s="6">
        <f>IF(ISERROR(VLOOKUP($T$128,'TAR FIN'!$A$1:$O$85,15,0)),0,VLOOKUP($T$128,'TAR FIN'!$A$1:$O$85,15,0))</f>
        <v>65.61</v>
      </c>
      <c r="X128" s="6">
        <f>IF(ISERROR(VLOOKUP($U$128,'TAR FIN'!$A$1:$O$85,15,0)),0,VLOOKUP($U$128,'TAR FIN'!$A$1:$O$85,15,0))</f>
        <v>263.29000000000002</v>
      </c>
      <c r="Y128" s="6"/>
      <c r="Z128" s="6">
        <f ca="1">('TUSD BE'!$AM$12+'TUSD BF'!$AM$12+'TUSD CVA'!$AM$12)*1</f>
        <v>100.34646310857573</v>
      </c>
      <c r="AA128" s="6">
        <f>('TE BE'!$AA$6+'TE BF'!$AA$6+'TE CVA'!$AA$6)*1</f>
        <v>210.64397598313801</v>
      </c>
      <c r="AB128" s="6">
        <f>$K$128*$V$128</f>
        <v>0</v>
      </c>
      <c r="AC128" s="6">
        <f>$M$128*$W$128</f>
        <v>1866.4732799999999</v>
      </c>
      <c r="AD128" s="6">
        <f>$O$128*$X$128</f>
        <v>7490.0739200000007</v>
      </c>
      <c r="AE128" s="6">
        <f>$K$128*$Y$128</f>
        <v>0</v>
      </c>
      <c r="AF128" s="6">
        <f ca="1">$M$128*$Z$128</f>
        <v>2854.6561825127624</v>
      </c>
      <c r="AG128" s="6">
        <f>$O$128*$AA$128</f>
        <v>5992.3998287683098</v>
      </c>
    </row>
    <row r="129" spans="1:33" ht="11.25" customHeight="1" x14ac:dyDescent="0.25">
      <c r="A129" s="4" t="s">
        <v>21</v>
      </c>
      <c r="B129" s="4" t="s">
        <v>33</v>
      </c>
      <c r="C129" s="4" t="s">
        <v>34</v>
      </c>
      <c r="D129" s="4" t="s">
        <v>40</v>
      </c>
      <c r="E129" s="4" t="s">
        <v>25</v>
      </c>
      <c r="F129" s="4" t="s">
        <v>25</v>
      </c>
      <c r="G129" s="4" t="s">
        <v>25</v>
      </c>
      <c r="H129" s="4" t="s">
        <v>36</v>
      </c>
      <c r="I129" s="5">
        <v>44531</v>
      </c>
      <c r="J129" s="6">
        <v>0</v>
      </c>
      <c r="K129" s="6">
        <v>0</v>
      </c>
      <c r="L129" s="6">
        <v>389.58300000000003</v>
      </c>
      <c r="M129" s="6">
        <v>389.58300000000003</v>
      </c>
      <c r="N129" s="6">
        <v>389.58300000000003</v>
      </c>
      <c r="O129" s="6">
        <v>389.58300000000003</v>
      </c>
      <c r="P129" s="6">
        <v>0</v>
      </c>
      <c r="Q129" s="4" t="s">
        <v>26</v>
      </c>
      <c r="R129" s="4">
        <v>0</v>
      </c>
      <c r="S129" s="6">
        <v>0</v>
      </c>
      <c r="T129" s="6">
        <v>8</v>
      </c>
      <c r="U129" s="6">
        <v>49</v>
      </c>
      <c r="V129" s="6">
        <f>IF(ISERROR(VLOOKUP($S$129,'TAR FIN'!$A$1:$O$85,15,0)),0,VLOOKUP($S$129,'TAR FIN'!$A$1:$O$85,15,0))</f>
        <v>0</v>
      </c>
      <c r="W129" s="6">
        <f>IF(ISERROR(VLOOKUP($T$129,'TAR FIN'!$A$1:$O$85,15,0)),0,VLOOKUP($T$129,'TAR FIN'!$A$1:$O$85,15,0))</f>
        <v>65.61</v>
      </c>
      <c r="X129" s="6">
        <f>IF(ISERROR(VLOOKUP($U$129,'TAR FIN'!$A$1:$O$85,15,0)),0,VLOOKUP($U$129,'TAR FIN'!$A$1:$O$85,15,0))</f>
        <v>263.29000000000002</v>
      </c>
      <c r="Y129" s="6"/>
      <c r="Z129" s="6">
        <f ca="1">('TUSD BE'!$AM$12+'TUSD BF'!$AM$12+'TUSD CVA'!$AM$12)*1</f>
        <v>100.34646310857573</v>
      </c>
      <c r="AA129" s="6">
        <f>('TE BE'!$AA$6+'TE BF'!$AA$6+'TE CVA'!$AA$6)*1</f>
        <v>210.64397598313801</v>
      </c>
      <c r="AB129" s="6">
        <f>$K$129*$V$129</f>
        <v>0</v>
      </c>
      <c r="AC129" s="6">
        <f>$M$129*$W$129</f>
        <v>25560.540630000003</v>
      </c>
      <c r="AD129" s="6">
        <f>$O$129*$X$129</f>
        <v>102573.30807000001</v>
      </c>
      <c r="AE129" s="6">
        <f>$K$129*$Y$129</f>
        <v>0</v>
      </c>
      <c r="AF129" s="6">
        <f ca="1">$M$129*$Z$129</f>
        <v>39093.276137228262</v>
      </c>
      <c r="AG129" s="6">
        <f>$O$129*$AA$129</f>
        <v>82063.312095438858</v>
      </c>
    </row>
    <row r="130" spans="1:33" ht="11.25" customHeight="1" x14ac:dyDescent="0.25">
      <c r="A130" s="4" t="s">
        <v>28</v>
      </c>
      <c r="B130" s="4" t="s">
        <v>33</v>
      </c>
      <c r="C130" s="4" t="s">
        <v>34</v>
      </c>
      <c r="D130" s="4" t="s">
        <v>40</v>
      </c>
      <c r="E130" s="4" t="s">
        <v>25</v>
      </c>
      <c r="F130" s="4" t="s">
        <v>25</v>
      </c>
      <c r="G130" s="4" t="s">
        <v>25</v>
      </c>
      <c r="H130" s="4" t="s">
        <v>36</v>
      </c>
      <c r="I130" s="5">
        <v>44531</v>
      </c>
      <c r="J130" s="6">
        <v>0</v>
      </c>
      <c r="K130" s="6">
        <v>0</v>
      </c>
      <c r="L130" s="6">
        <v>36.752000000000002</v>
      </c>
      <c r="M130" s="6">
        <v>36.752000000000002</v>
      </c>
      <c r="N130" s="6">
        <v>36.752000000000002</v>
      </c>
      <c r="O130" s="6">
        <v>36.752000000000002</v>
      </c>
      <c r="P130" s="6">
        <v>0</v>
      </c>
      <c r="Q130" s="4" t="s">
        <v>26</v>
      </c>
      <c r="R130" s="4">
        <v>0</v>
      </c>
      <c r="S130" s="6">
        <v>0</v>
      </c>
      <c r="T130" s="6">
        <v>8</v>
      </c>
      <c r="U130" s="6">
        <v>49</v>
      </c>
      <c r="V130" s="6">
        <f>IF(ISERROR(VLOOKUP($S$130,'TAR FIN'!$A$1:$O$85,15,0)),0,VLOOKUP($S$130,'TAR FIN'!$A$1:$O$85,15,0))</f>
        <v>0</v>
      </c>
      <c r="W130" s="6">
        <f>IF(ISERROR(VLOOKUP($T$130,'TAR FIN'!$A$1:$O$85,15,0)),0,VLOOKUP($T$130,'TAR FIN'!$A$1:$O$85,15,0))</f>
        <v>65.61</v>
      </c>
      <c r="X130" s="6">
        <f>IF(ISERROR(VLOOKUP($U$130,'TAR FIN'!$A$1:$O$85,15,0)),0,VLOOKUP($U$130,'TAR FIN'!$A$1:$O$85,15,0))</f>
        <v>263.29000000000002</v>
      </c>
      <c r="Y130" s="6"/>
      <c r="Z130" s="6">
        <f ca="1">('TUSD BE'!$AM$12+'TUSD BF'!$AM$12+'TUSD CVA'!$AM$12)*1</f>
        <v>100.34646310857573</v>
      </c>
      <c r="AA130" s="6">
        <f>('TE BE'!$AA$6+'TE BF'!$AA$6+'TE CVA'!$AA$6)*1</f>
        <v>210.64397598313801</v>
      </c>
      <c r="AB130" s="6">
        <f>$K$130*$V$130</f>
        <v>0</v>
      </c>
      <c r="AC130" s="6">
        <f>$M$130*$W$130</f>
        <v>2411.2987200000002</v>
      </c>
      <c r="AD130" s="6">
        <f>$O$130*$X$130</f>
        <v>9676.4340800000009</v>
      </c>
      <c r="AE130" s="6">
        <f>$K$130*$Y$130</f>
        <v>0</v>
      </c>
      <c r="AF130" s="6">
        <f ca="1">$M$130*$Z$130</f>
        <v>3687.9332121663756</v>
      </c>
      <c r="AG130" s="6">
        <f>$O$130*$AA$130</f>
        <v>7741.5874053322887</v>
      </c>
    </row>
    <row r="131" spans="1:33" ht="11.25" customHeight="1" x14ac:dyDescent="0.25">
      <c r="A131" s="4" t="s">
        <v>21</v>
      </c>
      <c r="B131" s="4" t="s">
        <v>33</v>
      </c>
      <c r="C131" s="4" t="s">
        <v>34</v>
      </c>
      <c r="D131" s="4" t="s">
        <v>40</v>
      </c>
      <c r="E131" s="4" t="s">
        <v>25</v>
      </c>
      <c r="F131" s="4" t="s">
        <v>25</v>
      </c>
      <c r="G131" s="4" t="s">
        <v>25</v>
      </c>
      <c r="H131" s="4" t="s">
        <v>36</v>
      </c>
      <c r="I131" s="5">
        <v>44562</v>
      </c>
      <c r="J131" s="6">
        <v>0</v>
      </c>
      <c r="K131" s="6">
        <v>0</v>
      </c>
      <c r="L131" s="6">
        <v>402.30700000000002</v>
      </c>
      <c r="M131" s="6">
        <v>402.30700000000002</v>
      </c>
      <c r="N131" s="6">
        <v>402.30700000000002</v>
      </c>
      <c r="O131" s="6">
        <v>402.30700000000002</v>
      </c>
      <c r="P131" s="6">
        <v>0</v>
      </c>
      <c r="Q131" s="4" t="s">
        <v>26</v>
      </c>
      <c r="R131" s="4">
        <v>0</v>
      </c>
      <c r="S131" s="6">
        <v>0</v>
      </c>
      <c r="T131" s="6">
        <v>8</v>
      </c>
      <c r="U131" s="6">
        <v>49</v>
      </c>
      <c r="V131" s="6">
        <f>IF(ISERROR(VLOOKUP($S$131,'TAR FIN'!$A$1:$O$85,15,0)),0,VLOOKUP($S$131,'TAR FIN'!$A$1:$O$85,15,0))</f>
        <v>0</v>
      </c>
      <c r="W131" s="6">
        <f>IF(ISERROR(VLOOKUP($T$131,'TAR FIN'!$A$1:$O$85,15,0)),0,VLOOKUP($T$131,'TAR FIN'!$A$1:$O$85,15,0))</f>
        <v>65.61</v>
      </c>
      <c r="X131" s="6">
        <f>IF(ISERROR(VLOOKUP($U$131,'TAR FIN'!$A$1:$O$85,15,0)),0,VLOOKUP($U$131,'TAR FIN'!$A$1:$O$85,15,0))</f>
        <v>263.29000000000002</v>
      </c>
      <c r="Y131" s="6"/>
      <c r="Z131" s="6">
        <f ca="1">('TUSD BE'!$AM$12+'TUSD BF'!$AM$12+'TUSD CVA'!$AM$12)*1</f>
        <v>100.34646310857573</v>
      </c>
      <c r="AA131" s="6">
        <f>('TE BE'!$AA$6+'TE BF'!$AA$6+'TE CVA'!$AA$6)*1</f>
        <v>210.64397598313801</v>
      </c>
      <c r="AB131" s="6">
        <f>$K$131*$V$131</f>
        <v>0</v>
      </c>
      <c r="AC131" s="6">
        <f>$M$131*$W$131</f>
        <v>26395.362270000001</v>
      </c>
      <c r="AD131" s="6">
        <f>$O$131*$X$131</f>
        <v>105923.41003000001</v>
      </c>
      <c r="AE131" s="6">
        <f>$K$131*$Y$131</f>
        <v>0</v>
      </c>
      <c r="AF131" s="6">
        <f ca="1">$M$131*$Z$131</f>
        <v>40370.084533821777</v>
      </c>
      <c r="AG131" s="6">
        <f>$O$131*$AA$131</f>
        <v>84743.546045848299</v>
      </c>
    </row>
    <row r="132" spans="1:33" ht="11.25" customHeight="1" x14ac:dyDescent="0.25">
      <c r="A132" s="4" t="s">
        <v>28</v>
      </c>
      <c r="B132" s="4" t="s">
        <v>33</v>
      </c>
      <c r="C132" s="4" t="s">
        <v>34</v>
      </c>
      <c r="D132" s="4" t="s">
        <v>40</v>
      </c>
      <c r="E132" s="4" t="s">
        <v>25</v>
      </c>
      <c r="F132" s="4" t="s">
        <v>25</v>
      </c>
      <c r="G132" s="4" t="s">
        <v>25</v>
      </c>
      <c r="H132" s="4" t="s">
        <v>36</v>
      </c>
      <c r="I132" s="5">
        <v>44562</v>
      </c>
      <c r="J132" s="6">
        <v>0</v>
      </c>
      <c r="K132" s="6">
        <v>0</v>
      </c>
      <c r="L132" s="6">
        <v>41.837000000000003</v>
      </c>
      <c r="M132" s="6">
        <v>41.837000000000003</v>
      </c>
      <c r="N132" s="6">
        <v>41.837000000000003</v>
      </c>
      <c r="O132" s="6">
        <v>41.837000000000003</v>
      </c>
      <c r="P132" s="6">
        <v>0</v>
      </c>
      <c r="Q132" s="4" t="s">
        <v>26</v>
      </c>
      <c r="R132" s="4">
        <v>0</v>
      </c>
      <c r="S132" s="6">
        <v>0</v>
      </c>
      <c r="T132" s="6">
        <v>8</v>
      </c>
      <c r="U132" s="6">
        <v>49</v>
      </c>
      <c r="V132" s="6">
        <f>IF(ISERROR(VLOOKUP($S$132,'TAR FIN'!$A$1:$O$85,15,0)),0,VLOOKUP($S$132,'TAR FIN'!$A$1:$O$85,15,0))</f>
        <v>0</v>
      </c>
      <c r="W132" s="6">
        <f>IF(ISERROR(VLOOKUP($T$132,'TAR FIN'!$A$1:$O$85,15,0)),0,VLOOKUP($T$132,'TAR FIN'!$A$1:$O$85,15,0))</f>
        <v>65.61</v>
      </c>
      <c r="X132" s="6">
        <f>IF(ISERROR(VLOOKUP($U$132,'TAR FIN'!$A$1:$O$85,15,0)),0,VLOOKUP($U$132,'TAR FIN'!$A$1:$O$85,15,0))</f>
        <v>263.29000000000002</v>
      </c>
      <c r="Y132" s="6"/>
      <c r="Z132" s="6">
        <f ca="1">('TUSD BE'!$AM$12+'TUSD BF'!$AM$12+'TUSD CVA'!$AM$12)*1</f>
        <v>100.34646310857573</v>
      </c>
      <c r="AA132" s="6">
        <f>('TE BE'!$AA$6+'TE BF'!$AA$6+'TE CVA'!$AA$6)*1</f>
        <v>210.64397598313801</v>
      </c>
      <c r="AB132" s="6">
        <f>$K$132*$V$132</f>
        <v>0</v>
      </c>
      <c r="AC132" s="6">
        <f>$M$132*$W$132</f>
        <v>2744.9255700000003</v>
      </c>
      <c r="AD132" s="6">
        <f>$O$132*$X$132</f>
        <v>11015.263730000002</v>
      </c>
      <c r="AE132" s="6">
        <f>$K$132*$Y$132</f>
        <v>0</v>
      </c>
      <c r="AF132" s="6">
        <f ca="1">$M$132*$Z$132</f>
        <v>4198.1949770734836</v>
      </c>
      <c r="AG132" s="6">
        <f>$O$132*$AA$132</f>
        <v>8812.7120232065463</v>
      </c>
    </row>
    <row r="133" spans="1:33" ht="11.25" customHeight="1" x14ac:dyDescent="0.25">
      <c r="A133" s="4" t="s">
        <v>21</v>
      </c>
      <c r="B133" s="4" t="s">
        <v>33</v>
      </c>
      <c r="C133" s="4" t="s">
        <v>34</v>
      </c>
      <c r="D133" s="4" t="s">
        <v>40</v>
      </c>
      <c r="E133" s="4" t="s">
        <v>25</v>
      </c>
      <c r="F133" s="4" t="s">
        <v>25</v>
      </c>
      <c r="G133" s="4" t="s">
        <v>25</v>
      </c>
      <c r="H133" s="4" t="s">
        <v>36</v>
      </c>
      <c r="I133" s="5">
        <v>44593</v>
      </c>
      <c r="J133" s="6">
        <v>0</v>
      </c>
      <c r="K133" s="6">
        <v>0</v>
      </c>
      <c r="L133" s="6">
        <v>396.483</v>
      </c>
      <c r="M133" s="6">
        <v>396.483</v>
      </c>
      <c r="N133" s="6">
        <v>396.483</v>
      </c>
      <c r="O133" s="6">
        <v>396.483</v>
      </c>
      <c r="P133" s="6">
        <v>0</v>
      </c>
      <c r="Q133" s="4" t="s">
        <v>26</v>
      </c>
      <c r="R133" s="4">
        <v>0</v>
      </c>
      <c r="S133" s="6">
        <v>0</v>
      </c>
      <c r="T133" s="6">
        <v>8</v>
      </c>
      <c r="U133" s="6">
        <v>49</v>
      </c>
      <c r="V133" s="6">
        <f>IF(ISERROR(VLOOKUP($S$133,'TAR FIN'!$A$1:$O$85,15,0)),0,VLOOKUP($S$133,'TAR FIN'!$A$1:$O$85,15,0))</f>
        <v>0</v>
      </c>
      <c r="W133" s="6">
        <f>IF(ISERROR(VLOOKUP($T$133,'TAR FIN'!$A$1:$O$85,15,0)),0,VLOOKUP($T$133,'TAR FIN'!$A$1:$O$85,15,0))</f>
        <v>65.61</v>
      </c>
      <c r="X133" s="6">
        <f>IF(ISERROR(VLOOKUP($U$133,'TAR FIN'!$A$1:$O$85,15,0)),0,VLOOKUP($U$133,'TAR FIN'!$A$1:$O$85,15,0))</f>
        <v>263.29000000000002</v>
      </c>
      <c r="Y133" s="6"/>
      <c r="Z133" s="6">
        <f ca="1">('TUSD BE'!$AM$12+'TUSD BF'!$AM$12+'TUSD CVA'!$AM$12)*1</f>
        <v>100.34646310857573</v>
      </c>
      <c r="AA133" s="6">
        <f>('TE BE'!$AA$6+'TE BF'!$AA$6+'TE CVA'!$AA$6)*1</f>
        <v>210.64397598313801</v>
      </c>
      <c r="AB133" s="6">
        <f>$K$133*$V$133</f>
        <v>0</v>
      </c>
      <c r="AC133" s="6">
        <f>$M$133*$W$133</f>
        <v>26013.249629999998</v>
      </c>
      <c r="AD133" s="6">
        <f>$O$133*$X$133</f>
        <v>104390.00907000001</v>
      </c>
      <c r="AE133" s="6">
        <f>$K$133*$Y$133</f>
        <v>0</v>
      </c>
      <c r="AF133" s="6">
        <f ca="1">$M$133*$Z$133</f>
        <v>39785.666732677433</v>
      </c>
      <c r="AG133" s="6">
        <f>$O$133*$AA$133</f>
        <v>83516.755529722504</v>
      </c>
    </row>
    <row r="134" spans="1:33" ht="11.25" customHeight="1" x14ac:dyDescent="0.25">
      <c r="A134" s="4" t="s">
        <v>28</v>
      </c>
      <c r="B134" s="4" t="s">
        <v>33</v>
      </c>
      <c r="C134" s="4" t="s">
        <v>34</v>
      </c>
      <c r="D134" s="4" t="s">
        <v>40</v>
      </c>
      <c r="E134" s="4" t="s">
        <v>25</v>
      </c>
      <c r="F134" s="4" t="s">
        <v>25</v>
      </c>
      <c r="G134" s="4" t="s">
        <v>25</v>
      </c>
      <c r="H134" s="4" t="s">
        <v>36</v>
      </c>
      <c r="I134" s="5">
        <v>44593</v>
      </c>
      <c r="J134" s="6">
        <v>0</v>
      </c>
      <c r="K134" s="6">
        <v>0</v>
      </c>
      <c r="L134" s="6">
        <v>39.941000000000003</v>
      </c>
      <c r="M134" s="6">
        <v>39.941000000000003</v>
      </c>
      <c r="N134" s="6">
        <v>39.941000000000003</v>
      </c>
      <c r="O134" s="6">
        <v>39.941000000000003</v>
      </c>
      <c r="P134" s="6">
        <v>0</v>
      </c>
      <c r="Q134" s="4" t="s">
        <v>26</v>
      </c>
      <c r="R134" s="4">
        <v>0</v>
      </c>
      <c r="S134" s="6">
        <v>0</v>
      </c>
      <c r="T134" s="6">
        <v>8</v>
      </c>
      <c r="U134" s="6">
        <v>49</v>
      </c>
      <c r="V134" s="6">
        <f>IF(ISERROR(VLOOKUP($S$134,'TAR FIN'!$A$1:$O$85,15,0)),0,VLOOKUP($S$134,'TAR FIN'!$A$1:$O$85,15,0))</f>
        <v>0</v>
      </c>
      <c r="W134" s="6">
        <f>IF(ISERROR(VLOOKUP($T$134,'TAR FIN'!$A$1:$O$85,15,0)),0,VLOOKUP($T$134,'TAR FIN'!$A$1:$O$85,15,0))</f>
        <v>65.61</v>
      </c>
      <c r="X134" s="6">
        <f>IF(ISERROR(VLOOKUP($U$134,'TAR FIN'!$A$1:$O$85,15,0)),0,VLOOKUP($U$134,'TAR FIN'!$A$1:$O$85,15,0))</f>
        <v>263.29000000000002</v>
      </c>
      <c r="Y134" s="6"/>
      <c r="Z134" s="6">
        <f ca="1">('TUSD BE'!$AM$12+'TUSD BF'!$AM$12+'TUSD CVA'!$AM$12)*1</f>
        <v>100.34646310857573</v>
      </c>
      <c r="AA134" s="6">
        <f>('TE BE'!$AA$6+'TE BF'!$AA$6+'TE CVA'!$AA$6)*1</f>
        <v>210.64397598313801</v>
      </c>
      <c r="AB134" s="6">
        <f>$K$134*$V$134</f>
        <v>0</v>
      </c>
      <c r="AC134" s="6">
        <f>$M$134*$W$134</f>
        <v>2620.5290100000002</v>
      </c>
      <c r="AD134" s="6">
        <f>$O$134*$X$134</f>
        <v>10516.065890000002</v>
      </c>
      <c r="AE134" s="6">
        <f>$K$134*$Y$134</f>
        <v>0</v>
      </c>
      <c r="AF134" s="6">
        <f ca="1">$M$134*$Z$134</f>
        <v>4007.9380830196237</v>
      </c>
      <c r="AG134" s="6">
        <f>$O$134*$AA$134</f>
        <v>8413.3310447425156</v>
      </c>
    </row>
    <row r="135" spans="1:33" ht="11.25" customHeight="1" x14ac:dyDescent="0.25">
      <c r="A135" s="4" t="s">
        <v>21</v>
      </c>
      <c r="B135" s="4" t="s">
        <v>33</v>
      </c>
      <c r="C135" s="4" t="s">
        <v>34</v>
      </c>
      <c r="D135" s="4" t="s">
        <v>40</v>
      </c>
      <c r="E135" s="4" t="s">
        <v>25</v>
      </c>
      <c r="F135" s="4" t="s">
        <v>25</v>
      </c>
      <c r="G135" s="4" t="s">
        <v>25</v>
      </c>
      <c r="H135" s="4" t="s">
        <v>36</v>
      </c>
      <c r="I135" s="5">
        <v>44621</v>
      </c>
      <c r="J135" s="6">
        <v>0</v>
      </c>
      <c r="K135" s="6">
        <v>0</v>
      </c>
      <c r="L135" s="6">
        <v>460.94200000000001</v>
      </c>
      <c r="M135" s="6">
        <v>460.94200000000001</v>
      </c>
      <c r="N135" s="6">
        <v>460.94200000000001</v>
      </c>
      <c r="O135" s="6">
        <v>460.94200000000001</v>
      </c>
      <c r="P135" s="6">
        <v>0</v>
      </c>
      <c r="Q135" s="4" t="s">
        <v>26</v>
      </c>
      <c r="R135" s="4">
        <v>0</v>
      </c>
      <c r="S135" s="6">
        <v>0</v>
      </c>
      <c r="T135" s="6">
        <v>8</v>
      </c>
      <c r="U135" s="6">
        <v>49</v>
      </c>
      <c r="V135" s="6">
        <f>IF(ISERROR(VLOOKUP($S$135,'TAR FIN'!$A$1:$O$85,15,0)),0,VLOOKUP($S$135,'TAR FIN'!$A$1:$O$85,15,0))</f>
        <v>0</v>
      </c>
      <c r="W135" s="6">
        <f>IF(ISERROR(VLOOKUP($T$135,'TAR FIN'!$A$1:$O$85,15,0)),0,VLOOKUP($T$135,'TAR FIN'!$A$1:$O$85,15,0))</f>
        <v>65.61</v>
      </c>
      <c r="X135" s="6">
        <f>IF(ISERROR(VLOOKUP($U$135,'TAR FIN'!$A$1:$O$85,15,0)),0,VLOOKUP($U$135,'TAR FIN'!$A$1:$O$85,15,0))</f>
        <v>263.29000000000002</v>
      </c>
      <c r="Y135" s="6"/>
      <c r="Z135" s="6">
        <f ca="1">('TUSD BE'!$AM$12+'TUSD BF'!$AM$12+'TUSD CVA'!$AM$12)*1</f>
        <v>100.34646310857573</v>
      </c>
      <c r="AA135" s="6">
        <f>('TE BE'!$AA$6+'TE BF'!$AA$6+'TE CVA'!$AA$6)*1</f>
        <v>210.64397598313801</v>
      </c>
      <c r="AB135" s="6">
        <f>$K$135*$V$135</f>
        <v>0</v>
      </c>
      <c r="AC135" s="6">
        <f>$M$135*$W$135</f>
        <v>30242.404620000001</v>
      </c>
      <c r="AD135" s="6">
        <f>$O$135*$X$135</f>
        <v>121361.41918000001</v>
      </c>
      <c r="AE135" s="6">
        <f>$K$135*$Y$135</f>
        <v>0</v>
      </c>
      <c r="AF135" s="6">
        <f ca="1">$M$135*$Z$135</f>
        <v>46253.89939819312</v>
      </c>
      <c r="AG135" s="6">
        <f>$O$135*$AA$135</f>
        <v>97094.655577619604</v>
      </c>
    </row>
    <row r="136" spans="1:33" ht="11.25" customHeight="1" x14ac:dyDescent="0.25">
      <c r="A136" s="4" t="s">
        <v>28</v>
      </c>
      <c r="B136" s="4" t="s">
        <v>33</v>
      </c>
      <c r="C136" s="4" t="s">
        <v>34</v>
      </c>
      <c r="D136" s="4" t="s">
        <v>40</v>
      </c>
      <c r="E136" s="4" t="s">
        <v>25</v>
      </c>
      <c r="F136" s="4" t="s">
        <v>25</v>
      </c>
      <c r="G136" s="4" t="s">
        <v>25</v>
      </c>
      <c r="H136" s="4" t="s">
        <v>36</v>
      </c>
      <c r="I136" s="5">
        <v>44621</v>
      </c>
      <c r="J136" s="6">
        <v>0</v>
      </c>
      <c r="K136" s="6">
        <v>0</v>
      </c>
      <c r="L136" s="6">
        <v>49.756</v>
      </c>
      <c r="M136" s="6">
        <v>49.756</v>
      </c>
      <c r="N136" s="6">
        <v>49.756</v>
      </c>
      <c r="O136" s="6">
        <v>49.756</v>
      </c>
      <c r="P136" s="6">
        <v>0</v>
      </c>
      <c r="Q136" s="4" t="s">
        <v>26</v>
      </c>
      <c r="R136" s="4">
        <v>0</v>
      </c>
      <c r="S136" s="6">
        <v>0</v>
      </c>
      <c r="T136" s="6">
        <v>8</v>
      </c>
      <c r="U136" s="6">
        <v>49</v>
      </c>
      <c r="V136" s="6">
        <f>IF(ISERROR(VLOOKUP($S$136,'TAR FIN'!$A$1:$O$85,15,0)),0,VLOOKUP($S$136,'TAR FIN'!$A$1:$O$85,15,0))</f>
        <v>0</v>
      </c>
      <c r="W136" s="6">
        <f>IF(ISERROR(VLOOKUP($T$136,'TAR FIN'!$A$1:$O$85,15,0)),0,VLOOKUP($T$136,'TAR FIN'!$A$1:$O$85,15,0))</f>
        <v>65.61</v>
      </c>
      <c r="X136" s="6">
        <f>IF(ISERROR(VLOOKUP($U$136,'TAR FIN'!$A$1:$O$85,15,0)),0,VLOOKUP($U$136,'TAR FIN'!$A$1:$O$85,15,0))</f>
        <v>263.29000000000002</v>
      </c>
      <c r="Y136" s="6"/>
      <c r="Z136" s="6">
        <f ca="1">('TUSD BE'!$AM$12+'TUSD BF'!$AM$12+'TUSD CVA'!$AM$12)*1</f>
        <v>100.34646310857573</v>
      </c>
      <c r="AA136" s="6">
        <f>('TE BE'!$AA$6+'TE BF'!$AA$6+'TE CVA'!$AA$6)*1</f>
        <v>210.64397598313801</v>
      </c>
      <c r="AB136" s="6">
        <f>$K$136*$V$136</f>
        <v>0</v>
      </c>
      <c r="AC136" s="6">
        <f>$M$136*$W$136</f>
        <v>3264.49116</v>
      </c>
      <c r="AD136" s="6">
        <f>$O$136*$X$136</f>
        <v>13100.257240000001</v>
      </c>
      <c r="AE136" s="6">
        <f>$K$136*$Y$136</f>
        <v>0</v>
      </c>
      <c r="AF136" s="6">
        <f ca="1">$M$136*$Z$136</f>
        <v>4992.8386184302944</v>
      </c>
      <c r="AG136" s="6">
        <f>$O$136*$AA$136</f>
        <v>10480.801669017015</v>
      </c>
    </row>
    <row r="137" spans="1:33" ht="11.25" customHeight="1" x14ac:dyDescent="0.25">
      <c r="A137" s="4" t="s">
        <v>21</v>
      </c>
      <c r="B137" s="4" t="s">
        <v>33</v>
      </c>
      <c r="C137" s="4" t="s">
        <v>34</v>
      </c>
      <c r="D137" s="4" t="s">
        <v>40</v>
      </c>
      <c r="E137" s="4" t="s">
        <v>25</v>
      </c>
      <c r="F137" s="4" t="s">
        <v>25</v>
      </c>
      <c r="G137" s="4" t="s">
        <v>25</v>
      </c>
      <c r="H137" s="4" t="s">
        <v>36</v>
      </c>
      <c r="I137" s="5">
        <v>44652</v>
      </c>
      <c r="J137" s="6">
        <v>0</v>
      </c>
      <c r="K137" s="6">
        <v>0</v>
      </c>
      <c r="L137" s="6">
        <v>400.85599999999999</v>
      </c>
      <c r="M137" s="6">
        <v>400.85599999999999</v>
      </c>
      <c r="N137" s="6">
        <v>400.85599999999999</v>
      </c>
      <c r="O137" s="6">
        <v>400.85599999999999</v>
      </c>
      <c r="P137" s="6">
        <v>0</v>
      </c>
      <c r="Q137" s="4" t="s">
        <v>26</v>
      </c>
      <c r="R137" s="4">
        <v>0</v>
      </c>
      <c r="S137" s="6">
        <v>0</v>
      </c>
      <c r="T137" s="6">
        <v>8</v>
      </c>
      <c r="U137" s="6">
        <v>49</v>
      </c>
      <c r="V137" s="6">
        <f>IF(ISERROR(VLOOKUP($S$137,'TAR FIN'!$A$1:$O$85,15,0)),0,VLOOKUP($S$137,'TAR FIN'!$A$1:$O$85,15,0))</f>
        <v>0</v>
      </c>
      <c r="W137" s="6">
        <f>IF(ISERROR(VLOOKUP($T$137,'TAR FIN'!$A$1:$O$85,15,0)),0,VLOOKUP($T$137,'TAR FIN'!$A$1:$O$85,15,0))</f>
        <v>65.61</v>
      </c>
      <c r="X137" s="6">
        <f>IF(ISERROR(VLOOKUP($U$137,'TAR FIN'!$A$1:$O$85,15,0)),0,VLOOKUP($U$137,'TAR FIN'!$A$1:$O$85,15,0))</f>
        <v>263.29000000000002</v>
      </c>
      <c r="Y137" s="6"/>
      <c r="Z137" s="6">
        <f ca="1">('TUSD BE'!$AM$12+'TUSD BF'!$AM$12+'TUSD CVA'!$AM$12)*1</f>
        <v>100.34646310857573</v>
      </c>
      <c r="AA137" s="6">
        <f>('TE BE'!$AA$6+'TE BF'!$AA$6+'TE CVA'!$AA$6)*1</f>
        <v>210.64397598313801</v>
      </c>
      <c r="AB137" s="6">
        <f>$K$137*$V$137</f>
        <v>0</v>
      </c>
      <c r="AC137" s="6">
        <f>$M$137*$W$137</f>
        <v>26300.16216</v>
      </c>
      <c r="AD137" s="6">
        <f>$O$137*$X$137</f>
        <v>105541.37624000001</v>
      </c>
      <c r="AE137" s="6">
        <f>$K$137*$Y$137</f>
        <v>0</v>
      </c>
      <c r="AF137" s="6">
        <f ca="1">$M$137*$Z$137</f>
        <v>40224.481815851235</v>
      </c>
      <c r="AG137" s="6">
        <f>$O$137*$AA$137</f>
        <v>84437.90163669677</v>
      </c>
    </row>
    <row r="138" spans="1:33" ht="11.25" customHeight="1" x14ac:dyDescent="0.25">
      <c r="A138" s="4" t="s">
        <v>21</v>
      </c>
      <c r="B138" s="4" t="s">
        <v>33</v>
      </c>
      <c r="C138" s="4" t="s">
        <v>34</v>
      </c>
      <c r="D138" s="4" t="s">
        <v>40</v>
      </c>
      <c r="E138" s="4" t="s">
        <v>25</v>
      </c>
      <c r="F138" s="4" t="s">
        <v>25</v>
      </c>
      <c r="G138" s="4" t="s">
        <v>25</v>
      </c>
      <c r="H138" s="4" t="s">
        <v>25</v>
      </c>
      <c r="I138" s="5">
        <v>44317</v>
      </c>
      <c r="J138" s="6">
        <v>5980</v>
      </c>
      <c r="K138" s="6">
        <v>5980</v>
      </c>
      <c r="L138" s="6">
        <v>0</v>
      </c>
      <c r="M138" s="6">
        <v>0</v>
      </c>
      <c r="N138" s="6">
        <v>0</v>
      </c>
      <c r="O138" s="6">
        <v>0</v>
      </c>
      <c r="P138" s="6">
        <v>28</v>
      </c>
      <c r="Q138" s="4" t="s">
        <v>26</v>
      </c>
      <c r="R138" s="4">
        <v>0</v>
      </c>
      <c r="S138" s="6">
        <v>6</v>
      </c>
      <c r="T138" s="6">
        <v>0</v>
      </c>
      <c r="U138" s="6">
        <v>0</v>
      </c>
      <c r="V138" s="6">
        <f>IF(ISERROR(VLOOKUP($S$138,'TAR FIN'!$A$1:$O$85,15,0)),0,VLOOKUP($S$138,'TAR FIN'!$A$1:$O$85,15,0))</f>
        <v>19.32</v>
      </c>
      <c r="W138" s="6">
        <f>IF(ISERROR(VLOOKUP($T$138,'TAR FIN'!$A$1:$O$85,15,0)),0,VLOOKUP($T$138,'TAR FIN'!$A$1:$O$85,15,0))</f>
        <v>0</v>
      </c>
      <c r="X138" s="6">
        <f>IF(ISERROR(VLOOKUP($U$138,'TAR FIN'!$A$1:$O$85,15,0)),0,VLOOKUP($U$138,'TAR FIN'!$A$1:$O$85,15,0))</f>
        <v>0</v>
      </c>
      <c r="Y138" s="6">
        <f ca="1">('TUSD BE'!$AM$10+'TUSD BF'!$AM$10+'TUSD CVA'!$AM$10)*1</f>
        <v>16.680041929169654</v>
      </c>
      <c r="Z138" s="6"/>
      <c r="AA138" s="6"/>
      <c r="AB138" s="6">
        <f>$K$138*$V$138</f>
        <v>115533.6</v>
      </c>
      <c r="AC138" s="6">
        <f>$M$138*$W$138</f>
        <v>0</v>
      </c>
      <c r="AD138" s="6">
        <f>$O$138*$X$138</f>
        <v>0</v>
      </c>
      <c r="AE138" s="6">
        <f ca="1">$K$138*$Y$138</f>
        <v>99746.650736434531</v>
      </c>
      <c r="AF138" s="6">
        <f>$M$138*$Z$138</f>
        <v>0</v>
      </c>
      <c r="AG138" s="6">
        <f>$O$138*$AA$138</f>
        <v>0</v>
      </c>
    </row>
    <row r="139" spans="1:33" ht="11.25" customHeight="1" x14ac:dyDescent="0.25">
      <c r="A139" s="4" t="s">
        <v>28</v>
      </c>
      <c r="B139" s="4" t="s">
        <v>33</v>
      </c>
      <c r="C139" s="4" t="s">
        <v>34</v>
      </c>
      <c r="D139" s="4" t="s">
        <v>40</v>
      </c>
      <c r="E139" s="4" t="s">
        <v>25</v>
      </c>
      <c r="F139" s="4" t="s">
        <v>25</v>
      </c>
      <c r="G139" s="4" t="s">
        <v>25</v>
      </c>
      <c r="H139" s="4" t="s">
        <v>25</v>
      </c>
      <c r="I139" s="5">
        <v>44317</v>
      </c>
      <c r="J139" s="6">
        <v>300</v>
      </c>
      <c r="K139" s="6">
        <v>300</v>
      </c>
      <c r="L139" s="6">
        <v>0</v>
      </c>
      <c r="M139" s="6">
        <v>0</v>
      </c>
      <c r="N139" s="6">
        <v>0</v>
      </c>
      <c r="O139" s="6">
        <v>0</v>
      </c>
      <c r="P139" s="6">
        <v>1</v>
      </c>
      <c r="Q139" s="4" t="s">
        <v>26</v>
      </c>
      <c r="R139" s="4">
        <v>0</v>
      </c>
      <c r="S139" s="6">
        <v>6</v>
      </c>
      <c r="T139" s="6">
        <v>0</v>
      </c>
      <c r="U139" s="6">
        <v>0</v>
      </c>
      <c r="V139" s="6">
        <f>IF(ISERROR(VLOOKUP($S$139,'TAR FIN'!$A$1:$O$85,15,0)),0,VLOOKUP($S$139,'TAR FIN'!$A$1:$O$85,15,0))</f>
        <v>19.32</v>
      </c>
      <c r="W139" s="6">
        <f>IF(ISERROR(VLOOKUP($T$139,'TAR FIN'!$A$1:$O$85,15,0)),0,VLOOKUP($T$139,'TAR FIN'!$A$1:$O$85,15,0))</f>
        <v>0</v>
      </c>
      <c r="X139" s="6">
        <f>IF(ISERROR(VLOOKUP($U$139,'TAR FIN'!$A$1:$O$85,15,0)),0,VLOOKUP($U$139,'TAR FIN'!$A$1:$O$85,15,0))</f>
        <v>0</v>
      </c>
      <c r="Y139" s="6">
        <f ca="1">('TUSD BE'!$AM$10+'TUSD BF'!$AM$10+'TUSD CVA'!$AM$10)*1</f>
        <v>16.680041929169654</v>
      </c>
      <c r="Z139" s="6"/>
      <c r="AA139" s="6"/>
      <c r="AB139" s="6">
        <f>$K$139*$V$139</f>
        <v>5796</v>
      </c>
      <c r="AC139" s="6">
        <f>$M$139*$W$139</f>
        <v>0</v>
      </c>
      <c r="AD139" s="6">
        <f>$O$139*$X$139</f>
        <v>0</v>
      </c>
      <c r="AE139" s="6">
        <f ca="1">$K$139*$Y$139</f>
        <v>5004.012578750896</v>
      </c>
      <c r="AF139" s="6">
        <f>$M$139*$Z$139</f>
        <v>0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33</v>
      </c>
      <c r="C140" s="4" t="s">
        <v>34</v>
      </c>
      <c r="D140" s="4" t="s">
        <v>40</v>
      </c>
      <c r="E140" s="4" t="s">
        <v>25</v>
      </c>
      <c r="F140" s="4" t="s">
        <v>25</v>
      </c>
      <c r="G140" s="4" t="s">
        <v>25</v>
      </c>
      <c r="H140" s="4" t="s">
        <v>25</v>
      </c>
      <c r="I140" s="5">
        <v>44348</v>
      </c>
      <c r="J140" s="6">
        <v>4945</v>
      </c>
      <c r="K140" s="6">
        <v>4945</v>
      </c>
      <c r="L140" s="6">
        <v>0</v>
      </c>
      <c r="M140" s="6">
        <v>0</v>
      </c>
      <c r="N140" s="6">
        <v>0</v>
      </c>
      <c r="O140" s="6">
        <v>0</v>
      </c>
      <c r="P140" s="6">
        <v>27</v>
      </c>
      <c r="Q140" s="4" t="s">
        <v>26</v>
      </c>
      <c r="R140" s="4">
        <v>0</v>
      </c>
      <c r="S140" s="6">
        <v>6</v>
      </c>
      <c r="T140" s="6">
        <v>0</v>
      </c>
      <c r="U140" s="6">
        <v>0</v>
      </c>
      <c r="V140" s="6">
        <f>IF(ISERROR(VLOOKUP($S$140,'TAR FIN'!$A$1:$O$85,15,0)),0,VLOOKUP($S$140,'TAR FIN'!$A$1:$O$85,15,0))</f>
        <v>19.32</v>
      </c>
      <c r="W140" s="6">
        <f>IF(ISERROR(VLOOKUP($T$140,'TAR FIN'!$A$1:$O$85,15,0)),0,VLOOKUP($T$140,'TAR FIN'!$A$1:$O$85,15,0))</f>
        <v>0</v>
      </c>
      <c r="X140" s="6">
        <f>IF(ISERROR(VLOOKUP($U$140,'TAR FIN'!$A$1:$O$85,15,0)),0,VLOOKUP($U$140,'TAR FIN'!$A$1:$O$85,15,0))</f>
        <v>0</v>
      </c>
      <c r="Y140" s="6">
        <f ca="1">('TUSD BE'!$AM$10+'TUSD BF'!$AM$10+'TUSD CVA'!$AM$10)*1</f>
        <v>16.680041929169654</v>
      </c>
      <c r="Z140" s="6"/>
      <c r="AA140" s="6"/>
      <c r="AB140" s="6">
        <f>$K$140*$V$140</f>
        <v>95537.4</v>
      </c>
      <c r="AC140" s="6">
        <f>$M$140*$W$140</f>
        <v>0</v>
      </c>
      <c r="AD140" s="6">
        <f>$O$140*$X$140</f>
        <v>0</v>
      </c>
      <c r="AE140" s="6">
        <f ca="1">$K$140*$Y$140</f>
        <v>82482.807339743944</v>
      </c>
      <c r="AF140" s="6">
        <f>$M$140*$Z$140</f>
        <v>0</v>
      </c>
      <c r="AG140" s="6">
        <f>$O$140*$AA$140</f>
        <v>0</v>
      </c>
    </row>
    <row r="141" spans="1:33" ht="11.25" customHeight="1" x14ac:dyDescent="0.25">
      <c r="A141" s="4" t="s">
        <v>28</v>
      </c>
      <c r="B141" s="4" t="s">
        <v>33</v>
      </c>
      <c r="C141" s="4" t="s">
        <v>34</v>
      </c>
      <c r="D141" s="4" t="s">
        <v>40</v>
      </c>
      <c r="E141" s="4" t="s">
        <v>25</v>
      </c>
      <c r="F141" s="4" t="s">
        <v>25</v>
      </c>
      <c r="G141" s="4" t="s">
        <v>25</v>
      </c>
      <c r="H141" s="4" t="s">
        <v>25</v>
      </c>
      <c r="I141" s="5">
        <v>44348</v>
      </c>
      <c r="J141" s="6">
        <v>300</v>
      </c>
      <c r="K141" s="6">
        <v>300</v>
      </c>
      <c r="L141" s="6">
        <v>0</v>
      </c>
      <c r="M141" s="6">
        <v>0</v>
      </c>
      <c r="N141" s="6">
        <v>0</v>
      </c>
      <c r="O141" s="6">
        <v>0</v>
      </c>
      <c r="P141" s="6">
        <v>1</v>
      </c>
      <c r="Q141" s="4" t="s">
        <v>26</v>
      </c>
      <c r="R141" s="4">
        <v>0</v>
      </c>
      <c r="S141" s="6">
        <v>6</v>
      </c>
      <c r="T141" s="6">
        <v>0</v>
      </c>
      <c r="U141" s="6">
        <v>0</v>
      </c>
      <c r="V141" s="6">
        <f>IF(ISERROR(VLOOKUP($S$141,'TAR FIN'!$A$1:$O$85,15,0)),0,VLOOKUP($S$141,'TAR FIN'!$A$1:$O$85,15,0))</f>
        <v>19.32</v>
      </c>
      <c r="W141" s="6">
        <f>IF(ISERROR(VLOOKUP($T$141,'TAR FIN'!$A$1:$O$85,15,0)),0,VLOOKUP($T$141,'TAR FIN'!$A$1:$O$85,15,0))</f>
        <v>0</v>
      </c>
      <c r="X141" s="6">
        <f>IF(ISERROR(VLOOKUP($U$141,'TAR FIN'!$A$1:$O$85,15,0)),0,VLOOKUP($U$141,'TAR FIN'!$A$1:$O$85,15,0))</f>
        <v>0</v>
      </c>
      <c r="Y141" s="6">
        <f ca="1">('TUSD BE'!$AM$10+'TUSD BF'!$AM$10+'TUSD CVA'!$AM$10)*1</f>
        <v>16.680041929169654</v>
      </c>
      <c r="Z141" s="6"/>
      <c r="AA141" s="6"/>
      <c r="AB141" s="6">
        <f>$K$141*$V$141</f>
        <v>5796</v>
      </c>
      <c r="AC141" s="6">
        <f>$M$141*$W$141</f>
        <v>0</v>
      </c>
      <c r="AD141" s="6">
        <f>$O$141*$X$141</f>
        <v>0</v>
      </c>
      <c r="AE141" s="6">
        <f ca="1">$K$141*$Y$141</f>
        <v>5004.012578750896</v>
      </c>
      <c r="AF141" s="6">
        <f>$M$141*$Z$141</f>
        <v>0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33</v>
      </c>
      <c r="C142" s="4" t="s">
        <v>34</v>
      </c>
      <c r="D142" s="4" t="s">
        <v>40</v>
      </c>
      <c r="E142" s="4" t="s">
        <v>25</v>
      </c>
      <c r="F142" s="4" t="s">
        <v>25</v>
      </c>
      <c r="G142" s="4" t="s">
        <v>25</v>
      </c>
      <c r="H142" s="4" t="s">
        <v>25</v>
      </c>
      <c r="I142" s="5">
        <v>44378</v>
      </c>
      <c r="J142" s="6">
        <v>3859</v>
      </c>
      <c r="K142" s="6">
        <v>3859</v>
      </c>
      <c r="L142" s="6">
        <v>0</v>
      </c>
      <c r="M142" s="6">
        <v>0</v>
      </c>
      <c r="N142" s="6">
        <v>0</v>
      </c>
      <c r="O142" s="6">
        <v>0</v>
      </c>
      <c r="P142" s="6">
        <v>26</v>
      </c>
      <c r="Q142" s="4" t="s">
        <v>26</v>
      </c>
      <c r="R142" s="4">
        <v>0</v>
      </c>
      <c r="S142" s="6">
        <v>6</v>
      </c>
      <c r="T142" s="6">
        <v>0</v>
      </c>
      <c r="U142" s="6">
        <v>0</v>
      </c>
      <c r="V142" s="6">
        <f>IF(ISERROR(VLOOKUP($S$142,'TAR FIN'!$A$1:$O$85,15,0)),0,VLOOKUP($S$142,'TAR FIN'!$A$1:$O$85,15,0))</f>
        <v>19.32</v>
      </c>
      <c r="W142" s="6">
        <f>IF(ISERROR(VLOOKUP($T$142,'TAR FIN'!$A$1:$O$85,15,0)),0,VLOOKUP($T$142,'TAR FIN'!$A$1:$O$85,15,0))</f>
        <v>0</v>
      </c>
      <c r="X142" s="6">
        <f>IF(ISERROR(VLOOKUP($U$142,'TAR FIN'!$A$1:$O$85,15,0)),0,VLOOKUP($U$142,'TAR FIN'!$A$1:$O$85,15,0))</f>
        <v>0</v>
      </c>
      <c r="Y142" s="6">
        <f ca="1">('TUSD BE'!$AM$10+'TUSD BF'!$AM$10+'TUSD CVA'!$AM$10)*1</f>
        <v>16.680041929169654</v>
      </c>
      <c r="Z142" s="6"/>
      <c r="AA142" s="6"/>
      <c r="AB142" s="6">
        <f>$K$142*$V$142</f>
        <v>74555.88</v>
      </c>
      <c r="AC142" s="6">
        <f>$M$142*$W$142</f>
        <v>0</v>
      </c>
      <c r="AD142" s="6">
        <f>$O$142*$X$142</f>
        <v>0</v>
      </c>
      <c r="AE142" s="6">
        <f ca="1">$K$142*$Y$142</f>
        <v>64368.281804665698</v>
      </c>
      <c r="AF142" s="6">
        <f>$M$142*$Z$142</f>
        <v>0</v>
      </c>
      <c r="AG142" s="6">
        <f>$O$142*$AA$142</f>
        <v>0</v>
      </c>
    </row>
    <row r="143" spans="1:33" ht="11.25" customHeight="1" x14ac:dyDescent="0.25">
      <c r="A143" s="4" t="s">
        <v>28</v>
      </c>
      <c r="B143" s="4" t="s">
        <v>33</v>
      </c>
      <c r="C143" s="4" t="s">
        <v>34</v>
      </c>
      <c r="D143" s="4" t="s">
        <v>40</v>
      </c>
      <c r="E143" s="4" t="s">
        <v>25</v>
      </c>
      <c r="F143" s="4" t="s">
        <v>25</v>
      </c>
      <c r="G143" s="4" t="s">
        <v>25</v>
      </c>
      <c r="H143" s="4" t="s">
        <v>25</v>
      </c>
      <c r="I143" s="5">
        <v>44378</v>
      </c>
      <c r="J143" s="6">
        <v>300</v>
      </c>
      <c r="K143" s="6">
        <v>300</v>
      </c>
      <c r="L143" s="6">
        <v>0</v>
      </c>
      <c r="M143" s="6">
        <v>0</v>
      </c>
      <c r="N143" s="6">
        <v>0</v>
      </c>
      <c r="O143" s="6">
        <v>0</v>
      </c>
      <c r="P143" s="6">
        <v>1</v>
      </c>
      <c r="Q143" s="4" t="s">
        <v>26</v>
      </c>
      <c r="R143" s="4">
        <v>0</v>
      </c>
      <c r="S143" s="6">
        <v>6</v>
      </c>
      <c r="T143" s="6">
        <v>0</v>
      </c>
      <c r="U143" s="6">
        <v>0</v>
      </c>
      <c r="V143" s="6">
        <f>IF(ISERROR(VLOOKUP($S$143,'TAR FIN'!$A$1:$O$85,15,0)),0,VLOOKUP($S$143,'TAR FIN'!$A$1:$O$85,15,0))</f>
        <v>19.32</v>
      </c>
      <c r="W143" s="6">
        <f>IF(ISERROR(VLOOKUP($T$143,'TAR FIN'!$A$1:$O$85,15,0)),0,VLOOKUP($T$143,'TAR FIN'!$A$1:$O$85,15,0))</f>
        <v>0</v>
      </c>
      <c r="X143" s="6">
        <f>IF(ISERROR(VLOOKUP($U$143,'TAR FIN'!$A$1:$O$85,15,0)),0,VLOOKUP($U$143,'TAR FIN'!$A$1:$O$85,15,0))</f>
        <v>0</v>
      </c>
      <c r="Y143" s="6">
        <f ca="1">('TUSD BE'!$AM$10+'TUSD BF'!$AM$10+'TUSD CVA'!$AM$10)*1</f>
        <v>16.680041929169654</v>
      </c>
      <c r="Z143" s="6"/>
      <c r="AA143" s="6"/>
      <c r="AB143" s="6">
        <f>$K$143*$V$143</f>
        <v>5796</v>
      </c>
      <c r="AC143" s="6">
        <f>$M$143*$W$143</f>
        <v>0</v>
      </c>
      <c r="AD143" s="6">
        <f>$O$143*$X$143</f>
        <v>0</v>
      </c>
      <c r="AE143" s="6">
        <f ca="1">$K$143*$Y$143</f>
        <v>5004.012578750896</v>
      </c>
      <c r="AF143" s="6">
        <f>$M$143*$Z$143</f>
        <v>0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33</v>
      </c>
      <c r="C144" s="4" t="s">
        <v>34</v>
      </c>
      <c r="D144" s="4" t="s">
        <v>40</v>
      </c>
      <c r="E144" s="4" t="s">
        <v>25</v>
      </c>
      <c r="F144" s="4" t="s">
        <v>25</v>
      </c>
      <c r="G144" s="4" t="s">
        <v>25</v>
      </c>
      <c r="H144" s="4" t="s">
        <v>25</v>
      </c>
      <c r="I144" s="5">
        <v>44409</v>
      </c>
      <c r="J144" s="6">
        <v>4018</v>
      </c>
      <c r="K144" s="6">
        <v>4018</v>
      </c>
      <c r="L144" s="6">
        <v>0</v>
      </c>
      <c r="M144" s="6">
        <v>0</v>
      </c>
      <c r="N144" s="6">
        <v>0</v>
      </c>
      <c r="O144" s="6">
        <v>0</v>
      </c>
      <c r="P144" s="6">
        <v>28</v>
      </c>
      <c r="Q144" s="4" t="s">
        <v>26</v>
      </c>
      <c r="R144" s="4">
        <v>0</v>
      </c>
      <c r="S144" s="6">
        <v>6</v>
      </c>
      <c r="T144" s="6">
        <v>0</v>
      </c>
      <c r="U144" s="6">
        <v>0</v>
      </c>
      <c r="V144" s="6">
        <f>IF(ISERROR(VLOOKUP($S$144,'TAR FIN'!$A$1:$O$85,15,0)),0,VLOOKUP($S$144,'TAR FIN'!$A$1:$O$85,15,0))</f>
        <v>19.32</v>
      </c>
      <c r="W144" s="6">
        <f>IF(ISERROR(VLOOKUP($T$144,'TAR FIN'!$A$1:$O$85,15,0)),0,VLOOKUP($T$144,'TAR FIN'!$A$1:$O$85,15,0))</f>
        <v>0</v>
      </c>
      <c r="X144" s="6">
        <f>IF(ISERROR(VLOOKUP($U$144,'TAR FIN'!$A$1:$O$85,15,0)),0,VLOOKUP($U$144,'TAR FIN'!$A$1:$O$85,15,0))</f>
        <v>0</v>
      </c>
      <c r="Y144" s="6">
        <f ca="1">('TUSD BE'!$AM$10+'TUSD BF'!$AM$10+'TUSD CVA'!$AM$10)*1</f>
        <v>16.680041929169654</v>
      </c>
      <c r="Z144" s="6"/>
      <c r="AA144" s="6"/>
      <c r="AB144" s="6">
        <f>$K$144*$V$144</f>
        <v>77627.759999999995</v>
      </c>
      <c r="AC144" s="6">
        <f>$M$144*$W$144</f>
        <v>0</v>
      </c>
      <c r="AD144" s="6">
        <f>$O$144*$X$144</f>
        <v>0</v>
      </c>
      <c r="AE144" s="6">
        <f ca="1">$K$144*$Y$144</f>
        <v>67020.408471403673</v>
      </c>
      <c r="AF144" s="6">
        <f>$M$144*$Z$144</f>
        <v>0</v>
      </c>
      <c r="AG144" s="6">
        <f>$O$144*$AA$144</f>
        <v>0</v>
      </c>
    </row>
    <row r="145" spans="1:33" ht="11.25" customHeight="1" x14ac:dyDescent="0.25">
      <c r="A145" s="4" t="s">
        <v>28</v>
      </c>
      <c r="B145" s="4" t="s">
        <v>33</v>
      </c>
      <c r="C145" s="4" t="s">
        <v>34</v>
      </c>
      <c r="D145" s="4" t="s">
        <v>40</v>
      </c>
      <c r="E145" s="4" t="s">
        <v>25</v>
      </c>
      <c r="F145" s="4" t="s">
        <v>25</v>
      </c>
      <c r="G145" s="4" t="s">
        <v>25</v>
      </c>
      <c r="H145" s="4" t="s">
        <v>25</v>
      </c>
      <c r="I145" s="5">
        <v>44409</v>
      </c>
      <c r="J145" s="6">
        <v>300</v>
      </c>
      <c r="K145" s="6">
        <v>300</v>
      </c>
      <c r="L145" s="6">
        <v>0</v>
      </c>
      <c r="M145" s="6">
        <v>0</v>
      </c>
      <c r="N145" s="6">
        <v>0</v>
      </c>
      <c r="O145" s="6">
        <v>0</v>
      </c>
      <c r="P145" s="6">
        <v>1</v>
      </c>
      <c r="Q145" s="4" t="s">
        <v>26</v>
      </c>
      <c r="R145" s="4">
        <v>0</v>
      </c>
      <c r="S145" s="6">
        <v>6</v>
      </c>
      <c r="T145" s="6">
        <v>0</v>
      </c>
      <c r="U145" s="6">
        <v>0</v>
      </c>
      <c r="V145" s="6">
        <f>IF(ISERROR(VLOOKUP($S$145,'TAR FIN'!$A$1:$O$85,15,0)),0,VLOOKUP($S$145,'TAR FIN'!$A$1:$O$85,15,0))</f>
        <v>19.32</v>
      </c>
      <c r="W145" s="6">
        <f>IF(ISERROR(VLOOKUP($T$145,'TAR FIN'!$A$1:$O$85,15,0)),0,VLOOKUP($T$145,'TAR FIN'!$A$1:$O$85,15,0))</f>
        <v>0</v>
      </c>
      <c r="X145" s="6">
        <f>IF(ISERROR(VLOOKUP($U$145,'TAR FIN'!$A$1:$O$85,15,0)),0,VLOOKUP($U$145,'TAR FIN'!$A$1:$O$85,15,0))</f>
        <v>0</v>
      </c>
      <c r="Y145" s="6">
        <f ca="1">('TUSD BE'!$AM$10+'TUSD BF'!$AM$10+'TUSD CVA'!$AM$10)*1</f>
        <v>16.680041929169654</v>
      </c>
      <c r="Z145" s="6"/>
      <c r="AA145" s="6"/>
      <c r="AB145" s="6">
        <f>$K$145*$V$145</f>
        <v>5796</v>
      </c>
      <c r="AC145" s="6">
        <f>$M$145*$W$145</f>
        <v>0</v>
      </c>
      <c r="AD145" s="6">
        <f>$O$145*$X$145</f>
        <v>0</v>
      </c>
      <c r="AE145" s="6">
        <f ca="1">$K$145*$Y$145</f>
        <v>5004.012578750896</v>
      </c>
      <c r="AF145" s="6">
        <f>$M$145*$Z$145</f>
        <v>0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33</v>
      </c>
      <c r="C146" s="4" t="s">
        <v>34</v>
      </c>
      <c r="D146" s="4" t="s">
        <v>40</v>
      </c>
      <c r="E146" s="4" t="s">
        <v>25</v>
      </c>
      <c r="F146" s="4" t="s">
        <v>25</v>
      </c>
      <c r="G146" s="4" t="s">
        <v>25</v>
      </c>
      <c r="H146" s="4" t="s">
        <v>25</v>
      </c>
      <c r="I146" s="5">
        <v>44440</v>
      </c>
      <c r="J146" s="6">
        <v>3998</v>
      </c>
      <c r="K146" s="6">
        <v>3998</v>
      </c>
      <c r="L146" s="6">
        <v>0</v>
      </c>
      <c r="M146" s="6">
        <v>0</v>
      </c>
      <c r="N146" s="6">
        <v>0</v>
      </c>
      <c r="O146" s="6">
        <v>0</v>
      </c>
      <c r="P146" s="6">
        <v>29</v>
      </c>
      <c r="Q146" s="4" t="s">
        <v>26</v>
      </c>
      <c r="R146" s="4">
        <v>0</v>
      </c>
      <c r="S146" s="6">
        <v>6</v>
      </c>
      <c r="T146" s="6">
        <v>0</v>
      </c>
      <c r="U146" s="6">
        <v>0</v>
      </c>
      <c r="V146" s="6">
        <f>IF(ISERROR(VLOOKUP($S$146,'TAR FIN'!$A$1:$O$85,15,0)),0,VLOOKUP($S$146,'TAR FIN'!$A$1:$O$85,15,0))</f>
        <v>19.32</v>
      </c>
      <c r="W146" s="6">
        <f>IF(ISERROR(VLOOKUP($T$146,'TAR FIN'!$A$1:$O$85,15,0)),0,VLOOKUP($T$146,'TAR FIN'!$A$1:$O$85,15,0))</f>
        <v>0</v>
      </c>
      <c r="X146" s="6">
        <f>IF(ISERROR(VLOOKUP($U$146,'TAR FIN'!$A$1:$O$85,15,0)),0,VLOOKUP($U$146,'TAR FIN'!$A$1:$O$85,15,0))</f>
        <v>0</v>
      </c>
      <c r="Y146" s="6">
        <f ca="1">('TUSD BE'!$AM$10+'TUSD BF'!$AM$10+'TUSD CVA'!$AM$10)*1</f>
        <v>16.680041929169654</v>
      </c>
      <c r="Z146" s="6"/>
      <c r="AA146" s="6"/>
      <c r="AB146" s="6">
        <f>$K$146*$V$146</f>
        <v>77241.36</v>
      </c>
      <c r="AC146" s="6">
        <f>$M$146*$W$146</f>
        <v>0</v>
      </c>
      <c r="AD146" s="6">
        <f>$O$146*$X$146</f>
        <v>0</v>
      </c>
      <c r="AE146" s="6">
        <f ca="1">$K$146*$Y$146</f>
        <v>66686.807632820273</v>
      </c>
      <c r="AF146" s="6">
        <f>$M$146*$Z$146</f>
        <v>0</v>
      </c>
      <c r="AG146" s="6">
        <f>$O$146*$AA$146</f>
        <v>0</v>
      </c>
    </row>
    <row r="147" spans="1:33" ht="11.25" customHeight="1" x14ac:dyDescent="0.25">
      <c r="A147" s="4" t="s">
        <v>28</v>
      </c>
      <c r="B147" s="4" t="s">
        <v>33</v>
      </c>
      <c r="C147" s="4" t="s">
        <v>34</v>
      </c>
      <c r="D147" s="4" t="s">
        <v>40</v>
      </c>
      <c r="E147" s="4" t="s">
        <v>25</v>
      </c>
      <c r="F147" s="4" t="s">
        <v>25</v>
      </c>
      <c r="G147" s="4" t="s">
        <v>25</v>
      </c>
      <c r="H147" s="4" t="s">
        <v>25</v>
      </c>
      <c r="I147" s="5">
        <v>44440</v>
      </c>
      <c r="J147" s="6">
        <v>300</v>
      </c>
      <c r="K147" s="6">
        <v>300</v>
      </c>
      <c r="L147" s="6">
        <v>0</v>
      </c>
      <c r="M147" s="6">
        <v>0</v>
      </c>
      <c r="N147" s="6">
        <v>0</v>
      </c>
      <c r="O147" s="6">
        <v>0</v>
      </c>
      <c r="P147" s="6">
        <v>1</v>
      </c>
      <c r="Q147" s="4" t="s">
        <v>26</v>
      </c>
      <c r="R147" s="4">
        <v>0</v>
      </c>
      <c r="S147" s="6">
        <v>6</v>
      </c>
      <c r="T147" s="6">
        <v>0</v>
      </c>
      <c r="U147" s="6">
        <v>0</v>
      </c>
      <c r="V147" s="6">
        <f>IF(ISERROR(VLOOKUP($S$147,'TAR FIN'!$A$1:$O$85,15,0)),0,VLOOKUP($S$147,'TAR FIN'!$A$1:$O$85,15,0))</f>
        <v>19.32</v>
      </c>
      <c r="W147" s="6">
        <f>IF(ISERROR(VLOOKUP($T$147,'TAR FIN'!$A$1:$O$85,15,0)),0,VLOOKUP($T$147,'TAR FIN'!$A$1:$O$85,15,0))</f>
        <v>0</v>
      </c>
      <c r="X147" s="6">
        <f>IF(ISERROR(VLOOKUP($U$147,'TAR FIN'!$A$1:$O$85,15,0)),0,VLOOKUP($U$147,'TAR FIN'!$A$1:$O$85,15,0))</f>
        <v>0</v>
      </c>
      <c r="Y147" s="6">
        <f ca="1">('TUSD BE'!$AM$10+'TUSD BF'!$AM$10+'TUSD CVA'!$AM$10)*1</f>
        <v>16.680041929169654</v>
      </c>
      <c r="Z147" s="6"/>
      <c r="AA147" s="6"/>
      <c r="AB147" s="6">
        <f>$K$147*$V$147</f>
        <v>5796</v>
      </c>
      <c r="AC147" s="6">
        <f>$M$147*$W$147</f>
        <v>0</v>
      </c>
      <c r="AD147" s="6">
        <f>$O$147*$X$147</f>
        <v>0</v>
      </c>
      <c r="AE147" s="6">
        <f ca="1">$K$147*$Y$147</f>
        <v>5004.012578750896</v>
      </c>
      <c r="AF147" s="6">
        <f>$M$147*$Z$147</f>
        <v>0</v>
      </c>
      <c r="AG147" s="6">
        <f>$O$147*$AA$147</f>
        <v>0</v>
      </c>
    </row>
    <row r="148" spans="1:33" ht="11.25" customHeight="1" x14ac:dyDescent="0.25">
      <c r="A148" s="4" t="s">
        <v>21</v>
      </c>
      <c r="B148" s="4" t="s">
        <v>33</v>
      </c>
      <c r="C148" s="4" t="s">
        <v>34</v>
      </c>
      <c r="D148" s="4" t="s">
        <v>40</v>
      </c>
      <c r="E148" s="4" t="s">
        <v>25</v>
      </c>
      <c r="F148" s="4" t="s">
        <v>25</v>
      </c>
      <c r="G148" s="4" t="s">
        <v>25</v>
      </c>
      <c r="H148" s="4" t="s">
        <v>25</v>
      </c>
      <c r="I148" s="5">
        <v>44470</v>
      </c>
      <c r="J148" s="6">
        <v>4203</v>
      </c>
      <c r="K148" s="6">
        <v>4203</v>
      </c>
      <c r="L148" s="6">
        <v>0</v>
      </c>
      <c r="M148" s="6">
        <v>0</v>
      </c>
      <c r="N148" s="6">
        <v>0</v>
      </c>
      <c r="O148" s="6">
        <v>0</v>
      </c>
      <c r="P148" s="6">
        <v>30</v>
      </c>
      <c r="Q148" s="4" t="s">
        <v>26</v>
      </c>
      <c r="R148" s="4">
        <v>0</v>
      </c>
      <c r="S148" s="6">
        <v>6</v>
      </c>
      <c r="T148" s="6">
        <v>0</v>
      </c>
      <c r="U148" s="6">
        <v>0</v>
      </c>
      <c r="V148" s="6">
        <f>IF(ISERROR(VLOOKUP($S$148,'TAR FIN'!$A$1:$O$85,15,0)),0,VLOOKUP($S$148,'TAR FIN'!$A$1:$O$85,15,0))</f>
        <v>19.32</v>
      </c>
      <c r="W148" s="6">
        <f>IF(ISERROR(VLOOKUP($T$148,'TAR FIN'!$A$1:$O$85,15,0)),0,VLOOKUP($T$148,'TAR FIN'!$A$1:$O$85,15,0))</f>
        <v>0</v>
      </c>
      <c r="X148" s="6">
        <f>IF(ISERROR(VLOOKUP($U$148,'TAR FIN'!$A$1:$O$85,15,0)),0,VLOOKUP($U$148,'TAR FIN'!$A$1:$O$85,15,0))</f>
        <v>0</v>
      </c>
      <c r="Y148" s="6">
        <f ca="1">('TUSD BE'!$AM$10+'TUSD BF'!$AM$10+'TUSD CVA'!$AM$10)*1</f>
        <v>16.680041929169654</v>
      </c>
      <c r="Z148" s="6"/>
      <c r="AA148" s="6"/>
      <c r="AB148" s="6">
        <f>$K$148*$V$148</f>
        <v>81201.960000000006</v>
      </c>
      <c r="AC148" s="6">
        <f>$M$148*$W$148</f>
        <v>0</v>
      </c>
      <c r="AD148" s="6">
        <f>$O$148*$X$148</f>
        <v>0</v>
      </c>
      <c r="AE148" s="6">
        <f ca="1">$K$148*$Y$148</f>
        <v>70106.216228300051</v>
      </c>
      <c r="AF148" s="6">
        <f>$M$148*$Z$148</f>
        <v>0</v>
      </c>
      <c r="AG148" s="6">
        <f>$O$148*$AA$148</f>
        <v>0</v>
      </c>
    </row>
    <row r="149" spans="1:33" ht="11.25" customHeight="1" x14ac:dyDescent="0.25">
      <c r="A149" s="4" t="s">
        <v>28</v>
      </c>
      <c r="B149" s="4" t="s">
        <v>33</v>
      </c>
      <c r="C149" s="4" t="s">
        <v>34</v>
      </c>
      <c r="D149" s="4" t="s">
        <v>40</v>
      </c>
      <c r="E149" s="4" t="s">
        <v>25</v>
      </c>
      <c r="F149" s="4" t="s">
        <v>25</v>
      </c>
      <c r="G149" s="4" t="s">
        <v>25</v>
      </c>
      <c r="H149" s="4" t="s">
        <v>25</v>
      </c>
      <c r="I149" s="5">
        <v>44470</v>
      </c>
      <c r="J149" s="6">
        <v>345</v>
      </c>
      <c r="K149" s="6">
        <v>345</v>
      </c>
      <c r="L149" s="6">
        <v>0</v>
      </c>
      <c r="M149" s="6">
        <v>0</v>
      </c>
      <c r="N149" s="6">
        <v>0</v>
      </c>
      <c r="O149" s="6">
        <v>0</v>
      </c>
      <c r="P149" s="6">
        <v>2</v>
      </c>
      <c r="Q149" s="4" t="s">
        <v>26</v>
      </c>
      <c r="R149" s="4">
        <v>0</v>
      </c>
      <c r="S149" s="6">
        <v>6</v>
      </c>
      <c r="T149" s="6">
        <v>0</v>
      </c>
      <c r="U149" s="6">
        <v>0</v>
      </c>
      <c r="V149" s="6">
        <f>IF(ISERROR(VLOOKUP($S$149,'TAR FIN'!$A$1:$O$85,15,0)),0,VLOOKUP($S$149,'TAR FIN'!$A$1:$O$85,15,0))</f>
        <v>19.32</v>
      </c>
      <c r="W149" s="6">
        <f>IF(ISERROR(VLOOKUP($T$149,'TAR FIN'!$A$1:$O$85,15,0)),0,VLOOKUP($T$149,'TAR FIN'!$A$1:$O$85,15,0))</f>
        <v>0</v>
      </c>
      <c r="X149" s="6">
        <f>IF(ISERROR(VLOOKUP($U$149,'TAR FIN'!$A$1:$O$85,15,0)),0,VLOOKUP($U$149,'TAR FIN'!$A$1:$O$85,15,0))</f>
        <v>0</v>
      </c>
      <c r="Y149" s="6">
        <f ca="1">('TUSD BE'!$AM$10+'TUSD BF'!$AM$10+'TUSD CVA'!$AM$10)*1</f>
        <v>16.680041929169654</v>
      </c>
      <c r="Z149" s="6"/>
      <c r="AA149" s="6"/>
      <c r="AB149" s="6">
        <f>$K$149*$V$149</f>
        <v>6665.4000000000005</v>
      </c>
      <c r="AC149" s="6">
        <f>$M$149*$W$149</f>
        <v>0</v>
      </c>
      <c r="AD149" s="6">
        <f>$O$149*$X$149</f>
        <v>0</v>
      </c>
      <c r="AE149" s="6">
        <f ca="1">$K$149*$Y$149</f>
        <v>5754.6144655635308</v>
      </c>
      <c r="AF149" s="6">
        <f>$M$149*$Z$149</f>
        <v>0</v>
      </c>
      <c r="AG149" s="6">
        <f>$O$149*$AA$149</f>
        <v>0</v>
      </c>
    </row>
    <row r="150" spans="1:33" ht="11.25" customHeight="1" x14ac:dyDescent="0.25">
      <c r="A150" s="4" t="s">
        <v>21</v>
      </c>
      <c r="B150" s="4" t="s">
        <v>33</v>
      </c>
      <c r="C150" s="4" t="s">
        <v>34</v>
      </c>
      <c r="D150" s="4" t="s">
        <v>40</v>
      </c>
      <c r="E150" s="4" t="s">
        <v>25</v>
      </c>
      <c r="F150" s="4" t="s">
        <v>25</v>
      </c>
      <c r="G150" s="4" t="s">
        <v>25</v>
      </c>
      <c r="H150" s="4" t="s">
        <v>25</v>
      </c>
      <c r="I150" s="5">
        <v>44501</v>
      </c>
      <c r="J150" s="6">
        <v>3737</v>
      </c>
      <c r="K150" s="6">
        <v>3737</v>
      </c>
      <c r="L150" s="6">
        <v>0</v>
      </c>
      <c r="M150" s="6">
        <v>0</v>
      </c>
      <c r="N150" s="6">
        <v>0</v>
      </c>
      <c r="O150" s="6">
        <v>0</v>
      </c>
      <c r="P150" s="6">
        <v>29</v>
      </c>
      <c r="Q150" s="4" t="s">
        <v>26</v>
      </c>
      <c r="R150" s="4">
        <v>0</v>
      </c>
      <c r="S150" s="6">
        <v>6</v>
      </c>
      <c r="T150" s="6">
        <v>0</v>
      </c>
      <c r="U150" s="6">
        <v>0</v>
      </c>
      <c r="V150" s="6">
        <f>IF(ISERROR(VLOOKUP($S$150,'TAR FIN'!$A$1:$O$85,15,0)),0,VLOOKUP($S$150,'TAR FIN'!$A$1:$O$85,15,0))</f>
        <v>19.32</v>
      </c>
      <c r="W150" s="6">
        <f>IF(ISERROR(VLOOKUP($T$150,'TAR FIN'!$A$1:$O$85,15,0)),0,VLOOKUP($T$150,'TAR FIN'!$A$1:$O$85,15,0))</f>
        <v>0</v>
      </c>
      <c r="X150" s="6">
        <f>IF(ISERROR(VLOOKUP($U$150,'TAR FIN'!$A$1:$O$85,15,0)),0,VLOOKUP($U$150,'TAR FIN'!$A$1:$O$85,15,0))</f>
        <v>0</v>
      </c>
      <c r="Y150" s="6">
        <f ca="1">('TUSD BE'!$AM$10+'TUSD BF'!$AM$10+'TUSD CVA'!$AM$10)*1</f>
        <v>16.680041929169654</v>
      </c>
      <c r="Z150" s="6"/>
      <c r="AA150" s="6"/>
      <c r="AB150" s="6">
        <f>$K$150*$V$150</f>
        <v>72198.84</v>
      </c>
      <c r="AC150" s="6">
        <f>$M$150*$W$150</f>
        <v>0</v>
      </c>
      <c r="AD150" s="6">
        <f>$O$150*$X$150</f>
        <v>0</v>
      </c>
      <c r="AE150" s="6">
        <f ca="1">$K$150*$Y$150</f>
        <v>62333.316689307001</v>
      </c>
      <c r="AF150" s="6">
        <f>$M$150*$Z$150</f>
        <v>0</v>
      </c>
      <c r="AG150" s="6">
        <f>$O$150*$AA$150</f>
        <v>0</v>
      </c>
    </row>
    <row r="151" spans="1:33" ht="11.25" customHeight="1" x14ac:dyDescent="0.25">
      <c r="A151" s="4" t="s">
        <v>28</v>
      </c>
      <c r="B151" s="4" t="s">
        <v>33</v>
      </c>
      <c r="C151" s="4" t="s">
        <v>34</v>
      </c>
      <c r="D151" s="4" t="s">
        <v>40</v>
      </c>
      <c r="E151" s="4" t="s">
        <v>25</v>
      </c>
      <c r="F151" s="4" t="s">
        <v>25</v>
      </c>
      <c r="G151" s="4" t="s">
        <v>25</v>
      </c>
      <c r="H151" s="4" t="s">
        <v>25</v>
      </c>
      <c r="I151" s="5">
        <v>44501</v>
      </c>
      <c r="J151" s="6">
        <v>349</v>
      </c>
      <c r="K151" s="6">
        <v>349</v>
      </c>
      <c r="L151" s="6">
        <v>0</v>
      </c>
      <c r="M151" s="6">
        <v>0</v>
      </c>
      <c r="N151" s="6">
        <v>0</v>
      </c>
      <c r="O151" s="6">
        <v>0</v>
      </c>
      <c r="P151" s="6">
        <v>2</v>
      </c>
      <c r="Q151" s="4" t="s">
        <v>26</v>
      </c>
      <c r="R151" s="4">
        <v>0</v>
      </c>
      <c r="S151" s="6">
        <v>6</v>
      </c>
      <c r="T151" s="6">
        <v>0</v>
      </c>
      <c r="U151" s="6">
        <v>0</v>
      </c>
      <c r="V151" s="6">
        <f>IF(ISERROR(VLOOKUP($S$151,'TAR FIN'!$A$1:$O$85,15,0)),0,VLOOKUP($S$151,'TAR FIN'!$A$1:$O$85,15,0))</f>
        <v>19.32</v>
      </c>
      <c r="W151" s="6">
        <f>IF(ISERROR(VLOOKUP($T$151,'TAR FIN'!$A$1:$O$85,15,0)),0,VLOOKUP($T$151,'TAR FIN'!$A$1:$O$85,15,0))</f>
        <v>0</v>
      </c>
      <c r="X151" s="6">
        <f>IF(ISERROR(VLOOKUP($U$151,'TAR FIN'!$A$1:$O$85,15,0)),0,VLOOKUP($U$151,'TAR FIN'!$A$1:$O$85,15,0))</f>
        <v>0</v>
      </c>
      <c r="Y151" s="6">
        <f ca="1">('TUSD BE'!$AM$10+'TUSD BF'!$AM$10+'TUSD CVA'!$AM$10)*1</f>
        <v>16.680041929169654</v>
      </c>
      <c r="Z151" s="6"/>
      <c r="AA151" s="6"/>
      <c r="AB151" s="6">
        <f>$K$151*$V$151</f>
        <v>6742.68</v>
      </c>
      <c r="AC151" s="6">
        <f>$M$151*$W$151</f>
        <v>0</v>
      </c>
      <c r="AD151" s="6">
        <f>$O$151*$X$151</f>
        <v>0</v>
      </c>
      <c r="AE151" s="6">
        <f ca="1">$K$151*$Y$151</f>
        <v>5821.3346332802093</v>
      </c>
      <c r="AF151" s="6">
        <f>$M$151*$Z$151</f>
        <v>0</v>
      </c>
      <c r="AG151" s="6">
        <f>$O$151*$AA$151</f>
        <v>0</v>
      </c>
    </row>
    <row r="152" spans="1:33" ht="11.25" customHeight="1" x14ac:dyDescent="0.25">
      <c r="A152" s="4" t="s">
        <v>21</v>
      </c>
      <c r="B152" s="4" t="s">
        <v>33</v>
      </c>
      <c r="C152" s="4" t="s">
        <v>34</v>
      </c>
      <c r="D152" s="4" t="s">
        <v>40</v>
      </c>
      <c r="E152" s="4" t="s">
        <v>25</v>
      </c>
      <c r="F152" s="4" t="s">
        <v>25</v>
      </c>
      <c r="G152" s="4" t="s">
        <v>25</v>
      </c>
      <c r="H152" s="4" t="s">
        <v>25</v>
      </c>
      <c r="I152" s="5">
        <v>44531</v>
      </c>
      <c r="J152" s="6">
        <v>3702</v>
      </c>
      <c r="K152" s="6">
        <v>3702</v>
      </c>
      <c r="L152" s="6">
        <v>0</v>
      </c>
      <c r="M152" s="6">
        <v>0</v>
      </c>
      <c r="N152" s="6">
        <v>0</v>
      </c>
      <c r="O152" s="6">
        <v>0</v>
      </c>
      <c r="P152" s="6">
        <v>28</v>
      </c>
      <c r="Q152" s="4" t="s">
        <v>26</v>
      </c>
      <c r="R152" s="4">
        <v>0</v>
      </c>
      <c r="S152" s="6">
        <v>6</v>
      </c>
      <c r="T152" s="6">
        <v>0</v>
      </c>
      <c r="U152" s="6">
        <v>0</v>
      </c>
      <c r="V152" s="6">
        <f>IF(ISERROR(VLOOKUP($S$152,'TAR FIN'!$A$1:$O$85,15,0)),0,VLOOKUP($S$152,'TAR FIN'!$A$1:$O$85,15,0))</f>
        <v>19.32</v>
      </c>
      <c r="W152" s="6">
        <f>IF(ISERROR(VLOOKUP($T$152,'TAR FIN'!$A$1:$O$85,15,0)),0,VLOOKUP($T$152,'TAR FIN'!$A$1:$O$85,15,0))</f>
        <v>0</v>
      </c>
      <c r="X152" s="6">
        <f>IF(ISERROR(VLOOKUP($U$152,'TAR FIN'!$A$1:$O$85,15,0)),0,VLOOKUP($U$152,'TAR FIN'!$A$1:$O$85,15,0))</f>
        <v>0</v>
      </c>
      <c r="Y152" s="6">
        <f ca="1">('TUSD BE'!$AM$10+'TUSD BF'!$AM$10+'TUSD CVA'!$AM$10)*1</f>
        <v>16.680041929169654</v>
      </c>
      <c r="Z152" s="6"/>
      <c r="AA152" s="6"/>
      <c r="AB152" s="6">
        <f>$K$152*$V$152</f>
        <v>71522.64</v>
      </c>
      <c r="AC152" s="6">
        <f>$M$152*$W$152</f>
        <v>0</v>
      </c>
      <c r="AD152" s="6">
        <f>$O$152*$X$152</f>
        <v>0</v>
      </c>
      <c r="AE152" s="6">
        <f ca="1">$K$152*$Y$152</f>
        <v>61749.51522178606</v>
      </c>
      <c r="AF152" s="6">
        <f>$M$152*$Z$152</f>
        <v>0</v>
      </c>
      <c r="AG152" s="6">
        <f>$O$152*$AA$152</f>
        <v>0</v>
      </c>
    </row>
    <row r="153" spans="1:33" ht="11.25" customHeight="1" x14ac:dyDescent="0.25">
      <c r="A153" s="4" t="s">
        <v>28</v>
      </c>
      <c r="B153" s="4" t="s">
        <v>33</v>
      </c>
      <c r="C153" s="4" t="s">
        <v>34</v>
      </c>
      <c r="D153" s="4" t="s">
        <v>40</v>
      </c>
      <c r="E153" s="4" t="s">
        <v>25</v>
      </c>
      <c r="F153" s="4" t="s">
        <v>25</v>
      </c>
      <c r="G153" s="4" t="s">
        <v>25</v>
      </c>
      <c r="H153" s="4" t="s">
        <v>25</v>
      </c>
      <c r="I153" s="5">
        <v>44531</v>
      </c>
      <c r="J153" s="6">
        <v>360</v>
      </c>
      <c r="K153" s="6">
        <v>360</v>
      </c>
      <c r="L153" s="6">
        <v>0</v>
      </c>
      <c r="M153" s="6">
        <v>0</v>
      </c>
      <c r="N153" s="6">
        <v>0</v>
      </c>
      <c r="O153" s="6">
        <v>0</v>
      </c>
      <c r="P153" s="6">
        <v>2</v>
      </c>
      <c r="Q153" s="4" t="s">
        <v>26</v>
      </c>
      <c r="R153" s="4">
        <v>0</v>
      </c>
      <c r="S153" s="6">
        <v>6</v>
      </c>
      <c r="T153" s="6">
        <v>0</v>
      </c>
      <c r="U153" s="6">
        <v>0</v>
      </c>
      <c r="V153" s="6">
        <f>IF(ISERROR(VLOOKUP($S$153,'TAR FIN'!$A$1:$O$85,15,0)),0,VLOOKUP($S$153,'TAR FIN'!$A$1:$O$85,15,0))</f>
        <v>19.32</v>
      </c>
      <c r="W153" s="6">
        <f>IF(ISERROR(VLOOKUP($T$153,'TAR FIN'!$A$1:$O$85,15,0)),0,VLOOKUP($T$153,'TAR FIN'!$A$1:$O$85,15,0))</f>
        <v>0</v>
      </c>
      <c r="X153" s="6">
        <f>IF(ISERROR(VLOOKUP($U$153,'TAR FIN'!$A$1:$O$85,15,0)),0,VLOOKUP($U$153,'TAR FIN'!$A$1:$O$85,15,0))</f>
        <v>0</v>
      </c>
      <c r="Y153" s="6">
        <f ca="1">('TUSD BE'!$AM$10+'TUSD BF'!$AM$10+'TUSD CVA'!$AM$10)*1</f>
        <v>16.680041929169654</v>
      </c>
      <c r="Z153" s="6"/>
      <c r="AA153" s="6"/>
      <c r="AB153" s="6">
        <f>$K$153*$V$153</f>
        <v>6955.2</v>
      </c>
      <c r="AC153" s="6">
        <f>$M$153*$W$153</f>
        <v>0</v>
      </c>
      <c r="AD153" s="6">
        <f>$O$153*$X$153</f>
        <v>0</v>
      </c>
      <c r="AE153" s="6">
        <f ca="1">$K$153*$Y$153</f>
        <v>6004.8150945010757</v>
      </c>
      <c r="AF153" s="6">
        <f>$M$153*$Z$153</f>
        <v>0</v>
      </c>
      <c r="AG153" s="6">
        <f>$O$153*$AA$153</f>
        <v>0</v>
      </c>
    </row>
    <row r="154" spans="1:33" ht="11.25" customHeight="1" x14ac:dyDescent="0.25">
      <c r="A154" s="4" t="s">
        <v>21</v>
      </c>
      <c r="B154" s="4" t="s">
        <v>33</v>
      </c>
      <c r="C154" s="4" t="s">
        <v>34</v>
      </c>
      <c r="D154" s="4" t="s">
        <v>40</v>
      </c>
      <c r="E154" s="4" t="s">
        <v>25</v>
      </c>
      <c r="F154" s="4" t="s">
        <v>25</v>
      </c>
      <c r="G154" s="4" t="s">
        <v>25</v>
      </c>
      <c r="H154" s="4" t="s">
        <v>25</v>
      </c>
      <c r="I154" s="5">
        <v>44562</v>
      </c>
      <c r="J154" s="6">
        <v>3686</v>
      </c>
      <c r="K154" s="6">
        <v>3686</v>
      </c>
      <c r="L154" s="6">
        <v>0</v>
      </c>
      <c r="M154" s="6">
        <v>0</v>
      </c>
      <c r="N154" s="6">
        <v>0</v>
      </c>
      <c r="O154" s="6">
        <v>0</v>
      </c>
      <c r="P154" s="6">
        <v>28</v>
      </c>
      <c r="Q154" s="4" t="s">
        <v>26</v>
      </c>
      <c r="R154" s="4">
        <v>0</v>
      </c>
      <c r="S154" s="6">
        <v>6</v>
      </c>
      <c r="T154" s="6">
        <v>0</v>
      </c>
      <c r="U154" s="6">
        <v>0</v>
      </c>
      <c r="V154" s="6">
        <f>IF(ISERROR(VLOOKUP($S$154,'TAR FIN'!$A$1:$O$85,15,0)),0,VLOOKUP($S$154,'TAR FIN'!$A$1:$O$85,15,0))</f>
        <v>19.32</v>
      </c>
      <c r="W154" s="6">
        <f>IF(ISERROR(VLOOKUP($T$154,'TAR FIN'!$A$1:$O$85,15,0)),0,VLOOKUP($T$154,'TAR FIN'!$A$1:$O$85,15,0))</f>
        <v>0</v>
      </c>
      <c r="X154" s="6">
        <f>IF(ISERROR(VLOOKUP($U$154,'TAR FIN'!$A$1:$O$85,15,0)),0,VLOOKUP($U$154,'TAR FIN'!$A$1:$O$85,15,0))</f>
        <v>0</v>
      </c>
      <c r="Y154" s="6">
        <f ca="1">('TUSD BE'!$AM$10+'TUSD BF'!$AM$10+'TUSD CVA'!$AM$10)*1</f>
        <v>16.680041929169654</v>
      </c>
      <c r="Z154" s="6"/>
      <c r="AA154" s="6"/>
      <c r="AB154" s="6">
        <f>$K$154*$V$154</f>
        <v>71213.52</v>
      </c>
      <c r="AC154" s="6">
        <f>$M$154*$W$154</f>
        <v>0</v>
      </c>
      <c r="AD154" s="6">
        <f>$O$154*$X$154</f>
        <v>0</v>
      </c>
      <c r="AE154" s="6">
        <f ca="1">$K$154*$Y$154</f>
        <v>61482.634550919349</v>
      </c>
      <c r="AF154" s="6">
        <f>$M$154*$Z$154</f>
        <v>0</v>
      </c>
      <c r="AG154" s="6">
        <f>$O$154*$AA$154</f>
        <v>0</v>
      </c>
    </row>
    <row r="155" spans="1:33" ht="11.25" customHeight="1" x14ac:dyDescent="0.25">
      <c r="A155" s="4" t="s">
        <v>28</v>
      </c>
      <c r="B155" s="4" t="s">
        <v>33</v>
      </c>
      <c r="C155" s="4" t="s">
        <v>34</v>
      </c>
      <c r="D155" s="4" t="s">
        <v>40</v>
      </c>
      <c r="E155" s="4" t="s">
        <v>25</v>
      </c>
      <c r="F155" s="4" t="s">
        <v>25</v>
      </c>
      <c r="G155" s="4" t="s">
        <v>25</v>
      </c>
      <c r="H155" s="4" t="s">
        <v>25</v>
      </c>
      <c r="I155" s="5">
        <v>44562</v>
      </c>
      <c r="J155" s="6">
        <v>362</v>
      </c>
      <c r="K155" s="6">
        <v>362</v>
      </c>
      <c r="L155" s="6">
        <v>0</v>
      </c>
      <c r="M155" s="6">
        <v>0</v>
      </c>
      <c r="N155" s="6">
        <v>0</v>
      </c>
      <c r="O155" s="6">
        <v>0</v>
      </c>
      <c r="P155" s="6">
        <v>2</v>
      </c>
      <c r="Q155" s="4" t="s">
        <v>26</v>
      </c>
      <c r="R155" s="4">
        <v>0</v>
      </c>
      <c r="S155" s="6">
        <v>6</v>
      </c>
      <c r="T155" s="6">
        <v>0</v>
      </c>
      <c r="U155" s="6">
        <v>0</v>
      </c>
      <c r="V155" s="6">
        <f>IF(ISERROR(VLOOKUP($S$155,'TAR FIN'!$A$1:$O$85,15,0)),0,VLOOKUP($S$155,'TAR FIN'!$A$1:$O$85,15,0))</f>
        <v>19.32</v>
      </c>
      <c r="W155" s="6">
        <f>IF(ISERROR(VLOOKUP($T$155,'TAR FIN'!$A$1:$O$85,15,0)),0,VLOOKUP($T$155,'TAR FIN'!$A$1:$O$85,15,0))</f>
        <v>0</v>
      </c>
      <c r="X155" s="6">
        <f>IF(ISERROR(VLOOKUP($U$155,'TAR FIN'!$A$1:$O$85,15,0)),0,VLOOKUP($U$155,'TAR FIN'!$A$1:$O$85,15,0))</f>
        <v>0</v>
      </c>
      <c r="Y155" s="6">
        <f ca="1">('TUSD BE'!$AM$10+'TUSD BF'!$AM$10+'TUSD CVA'!$AM$10)*1</f>
        <v>16.680041929169654</v>
      </c>
      <c r="Z155" s="6"/>
      <c r="AA155" s="6"/>
      <c r="AB155" s="6">
        <f>$K$155*$V$155</f>
        <v>6993.84</v>
      </c>
      <c r="AC155" s="6">
        <f>$M$155*$W$155</f>
        <v>0</v>
      </c>
      <c r="AD155" s="6">
        <f>$O$155*$X$155</f>
        <v>0</v>
      </c>
      <c r="AE155" s="6">
        <f ca="1">$K$155*$Y$155</f>
        <v>6038.1751783594145</v>
      </c>
      <c r="AF155" s="6">
        <f>$M$155*$Z$155</f>
        <v>0</v>
      </c>
      <c r="AG155" s="6">
        <f>$O$155*$AA$155</f>
        <v>0</v>
      </c>
    </row>
    <row r="156" spans="1:33" ht="11.25" customHeight="1" x14ac:dyDescent="0.25">
      <c r="A156" s="4" t="s">
        <v>21</v>
      </c>
      <c r="B156" s="4" t="s">
        <v>33</v>
      </c>
      <c r="C156" s="4" t="s">
        <v>34</v>
      </c>
      <c r="D156" s="4" t="s">
        <v>40</v>
      </c>
      <c r="E156" s="4" t="s">
        <v>25</v>
      </c>
      <c r="F156" s="4" t="s">
        <v>25</v>
      </c>
      <c r="G156" s="4" t="s">
        <v>25</v>
      </c>
      <c r="H156" s="4" t="s">
        <v>25</v>
      </c>
      <c r="I156" s="5">
        <v>44593</v>
      </c>
      <c r="J156" s="6">
        <v>3604</v>
      </c>
      <c r="K156" s="6">
        <v>3604</v>
      </c>
      <c r="L156" s="6">
        <v>0</v>
      </c>
      <c r="M156" s="6">
        <v>0</v>
      </c>
      <c r="N156" s="6">
        <v>0</v>
      </c>
      <c r="O156" s="6">
        <v>0</v>
      </c>
      <c r="P156" s="6">
        <v>27</v>
      </c>
      <c r="Q156" s="4" t="s">
        <v>26</v>
      </c>
      <c r="R156" s="4">
        <v>0</v>
      </c>
      <c r="S156" s="6">
        <v>6</v>
      </c>
      <c r="T156" s="6">
        <v>0</v>
      </c>
      <c r="U156" s="6">
        <v>0</v>
      </c>
      <c r="V156" s="6">
        <f>IF(ISERROR(VLOOKUP($S$156,'TAR FIN'!$A$1:$O$85,15,0)),0,VLOOKUP($S$156,'TAR FIN'!$A$1:$O$85,15,0))</f>
        <v>19.32</v>
      </c>
      <c r="W156" s="6">
        <f>IF(ISERROR(VLOOKUP($T$156,'TAR FIN'!$A$1:$O$85,15,0)),0,VLOOKUP($T$156,'TAR FIN'!$A$1:$O$85,15,0))</f>
        <v>0</v>
      </c>
      <c r="X156" s="6">
        <f>IF(ISERROR(VLOOKUP($U$156,'TAR FIN'!$A$1:$O$85,15,0)),0,VLOOKUP($U$156,'TAR FIN'!$A$1:$O$85,15,0))</f>
        <v>0</v>
      </c>
      <c r="Y156" s="6">
        <f ca="1">('TUSD BE'!$AM$10+'TUSD BF'!$AM$10+'TUSD CVA'!$AM$10)*1</f>
        <v>16.680041929169654</v>
      </c>
      <c r="Z156" s="6"/>
      <c r="AA156" s="6"/>
      <c r="AB156" s="6">
        <f>$K$156*$V$156</f>
        <v>69629.279999999999</v>
      </c>
      <c r="AC156" s="6">
        <f>$M$156*$W$156</f>
        <v>0</v>
      </c>
      <c r="AD156" s="6">
        <f>$O$156*$X$156</f>
        <v>0</v>
      </c>
      <c r="AE156" s="6">
        <f ca="1">$K$156*$Y$156</f>
        <v>60114.871112727436</v>
      </c>
      <c r="AF156" s="6">
        <f>$M$156*$Z$156</f>
        <v>0</v>
      </c>
      <c r="AG156" s="6">
        <f>$O$156*$AA$156</f>
        <v>0</v>
      </c>
    </row>
    <row r="157" spans="1:33" ht="11.25" customHeight="1" x14ac:dyDescent="0.25">
      <c r="A157" s="4" t="s">
        <v>28</v>
      </c>
      <c r="B157" s="4" t="s">
        <v>33</v>
      </c>
      <c r="C157" s="4" t="s">
        <v>34</v>
      </c>
      <c r="D157" s="4" t="s">
        <v>40</v>
      </c>
      <c r="E157" s="4" t="s">
        <v>25</v>
      </c>
      <c r="F157" s="4" t="s">
        <v>25</v>
      </c>
      <c r="G157" s="4" t="s">
        <v>25</v>
      </c>
      <c r="H157" s="4" t="s">
        <v>25</v>
      </c>
      <c r="I157" s="5">
        <v>44593</v>
      </c>
      <c r="J157" s="6">
        <v>364</v>
      </c>
      <c r="K157" s="6">
        <v>364</v>
      </c>
      <c r="L157" s="6">
        <v>0</v>
      </c>
      <c r="M157" s="6">
        <v>0</v>
      </c>
      <c r="N157" s="6">
        <v>0</v>
      </c>
      <c r="O157" s="6">
        <v>0</v>
      </c>
      <c r="P157" s="6">
        <v>2</v>
      </c>
      <c r="Q157" s="4" t="s">
        <v>26</v>
      </c>
      <c r="R157" s="4">
        <v>0</v>
      </c>
      <c r="S157" s="6">
        <v>6</v>
      </c>
      <c r="T157" s="6">
        <v>0</v>
      </c>
      <c r="U157" s="6">
        <v>0</v>
      </c>
      <c r="V157" s="6">
        <f>IF(ISERROR(VLOOKUP($S$157,'TAR FIN'!$A$1:$O$85,15,0)),0,VLOOKUP($S$157,'TAR FIN'!$A$1:$O$85,15,0))</f>
        <v>19.32</v>
      </c>
      <c r="W157" s="6">
        <f>IF(ISERROR(VLOOKUP($T$157,'TAR FIN'!$A$1:$O$85,15,0)),0,VLOOKUP($T$157,'TAR FIN'!$A$1:$O$85,15,0))</f>
        <v>0</v>
      </c>
      <c r="X157" s="6">
        <f>IF(ISERROR(VLOOKUP($U$157,'TAR FIN'!$A$1:$O$85,15,0)),0,VLOOKUP($U$157,'TAR FIN'!$A$1:$O$85,15,0))</f>
        <v>0</v>
      </c>
      <c r="Y157" s="6">
        <f ca="1">('TUSD BE'!$AM$10+'TUSD BF'!$AM$10+'TUSD CVA'!$AM$10)*1</f>
        <v>16.680041929169654</v>
      </c>
      <c r="Z157" s="6"/>
      <c r="AA157" s="6"/>
      <c r="AB157" s="6">
        <f>$K$157*$V$157</f>
        <v>7032.4800000000005</v>
      </c>
      <c r="AC157" s="6">
        <f>$M$157*$W$157</f>
        <v>0</v>
      </c>
      <c r="AD157" s="6">
        <f>$O$157*$X$157</f>
        <v>0</v>
      </c>
      <c r="AE157" s="6">
        <f ca="1">$K$157*$Y$157</f>
        <v>6071.5352622177543</v>
      </c>
      <c r="AF157" s="6">
        <f>$M$157*$Z$157</f>
        <v>0</v>
      </c>
      <c r="AG157" s="6">
        <f>$O$157*$AA$157</f>
        <v>0</v>
      </c>
    </row>
    <row r="158" spans="1:33" ht="11.25" customHeight="1" x14ac:dyDescent="0.25">
      <c r="A158" s="4" t="s">
        <v>21</v>
      </c>
      <c r="B158" s="4" t="s">
        <v>33</v>
      </c>
      <c r="C158" s="4" t="s">
        <v>34</v>
      </c>
      <c r="D158" s="4" t="s">
        <v>40</v>
      </c>
      <c r="E158" s="4" t="s">
        <v>25</v>
      </c>
      <c r="F158" s="4" t="s">
        <v>25</v>
      </c>
      <c r="G158" s="4" t="s">
        <v>25</v>
      </c>
      <c r="H158" s="4" t="s">
        <v>25</v>
      </c>
      <c r="I158" s="5">
        <v>44621</v>
      </c>
      <c r="J158" s="6">
        <v>3662</v>
      </c>
      <c r="K158" s="6">
        <v>3662</v>
      </c>
      <c r="L158" s="6">
        <v>0</v>
      </c>
      <c r="M158" s="6">
        <v>0</v>
      </c>
      <c r="N158" s="6">
        <v>0</v>
      </c>
      <c r="O158" s="6">
        <v>0</v>
      </c>
      <c r="P158" s="6">
        <v>27</v>
      </c>
      <c r="Q158" s="4" t="s">
        <v>26</v>
      </c>
      <c r="R158" s="4">
        <v>0</v>
      </c>
      <c r="S158" s="6">
        <v>6</v>
      </c>
      <c r="T158" s="6">
        <v>0</v>
      </c>
      <c r="U158" s="6">
        <v>0</v>
      </c>
      <c r="V158" s="6">
        <f>IF(ISERROR(VLOOKUP($S$158,'TAR FIN'!$A$1:$O$85,15,0)),0,VLOOKUP($S$158,'TAR FIN'!$A$1:$O$85,15,0))</f>
        <v>19.32</v>
      </c>
      <c r="W158" s="6">
        <f>IF(ISERROR(VLOOKUP($T$158,'TAR FIN'!$A$1:$O$85,15,0)),0,VLOOKUP($T$158,'TAR FIN'!$A$1:$O$85,15,0))</f>
        <v>0</v>
      </c>
      <c r="X158" s="6">
        <f>IF(ISERROR(VLOOKUP($U$158,'TAR FIN'!$A$1:$O$85,15,0)),0,VLOOKUP($U$158,'TAR FIN'!$A$1:$O$85,15,0))</f>
        <v>0</v>
      </c>
      <c r="Y158" s="6">
        <f ca="1">('TUSD BE'!$AM$10+'TUSD BF'!$AM$10+'TUSD CVA'!$AM$10)*1</f>
        <v>16.680041929169654</v>
      </c>
      <c r="Z158" s="6"/>
      <c r="AA158" s="6"/>
      <c r="AB158" s="6">
        <f>$K$158*$V$158</f>
        <v>70749.84</v>
      </c>
      <c r="AC158" s="6">
        <f>$M$158*$W$158</f>
        <v>0</v>
      </c>
      <c r="AD158" s="6">
        <f>$O$158*$X$158</f>
        <v>0</v>
      </c>
      <c r="AE158" s="6">
        <f ca="1">$K$158*$Y$158</f>
        <v>61082.313544619275</v>
      </c>
      <c r="AF158" s="6">
        <f>$M$158*$Z$158</f>
        <v>0</v>
      </c>
      <c r="AG158" s="6">
        <f>$O$158*$AA$158</f>
        <v>0</v>
      </c>
    </row>
    <row r="159" spans="1:33" ht="11.25" customHeight="1" x14ac:dyDescent="0.25">
      <c r="A159" s="4" t="s">
        <v>28</v>
      </c>
      <c r="B159" s="4" t="s">
        <v>33</v>
      </c>
      <c r="C159" s="4" t="s">
        <v>34</v>
      </c>
      <c r="D159" s="4" t="s">
        <v>40</v>
      </c>
      <c r="E159" s="4" t="s">
        <v>25</v>
      </c>
      <c r="F159" s="4" t="s">
        <v>25</v>
      </c>
      <c r="G159" s="4" t="s">
        <v>25</v>
      </c>
      <c r="H159" s="4" t="s">
        <v>25</v>
      </c>
      <c r="I159" s="5">
        <v>44621</v>
      </c>
      <c r="J159" s="6">
        <v>371</v>
      </c>
      <c r="K159" s="6">
        <v>371</v>
      </c>
      <c r="L159" s="6">
        <v>0</v>
      </c>
      <c r="M159" s="6">
        <v>0</v>
      </c>
      <c r="N159" s="6">
        <v>0</v>
      </c>
      <c r="O159" s="6">
        <v>0</v>
      </c>
      <c r="P159" s="6">
        <v>2</v>
      </c>
      <c r="Q159" s="4" t="s">
        <v>26</v>
      </c>
      <c r="R159" s="4">
        <v>0</v>
      </c>
      <c r="S159" s="6">
        <v>6</v>
      </c>
      <c r="T159" s="6">
        <v>0</v>
      </c>
      <c r="U159" s="6">
        <v>0</v>
      </c>
      <c r="V159" s="6">
        <f>IF(ISERROR(VLOOKUP($S$159,'TAR FIN'!$A$1:$O$85,15,0)),0,VLOOKUP($S$159,'TAR FIN'!$A$1:$O$85,15,0))</f>
        <v>19.32</v>
      </c>
      <c r="W159" s="6">
        <f>IF(ISERROR(VLOOKUP($T$159,'TAR FIN'!$A$1:$O$85,15,0)),0,VLOOKUP($T$159,'TAR FIN'!$A$1:$O$85,15,0))</f>
        <v>0</v>
      </c>
      <c r="X159" s="6">
        <f>IF(ISERROR(VLOOKUP($U$159,'TAR FIN'!$A$1:$O$85,15,0)),0,VLOOKUP($U$159,'TAR FIN'!$A$1:$O$85,15,0))</f>
        <v>0</v>
      </c>
      <c r="Y159" s="6">
        <f ca="1">('TUSD BE'!$AM$10+'TUSD BF'!$AM$10+'TUSD CVA'!$AM$10)*1</f>
        <v>16.680041929169654</v>
      </c>
      <c r="Z159" s="6"/>
      <c r="AA159" s="6"/>
      <c r="AB159" s="6">
        <f>$K$159*$V$159</f>
        <v>7167.72</v>
      </c>
      <c r="AC159" s="6">
        <f>$M$159*$W$159</f>
        <v>0</v>
      </c>
      <c r="AD159" s="6">
        <f>$O$159*$X$159</f>
        <v>0</v>
      </c>
      <c r="AE159" s="6">
        <f ca="1">$K$159*$Y$159</f>
        <v>6188.295555721942</v>
      </c>
      <c r="AF159" s="6">
        <f>$M$159*$Z$159</f>
        <v>0</v>
      </c>
      <c r="AG159" s="6">
        <f>$O$159*$AA$159</f>
        <v>0</v>
      </c>
    </row>
    <row r="160" spans="1:33" ht="11.25" customHeight="1" x14ac:dyDescent="0.25">
      <c r="A160" s="4" t="s">
        <v>21</v>
      </c>
      <c r="B160" s="4" t="s">
        <v>33</v>
      </c>
      <c r="C160" s="4" t="s">
        <v>34</v>
      </c>
      <c r="D160" s="4" t="s">
        <v>40</v>
      </c>
      <c r="E160" s="4" t="s">
        <v>25</v>
      </c>
      <c r="F160" s="4" t="s">
        <v>25</v>
      </c>
      <c r="G160" s="4" t="s">
        <v>25</v>
      </c>
      <c r="H160" s="4" t="s">
        <v>25</v>
      </c>
      <c r="I160" s="5">
        <v>44652</v>
      </c>
      <c r="J160" s="6">
        <v>3582</v>
      </c>
      <c r="K160" s="6">
        <v>3582</v>
      </c>
      <c r="L160" s="6">
        <v>0</v>
      </c>
      <c r="M160" s="6">
        <v>0</v>
      </c>
      <c r="N160" s="6">
        <v>0</v>
      </c>
      <c r="O160" s="6">
        <v>0</v>
      </c>
      <c r="P160" s="6">
        <v>27</v>
      </c>
      <c r="Q160" s="4" t="s">
        <v>26</v>
      </c>
      <c r="R160" s="4">
        <v>0</v>
      </c>
      <c r="S160" s="6">
        <v>6</v>
      </c>
      <c r="T160" s="6">
        <v>0</v>
      </c>
      <c r="U160" s="6">
        <v>0</v>
      </c>
      <c r="V160" s="6">
        <f>IF(ISERROR(VLOOKUP($S$160,'TAR FIN'!$A$1:$O$85,15,0)),0,VLOOKUP($S$160,'TAR FIN'!$A$1:$O$85,15,0))</f>
        <v>19.32</v>
      </c>
      <c r="W160" s="6">
        <f>IF(ISERROR(VLOOKUP($T$160,'TAR FIN'!$A$1:$O$85,15,0)),0,VLOOKUP($T$160,'TAR FIN'!$A$1:$O$85,15,0))</f>
        <v>0</v>
      </c>
      <c r="X160" s="6">
        <f>IF(ISERROR(VLOOKUP($U$160,'TAR FIN'!$A$1:$O$85,15,0)),0,VLOOKUP($U$160,'TAR FIN'!$A$1:$O$85,15,0))</f>
        <v>0</v>
      </c>
      <c r="Y160" s="6">
        <f ca="1">('TUSD BE'!$AM$10+'TUSD BF'!$AM$10+'TUSD CVA'!$AM$10)*1</f>
        <v>16.680041929169654</v>
      </c>
      <c r="Z160" s="6"/>
      <c r="AA160" s="6"/>
      <c r="AB160" s="6">
        <f>$K$160*$V$160</f>
        <v>69204.240000000005</v>
      </c>
      <c r="AC160" s="6">
        <f>$M$160*$W$160</f>
        <v>0</v>
      </c>
      <c r="AD160" s="6">
        <f>$O$160*$X$160</f>
        <v>0</v>
      </c>
      <c r="AE160" s="6">
        <f ca="1">$K$160*$Y$160</f>
        <v>59747.9101902857</v>
      </c>
      <c r="AF160" s="6">
        <f>$M$160*$Z$160</f>
        <v>0</v>
      </c>
      <c r="AG160" s="6">
        <f>$O$160*$AA$160</f>
        <v>0</v>
      </c>
    </row>
    <row r="161" spans="1:33" ht="11.25" customHeight="1" x14ac:dyDescent="0.25">
      <c r="A161" s="4" t="s">
        <v>21</v>
      </c>
      <c r="B161" s="4" t="s">
        <v>33</v>
      </c>
      <c r="C161" s="4" t="s">
        <v>34</v>
      </c>
      <c r="D161" s="4" t="s">
        <v>40</v>
      </c>
      <c r="E161" s="4" t="s">
        <v>25</v>
      </c>
      <c r="F161" s="4" t="s">
        <v>25</v>
      </c>
      <c r="G161" s="4" t="s">
        <v>25</v>
      </c>
      <c r="H161" s="4" t="s">
        <v>35</v>
      </c>
      <c r="I161" s="5">
        <v>44317</v>
      </c>
      <c r="J161" s="6">
        <v>0</v>
      </c>
      <c r="K161" s="6">
        <v>0</v>
      </c>
      <c r="L161" s="6">
        <v>95.543000000000006</v>
      </c>
      <c r="M161" s="6">
        <v>95.543000000000006</v>
      </c>
      <c r="N161" s="6">
        <v>95.543000000000006</v>
      </c>
      <c r="O161" s="6">
        <v>95.543000000000006</v>
      </c>
      <c r="P161" s="6">
        <v>0</v>
      </c>
      <c r="Q161" s="4" t="s">
        <v>26</v>
      </c>
      <c r="R161" s="4">
        <v>0</v>
      </c>
      <c r="S161" s="6">
        <v>0</v>
      </c>
      <c r="T161" s="6">
        <v>7</v>
      </c>
      <c r="U161" s="6">
        <v>48</v>
      </c>
      <c r="V161" s="6">
        <f>IF(ISERROR(VLOOKUP($S$161,'TAR FIN'!$A$1:$O$85,15,0)),0,VLOOKUP($S$161,'TAR FIN'!$A$1:$O$85,15,0))</f>
        <v>0</v>
      </c>
      <c r="W161" s="6">
        <f>IF(ISERROR(VLOOKUP($T$161,'TAR FIN'!$A$1:$O$85,15,0)),0,VLOOKUP($T$161,'TAR FIN'!$A$1:$O$85,15,0))</f>
        <v>948.15</v>
      </c>
      <c r="X161" s="6">
        <f>IF(ISERROR(VLOOKUP($U$161,'TAR FIN'!$A$1:$O$85,15,0)),0,VLOOKUP($U$161,'TAR FIN'!$A$1:$O$85,15,0))</f>
        <v>263.29000000000002</v>
      </c>
      <c r="Y161" s="6"/>
      <c r="Z161" s="6">
        <f ca="1">('TUSD BE'!$AM$11+'TUSD BF'!$AM$11+'TUSD CVA'!$AM$11)*1</f>
        <v>976.42305228824534</v>
      </c>
      <c r="AA161" s="6">
        <f>('TE BE'!$AA$5+'TE BF'!$AA$5+'TE CVA'!$AA$5)*1</f>
        <v>210.64397598313801</v>
      </c>
      <c r="AB161" s="6">
        <f>$K$161*$V$161</f>
        <v>0</v>
      </c>
      <c r="AC161" s="6">
        <f>$M$161*$W$161</f>
        <v>90589.095450000008</v>
      </c>
      <c r="AD161" s="6">
        <f>$O$161*$X$161</f>
        <v>25155.516470000002</v>
      </c>
      <c r="AE161" s="6">
        <f>$K$161*$Y$161</f>
        <v>0</v>
      </c>
      <c r="AF161" s="6">
        <f ca="1">$M$161*$Z$161</f>
        <v>93290.387684775837</v>
      </c>
      <c r="AG161" s="6">
        <f>$O$161*$AA$161</f>
        <v>20125.557397356955</v>
      </c>
    </row>
    <row r="162" spans="1:33" ht="11.25" customHeight="1" x14ac:dyDescent="0.25">
      <c r="A162" s="4" t="s">
        <v>28</v>
      </c>
      <c r="B162" s="4" t="s">
        <v>33</v>
      </c>
      <c r="C162" s="4" t="s">
        <v>34</v>
      </c>
      <c r="D162" s="4" t="s">
        <v>40</v>
      </c>
      <c r="E162" s="4" t="s">
        <v>25</v>
      </c>
      <c r="F162" s="4" t="s">
        <v>25</v>
      </c>
      <c r="G162" s="4" t="s">
        <v>25</v>
      </c>
      <c r="H162" s="4" t="s">
        <v>35</v>
      </c>
      <c r="I162" s="5">
        <v>44317</v>
      </c>
      <c r="J162" s="6">
        <v>0</v>
      </c>
      <c r="K162" s="6">
        <v>0</v>
      </c>
      <c r="L162" s="6">
        <v>0.184</v>
      </c>
      <c r="M162" s="6">
        <v>0.184</v>
      </c>
      <c r="N162" s="6">
        <v>0.184</v>
      </c>
      <c r="O162" s="6">
        <v>0.184</v>
      </c>
      <c r="P162" s="6">
        <v>0</v>
      </c>
      <c r="Q162" s="4" t="s">
        <v>26</v>
      </c>
      <c r="R162" s="4">
        <v>0</v>
      </c>
      <c r="S162" s="6">
        <v>0</v>
      </c>
      <c r="T162" s="6">
        <v>7</v>
      </c>
      <c r="U162" s="6">
        <v>48</v>
      </c>
      <c r="V162" s="6">
        <f>IF(ISERROR(VLOOKUP($S$162,'TAR FIN'!$A$1:$O$85,15,0)),0,VLOOKUP($S$162,'TAR FIN'!$A$1:$O$85,15,0))</f>
        <v>0</v>
      </c>
      <c r="W162" s="6">
        <f>IF(ISERROR(VLOOKUP($T$162,'TAR FIN'!$A$1:$O$85,15,0)),0,VLOOKUP($T$162,'TAR FIN'!$A$1:$O$85,15,0))</f>
        <v>948.15</v>
      </c>
      <c r="X162" s="6">
        <f>IF(ISERROR(VLOOKUP($U$162,'TAR FIN'!$A$1:$O$85,15,0)),0,VLOOKUP($U$162,'TAR FIN'!$A$1:$O$85,15,0))</f>
        <v>263.29000000000002</v>
      </c>
      <c r="Y162" s="6"/>
      <c r="Z162" s="6">
        <f ca="1">('TUSD BE'!$AM$11+'TUSD BF'!$AM$11+'TUSD CVA'!$AM$11)*1</f>
        <v>976.42305228824534</v>
      </c>
      <c r="AA162" s="6">
        <f>('TE BE'!$AA$5+'TE BF'!$AA$5+'TE CVA'!$AA$5)*1</f>
        <v>210.64397598313801</v>
      </c>
      <c r="AB162" s="6">
        <f>$K$162*$V$162</f>
        <v>0</v>
      </c>
      <c r="AC162" s="6">
        <f>$M$162*$W$162</f>
        <v>174.45959999999999</v>
      </c>
      <c r="AD162" s="6">
        <f>$O$162*$X$162</f>
        <v>48.445360000000001</v>
      </c>
      <c r="AE162" s="6">
        <f>$K$162*$Y$162</f>
        <v>0</v>
      </c>
      <c r="AF162" s="6">
        <f ca="1">$M$162*$Z$162</f>
        <v>179.66184162103713</v>
      </c>
      <c r="AG162" s="6">
        <f>$O$162*$AA$162</f>
        <v>38.758491580897392</v>
      </c>
    </row>
    <row r="163" spans="1:33" ht="11.25" customHeight="1" x14ac:dyDescent="0.25">
      <c r="A163" s="4" t="s">
        <v>21</v>
      </c>
      <c r="B163" s="4" t="s">
        <v>33</v>
      </c>
      <c r="C163" s="4" t="s">
        <v>34</v>
      </c>
      <c r="D163" s="4" t="s">
        <v>40</v>
      </c>
      <c r="E163" s="4" t="s">
        <v>25</v>
      </c>
      <c r="F163" s="4" t="s">
        <v>25</v>
      </c>
      <c r="G163" s="4" t="s">
        <v>25</v>
      </c>
      <c r="H163" s="4" t="s">
        <v>35</v>
      </c>
      <c r="I163" s="5">
        <v>44348</v>
      </c>
      <c r="J163" s="6">
        <v>0</v>
      </c>
      <c r="K163" s="6">
        <v>0</v>
      </c>
      <c r="L163" s="6">
        <v>47.712000000000003</v>
      </c>
      <c r="M163" s="6">
        <v>47.712000000000003</v>
      </c>
      <c r="N163" s="6">
        <v>47.712000000000003</v>
      </c>
      <c r="O163" s="6">
        <v>47.712000000000003</v>
      </c>
      <c r="P163" s="6">
        <v>0</v>
      </c>
      <c r="Q163" s="4" t="s">
        <v>26</v>
      </c>
      <c r="R163" s="4">
        <v>0</v>
      </c>
      <c r="S163" s="6">
        <v>0</v>
      </c>
      <c r="T163" s="6">
        <v>7</v>
      </c>
      <c r="U163" s="6">
        <v>48</v>
      </c>
      <c r="V163" s="6">
        <f>IF(ISERROR(VLOOKUP($S$163,'TAR FIN'!$A$1:$O$85,15,0)),0,VLOOKUP($S$163,'TAR FIN'!$A$1:$O$85,15,0))</f>
        <v>0</v>
      </c>
      <c r="W163" s="6">
        <f>IF(ISERROR(VLOOKUP($T$163,'TAR FIN'!$A$1:$O$85,15,0)),0,VLOOKUP($T$163,'TAR FIN'!$A$1:$O$85,15,0))</f>
        <v>948.15</v>
      </c>
      <c r="X163" s="6">
        <f>IF(ISERROR(VLOOKUP($U$163,'TAR FIN'!$A$1:$O$85,15,0)),0,VLOOKUP($U$163,'TAR FIN'!$A$1:$O$85,15,0))</f>
        <v>263.29000000000002</v>
      </c>
      <c r="Y163" s="6"/>
      <c r="Z163" s="6">
        <f ca="1">('TUSD BE'!$AM$11+'TUSD BF'!$AM$11+'TUSD CVA'!$AM$11)*1</f>
        <v>976.42305228824534</v>
      </c>
      <c r="AA163" s="6">
        <f>('TE BE'!$AA$5+'TE BF'!$AA$5+'TE CVA'!$AA$5)*1</f>
        <v>210.64397598313801</v>
      </c>
      <c r="AB163" s="6">
        <f>$K$163*$V$163</f>
        <v>0</v>
      </c>
      <c r="AC163" s="6">
        <f>$M$163*$W$163</f>
        <v>45238.132799999999</v>
      </c>
      <c r="AD163" s="6">
        <f>$O$163*$X$163</f>
        <v>12562.092480000001</v>
      </c>
      <c r="AE163" s="6">
        <f>$K$163*$Y$163</f>
        <v>0</v>
      </c>
      <c r="AF163" s="6">
        <f ca="1">$M$163*$Z$163</f>
        <v>46587.096670776766</v>
      </c>
      <c r="AG163" s="6">
        <f>$O$163*$AA$163</f>
        <v>10050.245382107481</v>
      </c>
    </row>
    <row r="164" spans="1:33" ht="11.25" customHeight="1" x14ac:dyDescent="0.25">
      <c r="A164" s="4" t="s">
        <v>28</v>
      </c>
      <c r="B164" s="4" t="s">
        <v>33</v>
      </c>
      <c r="C164" s="4" t="s">
        <v>34</v>
      </c>
      <c r="D164" s="4" t="s">
        <v>40</v>
      </c>
      <c r="E164" s="4" t="s">
        <v>25</v>
      </c>
      <c r="F164" s="4" t="s">
        <v>25</v>
      </c>
      <c r="G164" s="4" t="s">
        <v>25</v>
      </c>
      <c r="H164" s="4" t="s">
        <v>35</v>
      </c>
      <c r="I164" s="5">
        <v>44348</v>
      </c>
      <c r="J164" s="6">
        <v>0</v>
      </c>
      <c r="K164" s="6">
        <v>0</v>
      </c>
      <c r="L164" s="6">
        <v>0.189</v>
      </c>
      <c r="M164" s="6">
        <v>0.189</v>
      </c>
      <c r="N164" s="6">
        <v>0.189</v>
      </c>
      <c r="O164" s="6">
        <v>0.189</v>
      </c>
      <c r="P164" s="6">
        <v>0</v>
      </c>
      <c r="Q164" s="4" t="s">
        <v>26</v>
      </c>
      <c r="R164" s="4">
        <v>0</v>
      </c>
      <c r="S164" s="6">
        <v>0</v>
      </c>
      <c r="T164" s="6">
        <v>7</v>
      </c>
      <c r="U164" s="6">
        <v>48</v>
      </c>
      <c r="V164" s="6">
        <f>IF(ISERROR(VLOOKUP($S$164,'TAR FIN'!$A$1:$O$85,15,0)),0,VLOOKUP($S$164,'TAR FIN'!$A$1:$O$85,15,0))</f>
        <v>0</v>
      </c>
      <c r="W164" s="6">
        <f>IF(ISERROR(VLOOKUP($T$164,'TAR FIN'!$A$1:$O$85,15,0)),0,VLOOKUP($T$164,'TAR FIN'!$A$1:$O$85,15,0))</f>
        <v>948.15</v>
      </c>
      <c r="X164" s="6">
        <f>IF(ISERROR(VLOOKUP($U$164,'TAR FIN'!$A$1:$O$85,15,0)),0,VLOOKUP($U$164,'TAR FIN'!$A$1:$O$85,15,0))</f>
        <v>263.29000000000002</v>
      </c>
      <c r="Y164" s="6"/>
      <c r="Z164" s="6">
        <f ca="1">('TUSD BE'!$AM$11+'TUSD BF'!$AM$11+'TUSD CVA'!$AM$11)*1</f>
        <v>976.42305228824534</v>
      </c>
      <c r="AA164" s="6">
        <f>('TE BE'!$AA$5+'TE BF'!$AA$5+'TE CVA'!$AA$5)*1</f>
        <v>210.64397598313801</v>
      </c>
      <c r="AB164" s="6">
        <f>$K$164*$V$164</f>
        <v>0</v>
      </c>
      <c r="AC164" s="6">
        <f>$M$164*$W$164</f>
        <v>179.20034999999999</v>
      </c>
      <c r="AD164" s="6">
        <f>$O$164*$X$164</f>
        <v>49.761810000000004</v>
      </c>
      <c r="AE164" s="6">
        <f>$K$164*$Y$164</f>
        <v>0</v>
      </c>
      <c r="AF164" s="6">
        <f ca="1">$M$164*$Z$164</f>
        <v>184.54395688247837</v>
      </c>
      <c r="AG164" s="6">
        <f>$O$164*$AA$164</f>
        <v>39.811711460813086</v>
      </c>
    </row>
    <row r="165" spans="1:33" ht="11.25" customHeight="1" x14ac:dyDescent="0.25">
      <c r="A165" s="4" t="s">
        <v>21</v>
      </c>
      <c r="B165" s="4" t="s">
        <v>33</v>
      </c>
      <c r="C165" s="4" t="s">
        <v>34</v>
      </c>
      <c r="D165" s="4" t="s">
        <v>40</v>
      </c>
      <c r="E165" s="4" t="s">
        <v>25</v>
      </c>
      <c r="F165" s="4" t="s">
        <v>25</v>
      </c>
      <c r="G165" s="4" t="s">
        <v>25</v>
      </c>
      <c r="H165" s="4" t="s">
        <v>35</v>
      </c>
      <c r="I165" s="5">
        <v>44378</v>
      </c>
      <c r="J165" s="6">
        <v>0</v>
      </c>
      <c r="K165" s="6">
        <v>0</v>
      </c>
      <c r="L165" s="6">
        <v>33.139000000000003</v>
      </c>
      <c r="M165" s="6">
        <v>33.139000000000003</v>
      </c>
      <c r="N165" s="6">
        <v>33.139000000000003</v>
      </c>
      <c r="O165" s="6">
        <v>33.139000000000003</v>
      </c>
      <c r="P165" s="6">
        <v>0</v>
      </c>
      <c r="Q165" s="4" t="s">
        <v>26</v>
      </c>
      <c r="R165" s="4">
        <v>0</v>
      </c>
      <c r="S165" s="6">
        <v>0</v>
      </c>
      <c r="T165" s="6">
        <v>7</v>
      </c>
      <c r="U165" s="6">
        <v>48</v>
      </c>
      <c r="V165" s="6">
        <f>IF(ISERROR(VLOOKUP($S$165,'TAR FIN'!$A$1:$O$85,15,0)),0,VLOOKUP($S$165,'TAR FIN'!$A$1:$O$85,15,0))</f>
        <v>0</v>
      </c>
      <c r="W165" s="6">
        <f>IF(ISERROR(VLOOKUP($T$165,'TAR FIN'!$A$1:$O$85,15,0)),0,VLOOKUP($T$165,'TAR FIN'!$A$1:$O$85,15,0))</f>
        <v>948.15</v>
      </c>
      <c r="X165" s="6">
        <f>IF(ISERROR(VLOOKUP($U$165,'TAR FIN'!$A$1:$O$85,15,0)),0,VLOOKUP($U$165,'TAR FIN'!$A$1:$O$85,15,0))</f>
        <v>263.29000000000002</v>
      </c>
      <c r="Y165" s="6"/>
      <c r="Z165" s="6">
        <f ca="1">('TUSD BE'!$AM$11+'TUSD BF'!$AM$11+'TUSD CVA'!$AM$11)*1</f>
        <v>976.42305228824534</v>
      </c>
      <c r="AA165" s="6">
        <f>('TE BE'!$AA$5+'TE BF'!$AA$5+'TE CVA'!$AA$5)*1</f>
        <v>210.64397598313801</v>
      </c>
      <c r="AB165" s="6">
        <f>$K$165*$V$165</f>
        <v>0</v>
      </c>
      <c r="AC165" s="6">
        <f>$M$165*$W$165</f>
        <v>31420.742850000002</v>
      </c>
      <c r="AD165" s="6">
        <f>$O$165*$X$165</f>
        <v>8725.1673100000007</v>
      </c>
      <c r="AE165" s="6">
        <f>$K$165*$Y$165</f>
        <v>0</v>
      </c>
      <c r="AF165" s="6">
        <f ca="1">$M$165*$Z$165</f>
        <v>32357.683529780166</v>
      </c>
      <c r="AG165" s="6">
        <f>$O$165*$AA$165</f>
        <v>6980.530720105211</v>
      </c>
    </row>
    <row r="166" spans="1:33" ht="11.25" customHeight="1" x14ac:dyDescent="0.25">
      <c r="A166" s="4" t="s">
        <v>28</v>
      </c>
      <c r="B166" s="4" t="s">
        <v>33</v>
      </c>
      <c r="C166" s="4" t="s">
        <v>34</v>
      </c>
      <c r="D166" s="4" t="s">
        <v>40</v>
      </c>
      <c r="E166" s="4" t="s">
        <v>25</v>
      </c>
      <c r="F166" s="4" t="s">
        <v>25</v>
      </c>
      <c r="G166" s="4" t="s">
        <v>25</v>
      </c>
      <c r="H166" s="4" t="s">
        <v>35</v>
      </c>
      <c r="I166" s="5">
        <v>44378</v>
      </c>
      <c r="J166" s="6">
        <v>0</v>
      </c>
      <c r="K166" s="6">
        <v>0</v>
      </c>
      <c r="L166" s="6">
        <v>0.122</v>
      </c>
      <c r="M166" s="6">
        <v>0.122</v>
      </c>
      <c r="N166" s="6">
        <v>0.122</v>
      </c>
      <c r="O166" s="6">
        <v>0.122</v>
      </c>
      <c r="P166" s="6">
        <v>0</v>
      </c>
      <c r="Q166" s="4" t="s">
        <v>26</v>
      </c>
      <c r="R166" s="4">
        <v>0</v>
      </c>
      <c r="S166" s="6">
        <v>0</v>
      </c>
      <c r="T166" s="6">
        <v>7</v>
      </c>
      <c r="U166" s="6">
        <v>48</v>
      </c>
      <c r="V166" s="6">
        <f>IF(ISERROR(VLOOKUP($S$166,'TAR FIN'!$A$1:$O$85,15,0)),0,VLOOKUP($S$166,'TAR FIN'!$A$1:$O$85,15,0))</f>
        <v>0</v>
      </c>
      <c r="W166" s="6">
        <f>IF(ISERROR(VLOOKUP($T$166,'TAR FIN'!$A$1:$O$85,15,0)),0,VLOOKUP($T$166,'TAR FIN'!$A$1:$O$85,15,0))</f>
        <v>948.15</v>
      </c>
      <c r="X166" s="6">
        <f>IF(ISERROR(VLOOKUP($U$166,'TAR FIN'!$A$1:$O$85,15,0)),0,VLOOKUP($U$166,'TAR FIN'!$A$1:$O$85,15,0))</f>
        <v>263.29000000000002</v>
      </c>
      <c r="Y166" s="6"/>
      <c r="Z166" s="6">
        <f ca="1">('TUSD BE'!$AM$11+'TUSD BF'!$AM$11+'TUSD CVA'!$AM$11)*1</f>
        <v>976.42305228824534</v>
      </c>
      <c r="AA166" s="6">
        <f>('TE BE'!$AA$5+'TE BF'!$AA$5+'TE CVA'!$AA$5)*1</f>
        <v>210.64397598313801</v>
      </c>
      <c r="AB166" s="6">
        <f>$K$166*$V$166</f>
        <v>0</v>
      </c>
      <c r="AC166" s="6">
        <f>$M$166*$W$166</f>
        <v>115.67429999999999</v>
      </c>
      <c r="AD166" s="6">
        <f>$O$166*$X$166</f>
        <v>32.121380000000002</v>
      </c>
      <c r="AE166" s="6">
        <f>$K$166*$Y$166</f>
        <v>0</v>
      </c>
      <c r="AF166" s="6">
        <f ca="1">$M$166*$Z$166</f>
        <v>119.12361237916593</v>
      </c>
      <c r="AG166" s="6">
        <f>$O$166*$AA$166</f>
        <v>25.698565069942838</v>
      </c>
    </row>
    <row r="167" spans="1:33" ht="11.25" customHeight="1" x14ac:dyDescent="0.25">
      <c r="A167" s="4" t="s">
        <v>21</v>
      </c>
      <c r="B167" s="4" t="s">
        <v>33</v>
      </c>
      <c r="C167" s="4" t="s">
        <v>34</v>
      </c>
      <c r="D167" s="4" t="s">
        <v>40</v>
      </c>
      <c r="E167" s="4" t="s">
        <v>25</v>
      </c>
      <c r="F167" s="4" t="s">
        <v>25</v>
      </c>
      <c r="G167" s="4" t="s">
        <v>25</v>
      </c>
      <c r="H167" s="4" t="s">
        <v>35</v>
      </c>
      <c r="I167" s="5">
        <v>44409</v>
      </c>
      <c r="J167" s="6">
        <v>0</v>
      </c>
      <c r="K167" s="6">
        <v>0</v>
      </c>
      <c r="L167" s="6">
        <v>37.155999999999999</v>
      </c>
      <c r="M167" s="6">
        <v>37.155999999999999</v>
      </c>
      <c r="N167" s="6">
        <v>37.155999999999999</v>
      </c>
      <c r="O167" s="6">
        <v>37.155999999999999</v>
      </c>
      <c r="P167" s="6">
        <v>0</v>
      </c>
      <c r="Q167" s="4" t="s">
        <v>26</v>
      </c>
      <c r="R167" s="4">
        <v>0</v>
      </c>
      <c r="S167" s="6">
        <v>0</v>
      </c>
      <c r="T167" s="6">
        <v>7</v>
      </c>
      <c r="U167" s="6">
        <v>48</v>
      </c>
      <c r="V167" s="6">
        <f>IF(ISERROR(VLOOKUP($S$167,'TAR FIN'!$A$1:$O$85,15,0)),0,VLOOKUP($S$167,'TAR FIN'!$A$1:$O$85,15,0))</f>
        <v>0</v>
      </c>
      <c r="W167" s="6">
        <f>IF(ISERROR(VLOOKUP($T$167,'TAR FIN'!$A$1:$O$85,15,0)),0,VLOOKUP($T$167,'TAR FIN'!$A$1:$O$85,15,0))</f>
        <v>948.15</v>
      </c>
      <c r="X167" s="6">
        <f>IF(ISERROR(VLOOKUP($U$167,'TAR FIN'!$A$1:$O$85,15,0)),0,VLOOKUP($U$167,'TAR FIN'!$A$1:$O$85,15,0))</f>
        <v>263.29000000000002</v>
      </c>
      <c r="Y167" s="6"/>
      <c r="Z167" s="6">
        <f ca="1">('TUSD BE'!$AM$11+'TUSD BF'!$AM$11+'TUSD CVA'!$AM$11)*1</f>
        <v>976.42305228824534</v>
      </c>
      <c r="AA167" s="6">
        <f>('TE BE'!$AA$5+'TE BF'!$AA$5+'TE CVA'!$AA$5)*1</f>
        <v>210.64397598313801</v>
      </c>
      <c r="AB167" s="6">
        <f>$K$167*$V$167</f>
        <v>0</v>
      </c>
      <c r="AC167" s="6">
        <f>$M$167*$W$167</f>
        <v>35229.4614</v>
      </c>
      <c r="AD167" s="6">
        <f>$O$167*$X$167</f>
        <v>9782.8032400000011</v>
      </c>
      <c r="AE167" s="6">
        <f>$K$167*$Y$167</f>
        <v>0</v>
      </c>
      <c r="AF167" s="6">
        <f ca="1">$M$167*$Z$167</f>
        <v>36279.974930822042</v>
      </c>
      <c r="AG167" s="6">
        <f>$O$167*$AA$167</f>
        <v>7826.6875716294753</v>
      </c>
    </row>
    <row r="168" spans="1:33" ht="11.25" customHeight="1" x14ac:dyDescent="0.25">
      <c r="A168" s="4" t="s">
        <v>28</v>
      </c>
      <c r="B168" s="4" t="s">
        <v>33</v>
      </c>
      <c r="C168" s="4" t="s">
        <v>34</v>
      </c>
      <c r="D168" s="4" t="s">
        <v>40</v>
      </c>
      <c r="E168" s="4" t="s">
        <v>25</v>
      </c>
      <c r="F168" s="4" t="s">
        <v>25</v>
      </c>
      <c r="G168" s="4" t="s">
        <v>25</v>
      </c>
      <c r="H168" s="4" t="s">
        <v>35</v>
      </c>
      <c r="I168" s="5">
        <v>44409</v>
      </c>
      <c r="J168" s="6">
        <v>0</v>
      </c>
      <c r="K168" s="6">
        <v>0</v>
      </c>
      <c r="L168" s="6">
        <v>9.7000000000000003E-2</v>
      </c>
      <c r="M168" s="6">
        <v>9.7000000000000003E-2</v>
      </c>
      <c r="N168" s="6">
        <v>9.7000000000000003E-2</v>
      </c>
      <c r="O168" s="6">
        <v>9.7000000000000003E-2</v>
      </c>
      <c r="P168" s="6">
        <v>0</v>
      </c>
      <c r="Q168" s="4" t="s">
        <v>26</v>
      </c>
      <c r="R168" s="4">
        <v>0</v>
      </c>
      <c r="S168" s="6">
        <v>0</v>
      </c>
      <c r="T168" s="6">
        <v>7</v>
      </c>
      <c r="U168" s="6">
        <v>48</v>
      </c>
      <c r="V168" s="6">
        <f>IF(ISERROR(VLOOKUP($S$168,'TAR FIN'!$A$1:$O$85,15,0)),0,VLOOKUP($S$168,'TAR FIN'!$A$1:$O$85,15,0))</f>
        <v>0</v>
      </c>
      <c r="W168" s="6">
        <f>IF(ISERROR(VLOOKUP($T$168,'TAR FIN'!$A$1:$O$85,15,0)),0,VLOOKUP($T$168,'TAR FIN'!$A$1:$O$85,15,0))</f>
        <v>948.15</v>
      </c>
      <c r="X168" s="6">
        <f>IF(ISERROR(VLOOKUP($U$168,'TAR FIN'!$A$1:$O$85,15,0)),0,VLOOKUP($U$168,'TAR FIN'!$A$1:$O$85,15,0))</f>
        <v>263.29000000000002</v>
      </c>
      <c r="Y168" s="6"/>
      <c r="Z168" s="6">
        <f ca="1">('TUSD BE'!$AM$11+'TUSD BF'!$AM$11+'TUSD CVA'!$AM$11)*1</f>
        <v>976.42305228824534</v>
      </c>
      <c r="AA168" s="6">
        <f>('TE BE'!$AA$5+'TE BF'!$AA$5+'TE CVA'!$AA$5)*1</f>
        <v>210.64397598313801</v>
      </c>
      <c r="AB168" s="6">
        <f>$K$168*$V$168</f>
        <v>0</v>
      </c>
      <c r="AC168" s="6">
        <f>$M$168*$W$168</f>
        <v>91.970550000000003</v>
      </c>
      <c r="AD168" s="6">
        <f>$O$168*$X$168</f>
        <v>25.539130000000004</v>
      </c>
      <c r="AE168" s="6">
        <f>$K$168*$Y$168</f>
        <v>0</v>
      </c>
      <c r="AF168" s="6">
        <f ca="1">$M$168*$Z$168</f>
        <v>94.713036071959806</v>
      </c>
      <c r="AG168" s="6">
        <f>$O$168*$AA$168</f>
        <v>20.432465670364387</v>
      </c>
    </row>
    <row r="169" spans="1:33" ht="11.25" customHeight="1" x14ac:dyDescent="0.25">
      <c r="A169" s="4" t="s">
        <v>21</v>
      </c>
      <c r="B169" s="4" t="s">
        <v>33</v>
      </c>
      <c r="C169" s="4" t="s">
        <v>34</v>
      </c>
      <c r="D169" s="4" t="s">
        <v>40</v>
      </c>
      <c r="E169" s="4" t="s">
        <v>25</v>
      </c>
      <c r="F169" s="4" t="s">
        <v>25</v>
      </c>
      <c r="G169" s="4" t="s">
        <v>25</v>
      </c>
      <c r="H169" s="4" t="s">
        <v>35</v>
      </c>
      <c r="I169" s="5">
        <v>44440</v>
      </c>
      <c r="J169" s="6">
        <v>0</v>
      </c>
      <c r="K169" s="6">
        <v>0</v>
      </c>
      <c r="L169" s="6">
        <v>37.816000000000003</v>
      </c>
      <c r="M169" s="6">
        <v>37.816000000000003</v>
      </c>
      <c r="N169" s="6">
        <v>37.816000000000003</v>
      </c>
      <c r="O169" s="6">
        <v>37.816000000000003</v>
      </c>
      <c r="P169" s="6">
        <v>0</v>
      </c>
      <c r="Q169" s="4" t="s">
        <v>26</v>
      </c>
      <c r="R169" s="4">
        <v>0</v>
      </c>
      <c r="S169" s="6">
        <v>0</v>
      </c>
      <c r="T169" s="6">
        <v>7</v>
      </c>
      <c r="U169" s="6">
        <v>48</v>
      </c>
      <c r="V169" s="6">
        <f>IF(ISERROR(VLOOKUP($S$169,'TAR FIN'!$A$1:$O$85,15,0)),0,VLOOKUP($S$169,'TAR FIN'!$A$1:$O$85,15,0))</f>
        <v>0</v>
      </c>
      <c r="W169" s="6">
        <f>IF(ISERROR(VLOOKUP($T$169,'TAR FIN'!$A$1:$O$85,15,0)),0,VLOOKUP($T$169,'TAR FIN'!$A$1:$O$85,15,0))</f>
        <v>948.15</v>
      </c>
      <c r="X169" s="6">
        <f>IF(ISERROR(VLOOKUP($U$169,'TAR FIN'!$A$1:$O$85,15,0)),0,VLOOKUP($U$169,'TAR FIN'!$A$1:$O$85,15,0))</f>
        <v>263.29000000000002</v>
      </c>
      <c r="Y169" s="6"/>
      <c r="Z169" s="6">
        <f ca="1">('TUSD BE'!$AM$11+'TUSD BF'!$AM$11+'TUSD CVA'!$AM$11)*1</f>
        <v>976.42305228824534</v>
      </c>
      <c r="AA169" s="6">
        <f>('TE BE'!$AA$5+'TE BF'!$AA$5+'TE CVA'!$AA$5)*1</f>
        <v>210.64397598313801</v>
      </c>
      <c r="AB169" s="6">
        <f>$K$169*$V$169</f>
        <v>0</v>
      </c>
      <c r="AC169" s="6">
        <f>$M$169*$W$169</f>
        <v>35855.240400000002</v>
      </c>
      <c r="AD169" s="6">
        <f>$O$169*$X$169</f>
        <v>9956.5746400000007</v>
      </c>
      <c r="AE169" s="6">
        <f>$K$169*$Y$169</f>
        <v>0</v>
      </c>
      <c r="AF169" s="6">
        <f ca="1">$M$169*$Z$169</f>
        <v>36924.414145332288</v>
      </c>
      <c r="AG169" s="6">
        <f>$O$169*$AA$169</f>
        <v>7965.7125957783473</v>
      </c>
    </row>
    <row r="170" spans="1:33" ht="11.25" customHeight="1" x14ac:dyDescent="0.25">
      <c r="A170" s="4" t="s">
        <v>28</v>
      </c>
      <c r="B170" s="4" t="s">
        <v>33</v>
      </c>
      <c r="C170" s="4" t="s">
        <v>34</v>
      </c>
      <c r="D170" s="4" t="s">
        <v>40</v>
      </c>
      <c r="E170" s="4" t="s">
        <v>25</v>
      </c>
      <c r="F170" s="4" t="s">
        <v>25</v>
      </c>
      <c r="G170" s="4" t="s">
        <v>25</v>
      </c>
      <c r="H170" s="4" t="s">
        <v>35</v>
      </c>
      <c r="I170" s="5">
        <v>44440</v>
      </c>
      <c r="J170" s="6">
        <v>0</v>
      </c>
      <c r="K170" s="6">
        <v>0</v>
      </c>
      <c r="L170" s="6">
        <v>0.187</v>
      </c>
      <c r="M170" s="6">
        <v>0.187</v>
      </c>
      <c r="N170" s="6">
        <v>0.187</v>
      </c>
      <c r="O170" s="6">
        <v>0.187</v>
      </c>
      <c r="P170" s="6">
        <v>0</v>
      </c>
      <c r="Q170" s="4" t="s">
        <v>26</v>
      </c>
      <c r="R170" s="4">
        <v>0</v>
      </c>
      <c r="S170" s="6">
        <v>0</v>
      </c>
      <c r="T170" s="6">
        <v>7</v>
      </c>
      <c r="U170" s="6">
        <v>48</v>
      </c>
      <c r="V170" s="6">
        <f>IF(ISERROR(VLOOKUP($S$170,'TAR FIN'!$A$1:$O$85,15,0)),0,VLOOKUP($S$170,'TAR FIN'!$A$1:$O$85,15,0))</f>
        <v>0</v>
      </c>
      <c r="W170" s="6">
        <f>IF(ISERROR(VLOOKUP($T$170,'TAR FIN'!$A$1:$O$85,15,0)),0,VLOOKUP($T$170,'TAR FIN'!$A$1:$O$85,15,0))</f>
        <v>948.15</v>
      </c>
      <c r="X170" s="6">
        <f>IF(ISERROR(VLOOKUP($U$170,'TAR FIN'!$A$1:$O$85,15,0)),0,VLOOKUP($U$170,'TAR FIN'!$A$1:$O$85,15,0))</f>
        <v>263.29000000000002</v>
      </c>
      <c r="Y170" s="6"/>
      <c r="Z170" s="6">
        <f ca="1">('TUSD BE'!$AM$11+'TUSD BF'!$AM$11+'TUSD CVA'!$AM$11)*1</f>
        <v>976.42305228824534</v>
      </c>
      <c r="AA170" s="6">
        <f>('TE BE'!$AA$5+'TE BF'!$AA$5+'TE CVA'!$AA$5)*1</f>
        <v>210.64397598313801</v>
      </c>
      <c r="AB170" s="6">
        <f>$K$170*$V$170</f>
        <v>0</v>
      </c>
      <c r="AC170" s="6">
        <f>$M$170*$W$170</f>
        <v>177.30404999999999</v>
      </c>
      <c r="AD170" s="6">
        <f>$O$170*$X$170</f>
        <v>49.235230000000001</v>
      </c>
      <c r="AE170" s="6">
        <f>$K$170*$Y$170</f>
        <v>0</v>
      </c>
      <c r="AF170" s="6">
        <f ca="1">$M$170*$Z$170</f>
        <v>182.59111077790189</v>
      </c>
      <c r="AG170" s="6">
        <f>$O$170*$AA$170</f>
        <v>39.390423508846808</v>
      </c>
    </row>
    <row r="171" spans="1:33" ht="11.25" customHeight="1" x14ac:dyDescent="0.25">
      <c r="A171" s="4" t="s">
        <v>21</v>
      </c>
      <c r="B171" s="4" t="s">
        <v>33</v>
      </c>
      <c r="C171" s="4" t="s">
        <v>34</v>
      </c>
      <c r="D171" s="4" t="s">
        <v>40</v>
      </c>
      <c r="E171" s="4" t="s">
        <v>25</v>
      </c>
      <c r="F171" s="4" t="s">
        <v>25</v>
      </c>
      <c r="G171" s="4" t="s">
        <v>25</v>
      </c>
      <c r="H171" s="4" t="s">
        <v>35</v>
      </c>
      <c r="I171" s="5">
        <v>44470</v>
      </c>
      <c r="J171" s="6">
        <v>0</v>
      </c>
      <c r="K171" s="6">
        <v>0</v>
      </c>
      <c r="L171" s="6">
        <v>36.625</v>
      </c>
      <c r="M171" s="6">
        <v>36.625</v>
      </c>
      <c r="N171" s="6">
        <v>36.625</v>
      </c>
      <c r="O171" s="6">
        <v>36.625</v>
      </c>
      <c r="P171" s="6">
        <v>0</v>
      </c>
      <c r="Q171" s="4" t="s">
        <v>26</v>
      </c>
      <c r="R171" s="4">
        <v>0</v>
      </c>
      <c r="S171" s="6">
        <v>0</v>
      </c>
      <c r="T171" s="6">
        <v>7</v>
      </c>
      <c r="U171" s="6">
        <v>48</v>
      </c>
      <c r="V171" s="6">
        <f>IF(ISERROR(VLOOKUP($S$171,'TAR FIN'!$A$1:$O$85,15,0)),0,VLOOKUP($S$171,'TAR FIN'!$A$1:$O$85,15,0))</f>
        <v>0</v>
      </c>
      <c r="W171" s="6">
        <f>IF(ISERROR(VLOOKUP($T$171,'TAR FIN'!$A$1:$O$85,15,0)),0,VLOOKUP($T$171,'TAR FIN'!$A$1:$O$85,15,0))</f>
        <v>948.15</v>
      </c>
      <c r="X171" s="6">
        <f>IF(ISERROR(VLOOKUP($U$171,'TAR FIN'!$A$1:$O$85,15,0)),0,VLOOKUP($U$171,'TAR FIN'!$A$1:$O$85,15,0))</f>
        <v>263.29000000000002</v>
      </c>
      <c r="Y171" s="6"/>
      <c r="Z171" s="6">
        <f ca="1">('TUSD BE'!$AM$11+'TUSD BF'!$AM$11+'TUSD CVA'!$AM$11)*1</f>
        <v>976.42305228824534</v>
      </c>
      <c r="AA171" s="6">
        <f>('TE BE'!$AA$5+'TE BF'!$AA$5+'TE CVA'!$AA$5)*1</f>
        <v>210.64397598313801</v>
      </c>
      <c r="AB171" s="6">
        <f>$K$171*$V$171</f>
        <v>0</v>
      </c>
      <c r="AC171" s="6">
        <f>$M$171*$W$171</f>
        <v>34725.993750000001</v>
      </c>
      <c r="AD171" s="6">
        <f>$O$171*$X$171</f>
        <v>9642.9962500000001</v>
      </c>
      <c r="AE171" s="6">
        <f>$K$171*$Y$171</f>
        <v>0</v>
      </c>
      <c r="AF171" s="6">
        <f ca="1">$M$171*$Z$171</f>
        <v>35761.494290056988</v>
      </c>
      <c r="AG171" s="6">
        <f>$O$171*$AA$171</f>
        <v>7714.8356203824296</v>
      </c>
    </row>
    <row r="172" spans="1:33" ht="11.25" customHeight="1" x14ac:dyDescent="0.25">
      <c r="A172" s="4" t="s">
        <v>28</v>
      </c>
      <c r="B172" s="4" t="s">
        <v>33</v>
      </c>
      <c r="C172" s="4" t="s">
        <v>34</v>
      </c>
      <c r="D172" s="4" t="s">
        <v>40</v>
      </c>
      <c r="E172" s="4" t="s">
        <v>25</v>
      </c>
      <c r="F172" s="4" t="s">
        <v>25</v>
      </c>
      <c r="G172" s="4" t="s">
        <v>25</v>
      </c>
      <c r="H172" s="4" t="s">
        <v>35</v>
      </c>
      <c r="I172" s="5">
        <v>44470</v>
      </c>
      <c r="J172" s="6">
        <v>0</v>
      </c>
      <c r="K172" s="6">
        <v>0</v>
      </c>
      <c r="L172" s="6">
        <v>1.3160000000000001</v>
      </c>
      <c r="M172" s="6">
        <v>1.3160000000000001</v>
      </c>
      <c r="N172" s="6">
        <v>1.3160000000000001</v>
      </c>
      <c r="O172" s="6">
        <v>1.3160000000000001</v>
      </c>
      <c r="P172" s="6">
        <v>0</v>
      </c>
      <c r="Q172" s="4" t="s">
        <v>26</v>
      </c>
      <c r="R172" s="4">
        <v>0</v>
      </c>
      <c r="S172" s="6">
        <v>0</v>
      </c>
      <c r="T172" s="6">
        <v>7</v>
      </c>
      <c r="U172" s="6">
        <v>48</v>
      </c>
      <c r="V172" s="6">
        <f>IF(ISERROR(VLOOKUP($S$172,'TAR FIN'!$A$1:$O$85,15,0)),0,VLOOKUP($S$172,'TAR FIN'!$A$1:$O$85,15,0))</f>
        <v>0</v>
      </c>
      <c r="W172" s="6">
        <f>IF(ISERROR(VLOOKUP($T$172,'TAR FIN'!$A$1:$O$85,15,0)),0,VLOOKUP($T$172,'TAR FIN'!$A$1:$O$85,15,0))</f>
        <v>948.15</v>
      </c>
      <c r="X172" s="6">
        <f>IF(ISERROR(VLOOKUP($U$172,'TAR FIN'!$A$1:$O$85,15,0)),0,VLOOKUP($U$172,'TAR FIN'!$A$1:$O$85,15,0))</f>
        <v>263.29000000000002</v>
      </c>
      <c r="Y172" s="6"/>
      <c r="Z172" s="6">
        <f ca="1">('TUSD BE'!$AM$11+'TUSD BF'!$AM$11+'TUSD CVA'!$AM$11)*1</f>
        <v>976.42305228824534</v>
      </c>
      <c r="AA172" s="6">
        <f>('TE BE'!$AA$5+'TE BF'!$AA$5+'TE CVA'!$AA$5)*1</f>
        <v>210.64397598313801</v>
      </c>
      <c r="AB172" s="6">
        <f>$K$172*$V$172</f>
        <v>0</v>
      </c>
      <c r="AC172" s="6">
        <f>$M$172*$W$172</f>
        <v>1247.7654</v>
      </c>
      <c r="AD172" s="6">
        <f>$O$172*$X$172</f>
        <v>346.48964000000007</v>
      </c>
      <c r="AE172" s="6">
        <f>$K$172*$Y$172</f>
        <v>0</v>
      </c>
      <c r="AF172" s="6">
        <f ca="1">$M$172*$Z$172</f>
        <v>1284.9727368113308</v>
      </c>
      <c r="AG172" s="6">
        <f>$O$172*$AA$172</f>
        <v>277.20747239380961</v>
      </c>
    </row>
    <row r="173" spans="1:33" ht="11.25" customHeight="1" x14ac:dyDescent="0.25">
      <c r="A173" s="4" t="s">
        <v>21</v>
      </c>
      <c r="B173" s="4" t="s">
        <v>33</v>
      </c>
      <c r="C173" s="4" t="s">
        <v>34</v>
      </c>
      <c r="D173" s="4" t="s">
        <v>40</v>
      </c>
      <c r="E173" s="4" t="s">
        <v>25</v>
      </c>
      <c r="F173" s="4" t="s">
        <v>25</v>
      </c>
      <c r="G173" s="4" t="s">
        <v>25</v>
      </c>
      <c r="H173" s="4" t="s">
        <v>35</v>
      </c>
      <c r="I173" s="5">
        <v>44501</v>
      </c>
      <c r="J173" s="6">
        <v>0</v>
      </c>
      <c r="K173" s="6">
        <v>0</v>
      </c>
      <c r="L173" s="6">
        <v>17.518000000000001</v>
      </c>
      <c r="M173" s="6">
        <v>17.518000000000001</v>
      </c>
      <c r="N173" s="6">
        <v>17.518000000000001</v>
      </c>
      <c r="O173" s="6">
        <v>17.518000000000001</v>
      </c>
      <c r="P173" s="6">
        <v>0</v>
      </c>
      <c r="Q173" s="4" t="s">
        <v>26</v>
      </c>
      <c r="R173" s="4">
        <v>0</v>
      </c>
      <c r="S173" s="6">
        <v>0</v>
      </c>
      <c r="T173" s="6">
        <v>7</v>
      </c>
      <c r="U173" s="6">
        <v>48</v>
      </c>
      <c r="V173" s="6">
        <f>IF(ISERROR(VLOOKUP($S$173,'TAR FIN'!$A$1:$O$85,15,0)),0,VLOOKUP($S$173,'TAR FIN'!$A$1:$O$85,15,0))</f>
        <v>0</v>
      </c>
      <c r="W173" s="6">
        <f>IF(ISERROR(VLOOKUP($T$173,'TAR FIN'!$A$1:$O$85,15,0)),0,VLOOKUP($T$173,'TAR FIN'!$A$1:$O$85,15,0))</f>
        <v>948.15</v>
      </c>
      <c r="X173" s="6">
        <f>IF(ISERROR(VLOOKUP($U$173,'TAR FIN'!$A$1:$O$85,15,0)),0,VLOOKUP($U$173,'TAR FIN'!$A$1:$O$85,15,0))</f>
        <v>263.29000000000002</v>
      </c>
      <c r="Y173" s="6"/>
      <c r="Z173" s="6">
        <f ca="1">('TUSD BE'!$AM$11+'TUSD BF'!$AM$11+'TUSD CVA'!$AM$11)*1</f>
        <v>976.42305228824534</v>
      </c>
      <c r="AA173" s="6">
        <f>('TE BE'!$AA$5+'TE BF'!$AA$5+'TE CVA'!$AA$5)*1</f>
        <v>210.64397598313801</v>
      </c>
      <c r="AB173" s="6">
        <f>$K$173*$V$173</f>
        <v>0</v>
      </c>
      <c r="AC173" s="6">
        <f>$M$173*$W$173</f>
        <v>16609.691699999999</v>
      </c>
      <c r="AD173" s="6">
        <f>$O$173*$X$173</f>
        <v>4612.3142200000002</v>
      </c>
      <c r="AE173" s="6">
        <f>$K$173*$Y$173</f>
        <v>0</v>
      </c>
      <c r="AF173" s="6">
        <f ca="1">$M$173*$Z$173</f>
        <v>17104.979029985483</v>
      </c>
      <c r="AG173" s="6">
        <f>$O$173*$AA$173</f>
        <v>3690.0611712726118</v>
      </c>
    </row>
    <row r="174" spans="1:33" ht="11.25" customHeight="1" x14ac:dyDescent="0.25">
      <c r="A174" s="4" t="s">
        <v>28</v>
      </c>
      <c r="B174" s="4" t="s">
        <v>33</v>
      </c>
      <c r="C174" s="4" t="s">
        <v>34</v>
      </c>
      <c r="D174" s="4" t="s">
        <v>40</v>
      </c>
      <c r="E174" s="4" t="s">
        <v>25</v>
      </c>
      <c r="F174" s="4" t="s">
        <v>25</v>
      </c>
      <c r="G174" s="4" t="s">
        <v>25</v>
      </c>
      <c r="H174" s="4" t="s">
        <v>35</v>
      </c>
      <c r="I174" s="5">
        <v>44501</v>
      </c>
      <c r="J174" s="6">
        <v>0</v>
      </c>
      <c r="K174" s="6">
        <v>0</v>
      </c>
      <c r="L174" s="6">
        <v>2.1080000000000001</v>
      </c>
      <c r="M174" s="6">
        <v>2.1080000000000001</v>
      </c>
      <c r="N174" s="6">
        <v>2.1080000000000001</v>
      </c>
      <c r="O174" s="6">
        <v>2.1080000000000001</v>
      </c>
      <c r="P174" s="6">
        <v>0</v>
      </c>
      <c r="Q174" s="4" t="s">
        <v>26</v>
      </c>
      <c r="R174" s="4">
        <v>0</v>
      </c>
      <c r="S174" s="6">
        <v>0</v>
      </c>
      <c r="T174" s="6">
        <v>7</v>
      </c>
      <c r="U174" s="6">
        <v>48</v>
      </c>
      <c r="V174" s="6">
        <f>IF(ISERROR(VLOOKUP($S$174,'TAR FIN'!$A$1:$O$85,15,0)),0,VLOOKUP($S$174,'TAR FIN'!$A$1:$O$85,15,0))</f>
        <v>0</v>
      </c>
      <c r="W174" s="6">
        <f>IF(ISERROR(VLOOKUP($T$174,'TAR FIN'!$A$1:$O$85,15,0)),0,VLOOKUP($T$174,'TAR FIN'!$A$1:$O$85,15,0))</f>
        <v>948.15</v>
      </c>
      <c r="X174" s="6">
        <f>IF(ISERROR(VLOOKUP($U$174,'TAR FIN'!$A$1:$O$85,15,0)),0,VLOOKUP($U$174,'TAR FIN'!$A$1:$O$85,15,0))</f>
        <v>263.29000000000002</v>
      </c>
      <c r="Y174" s="6"/>
      <c r="Z174" s="6">
        <f ca="1">('TUSD BE'!$AM$11+'TUSD BF'!$AM$11+'TUSD CVA'!$AM$11)*1</f>
        <v>976.42305228824534</v>
      </c>
      <c r="AA174" s="6">
        <f>('TE BE'!$AA$5+'TE BF'!$AA$5+'TE CVA'!$AA$5)*1</f>
        <v>210.64397598313801</v>
      </c>
      <c r="AB174" s="6">
        <f>$K$174*$V$174</f>
        <v>0</v>
      </c>
      <c r="AC174" s="6">
        <f>$M$174*$W$174</f>
        <v>1998.7002</v>
      </c>
      <c r="AD174" s="6">
        <f>$O$174*$X$174</f>
        <v>555.01532000000009</v>
      </c>
      <c r="AE174" s="6">
        <f>$K$174*$Y$174</f>
        <v>0</v>
      </c>
      <c r="AF174" s="6">
        <f ca="1">$M$174*$Z$174</f>
        <v>2058.2997942236211</v>
      </c>
      <c r="AG174" s="6">
        <f>$O$174*$AA$174</f>
        <v>444.03750137245493</v>
      </c>
    </row>
    <row r="175" spans="1:33" ht="11.25" customHeight="1" x14ac:dyDescent="0.25">
      <c r="A175" s="4" t="s">
        <v>21</v>
      </c>
      <c r="B175" s="4" t="s">
        <v>33</v>
      </c>
      <c r="C175" s="4" t="s">
        <v>34</v>
      </c>
      <c r="D175" s="4" t="s">
        <v>40</v>
      </c>
      <c r="E175" s="4" t="s">
        <v>25</v>
      </c>
      <c r="F175" s="4" t="s">
        <v>25</v>
      </c>
      <c r="G175" s="4" t="s">
        <v>25</v>
      </c>
      <c r="H175" s="4" t="s">
        <v>35</v>
      </c>
      <c r="I175" s="5">
        <v>44531</v>
      </c>
      <c r="J175" s="6">
        <v>0</v>
      </c>
      <c r="K175" s="6">
        <v>0</v>
      </c>
      <c r="L175" s="6">
        <v>21.923999999999999</v>
      </c>
      <c r="M175" s="6">
        <v>21.923999999999999</v>
      </c>
      <c r="N175" s="6">
        <v>21.923999999999999</v>
      </c>
      <c r="O175" s="6">
        <v>21.923999999999999</v>
      </c>
      <c r="P175" s="6">
        <v>0</v>
      </c>
      <c r="Q175" s="4" t="s">
        <v>26</v>
      </c>
      <c r="R175" s="4">
        <v>0</v>
      </c>
      <c r="S175" s="6">
        <v>0</v>
      </c>
      <c r="T175" s="6">
        <v>7</v>
      </c>
      <c r="U175" s="6">
        <v>48</v>
      </c>
      <c r="V175" s="6">
        <f>IF(ISERROR(VLOOKUP($S$175,'TAR FIN'!$A$1:$O$85,15,0)),0,VLOOKUP($S$175,'TAR FIN'!$A$1:$O$85,15,0))</f>
        <v>0</v>
      </c>
      <c r="W175" s="6">
        <f>IF(ISERROR(VLOOKUP($T$175,'TAR FIN'!$A$1:$O$85,15,0)),0,VLOOKUP($T$175,'TAR FIN'!$A$1:$O$85,15,0))</f>
        <v>948.15</v>
      </c>
      <c r="X175" s="6">
        <f>IF(ISERROR(VLOOKUP($U$175,'TAR FIN'!$A$1:$O$85,15,0)),0,VLOOKUP($U$175,'TAR FIN'!$A$1:$O$85,15,0))</f>
        <v>263.29000000000002</v>
      </c>
      <c r="Y175" s="6"/>
      <c r="Z175" s="6">
        <f ca="1">('TUSD BE'!$AM$11+'TUSD BF'!$AM$11+'TUSD CVA'!$AM$11)*1</f>
        <v>976.42305228824534</v>
      </c>
      <c r="AA175" s="6">
        <f>('TE BE'!$AA$5+'TE BF'!$AA$5+'TE CVA'!$AA$5)*1</f>
        <v>210.64397598313801</v>
      </c>
      <c r="AB175" s="6">
        <f>$K$175*$V$175</f>
        <v>0</v>
      </c>
      <c r="AC175" s="6">
        <f>$M$175*$W$175</f>
        <v>20787.240599999997</v>
      </c>
      <c r="AD175" s="6">
        <f>$O$175*$X$175</f>
        <v>5772.36996</v>
      </c>
      <c r="AE175" s="6">
        <f>$K$175*$Y$175</f>
        <v>0</v>
      </c>
      <c r="AF175" s="6">
        <f ca="1">$M$175*$Z$175</f>
        <v>21407.098998367492</v>
      </c>
      <c r="AG175" s="6">
        <f>$O$175*$AA$175</f>
        <v>4618.1585294543174</v>
      </c>
    </row>
    <row r="176" spans="1:33" ht="11.25" customHeight="1" x14ac:dyDescent="0.25">
      <c r="A176" s="4" t="s">
        <v>28</v>
      </c>
      <c r="B176" s="4" t="s">
        <v>33</v>
      </c>
      <c r="C176" s="4" t="s">
        <v>34</v>
      </c>
      <c r="D176" s="4" t="s">
        <v>40</v>
      </c>
      <c r="E176" s="4" t="s">
        <v>25</v>
      </c>
      <c r="F176" s="4" t="s">
        <v>25</v>
      </c>
      <c r="G176" s="4" t="s">
        <v>25</v>
      </c>
      <c r="H176" s="4" t="s">
        <v>35</v>
      </c>
      <c r="I176" s="5">
        <v>44531</v>
      </c>
      <c r="J176" s="6">
        <v>0</v>
      </c>
      <c r="K176" s="6">
        <v>0</v>
      </c>
      <c r="L176" s="6">
        <v>1.857</v>
      </c>
      <c r="M176" s="6">
        <v>1.857</v>
      </c>
      <c r="N176" s="6">
        <v>1.857</v>
      </c>
      <c r="O176" s="6">
        <v>1.857</v>
      </c>
      <c r="P176" s="6">
        <v>0</v>
      </c>
      <c r="Q176" s="4" t="s">
        <v>26</v>
      </c>
      <c r="R176" s="4">
        <v>0</v>
      </c>
      <c r="S176" s="6">
        <v>0</v>
      </c>
      <c r="T176" s="6">
        <v>7</v>
      </c>
      <c r="U176" s="6">
        <v>48</v>
      </c>
      <c r="V176" s="6">
        <f>IF(ISERROR(VLOOKUP($S$176,'TAR FIN'!$A$1:$O$85,15,0)),0,VLOOKUP($S$176,'TAR FIN'!$A$1:$O$85,15,0))</f>
        <v>0</v>
      </c>
      <c r="W176" s="6">
        <f>IF(ISERROR(VLOOKUP($T$176,'TAR FIN'!$A$1:$O$85,15,0)),0,VLOOKUP($T$176,'TAR FIN'!$A$1:$O$85,15,0))</f>
        <v>948.15</v>
      </c>
      <c r="X176" s="6">
        <f>IF(ISERROR(VLOOKUP($U$176,'TAR FIN'!$A$1:$O$85,15,0)),0,VLOOKUP($U$176,'TAR FIN'!$A$1:$O$85,15,0))</f>
        <v>263.29000000000002</v>
      </c>
      <c r="Y176" s="6"/>
      <c r="Z176" s="6">
        <f ca="1">('TUSD BE'!$AM$11+'TUSD BF'!$AM$11+'TUSD CVA'!$AM$11)*1</f>
        <v>976.42305228824534</v>
      </c>
      <c r="AA176" s="6">
        <f>('TE BE'!$AA$5+'TE BF'!$AA$5+'TE CVA'!$AA$5)*1</f>
        <v>210.64397598313801</v>
      </c>
      <c r="AB176" s="6">
        <f>$K$176*$V$176</f>
        <v>0</v>
      </c>
      <c r="AC176" s="6">
        <f>$M$176*$W$176</f>
        <v>1760.7145499999999</v>
      </c>
      <c r="AD176" s="6">
        <f>$O$176*$X$176</f>
        <v>488.92953000000006</v>
      </c>
      <c r="AE176" s="6">
        <f>$K$176*$Y$176</f>
        <v>0</v>
      </c>
      <c r="AF176" s="6">
        <f ca="1">$M$176*$Z$176</f>
        <v>1813.2176080992715</v>
      </c>
      <c r="AG176" s="6">
        <f>$O$176*$AA$176</f>
        <v>391.16586340068727</v>
      </c>
    </row>
    <row r="177" spans="1:33" ht="11.25" customHeight="1" x14ac:dyDescent="0.25">
      <c r="A177" s="4" t="s">
        <v>21</v>
      </c>
      <c r="B177" s="4" t="s">
        <v>33</v>
      </c>
      <c r="C177" s="4" t="s">
        <v>34</v>
      </c>
      <c r="D177" s="4" t="s">
        <v>40</v>
      </c>
      <c r="E177" s="4" t="s">
        <v>25</v>
      </c>
      <c r="F177" s="4" t="s">
        <v>25</v>
      </c>
      <c r="G177" s="4" t="s">
        <v>25</v>
      </c>
      <c r="H177" s="4" t="s">
        <v>35</v>
      </c>
      <c r="I177" s="5">
        <v>44562</v>
      </c>
      <c r="J177" s="6">
        <v>0</v>
      </c>
      <c r="K177" s="6">
        <v>0</v>
      </c>
      <c r="L177" s="6">
        <v>17.774000000000001</v>
      </c>
      <c r="M177" s="6">
        <v>17.774000000000001</v>
      </c>
      <c r="N177" s="6">
        <v>17.774000000000001</v>
      </c>
      <c r="O177" s="6">
        <v>17.774000000000001</v>
      </c>
      <c r="P177" s="6">
        <v>0</v>
      </c>
      <c r="Q177" s="4" t="s">
        <v>26</v>
      </c>
      <c r="R177" s="4">
        <v>0</v>
      </c>
      <c r="S177" s="6">
        <v>0</v>
      </c>
      <c r="T177" s="6">
        <v>7</v>
      </c>
      <c r="U177" s="6">
        <v>48</v>
      </c>
      <c r="V177" s="6">
        <f>IF(ISERROR(VLOOKUP($S$177,'TAR FIN'!$A$1:$O$85,15,0)),0,VLOOKUP($S$177,'TAR FIN'!$A$1:$O$85,15,0))</f>
        <v>0</v>
      </c>
      <c r="W177" s="6">
        <f>IF(ISERROR(VLOOKUP($T$177,'TAR FIN'!$A$1:$O$85,15,0)),0,VLOOKUP($T$177,'TAR FIN'!$A$1:$O$85,15,0))</f>
        <v>948.15</v>
      </c>
      <c r="X177" s="6">
        <f>IF(ISERROR(VLOOKUP($U$177,'TAR FIN'!$A$1:$O$85,15,0)),0,VLOOKUP($U$177,'TAR FIN'!$A$1:$O$85,15,0))</f>
        <v>263.29000000000002</v>
      </c>
      <c r="Y177" s="6"/>
      <c r="Z177" s="6">
        <f ca="1">('TUSD BE'!$AM$11+'TUSD BF'!$AM$11+'TUSD CVA'!$AM$11)*1</f>
        <v>976.42305228824534</v>
      </c>
      <c r="AA177" s="6">
        <f>('TE BE'!$AA$5+'TE BF'!$AA$5+'TE CVA'!$AA$5)*1</f>
        <v>210.64397598313801</v>
      </c>
      <c r="AB177" s="6">
        <f>$K$177*$V$177</f>
        <v>0</v>
      </c>
      <c r="AC177" s="6">
        <f>$M$177*$W$177</f>
        <v>16852.418099999999</v>
      </c>
      <c r="AD177" s="6">
        <f>$O$177*$X$177</f>
        <v>4679.7164600000006</v>
      </c>
      <c r="AE177" s="6">
        <f>$K$177*$Y$177</f>
        <v>0</v>
      </c>
      <c r="AF177" s="6">
        <f ca="1">$M$177*$Z$177</f>
        <v>17354.943331371273</v>
      </c>
      <c r="AG177" s="6">
        <f>$O$177*$AA$177</f>
        <v>3743.9860291242953</v>
      </c>
    </row>
    <row r="178" spans="1:33" ht="11.25" customHeight="1" x14ac:dyDescent="0.25">
      <c r="A178" s="4" t="s">
        <v>28</v>
      </c>
      <c r="B178" s="4" t="s">
        <v>33</v>
      </c>
      <c r="C178" s="4" t="s">
        <v>34</v>
      </c>
      <c r="D178" s="4" t="s">
        <v>40</v>
      </c>
      <c r="E178" s="4" t="s">
        <v>25</v>
      </c>
      <c r="F178" s="4" t="s">
        <v>25</v>
      </c>
      <c r="G178" s="4" t="s">
        <v>25</v>
      </c>
      <c r="H178" s="4" t="s">
        <v>35</v>
      </c>
      <c r="I178" s="5">
        <v>44562</v>
      </c>
      <c r="J178" s="6">
        <v>0</v>
      </c>
      <c r="K178" s="6">
        <v>0</v>
      </c>
      <c r="L178" s="6">
        <v>2.823</v>
      </c>
      <c r="M178" s="6">
        <v>2.823</v>
      </c>
      <c r="N178" s="6">
        <v>2.823</v>
      </c>
      <c r="O178" s="6">
        <v>2.823</v>
      </c>
      <c r="P178" s="6">
        <v>0</v>
      </c>
      <c r="Q178" s="4" t="s">
        <v>26</v>
      </c>
      <c r="R178" s="4">
        <v>0</v>
      </c>
      <c r="S178" s="6">
        <v>0</v>
      </c>
      <c r="T178" s="6">
        <v>7</v>
      </c>
      <c r="U178" s="6">
        <v>48</v>
      </c>
      <c r="V178" s="6">
        <f>IF(ISERROR(VLOOKUP($S$178,'TAR FIN'!$A$1:$O$85,15,0)),0,VLOOKUP($S$178,'TAR FIN'!$A$1:$O$85,15,0))</f>
        <v>0</v>
      </c>
      <c r="W178" s="6">
        <f>IF(ISERROR(VLOOKUP($T$178,'TAR FIN'!$A$1:$O$85,15,0)),0,VLOOKUP($T$178,'TAR FIN'!$A$1:$O$85,15,0))</f>
        <v>948.15</v>
      </c>
      <c r="X178" s="6">
        <f>IF(ISERROR(VLOOKUP($U$178,'TAR FIN'!$A$1:$O$85,15,0)),0,VLOOKUP($U$178,'TAR FIN'!$A$1:$O$85,15,0))</f>
        <v>263.29000000000002</v>
      </c>
      <c r="Y178" s="6"/>
      <c r="Z178" s="6">
        <f ca="1">('TUSD BE'!$AM$11+'TUSD BF'!$AM$11+'TUSD CVA'!$AM$11)*1</f>
        <v>976.42305228824534</v>
      </c>
      <c r="AA178" s="6">
        <f>('TE BE'!$AA$5+'TE BF'!$AA$5+'TE CVA'!$AA$5)*1</f>
        <v>210.64397598313801</v>
      </c>
      <c r="AB178" s="6">
        <f>$K$178*$V$178</f>
        <v>0</v>
      </c>
      <c r="AC178" s="6">
        <f>$M$178*$W$178</f>
        <v>2676.62745</v>
      </c>
      <c r="AD178" s="6">
        <f>$O$178*$X$178</f>
        <v>743.26767000000007</v>
      </c>
      <c r="AE178" s="6">
        <f>$K$178*$Y$178</f>
        <v>0</v>
      </c>
      <c r="AF178" s="6">
        <f ca="1">$M$178*$Z$178</f>
        <v>2756.4422766097164</v>
      </c>
      <c r="AG178" s="6">
        <f>$O$178*$AA$178</f>
        <v>594.64794420039857</v>
      </c>
    </row>
    <row r="179" spans="1:33" ht="11.25" customHeight="1" x14ac:dyDescent="0.25">
      <c r="A179" s="4" t="s">
        <v>21</v>
      </c>
      <c r="B179" s="4" t="s">
        <v>33</v>
      </c>
      <c r="C179" s="4" t="s">
        <v>34</v>
      </c>
      <c r="D179" s="4" t="s">
        <v>40</v>
      </c>
      <c r="E179" s="4" t="s">
        <v>25</v>
      </c>
      <c r="F179" s="4" t="s">
        <v>25</v>
      </c>
      <c r="G179" s="4" t="s">
        <v>25</v>
      </c>
      <c r="H179" s="4" t="s">
        <v>35</v>
      </c>
      <c r="I179" s="5">
        <v>44593</v>
      </c>
      <c r="J179" s="6">
        <v>0</v>
      </c>
      <c r="K179" s="6">
        <v>0</v>
      </c>
      <c r="L179" s="6">
        <v>19.298999999999999</v>
      </c>
      <c r="M179" s="6">
        <v>19.298999999999999</v>
      </c>
      <c r="N179" s="6">
        <v>19.298999999999999</v>
      </c>
      <c r="O179" s="6">
        <v>19.298999999999999</v>
      </c>
      <c r="P179" s="6">
        <v>0</v>
      </c>
      <c r="Q179" s="4" t="s">
        <v>26</v>
      </c>
      <c r="R179" s="4">
        <v>0</v>
      </c>
      <c r="S179" s="6">
        <v>0</v>
      </c>
      <c r="T179" s="6">
        <v>7</v>
      </c>
      <c r="U179" s="6">
        <v>48</v>
      </c>
      <c r="V179" s="6">
        <f>IF(ISERROR(VLOOKUP($S$179,'TAR FIN'!$A$1:$O$85,15,0)),0,VLOOKUP($S$179,'TAR FIN'!$A$1:$O$85,15,0))</f>
        <v>0</v>
      </c>
      <c r="W179" s="6">
        <f>IF(ISERROR(VLOOKUP($T$179,'TAR FIN'!$A$1:$O$85,15,0)),0,VLOOKUP($T$179,'TAR FIN'!$A$1:$O$85,15,0))</f>
        <v>948.15</v>
      </c>
      <c r="X179" s="6">
        <f>IF(ISERROR(VLOOKUP($U$179,'TAR FIN'!$A$1:$O$85,15,0)),0,VLOOKUP($U$179,'TAR FIN'!$A$1:$O$85,15,0))</f>
        <v>263.29000000000002</v>
      </c>
      <c r="Y179" s="6"/>
      <c r="Z179" s="6">
        <f ca="1">('TUSD BE'!$AM$11+'TUSD BF'!$AM$11+'TUSD CVA'!$AM$11)*1</f>
        <v>976.42305228824534</v>
      </c>
      <c r="AA179" s="6">
        <f>('TE BE'!$AA$5+'TE BF'!$AA$5+'TE CVA'!$AA$5)*1</f>
        <v>210.64397598313801</v>
      </c>
      <c r="AB179" s="6">
        <f>$K$179*$V$179</f>
        <v>0</v>
      </c>
      <c r="AC179" s="6">
        <f>$M$179*$W$179</f>
        <v>18298.346849999998</v>
      </c>
      <c r="AD179" s="6">
        <f>$O$179*$X$179</f>
        <v>5081.2337100000004</v>
      </c>
      <c r="AE179" s="6">
        <f>$K$179*$Y$179</f>
        <v>0</v>
      </c>
      <c r="AF179" s="6">
        <f ca="1">$M$179*$Z$179</f>
        <v>18843.988486110848</v>
      </c>
      <c r="AG179" s="6">
        <f>$O$179*$AA$179</f>
        <v>4065.2180924985801</v>
      </c>
    </row>
    <row r="180" spans="1:33" ht="11.25" customHeight="1" x14ac:dyDescent="0.25">
      <c r="A180" s="4" t="s">
        <v>28</v>
      </c>
      <c r="B180" s="4" t="s">
        <v>33</v>
      </c>
      <c r="C180" s="4" t="s">
        <v>34</v>
      </c>
      <c r="D180" s="4" t="s">
        <v>40</v>
      </c>
      <c r="E180" s="4" t="s">
        <v>25</v>
      </c>
      <c r="F180" s="4" t="s">
        <v>25</v>
      </c>
      <c r="G180" s="4" t="s">
        <v>25</v>
      </c>
      <c r="H180" s="4" t="s">
        <v>35</v>
      </c>
      <c r="I180" s="5">
        <v>44593</v>
      </c>
      <c r="J180" s="6">
        <v>0</v>
      </c>
      <c r="K180" s="6">
        <v>0</v>
      </c>
      <c r="L180" s="6">
        <v>3.24</v>
      </c>
      <c r="M180" s="6">
        <v>3.24</v>
      </c>
      <c r="N180" s="6">
        <v>3.24</v>
      </c>
      <c r="O180" s="6">
        <v>3.24</v>
      </c>
      <c r="P180" s="6">
        <v>0</v>
      </c>
      <c r="Q180" s="4" t="s">
        <v>26</v>
      </c>
      <c r="R180" s="4">
        <v>0</v>
      </c>
      <c r="S180" s="6">
        <v>0</v>
      </c>
      <c r="T180" s="6">
        <v>7</v>
      </c>
      <c r="U180" s="6">
        <v>48</v>
      </c>
      <c r="V180" s="6">
        <f>IF(ISERROR(VLOOKUP($S$180,'TAR FIN'!$A$1:$O$85,15,0)),0,VLOOKUP($S$180,'TAR FIN'!$A$1:$O$85,15,0))</f>
        <v>0</v>
      </c>
      <c r="W180" s="6">
        <f>IF(ISERROR(VLOOKUP($T$180,'TAR FIN'!$A$1:$O$85,15,0)),0,VLOOKUP($T$180,'TAR FIN'!$A$1:$O$85,15,0))</f>
        <v>948.15</v>
      </c>
      <c r="X180" s="6">
        <f>IF(ISERROR(VLOOKUP($U$180,'TAR FIN'!$A$1:$O$85,15,0)),0,VLOOKUP($U$180,'TAR FIN'!$A$1:$O$85,15,0))</f>
        <v>263.29000000000002</v>
      </c>
      <c r="Y180" s="6"/>
      <c r="Z180" s="6">
        <f ca="1">('TUSD BE'!$AM$11+'TUSD BF'!$AM$11+'TUSD CVA'!$AM$11)*1</f>
        <v>976.42305228824534</v>
      </c>
      <c r="AA180" s="6">
        <f>('TE BE'!$AA$5+'TE BF'!$AA$5+'TE CVA'!$AA$5)*1</f>
        <v>210.64397598313801</v>
      </c>
      <c r="AB180" s="6">
        <f>$K$180*$V$180</f>
        <v>0</v>
      </c>
      <c r="AC180" s="6">
        <f>$M$180*$W$180</f>
        <v>3072.0060000000003</v>
      </c>
      <c r="AD180" s="6">
        <f>$O$180*$X$180</f>
        <v>853.05960000000016</v>
      </c>
      <c r="AE180" s="6">
        <f>$K$180*$Y$180</f>
        <v>0</v>
      </c>
      <c r="AF180" s="6">
        <f ca="1">$M$180*$Z$180</f>
        <v>3163.6106894139152</v>
      </c>
      <c r="AG180" s="6">
        <f>$O$180*$AA$180</f>
        <v>682.48648218536721</v>
      </c>
    </row>
    <row r="181" spans="1:33" ht="11.25" customHeight="1" x14ac:dyDescent="0.25">
      <c r="A181" s="4" t="s">
        <v>21</v>
      </c>
      <c r="B181" s="4" t="s">
        <v>33</v>
      </c>
      <c r="C181" s="4" t="s">
        <v>34</v>
      </c>
      <c r="D181" s="4" t="s">
        <v>40</v>
      </c>
      <c r="E181" s="4" t="s">
        <v>25</v>
      </c>
      <c r="F181" s="4" t="s">
        <v>25</v>
      </c>
      <c r="G181" s="4" t="s">
        <v>25</v>
      </c>
      <c r="H181" s="4" t="s">
        <v>35</v>
      </c>
      <c r="I181" s="5">
        <v>44621</v>
      </c>
      <c r="J181" s="6">
        <v>0</v>
      </c>
      <c r="K181" s="6">
        <v>0</v>
      </c>
      <c r="L181" s="6">
        <v>20.027000000000001</v>
      </c>
      <c r="M181" s="6">
        <v>20.027000000000001</v>
      </c>
      <c r="N181" s="6">
        <v>20.027000000000001</v>
      </c>
      <c r="O181" s="6">
        <v>20.027000000000001</v>
      </c>
      <c r="P181" s="6">
        <v>0</v>
      </c>
      <c r="Q181" s="4" t="s">
        <v>26</v>
      </c>
      <c r="R181" s="4">
        <v>0</v>
      </c>
      <c r="S181" s="6">
        <v>0</v>
      </c>
      <c r="T181" s="6">
        <v>7</v>
      </c>
      <c r="U181" s="6">
        <v>48</v>
      </c>
      <c r="V181" s="6">
        <f>IF(ISERROR(VLOOKUP($S$181,'TAR FIN'!$A$1:$O$85,15,0)),0,VLOOKUP($S$181,'TAR FIN'!$A$1:$O$85,15,0))</f>
        <v>0</v>
      </c>
      <c r="W181" s="6">
        <f>IF(ISERROR(VLOOKUP($T$181,'TAR FIN'!$A$1:$O$85,15,0)),0,VLOOKUP($T$181,'TAR FIN'!$A$1:$O$85,15,0))</f>
        <v>948.15</v>
      </c>
      <c r="X181" s="6">
        <f>IF(ISERROR(VLOOKUP($U$181,'TAR FIN'!$A$1:$O$85,15,0)),0,VLOOKUP($U$181,'TAR FIN'!$A$1:$O$85,15,0))</f>
        <v>263.29000000000002</v>
      </c>
      <c r="Y181" s="6"/>
      <c r="Z181" s="6">
        <f ca="1">('TUSD BE'!$AM$11+'TUSD BF'!$AM$11+'TUSD CVA'!$AM$11)*1</f>
        <v>976.42305228824534</v>
      </c>
      <c r="AA181" s="6">
        <f>('TE BE'!$AA$5+'TE BF'!$AA$5+'TE CVA'!$AA$5)*1</f>
        <v>210.64397598313801</v>
      </c>
      <c r="AB181" s="6">
        <f>$K$181*$V$181</f>
        <v>0</v>
      </c>
      <c r="AC181" s="6">
        <f>$M$181*$W$181</f>
        <v>18988.600050000001</v>
      </c>
      <c r="AD181" s="6">
        <f>$O$181*$X$181</f>
        <v>5272.9088300000003</v>
      </c>
      <c r="AE181" s="6">
        <f>$K$181*$Y$181</f>
        <v>0</v>
      </c>
      <c r="AF181" s="6">
        <f ca="1">$M$181*$Z$181</f>
        <v>19554.824468176692</v>
      </c>
      <c r="AG181" s="6">
        <f>$O$181*$AA$181</f>
        <v>4218.5669070143049</v>
      </c>
    </row>
    <row r="182" spans="1:33" ht="11.25" customHeight="1" x14ac:dyDescent="0.25">
      <c r="A182" s="4" t="s">
        <v>28</v>
      </c>
      <c r="B182" s="4" t="s">
        <v>33</v>
      </c>
      <c r="C182" s="4" t="s">
        <v>34</v>
      </c>
      <c r="D182" s="4" t="s">
        <v>40</v>
      </c>
      <c r="E182" s="4" t="s">
        <v>25</v>
      </c>
      <c r="F182" s="4" t="s">
        <v>25</v>
      </c>
      <c r="G182" s="4" t="s">
        <v>25</v>
      </c>
      <c r="H182" s="4" t="s">
        <v>35</v>
      </c>
      <c r="I182" s="5">
        <v>44621</v>
      </c>
      <c r="J182" s="6">
        <v>0</v>
      </c>
      <c r="K182" s="6">
        <v>0</v>
      </c>
      <c r="L182" s="6">
        <v>6.1390000000000002</v>
      </c>
      <c r="M182" s="6">
        <v>6.1390000000000002</v>
      </c>
      <c r="N182" s="6">
        <v>6.1390000000000002</v>
      </c>
      <c r="O182" s="6">
        <v>6.1390000000000002</v>
      </c>
      <c r="P182" s="6">
        <v>0</v>
      </c>
      <c r="Q182" s="4" t="s">
        <v>26</v>
      </c>
      <c r="R182" s="4">
        <v>0</v>
      </c>
      <c r="S182" s="6">
        <v>0</v>
      </c>
      <c r="T182" s="6">
        <v>7</v>
      </c>
      <c r="U182" s="6">
        <v>48</v>
      </c>
      <c r="V182" s="6">
        <f>IF(ISERROR(VLOOKUP($S$182,'TAR FIN'!$A$1:$O$85,15,0)),0,VLOOKUP($S$182,'TAR FIN'!$A$1:$O$85,15,0))</f>
        <v>0</v>
      </c>
      <c r="W182" s="6">
        <f>IF(ISERROR(VLOOKUP($T$182,'TAR FIN'!$A$1:$O$85,15,0)),0,VLOOKUP($T$182,'TAR FIN'!$A$1:$O$85,15,0))</f>
        <v>948.15</v>
      </c>
      <c r="X182" s="6">
        <f>IF(ISERROR(VLOOKUP($U$182,'TAR FIN'!$A$1:$O$85,15,0)),0,VLOOKUP($U$182,'TAR FIN'!$A$1:$O$85,15,0))</f>
        <v>263.29000000000002</v>
      </c>
      <c r="Y182" s="6"/>
      <c r="Z182" s="6">
        <f ca="1">('TUSD BE'!$AM$11+'TUSD BF'!$AM$11+'TUSD CVA'!$AM$11)*1</f>
        <v>976.42305228824534</v>
      </c>
      <c r="AA182" s="6">
        <f>('TE BE'!$AA$5+'TE BF'!$AA$5+'TE CVA'!$AA$5)*1</f>
        <v>210.64397598313801</v>
      </c>
      <c r="AB182" s="6">
        <f>$K$182*$V$182</f>
        <v>0</v>
      </c>
      <c r="AC182" s="6">
        <f>$M$182*$W$182</f>
        <v>5820.6928500000004</v>
      </c>
      <c r="AD182" s="6">
        <f>$O$182*$X$182</f>
        <v>1616.3373100000001</v>
      </c>
      <c r="AE182" s="6">
        <f>$K$182*$Y$182</f>
        <v>0</v>
      </c>
      <c r="AF182" s="6">
        <f ca="1">$M$182*$Z$182</f>
        <v>5994.2611179975383</v>
      </c>
      <c r="AG182" s="6">
        <f>$O$182*$AA$182</f>
        <v>1293.1433685604843</v>
      </c>
    </row>
    <row r="183" spans="1:33" ht="11.25" customHeight="1" x14ac:dyDescent="0.25">
      <c r="A183" s="4" t="s">
        <v>21</v>
      </c>
      <c r="B183" s="4" t="s">
        <v>33</v>
      </c>
      <c r="C183" s="4" t="s">
        <v>34</v>
      </c>
      <c r="D183" s="4" t="s">
        <v>40</v>
      </c>
      <c r="E183" s="4" t="s">
        <v>25</v>
      </c>
      <c r="F183" s="4" t="s">
        <v>25</v>
      </c>
      <c r="G183" s="4" t="s">
        <v>25</v>
      </c>
      <c r="H183" s="4" t="s">
        <v>35</v>
      </c>
      <c r="I183" s="5">
        <v>44652</v>
      </c>
      <c r="J183" s="6">
        <v>0</v>
      </c>
      <c r="K183" s="6">
        <v>0</v>
      </c>
      <c r="L183" s="6">
        <v>17.465</v>
      </c>
      <c r="M183" s="6">
        <v>17.465</v>
      </c>
      <c r="N183" s="6">
        <v>17.465</v>
      </c>
      <c r="O183" s="6">
        <v>17.465</v>
      </c>
      <c r="P183" s="6">
        <v>0</v>
      </c>
      <c r="Q183" s="4" t="s">
        <v>26</v>
      </c>
      <c r="R183" s="4">
        <v>0</v>
      </c>
      <c r="S183" s="6">
        <v>0</v>
      </c>
      <c r="T183" s="6">
        <v>7</v>
      </c>
      <c r="U183" s="6">
        <v>48</v>
      </c>
      <c r="V183" s="6">
        <f>IF(ISERROR(VLOOKUP($S$183,'TAR FIN'!$A$1:$O$85,15,0)),0,VLOOKUP($S$183,'TAR FIN'!$A$1:$O$85,15,0))</f>
        <v>0</v>
      </c>
      <c r="W183" s="6">
        <f>IF(ISERROR(VLOOKUP($T$183,'TAR FIN'!$A$1:$O$85,15,0)),0,VLOOKUP($T$183,'TAR FIN'!$A$1:$O$85,15,0))</f>
        <v>948.15</v>
      </c>
      <c r="X183" s="6">
        <f>IF(ISERROR(VLOOKUP($U$183,'TAR FIN'!$A$1:$O$85,15,0)),0,VLOOKUP($U$183,'TAR FIN'!$A$1:$O$85,15,0))</f>
        <v>263.29000000000002</v>
      </c>
      <c r="Y183" s="6"/>
      <c r="Z183" s="6">
        <f ca="1">('TUSD BE'!$AM$11+'TUSD BF'!$AM$11+'TUSD CVA'!$AM$11)*1</f>
        <v>976.42305228824534</v>
      </c>
      <c r="AA183" s="6">
        <f>('TE BE'!$AA$5+'TE BF'!$AA$5+'TE CVA'!$AA$5)*1</f>
        <v>210.64397598313801</v>
      </c>
      <c r="AB183" s="6">
        <f>$K$183*$V$183</f>
        <v>0</v>
      </c>
      <c r="AC183" s="6">
        <f>$M$183*$W$183</f>
        <v>16559.439749999998</v>
      </c>
      <c r="AD183" s="6">
        <f>$O$183*$X$183</f>
        <v>4598.3598500000007</v>
      </c>
      <c r="AE183" s="6">
        <f>$K$183*$Y$183</f>
        <v>0</v>
      </c>
      <c r="AF183" s="6">
        <f ca="1">$M$183*$Z$183</f>
        <v>17053.228608214205</v>
      </c>
      <c r="AG183" s="6">
        <f>$O$183*$AA$183</f>
        <v>3678.8970405455052</v>
      </c>
    </row>
    <row r="184" spans="1:33" ht="11.25" customHeight="1" x14ac:dyDescent="0.25">
      <c r="A184" s="4" t="s">
        <v>21</v>
      </c>
      <c r="B184" s="4" t="s">
        <v>33</v>
      </c>
      <c r="C184" s="4" t="s">
        <v>34</v>
      </c>
      <c r="D184" s="4" t="s">
        <v>24</v>
      </c>
      <c r="E184" s="4" t="s">
        <v>24</v>
      </c>
      <c r="F184" s="4" t="s">
        <v>25</v>
      </c>
      <c r="G184" s="4" t="s">
        <v>25</v>
      </c>
      <c r="H184" s="4" t="s">
        <v>36</v>
      </c>
      <c r="I184" s="5">
        <v>44317</v>
      </c>
      <c r="J184" s="6">
        <v>0</v>
      </c>
      <c r="K184" s="6">
        <v>0</v>
      </c>
      <c r="L184" s="6">
        <v>2.9929999999999999</v>
      </c>
      <c r="M184" s="6">
        <v>2.9929999999999999</v>
      </c>
      <c r="N184" s="6">
        <v>2.9929999999999999</v>
      </c>
      <c r="O184" s="6">
        <v>2.9929999999999999</v>
      </c>
      <c r="P184" s="6">
        <v>0</v>
      </c>
      <c r="Q184" s="4" t="s">
        <v>26</v>
      </c>
      <c r="R184" s="4">
        <v>0</v>
      </c>
      <c r="S184" s="6">
        <v>0</v>
      </c>
      <c r="T184" s="6">
        <v>8</v>
      </c>
      <c r="U184" s="6">
        <v>49</v>
      </c>
      <c r="V184" s="6">
        <f>IF(ISERROR(VLOOKUP($S$184,'TAR FIN'!$A$1:$O$85,15,0)),0,VLOOKUP($S$184,'TAR FIN'!$A$1:$O$85,15,0))</f>
        <v>0</v>
      </c>
      <c r="W184" s="6">
        <f>IF(ISERROR(VLOOKUP($T$184,'TAR FIN'!$A$1:$O$85,15,0)),0,VLOOKUP($T$184,'TAR FIN'!$A$1:$O$85,15,0))</f>
        <v>65.61</v>
      </c>
      <c r="X184" s="6">
        <f>IF(ISERROR(VLOOKUP($U$184,'TAR FIN'!$A$1:$O$85,15,0)),0,VLOOKUP($U$184,'TAR FIN'!$A$1:$O$85,15,0))</f>
        <v>263.29000000000002</v>
      </c>
      <c r="Y184" s="6"/>
      <c r="Z184" s="6">
        <f ca="1">('TUSD BE'!$AM$12+'TUSD BF'!$AM$12+'TUSD CVA'!$AM$12)*1</f>
        <v>100.34646310857573</v>
      </c>
      <c r="AA184" s="6">
        <f>('TE BE'!$AA$6+'TE BF'!$AA$6+'TE CVA'!$AA$6)*1</f>
        <v>210.64397598313801</v>
      </c>
      <c r="AB184" s="6">
        <f>$K$184*$V$184</f>
        <v>0</v>
      </c>
      <c r="AC184" s="6">
        <f>$M$184*$W$184</f>
        <v>196.37072999999998</v>
      </c>
      <c r="AD184" s="6">
        <f>$O$184*$X$184</f>
        <v>788.02697000000001</v>
      </c>
      <c r="AE184" s="6">
        <f>$K$184*$Y$184</f>
        <v>0</v>
      </c>
      <c r="AF184" s="6">
        <f ca="1">$M$184*$Z$184</f>
        <v>300.33696408396713</v>
      </c>
      <c r="AG184" s="6">
        <f>$O$184*$AA$184</f>
        <v>630.45742011753202</v>
      </c>
    </row>
    <row r="185" spans="1:33" ht="11.25" customHeight="1" x14ac:dyDescent="0.25">
      <c r="A185" s="4" t="s">
        <v>21</v>
      </c>
      <c r="B185" s="4" t="s">
        <v>33</v>
      </c>
      <c r="C185" s="4" t="s">
        <v>34</v>
      </c>
      <c r="D185" s="4" t="s">
        <v>24</v>
      </c>
      <c r="E185" s="4" t="s">
        <v>24</v>
      </c>
      <c r="F185" s="4" t="s">
        <v>25</v>
      </c>
      <c r="G185" s="4" t="s">
        <v>25</v>
      </c>
      <c r="H185" s="4" t="s">
        <v>36</v>
      </c>
      <c r="I185" s="5">
        <v>44348</v>
      </c>
      <c r="J185" s="6">
        <v>0</v>
      </c>
      <c r="K185" s="6">
        <v>0</v>
      </c>
      <c r="L185" s="6">
        <v>2.645</v>
      </c>
      <c r="M185" s="6">
        <v>2.645</v>
      </c>
      <c r="N185" s="6">
        <v>2.645</v>
      </c>
      <c r="O185" s="6">
        <v>2.645</v>
      </c>
      <c r="P185" s="6">
        <v>0</v>
      </c>
      <c r="Q185" s="4" t="s">
        <v>26</v>
      </c>
      <c r="R185" s="4">
        <v>0</v>
      </c>
      <c r="S185" s="6">
        <v>0</v>
      </c>
      <c r="T185" s="6">
        <v>8</v>
      </c>
      <c r="U185" s="6">
        <v>49</v>
      </c>
      <c r="V185" s="6">
        <f>IF(ISERROR(VLOOKUP($S$185,'TAR FIN'!$A$1:$O$85,15,0)),0,VLOOKUP($S$185,'TAR FIN'!$A$1:$O$85,15,0))</f>
        <v>0</v>
      </c>
      <c r="W185" s="6">
        <f>IF(ISERROR(VLOOKUP($T$185,'TAR FIN'!$A$1:$O$85,15,0)),0,VLOOKUP($T$185,'TAR FIN'!$A$1:$O$85,15,0))</f>
        <v>65.61</v>
      </c>
      <c r="X185" s="6">
        <f>IF(ISERROR(VLOOKUP($U$185,'TAR FIN'!$A$1:$O$85,15,0)),0,VLOOKUP($U$185,'TAR FIN'!$A$1:$O$85,15,0))</f>
        <v>263.29000000000002</v>
      </c>
      <c r="Y185" s="6"/>
      <c r="Z185" s="6">
        <f ca="1">('TUSD BE'!$AM$12+'TUSD BF'!$AM$12+'TUSD CVA'!$AM$12)*1</f>
        <v>100.34646310857573</v>
      </c>
      <c r="AA185" s="6">
        <f>('TE BE'!$AA$6+'TE BF'!$AA$6+'TE CVA'!$AA$6)*1</f>
        <v>210.64397598313801</v>
      </c>
      <c r="AB185" s="6">
        <f>$K$185*$V$185</f>
        <v>0</v>
      </c>
      <c r="AC185" s="6">
        <f>$M$185*$W$185</f>
        <v>173.53845000000001</v>
      </c>
      <c r="AD185" s="6">
        <f>$O$185*$X$185</f>
        <v>696.40205000000003</v>
      </c>
      <c r="AE185" s="6">
        <f>$K$185*$Y$185</f>
        <v>0</v>
      </c>
      <c r="AF185" s="6">
        <f ca="1">$M$185*$Z$185</f>
        <v>265.4163949221828</v>
      </c>
      <c r="AG185" s="6">
        <f>$O$185*$AA$185</f>
        <v>557.15331647540006</v>
      </c>
    </row>
    <row r="186" spans="1:33" ht="11.25" customHeight="1" x14ac:dyDescent="0.25">
      <c r="A186" s="4" t="s">
        <v>21</v>
      </c>
      <c r="B186" s="4" t="s">
        <v>33</v>
      </c>
      <c r="C186" s="4" t="s">
        <v>34</v>
      </c>
      <c r="D186" s="4" t="s">
        <v>24</v>
      </c>
      <c r="E186" s="4" t="s">
        <v>24</v>
      </c>
      <c r="F186" s="4" t="s">
        <v>25</v>
      </c>
      <c r="G186" s="4" t="s">
        <v>25</v>
      </c>
      <c r="H186" s="4" t="s">
        <v>36</v>
      </c>
      <c r="I186" s="5">
        <v>44378</v>
      </c>
      <c r="J186" s="6">
        <v>0</v>
      </c>
      <c r="K186" s="6">
        <v>0</v>
      </c>
      <c r="L186" s="6">
        <v>4.4420000000000002</v>
      </c>
      <c r="M186" s="6">
        <v>4.4420000000000002</v>
      </c>
      <c r="N186" s="6">
        <v>4.4420000000000002</v>
      </c>
      <c r="O186" s="6">
        <v>4.4420000000000002</v>
      </c>
      <c r="P186" s="6">
        <v>0</v>
      </c>
      <c r="Q186" s="4" t="s">
        <v>26</v>
      </c>
      <c r="R186" s="4">
        <v>0</v>
      </c>
      <c r="S186" s="6">
        <v>0</v>
      </c>
      <c r="T186" s="6">
        <v>8</v>
      </c>
      <c r="U186" s="6">
        <v>49</v>
      </c>
      <c r="V186" s="6">
        <f>IF(ISERROR(VLOOKUP($S$186,'TAR FIN'!$A$1:$O$85,15,0)),0,VLOOKUP($S$186,'TAR FIN'!$A$1:$O$85,15,0))</f>
        <v>0</v>
      </c>
      <c r="W186" s="6">
        <f>IF(ISERROR(VLOOKUP($T$186,'TAR FIN'!$A$1:$O$85,15,0)),0,VLOOKUP($T$186,'TAR FIN'!$A$1:$O$85,15,0))</f>
        <v>65.61</v>
      </c>
      <c r="X186" s="6">
        <f>IF(ISERROR(VLOOKUP($U$186,'TAR FIN'!$A$1:$O$85,15,0)),0,VLOOKUP($U$186,'TAR FIN'!$A$1:$O$85,15,0))</f>
        <v>263.29000000000002</v>
      </c>
      <c r="Y186" s="6"/>
      <c r="Z186" s="6">
        <f ca="1">('TUSD BE'!$AM$12+'TUSD BF'!$AM$12+'TUSD CVA'!$AM$12)*1</f>
        <v>100.34646310857573</v>
      </c>
      <c r="AA186" s="6">
        <f>('TE BE'!$AA$6+'TE BF'!$AA$6+'TE CVA'!$AA$6)*1</f>
        <v>210.64397598313801</v>
      </c>
      <c r="AB186" s="6">
        <f>$K$186*$V$186</f>
        <v>0</v>
      </c>
      <c r="AC186" s="6">
        <f>$M$186*$W$186</f>
        <v>291.43961999999999</v>
      </c>
      <c r="AD186" s="6">
        <f>$O$186*$X$186</f>
        <v>1169.5341800000001</v>
      </c>
      <c r="AE186" s="6">
        <f>$K$186*$Y$186</f>
        <v>0</v>
      </c>
      <c r="AF186" s="6">
        <f ca="1">$M$186*$Z$186</f>
        <v>445.73898912829344</v>
      </c>
      <c r="AG186" s="6">
        <f>$O$186*$AA$186</f>
        <v>935.68054131709903</v>
      </c>
    </row>
    <row r="187" spans="1:33" ht="11.25" customHeight="1" x14ac:dyDescent="0.25">
      <c r="A187" s="4" t="s">
        <v>21</v>
      </c>
      <c r="B187" s="4" t="s">
        <v>33</v>
      </c>
      <c r="C187" s="4" t="s">
        <v>34</v>
      </c>
      <c r="D187" s="4" t="s">
        <v>24</v>
      </c>
      <c r="E187" s="4" t="s">
        <v>24</v>
      </c>
      <c r="F187" s="4" t="s">
        <v>25</v>
      </c>
      <c r="G187" s="4" t="s">
        <v>25</v>
      </c>
      <c r="H187" s="4" t="s">
        <v>36</v>
      </c>
      <c r="I187" s="5">
        <v>44409</v>
      </c>
      <c r="J187" s="6">
        <v>0</v>
      </c>
      <c r="K187" s="6">
        <v>0</v>
      </c>
      <c r="L187" s="6">
        <v>4.109</v>
      </c>
      <c r="M187" s="6">
        <v>4.109</v>
      </c>
      <c r="N187" s="6">
        <v>4.109</v>
      </c>
      <c r="O187" s="6">
        <v>4.109</v>
      </c>
      <c r="P187" s="6">
        <v>0</v>
      </c>
      <c r="Q187" s="4" t="s">
        <v>26</v>
      </c>
      <c r="R187" s="4">
        <v>0</v>
      </c>
      <c r="S187" s="6">
        <v>0</v>
      </c>
      <c r="T187" s="6">
        <v>8</v>
      </c>
      <c r="U187" s="6">
        <v>49</v>
      </c>
      <c r="V187" s="6">
        <f>IF(ISERROR(VLOOKUP($S$187,'TAR FIN'!$A$1:$O$85,15,0)),0,VLOOKUP($S$187,'TAR FIN'!$A$1:$O$85,15,0))</f>
        <v>0</v>
      </c>
      <c r="W187" s="6">
        <f>IF(ISERROR(VLOOKUP($T$187,'TAR FIN'!$A$1:$O$85,15,0)),0,VLOOKUP($T$187,'TAR FIN'!$A$1:$O$85,15,0))</f>
        <v>65.61</v>
      </c>
      <c r="X187" s="6">
        <f>IF(ISERROR(VLOOKUP($U$187,'TAR FIN'!$A$1:$O$85,15,0)),0,VLOOKUP($U$187,'TAR FIN'!$A$1:$O$85,15,0))</f>
        <v>263.29000000000002</v>
      </c>
      <c r="Y187" s="6"/>
      <c r="Z187" s="6">
        <f ca="1">('TUSD BE'!$AM$12+'TUSD BF'!$AM$12+'TUSD CVA'!$AM$12)*1</f>
        <v>100.34646310857573</v>
      </c>
      <c r="AA187" s="6">
        <f>('TE BE'!$AA$6+'TE BF'!$AA$6+'TE CVA'!$AA$6)*1</f>
        <v>210.64397598313801</v>
      </c>
      <c r="AB187" s="6">
        <f>$K$187*$V$187</f>
        <v>0</v>
      </c>
      <c r="AC187" s="6">
        <f>$M$187*$W$187</f>
        <v>269.59149000000002</v>
      </c>
      <c r="AD187" s="6">
        <f>$O$187*$X$187</f>
        <v>1081.85861</v>
      </c>
      <c r="AE187" s="6">
        <f>$K$187*$Y$187</f>
        <v>0</v>
      </c>
      <c r="AF187" s="6">
        <f ca="1">$M$187*$Z$187</f>
        <v>412.3236169131377</v>
      </c>
      <c r="AG187" s="6">
        <f>$O$187*$AA$187</f>
        <v>865.53609731471408</v>
      </c>
    </row>
    <row r="188" spans="1:33" ht="11.25" customHeight="1" x14ac:dyDescent="0.25">
      <c r="A188" s="4" t="s">
        <v>21</v>
      </c>
      <c r="B188" s="4" t="s">
        <v>33</v>
      </c>
      <c r="C188" s="4" t="s">
        <v>34</v>
      </c>
      <c r="D188" s="4" t="s">
        <v>24</v>
      </c>
      <c r="E188" s="4" t="s">
        <v>24</v>
      </c>
      <c r="F188" s="4" t="s">
        <v>25</v>
      </c>
      <c r="G188" s="4" t="s">
        <v>25</v>
      </c>
      <c r="H188" s="4" t="s">
        <v>36</v>
      </c>
      <c r="I188" s="5">
        <v>44440</v>
      </c>
      <c r="J188" s="6">
        <v>0</v>
      </c>
      <c r="K188" s="6">
        <v>0</v>
      </c>
      <c r="L188" s="6">
        <v>3.056</v>
      </c>
      <c r="M188" s="6">
        <v>3.056</v>
      </c>
      <c r="N188" s="6">
        <v>3.056</v>
      </c>
      <c r="O188" s="6">
        <v>3.056</v>
      </c>
      <c r="P188" s="6">
        <v>0</v>
      </c>
      <c r="Q188" s="4" t="s">
        <v>26</v>
      </c>
      <c r="R188" s="4">
        <v>0</v>
      </c>
      <c r="S188" s="6">
        <v>0</v>
      </c>
      <c r="T188" s="6">
        <v>8</v>
      </c>
      <c r="U188" s="6">
        <v>49</v>
      </c>
      <c r="V188" s="6">
        <f>IF(ISERROR(VLOOKUP($S$188,'TAR FIN'!$A$1:$O$85,15,0)),0,VLOOKUP($S$188,'TAR FIN'!$A$1:$O$85,15,0))</f>
        <v>0</v>
      </c>
      <c r="W188" s="6">
        <f>IF(ISERROR(VLOOKUP($T$188,'TAR FIN'!$A$1:$O$85,15,0)),0,VLOOKUP($T$188,'TAR FIN'!$A$1:$O$85,15,0))</f>
        <v>65.61</v>
      </c>
      <c r="X188" s="6">
        <f>IF(ISERROR(VLOOKUP($U$188,'TAR FIN'!$A$1:$O$85,15,0)),0,VLOOKUP($U$188,'TAR FIN'!$A$1:$O$85,15,0))</f>
        <v>263.29000000000002</v>
      </c>
      <c r="Y188" s="6"/>
      <c r="Z188" s="6">
        <f ca="1">('TUSD BE'!$AM$12+'TUSD BF'!$AM$12+'TUSD CVA'!$AM$12)*1</f>
        <v>100.34646310857573</v>
      </c>
      <c r="AA188" s="6">
        <f>('TE BE'!$AA$6+'TE BF'!$AA$6+'TE CVA'!$AA$6)*1</f>
        <v>210.64397598313801</v>
      </c>
      <c r="AB188" s="6">
        <f>$K$188*$V$188</f>
        <v>0</v>
      </c>
      <c r="AC188" s="6">
        <f>$M$188*$W$188</f>
        <v>200.50416000000001</v>
      </c>
      <c r="AD188" s="6">
        <f>$O$188*$X$188</f>
        <v>804.61424000000011</v>
      </c>
      <c r="AE188" s="6">
        <f>$K$188*$Y$188</f>
        <v>0</v>
      </c>
      <c r="AF188" s="6">
        <f ca="1">$M$188*$Z$188</f>
        <v>306.65879125980746</v>
      </c>
      <c r="AG188" s="6">
        <f>$O$188*$AA$188</f>
        <v>643.72799060446971</v>
      </c>
    </row>
    <row r="189" spans="1:33" ht="11.25" customHeight="1" x14ac:dyDescent="0.25">
      <c r="A189" s="4" t="s">
        <v>21</v>
      </c>
      <c r="B189" s="4" t="s">
        <v>33</v>
      </c>
      <c r="C189" s="4" t="s">
        <v>34</v>
      </c>
      <c r="D189" s="4" t="s">
        <v>24</v>
      </c>
      <c r="E189" s="4" t="s">
        <v>24</v>
      </c>
      <c r="F189" s="4" t="s">
        <v>25</v>
      </c>
      <c r="G189" s="4" t="s">
        <v>25</v>
      </c>
      <c r="H189" s="4" t="s">
        <v>36</v>
      </c>
      <c r="I189" s="5">
        <v>44470</v>
      </c>
      <c r="J189" s="6">
        <v>0</v>
      </c>
      <c r="K189" s="6">
        <v>0</v>
      </c>
      <c r="L189" s="6">
        <v>5.4539999999999997</v>
      </c>
      <c r="M189" s="6">
        <v>5.4539999999999997</v>
      </c>
      <c r="N189" s="6">
        <v>5.4539999999999997</v>
      </c>
      <c r="O189" s="6">
        <v>5.4539999999999997</v>
      </c>
      <c r="P189" s="6">
        <v>0</v>
      </c>
      <c r="Q189" s="4" t="s">
        <v>26</v>
      </c>
      <c r="R189" s="4">
        <v>0</v>
      </c>
      <c r="S189" s="6">
        <v>0</v>
      </c>
      <c r="T189" s="6">
        <v>8</v>
      </c>
      <c r="U189" s="6">
        <v>49</v>
      </c>
      <c r="V189" s="6">
        <f>IF(ISERROR(VLOOKUP($S$189,'TAR FIN'!$A$1:$O$85,15,0)),0,VLOOKUP($S$189,'TAR FIN'!$A$1:$O$85,15,0))</f>
        <v>0</v>
      </c>
      <c r="W189" s="6">
        <f>IF(ISERROR(VLOOKUP($T$189,'TAR FIN'!$A$1:$O$85,15,0)),0,VLOOKUP($T$189,'TAR FIN'!$A$1:$O$85,15,0))</f>
        <v>65.61</v>
      </c>
      <c r="X189" s="6">
        <f>IF(ISERROR(VLOOKUP($U$189,'TAR FIN'!$A$1:$O$85,15,0)),0,VLOOKUP($U$189,'TAR FIN'!$A$1:$O$85,15,0))</f>
        <v>263.29000000000002</v>
      </c>
      <c r="Y189" s="6"/>
      <c r="Z189" s="6">
        <f ca="1">('TUSD BE'!$AM$12+'TUSD BF'!$AM$12+'TUSD CVA'!$AM$12)*1</f>
        <v>100.34646310857573</v>
      </c>
      <c r="AA189" s="6">
        <f>('TE BE'!$AA$6+'TE BF'!$AA$6+'TE CVA'!$AA$6)*1</f>
        <v>210.64397598313801</v>
      </c>
      <c r="AB189" s="6">
        <f>$K$189*$V$189</f>
        <v>0</v>
      </c>
      <c r="AC189" s="6">
        <f>$M$189*$W$189</f>
        <v>357.83693999999997</v>
      </c>
      <c r="AD189" s="6">
        <f>$O$189*$X$189</f>
        <v>1435.9836600000001</v>
      </c>
      <c r="AE189" s="6">
        <f>$K$189*$Y$189</f>
        <v>0</v>
      </c>
      <c r="AF189" s="6">
        <f ca="1">$M$189*$Z$189</f>
        <v>547.28960979417207</v>
      </c>
      <c r="AG189" s="6">
        <f>$O$189*$AA$189</f>
        <v>1148.8522450120347</v>
      </c>
    </row>
    <row r="190" spans="1:33" ht="11.25" customHeight="1" x14ac:dyDescent="0.25">
      <c r="A190" s="4" t="s">
        <v>21</v>
      </c>
      <c r="B190" s="4" t="s">
        <v>33</v>
      </c>
      <c r="C190" s="4" t="s">
        <v>34</v>
      </c>
      <c r="D190" s="4" t="s">
        <v>24</v>
      </c>
      <c r="E190" s="4" t="s">
        <v>24</v>
      </c>
      <c r="F190" s="4" t="s">
        <v>25</v>
      </c>
      <c r="G190" s="4" t="s">
        <v>25</v>
      </c>
      <c r="H190" s="4" t="s">
        <v>36</v>
      </c>
      <c r="I190" s="5">
        <v>44501</v>
      </c>
      <c r="J190" s="6">
        <v>0</v>
      </c>
      <c r="K190" s="6">
        <v>0</v>
      </c>
      <c r="L190" s="6">
        <v>5.1210000000000004</v>
      </c>
      <c r="M190" s="6">
        <v>5.1210000000000004</v>
      </c>
      <c r="N190" s="6">
        <v>5.1210000000000004</v>
      </c>
      <c r="O190" s="6">
        <v>5.1210000000000004</v>
      </c>
      <c r="P190" s="6">
        <v>0</v>
      </c>
      <c r="Q190" s="4" t="s">
        <v>26</v>
      </c>
      <c r="R190" s="4">
        <v>0</v>
      </c>
      <c r="S190" s="6">
        <v>0</v>
      </c>
      <c r="T190" s="6">
        <v>8</v>
      </c>
      <c r="U190" s="6">
        <v>49</v>
      </c>
      <c r="V190" s="6">
        <f>IF(ISERROR(VLOOKUP($S$190,'TAR FIN'!$A$1:$O$85,15,0)),0,VLOOKUP($S$190,'TAR FIN'!$A$1:$O$85,15,0))</f>
        <v>0</v>
      </c>
      <c r="W190" s="6">
        <f>IF(ISERROR(VLOOKUP($T$190,'TAR FIN'!$A$1:$O$85,15,0)),0,VLOOKUP($T$190,'TAR FIN'!$A$1:$O$85,15,0))</f>
        <v>65.61</v>
      </c>
      <c r="X190" s="6">
        <f>IF(ISERROR(VLOOKUP($U$190,'TAR FIN'!$A$1:$O$85,15,0)),0,VLOOKUP($U$190,'TAR FIN'!$A$1:$O$85,15,0))</f>
        <v>263.29000000000002</v>
      </c>
      <c r="Y190" s="6"/>
      <c r="Z190" s="6">
        <f ca="1">('TUSD BE'!$AM$12+'TUSD BF'!$AM$12+'TUSD CVA'!$AM$12)*1</f>
        <v>100.34646310857573</v>
      </c>
      <c r="AA190" s="6">
        <f>('TE BE'!$AA$6+'TE BF'!$AA$6+'TE CVA'!$AA$6)*1</f>
        <v>210.64397598313801</v>
      </c>
      <c r="AB190" s="6">
        <f>$K$190*$V$190</f>
        <v>0</v>
      </c>
      <c r="AC190" s="6">
        <f>$M$190*$W$190</f>
        <v>335.98881</v>
      </c>
      <c r="AD190" s="6">
        <f>$O$190*$X$190</f>
        <v>1348.3080900000002</v>
      </c>
      <c r="AE190" s="6">
        <f>$K$190*$Y$190</f>
        <v>0</v>
      </c>
      <c r="AF190" s="6">
        <f ca="1">$M$190*$Z$190</f>
        <v>513.87423757901638</v>
      </c>
      <c r="AG190" s="6">
        <f>$O$190*$AA$190</f>
        <v>1078.7078010096498</v>
      </c>
    </row>
    <row r="191" spans="1:33" ht="11.25" customHeight="1" x14ac:dyDescent="0.25">
      <c r="A191" s="4" t="s">
        <v>21</v>
      </c>
      <c r="B191" s="4" t="s">
        <v>33</v>
      </c>
      <c r="C191" s="4" t="s">
        <v>34</v>
      </c>
      <c r="D191" s="4" t="s">
        <v>24</v>
      </c>
      <c r="E191" s="4" t="s">
        <v>24</v>
      </c>
      <c r="F191" s="4" t="s">
        <v>25</v>
      </c>
      <c r="G191" s="4" t="s">
        <v>25</v>
      </c>
      <c r="H191" s="4" t="s">
        <v>36</v>
      </c>
      <c r="I191" s="5">
        <v>44531</v>
      </c>
      <c r="J191" s="6">
        <v>0</v>
      </c>
      <c r="K191" s="6">
        <v>0</v>
      </c>
      <c r="L191" s="6">
        <v>3.5230000000000001</v>
      </c>
      <c r="M191" s="6">
        <v>3.5230000000000001</v>
      </c>
      <c r="N191" s="6">
        <v>3.5230000000000001</v>
      </c>
      <c r="O191" s="6">
        <v>3.5230000000000001</v>
      </c>
      <c r="P191" s="6">
        <v>0</v>
      </c>
      <c r="Q191" s="4" t="s">
        <v>26</v>
      </c>
      <c r="R191" s="4">
        <v>0</v>
      </c>
      <c r="S191" s="6">
        <v>0</v>
      </c>
      <c r="T191" s="6">
        <v>8</v>
      </c>
      <c r="U191" s="6">
        <v>49</v>
      </c>
      <c r="V191" s="6">
        <f>IF(ISERROR(VLOOKUP($S$191,'TAR FIN'!$A$1:$O$85,15,0)),0,VLOOKUP($S$191,'TAR FIN'!$A$1:$O$85,15,0))</f>
        <v>0</v>
      </c>
      <c r="W191" s="6">
        <f>IF(ISERROR(VLOOKUP($T$191,'TAR FIN'!$A$1:$O$85,15,0)),0,VLOOKUP($T$191,'TAR FIN'!$A$1:$O$85,15,0))</f>
        <v>65.61</v>
      </c>
      <c r="X191" s="6">
        <f>IF(ISERROR(VLOOKUP($U$191,'TAR FIN'!$A$1:$O$85,15,0)),0,VLOOKUP($U$191,'TAR FIN'!$A$1:$O$85,15,0))</f>
        <v>263.29000000000002</v>
      </c>
      <c r="Y191" s="6"/>
      <c r="Z191" s="6">
        <f ca="1">('TUSD BE'!$AM$12+'TUSD BF'!$AM$12+'TUSD CVA'!$AM$12)*1</f>
        <v>100.34646310857573</v>
      </c>
      <c r="AA191" s="6">
        <f>('TE BE'!$AA$6+'TE BF'!$AA$6+'TE CVA'!$AA$6)*1</f>
        <v>210.64397598313801</v>
      </c>
      <c r="AB191" s="6">
        <f>$K$191*$V$191</f>
        <v>0</v>
      </c>
      <c r="AC191" s="6">
        <f>$M$191*$W$191</f>
        <v>231.14403000000001</v>
      </c>
      <c r="AD191" s="6">
        <f>$O$191*$X$191</f>
        <v>927.57067000000006</v>
      </c>
      <c r="AE191" s="6">
        <f>$K$191*$Y$191</f>
        <v>0</v>
      </c>
      <c r="AF191" s="6">
        <f ca="1">$M$191*$Z$191</f>
        <v>353.52058953151231</v>
      </c>
      <c r="AG191" s="6">
        <f>$O$191*$AA$191</f>
        <v>742.09872738859519</v>
      </c>
    </row>
    <row r="192" spans="1:33" ht="11.25" customHeight="1" x14ac:dyDescent="0.25">
      <c r="A192" s="4" t="s">
        <v>21</v>
      </c>
      <c r="B192" s="4" t="s">
        <v>33</v>
      </c>
      <c r="C192" s="4" t="s">
        <v>34</v>
      </c>
      <c r="D192" s="4" t="s">
        <v>24</v>
      </c>
      <c r="E192" s="4" t="s">
        <v>24</v>
      </c>
      <c r="F192" s="4" t="s">
        <v>25</v>
      </c>
      <c r="G192" s="4" t="s">
        <v>25</v>
      </c>
      <c r="H192" s="4" t="s">
        <v>36</v>
      </c>
      <c r="I192" s="5">
        <v>44562</v>
      </c>
      <c r="J192" s="6">
        <v>0</v>
      </c>
      <c r="K192" s="6">
        <v>0</v>
      </c>
      <c r="L192" s="6">
        <v>3.3450000000000002</v>
      </c>
      <c r="M192" s="6">
        <v>3.3450000000000002</v>
      </c>
      <c r="N192" s="6">
        <v>3.3450000000000002</v>
      </c>
      <c r="O192" s="6">
        <v>3.3450000000000002</v>
      </c>
      <c r="P192" s="6">
        <v>0</v>
      </c>
      <c r="Q192" s="4" t="s">
        <v>26</v>
      </c>
      <c r="R192" s="4">
        <v>0</v>
      </c>
      <c r="S192" s="6">
        <v>0</v>
      </c>
      <c r="T192" s="6">
        <v>8</v>
      </c>
      <c r="U192" s="6">
        <v>49</v>
      </c>
      <c r="V192" s="6">
        <f>IF(ISERROR(VLOOKUP($S$192,'TAR FIN'!$A$1:$O$85,15,0)),0,VLOOKUP($S$192,'TAR FIN'!$A$1:$O$85,15,0))</f>
        <v>0</v>
      </c>
      <c r="W192" s="6">
        <f>IF(ISERROR(VLOOKUP($T$192,'TAR FIN'!$A$1:$O$85,15,0)),0,VLOOKUP($T$192,'TAR FIN'!$A$1:$O$85,15,0))</f>
        <v>65.61</v>
      </c>
      <c r="X192" s="6">
        <f>IF(ISERROR(VLOOKUP($U$192,'TAR FIN'!$A$1:$O$85,15,0)),0,VLOOKUP($U$192,'TAR FIN'!$A$1:$O$85,15,0))</f>
        <v>263.29000000000002</v>
      </c>
      <c r="Y192" s="6"/>
      <c r="Z192" s="6">
        <f ca="1">('TUSD BE'!$AM$12+'TUSD BF'!$AM$12+'TUSD CVA'!$AM$12)*1</f>
        <v>100.34646310857573</v>
      </c>
      <c r="AA192" s="6">
        <f>('TE BE'!$AA$6+'TE BF'!$AA$6+'TE CVA'!$AA$6)*1</f>
        <v>210.64397598313801</v>
      </c>
      <c r="AB192" s="6">
        <f>$K$192*$V$192</f>
        <v>0</v>
      </c>
      <c r="AC192" s="6">
        <f>$M$192*$W$192</f>
        <v>219.46545</v>
      </c>
      <c r="AD192" s="6">
        <f>$O$192*$X$192</f>
        <v>880.70505000000014</v>
      </c>
      <c r="AE192" s="6">
        <f>$K$192*$Y$192</f>
        <v>0</v>
      </c>
      <c r="AF192" s="6">
        <f ca="1">$M$192*$Z$192</f>
        <v>335.65891909818583</v>
      </c>
      <c r="AG192" s="6">
        <f>$O$192*$AA$192</f>
        <v>704.60409966359668</v>
      </c>
    </row>
    <row r="193" spans="1:33" ht="11.25" customHeight="1" x14ac:dyDescent="0.25">
      <c r="A193" s="4" t="s">
        <v>21</v>
      </c>
      <c r="B193" s="4" t="s">
        <v>33</v>
      </c>
      <c r="C193" s="4" t="s">
        <v>34</v>
      </c>
      <c r="D193" s="4" t="s">
        <v>24</v>
      </c>
      <c r="E193" s="4" t="s">
        <v>24</v>
      </c>
      <c r="F193" s="4" t="s">
        <v>25</v>
      </c>
      <c r="G193" s="4" t="s">
        <v>25</v>
      </c>
      <c r="H193" s="4" t="s">
        <v>36</v>
      </c>
      <c r="I193" s="5">
        <v>44593</v>
      </c>
      <c r="J193" s="6">
        <v>0</v>
      </c>
      <c r="K193" s="6">
        <v>0</v>
      </c>
      <c r="L193" s="6">
        <v>3.5070000000000001</v>
      </c>
      <c r="M193" s="6">
        <v>3.5070000000000001</v>
      </c>
      <c r="N193" s="6">
        <v>3.5070000000000001</v>
      </c>
      <c r="O193" s="6">
        <v>3.5070000000000001</v>
      </c>
      <c r="P193" s="6">
        <v>0</v>
      </c>
      <c r="Q193" s="4" t="s">
        <v>26</v>
      </c>
      <c r="R193" s="4">
        <v>0</v>
      </c>
      <c r="S193" s="6">
        <v>0</v>
      </c>
      <c r="T193" s="6">
        <v>8</v>
      </c>
      <c r="U193" s="6">
        <v>49</v>
      </c>
      <c r="V193" s="6">
        <f>IF(ISERROR(VLOOKUP($S$193,'TAR FIN'!$A$1:$O$85,15,0)),0,VLOOKUP($S$193,'TAR FIN'!$A$1:$O$85,15,0))</f>
        <v>0</v>
      </c>
      <c r="W193" s="6">
        <f>IF(ISERROR(VLOOKUP($T$193,'TAR FIN'!$A$1:$O$85,15,0)),0,VLOOKUP($T$193,'TAR FIN'!$A$1:$O$85,15,0))</f>
        <v>65.61</v>
      </c>
      <c r="X193" s="6">
        <f>IF(ISERROR(VLOOKUP($U$193,'TAR FIN'!$A$1:$O$85,15,0)),0,VLOOKUP($U$193,'TAR FIN'!$A$1:$O$85,15,0))</f>
        <v>263.29000000000002</v>
      </c>
      <c r="Y193" s="6"/>
      <c r="Z193" s="6">
        <f ca="1">('TUSD BE'!$AM$12+'TUSD BF'!$AM$12+'TUSD CVA'!$AM$12)*1</f>
        <v>100.34646310857573</v>
      </c>
      <c r="AA193" s="6">
        <f>('TE BE'!$AA$6+'TE BF'!$AA$6+'TE CVA'!$AA$6)*1</f>
        <v>210.64397598313801</v>
      </c>
      <c r="AB193" s="6">
        <f>$K$193*$V$193</f>
        <v>0</v>
      </c>
      <c r="AC193" s="6">
        <f>$M$193*$W$193</f>
        <v>230.09426999999999</v>
      </c>
      <c r="AD193" s="6">
        <f>$O$193*$X$193</f>
        <v>923.3580300000001</v>
      </c>
      <c r="AE193" s="6">
        <f>$K$193*$Y$193</f>
        <v>0</v>
      </c>
      <c r="AF193" s="6">
        <f ca="1">$M$193*$Z$193</f>
        <v>351.91504612177511</v>
      </c>
      <c r="AG193" s="6">
        <f>$O$193*$AA$193</f>
        <v>738.72842377286497</v>
      </c>
    </row>
    <row r="194" spans="1:33" ht="11.25" customHeight="1" x14ac:dyDescent="0.25">
      <c r="A194" s="4" t="s">
        <v>21</v>
      </c>
      <c r="B194" s="4" t="s">
        <v>33</v>
      </c>
      <c r="C194" s="4" t="s">
        <v>34</v>
      </c>
      <c r="D194" s="4" t="s">
        <v>24</v>
      </c>
      <c r="E194" s="4" t="s">
        <v>24</v>
      </c>
      <c r="F194" s="4" t="s">
        <v>25</v>
      </c>
      <c r="G194" s="4" t="s">
        <v>25</v>
      </c>
      <c r="H194" s="4" t="s">
        <v>36</v>
      </c>
      <c r="I194" s="5">
        <v>44621</v>
      </c>
      <c r="J194" s="6">
        <v>0</v>
      </c>
      <c r="K194" s="6">
        <v>0</v>
      </c>
      <c r="L194" s="6">
        <v>4.3849999999999998</v>
      </c>
      <c r="M194" s="6">
        <v>4.3849999999999998</v>
      </c>
      <c r="N194" s="6">
        <v>4.3849999999999998</v>
      </c>
      <c r="O194" s="6">
        <v>4.3849999999999998</v>
      </c>
      <c r="P194" s="6">
        <v>0</v>
      </c>
      <c r="Q194" s="4" t="s">
        <v>26</v>
      </c>
      <c r="R194" s="4">
        <v>0</v>
      </c>
      <c r="S194" s="6">
        <v>0</v>
      </c>
      <c r="T194" s="6">
        <v>8</v>
      </c>
      <c r="U194" s="6">
        <v>49</v>
      </c>
      <c r="V194" s="6">
        <f>IF(ISERROR(VLOOKUP($S$194,'TAR FIN'!$A$1:$O$85,15,0)),0,VLOOKUP($S$194,'TAR FIN'!$A$1:$O$85,15,0))</f>
        <v>0</v>
      </c>
      <c r="W194" s="6">
        <f>IF(ISERROR(VLOOKUP($T$194,'TAR FIN'!$A$1:$O$85,15,0)),0,VLOOKUP($T$194,'TAR FIN'!$A$1:$O$85,15,0))</f>
        <v>65.61</v>
      </c>
      <c r="X194" s="6">
        <f>IF(ISERROR(VLOOKUP($U$194,'TAR FIN'!$A$1:$O$85,15,0)),0,VLOOKUP($U$194,'TAR FIN'!$A$1:$O$85,15,0))</f>
        <v>263.29000000000002</v>
      </c>
      <c r="Y194" s="6"/>
      <c r="Z194" s="6">
        <f ca="1">('TUSD BE'!$AM$12+'TUSD BF'!$AM$12+'TUSD CVA'!$AM$12)*1</f>
        <v>100.34646310857573</v>
      </c>
      <c r="AA194" s="6">
        <f>('TE BE'!$AA$6+'TE BF'!$AA$6+'TE CVA'!$AA$6)*1</f>
        <v>210.64397598313801</v>
      </c>
      <c r="AB194" s="6">
        <f>$K$194*$V$194</f>
        <v>0</v>
      </c>
      <c r="AC194" s="6">
        <f>$M$194*$W$194</f>
        <v>287.69984999999997</v>
      </c>
      <c r="AD194" s="6">
        <f>$O$194*$X$194</f>
        <v>1154.52665</v>
      </c>
      <c r="AE194" s="6">
        <f>$K$194*$Y$194</f>
        <v>0</v>
      </c>
      <c r="AF194" s="6">
        <f ca="1">$M$194*$Z$194</f>
        <v>440.01924073110456</v>
      </c>
      <c r="AG194" s="6">
        <f>$O$194*$AA$194</f>
        <v>923.6738346860601</v>
      </c>
    </row>
    <row r="195" spans="1:33" ht="11.25" customHeight="1" x14ac:dyDescent="0.25">
      <c r="A195" s="4" t="s">
        <v>21</v>
      </c>
      <c r="B195" s="4" t="s">
        <v>33</v>
      </c>
      <c r="C195" s="4" t="s">
        <v>34</v>
      </c>
      <c r="D195" s="4" t="s">
        <v>24</v>
      </c>
      <c r="E195" s="4" t="s">
        <v>24</v>
      </c>
      <c r="F195" s="4" t="s">
        <v>25</v>
      </c>
      <c r="G195" s="4" t="s">
        <v>25</v>
      </c>
      <c r="H195" s="4" t="s">
        <v>36</v>
      </c>
      <c r="I195" s="5">
        <v>44652</v>
      </c>
      <c r="J195" s="6">
        <v>0</v>
      </c>
      <c r="K195" s="6">
        <v>0</v>
      </c>
      <c r="L195" s="6">
        <v>7.3390000000000004</v>
      </c>
      <c r="M195" s="6">
        <v>7.3390000000000004</v>
      </c>
      <c r="N195" s="6">
        <v>7.3390000000000004</v>
      </c>
      <c r="O195" s="6">
        <v>7.3390000000000004</v>
      </c>
      <c r="P195" s="6">
        <v>0</v>
      </c>
      <c r="Q195" s="4" t="s">
        <v>26</v>
      </c>
      <c r="R195" s="4">
        <v>0</v>
      </c>
      <c r="S195" s="6">
        <v>0</v>
      </c>
      <c r="T195" s="6">
        <v>8</v>
      </c>
      <c r="U195" s="6">
        <v>49</v>
      </c>
      <c r="V195" s="6">
        <f>IF(ISERROR(VLOOKUP($S$195,'TAR FIN'!$A$1:$O$85,15,0)),0,VLOOKUP($S$195,'TAR FIN'!$A$1:$O$85,15,0))</f>
        <v>0</v>
      </c>
      <c r="W195" s="6">
        <f>IF(ISERROR(VLOOKUP($T$195,'TAR FIN'!$A$1:$O$85,15,0)),0,VLOOKUP($T$195,'TAR FIN'!$A$1:$O$85,15,0))</f>
        <v>65.61</v>
      </c>
      <c r="X195" s="6">
        <f>IF(ISERROR(VLOOKUP($U$195,'TAR FIN'!$A$1:$O$85,15,0)),0,VLOOKUP($U$195,'TAR FIN'!$A$1:$O$85,15,0))</f>
        <v>263.29000000000002</v>
      </c>
      <c r="Y195" s="6"/>
      <c r="Z195" s="6">
        <f ca="1">('TUSD BE'!$AM$12+'TUSD BF'!$AM$12+'TUSD CVA'!$AM$12)*1</f>
        <v>100.34646310857573</v>
      </c>
      <c r="AA195" s="6">
        <f>('TE BE'!$AA$6+'TE BF'!$AA$6+'TE CVA'!$AA$6)*1</f>
        <v>210.64397598313801</v>
      </c>
      <c r="AB195" s="6">
        <f>$K$195*$V$195</f>
        <v>0</v>
      </c>
      <c r="AC195" s="6">
        <f>$M$195*$W$195</f>
        <v>481.51179000000002</v>
      </c>
      <c r="AD195" s="6">
        <f>$O$195*$X$195</f>
        <v>1932.2853100000002</v>
      </c>
      <c r="AE195" s="6">
        <f>$K$195*$Y$195</f>
        <v>0</v>
      </c>
      <c r="AF195" s="6">
        <f ca="1">$M$195*$Z$195</f>
        <v>736.44269275383738</v>
      </c>
      <c r="AG195" s="6">
        <f>$O$195*$AA$195</f>
        <v>1545.9161397402499</v>
      </c>
    </row>
    <row r="196" spans="1:33" ht="11.25" customHeight="1" x14ac:dyDescent="0.25">
      <c r="A196" s="4" t="s">
        <v>21</v>
      </c>
      <c r="B196" s="4" t="s">
        <v>33</v>
      </c>
      <c r="C196" s="4" t="s">
        <v>34</v>
      </c>
      <c r="D196" s="4" t="s">
        <v>24</v>
      </c>
      <c r="E196" s="4" t="s">
        <v>24</v>
      </c>
      <c r="F196" s="4" t="s">
        <v>25</v>
      </c>
      <c r="G196" s="4" t="s">
        <v>25</v>
      </c>
      <c r="H196" s="4" t="s">
        <v>25</v>
      </c>
      <c r="I196" s="5">
        <v>44317</v>
      </c>
      <c r="J196" s="6">
        <v>50</v>
      </c>
      <c r="K196" s="6">
        <v>50</v>
      </c>
      <c r="L196" s="6">
        <v>0</v>
      </c>
      <c r="M196" s="6">
        <v>0</v>
      </c>
      <c r="N196" s="6">
        <v>0</v>
      </c>
      <c r="O196" s="6">
        <v>0</v>
      </c>
      <c r="P196" s="6">
        <v>1</v>
      </c>
      <c r="Q196" s="4" t="s">
        <v>26</v>
      </c>
      <c r="R196" s="4">
        <v>0</v>
      </c>
      <c r="S196" s="6">
        <v>6</v>
      </c>
      <c r="T196" s="6">
        <v>0</v>
      </c>
      <c r="U196" s="6">
        <v>0</v>
      </c>
      <c r="V196" s="6">
        <f>IF(ISERROR(VLOOKUP($S$196,'TAR FIN'!$A$1:$O$85,15,0)),0,VLOOKUP($S$196,'TAR FIN'!$A$1:$O$85,15,0))</f>
        <v>19.32</v>
      </c>
      <c r="W196" s="6">
        <f>IF(ISERROR(VLOOKUP($T$196,'TAR FIN'!$A$1:$O$85,15,0)),0,VLOOKUP($T$196,'TAR FIN'!$A$1:$O$85,15,0))</f>
        <v>0</v>
      </c>
      <c r="X196" s="6">
        <f>IF(ISERROR(VLOOKUP($U$196,'TAR FIN'!$A$1:$O$85,15,0)),0,VLOOKUP($U$196,'TAR FIN'!$A$1:$O$85,15,0))</f>
        <v>0</v>
      </c>
      <c r="Y196" s="6">
        <f ca="1">('TUSD BE'!$AM$10+'TUSD BF'!$AM$10+'TUSD CVA'!$AM$10)*1</f>
        <v>16.680041929169654</v>
      </c>
      <c r="Z196" s="6"/>
      <c r="AA196" s="6"/>
      <c r="AB196" s="6">
        <f>$K$196*$V$196</f>
        <v>966</v>
      </c>
      <c r="AC196" s="6">
        <f>$M$196*$W$196</f>
        <v>0</v>
      </c>
      <c r="AD196" s="6">
        <f>$O$196*$X$196</f>
        <v>0</v>
      </c>
      <c r="AE196" s="6">
        <f ca="1">$K$196*$Y$196</f>
        <v>834.0020964584827</v>
      </c>
      <c r="AF196" s="6">
        <f>$M$196*$Z$196</f>
        <v>0</v>
      </c>
      <c r="AG196" s="6">
        <f>$O$196*$AA$196</f>
        <v>0</v>
      </c>
    </row>
    <row r="197" spans="1:33" ht="11.25" customHeight="1" x14ac:dyDescent="0.25">
      <c r="A197" s="4" t="s">
        <v>21</v>
      </c>
      <c r="B197" s="4" t="s">
        <v>33</v>
      </c>
      <c r="C197" s="4" t="s">
        <v>34</v>
      </c>
      <c r="D197" s="4" t="s">
        <v>24</v>
      </c>
      <c r="E197" s="4" t="s">
        <v>24</v>
      </c>
      <c r="F197" s="4" t="s">
        <v>25</v>
      </c>
      <c r="G197" s="4" t="s">
        <v>25</v>
      </c>
      <c r="H197" s="4" t="s">
        <v>25</v>
      </c>
      <c r="I197" s="5">
        <v>44348</v>
      </c>
      <c r="J197" s="6">
        <v>50</v>
      </c>
      <c r="K197" s="6">
        <v>50</v>
      </c>
      <c r="L197" s="6">
        <v>0</v>
      </c>
      <c r="M197" s="6">
        <v>0</v>
      </c>
      <c r="N197" s="6">
        <v>0</v>
      </c>
      <c r="O197" s="6">
        <v>0</v>
      </c>
      <c r="P197" s="6">
        <v>1</v>
      </c>
      <c r="Q197" s="4" t="s">
        <v>26</v>
      </c>
      <c r="R197" s="4">
        <v>0</v>
      </c>
      <c r="S197" s="6">
        <v>6</v>
      </c>
      <c r="T197" s="6">
        <v>0</v>
      </c>
      <c r="U197" s="6">
        <v>0</v>
      </c>
      <c r="V197" s="6">
        <f>IF(ISERROR(VLOOKUP($S$197,'TAR FIN'!$A$1:$O$85,15,0)),0,VLOOKUP($S$197,'TAR FIN'!$A$1:$O$85,15,0))</f>
        <v>19.32</v>
      </c>
      <c r="W197" s="6">
        <f>IF(ISERROR(VLOOKUP($T$197,'TAR FIN'!$A$1:$O$85,15,0)),0,VLOOKUP($T$197,'TAR FIN'!$A$1:$O$85,15,0))</f>
        <v>0</v>
      </c>
      <c r="X197" s="6">
        <f>IF(ISERROR(VLOOKUP($U$197,'TAR FIN'!$A$1:$O$85,15,0)),0,VLOOKUP($U$197,'TAR FIN'!$A$1:$O$85,15,0))</f>
        <v>0</v>
      </c>
      <c r="Y197" s="6">
        <f ca="1">('TUSD BE'!$AM$10+'TUSD BF'!$AM$10+'TUSD CVA'!$AM$10)*1</f>
        <v>16.680041929169654</v>
      </c>
      <c r="Z197" s="6"/>
      <c r="AA197" s="6"/>
      <c r="AB197" s="6">
        <f>$K$197*$V$197</f>
        <v>966</v>
      </c>
      <c r="AC197" s="6">
        <f>$M$197*$W$197</f>
        <v>0</v>
      </c>
      <c r="AD197" s="6">
        <f>$O$197*$X$197</f>
        <v>0</v>
      </c>
      <c r="AE197" s="6">
        <f ca="1">$K$197*$Y$197</f>
        <v>834.0020964584827</v>
      </c>
      <c r="AF197" s="6">
        <f>$M$197*$Z$197</f>
        <v>0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33</v>
      </c>
      <c r="C198" s="4" t="s">
        <v>34</v>
      </c>
      <c r="D198" s="4" t="s">
        <v>24</v>
      </c>
      <c r="E198" s="4" t="s">
        <v>24</v>
      </c>
      <c r="F198" s="4" t="s">
        <v>25</v>
      </c>
      <c r="G198" s="4" t="s">
        <v>25</v>
      </c>
      <c r="H198" s="4" t="s">
        <v>25</v>
      </c>
      <c r="I198" s="5">
        <v>44378</v>
      </c>
      <c r="J198" s="6">
        <v>50</v>
      </c>
      <c r="K198" s="6">
        <v>50</v>
      </c>
      <c r="L198" s="6">
        <v>0</v>
      </c>
      <c r="M198" s="6">
        <v>0</v>
      </c>
      <c r="N198" s="6">
        <v>0</v>
      </c>
      <c r="O198" s="6">
        <v>0</v>
      </c>
      <c r="P198" s="6">
        <v>1</v>
      </c>
      <c r="Q198" s="4" t="s">
        <v>26</v>
      </c>
      <c r="R198" s="4">
        <v>0</v>
      </c>
      <c r="S198" s="6">
        <v>6</v>
      </c>
      <c r="T198" s="6">
        <v>0</v>
      </c>
      <c r="U198" s="6">
        <v>0</v>
      </c>
      <c r="V198" s="6">
        <f>IF(ISERROR(VLOOKUP($S$198,'TAR FIN'!$A$1:$O$85,15,0)),0,VLOOKUP($S$198,'TAR FIN'!$A$1:$O$85,15,0))</f>
        <v>19.32</v>
      </c>
      <c r="W198" s="6">
        <f>IF(ISERROR(VLOOKUP($T$198,'TAR FIN'!$A$1:$O$85,15,0)),0,VLOOKUP($T$198,'TAR FIN'!$A$1:$O$85,15,0))</f>
        <v>0</v>
      </c>
      <c r="X198" s="6">
        <f>IF(ISERROR(VLOOKUP($U$198,'TAR FIN'!$A$1:$O$85,15,0)),0,VLOOKUP($U$198,'TAR FIN'!$A$1:$O$85,15,0))</f>
        <v>0</v>
      </c>
      <c r="Y198" s="6">
        <f ca="1">('TUSD BE'!$AM$10+'TUSD BF'!$AM$10+'TUSD CVA'!$AM$10)*1</f>
        <v>16.680041929169654</v>
      </c>
      <c r="Z198" s="6"/>
      <c r="AA198" s="6"/>
      <c r="AB198" s="6">
        <f>$K$198*$V$198</f>
        <v>966</v>
      </c>
      <c r="AC198" s="6">
        <f>$M$198*$W$198</f>
        <v>0</v>
      </c>
      <c r="AD198" s="6">
        <f>$O$198*$X$198</f>
        <v>0</v>
      </c>
      <c r="AE198" s="6">
        <f ca="1">$K$198*$Y$198</f>
        <v>834.0020964584827</v>
      </c>
      <c r="AF198" s="6">
        <f>$M$198*$Z$198</f>
        <v>0</v>
      </c>
      <c r="AG198" s="6">
        <f>$O$198*$AA$198</f>
        <v>0</v>
      </c>
    </row>
    <row r="199" spans="1:33" ht="11.25" customHeight="1" x14ac:dyDescent="0.25">
      <c r="A199" s="4" t="s">
        <v>21</v>
      </c>
      <c r="B199" s="4" t="s">
        <v>33</v>
      </c>
      <c r="C199" s="4" t="s">
        <v>34</v>
      </c>
      <c r="D199" s="4" t="s">
        <v>24</v>
      </c>
      <c r="E199" s="4" t="s">
        <v>24</v>
      </c>
      <c r="F199" s="4" t="s">
        <v>25</v>
      </c>
      <c r="G199" s="4" t="s">
        <v>25</v>
      </c>
      <c r="H199" s="4" t="s">
        <v>25</v>
      </c>
      <c r="I199" s="5">
        <v>44409</v>
      </c>
      <c r="J199" s="6">
        <v>50</v>
      </c>
      <c r="K199" s="6">
        <v>50</v>
      </c>
      <c r="L199" s="6">
        <v>0</v>
      </c>
      <c r="M199" s="6">
        <v>0</v>
      </c>
      <c r="N199" s="6">
        <v>0</v>
      </c>
      <c r="O199" s="6">
        <v>0</v>
      </c>
      <c r="P199" s="6">
        <v>1</v>
      </c>
      <c r="Q199" s="4" t="s">
        <v>26</v>
      </c>
      <c r="R199" s="4">
        <v>0</v>
      </c>
      <c r="S199" s="6">
        <v>6</v>
      </c>
      <c r="T199" s="6">
        <v>0</v>
      </c>
      <c r="U199" s="6">
        <v>0</v>
      </c>
      <c r="V199" s="6">
        <f>IF(ISERROR(VLOOKUP($S$199,'TAR FIN'!$A$1:$O$85,15,0)),0,VLOOKUP($S$199,'TAR FIN'!$A$1:$O$85,15,0))</f>
        <v>19.32</v>
      </c>
      <c r="W199" s="6">
        <f>IF(ISERROR(VLOOKUP($T$199,'TAR FIN'!$A$1:$O$85,15,0)),0,VLOOKUP($T$199,'TAR FIN'!$A$1:$O$85,15,0))</f>
        <v>0</v>
      </c>
      <c r="X199" s="6">
        <f>IF(ISERROR(VLOOKUP($U$199,'TAR FIN'!$A$1:$O$85,15,0)),0,VLOOKUP($U$199,'TAR FIN'!$A$1:$O$85,15,0))</f>
        <v>0</v>
      </c>
      <c r="Y199" s="6">
        <f ca="1">('TUSD BE'!$AM$10+'TUSD BF'!$AM$10+'TUSD CVA'!$AM$10)*1</f>
        <v>16.680041929169654</v>
      </c>
      <c r="Z199" s="6"/>
      <c r="AA199" s="6"/>
      <c r="AB199" s="6">
        <f>$K$199*$V$199</f>
        <v>966</v>
      </c>
      <c r="AC199" s="6">
        <f>$M$199*$W$199</f>
        <v>0</v>
      </c>
      <c r="AD199" s="6">
        <f>$O$199*$X$199</f>
        <v>0</v>
      </c>
      <c r="AE199" s="6">
        <f ca="1">$K$199*$Y$199</f>
        <v>834.0020964584827</v>
      </c>
      <c r="AF199" s="6">
        <f>$M$199*$Z$199</f>
        <v>0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33</v>
      </c>
      <c r="C200" s="4" t="s">
        <v>34</v>
      </c>
      <c r="D200" s="4" t="s">
        <v>24</v>
      </c>
      <c r="E200" s="4" t="s">
        <v>24</v>
      </c>
      <c r="F200" s="4" t="s">
        <v>25</v>
      </c>
      <c r="G200" s="4" t="s">
        <v>25</v>
      </c>
      <c r="H200" s="4" t="s">
        <v>25</v>
      </c>
      <c r="I200" s="5">
        <v>44440</v>
      </c>
      <c r="J200" s="6">
        <v>50</v>
      </c>
      <c r="K200" s="6">
        <v>50</v>
      </c>
      <c r="L200" s="6">
        <v>0</v>
      </c>
      <c r="M200" s="6">
        <v>0</v>
      </c>
      <c r="N200" s="6">
        <v>0</v>
      </c>
      <c r="O200" s="6">
        <v>0</v>
      </c>
      <c r="P200" s="6">
        <v>1</v>
      </c>
      <c r="Q200" s="4" t="s">
        <v>26</v>
      </c>
      <c r="R200" s="4">
        <v>0</v>
      </c>
      <c r="S200" s="6">
        <v>6</v>
      </c>
      <c r="T200" s="6">
        <v>0</v>
      </c>
      <c r="U200" s="6">
        <v>0</v>
      </c>
      <c r="V200" s="6">
        <f>IF(ISERROR(VLOOKUP($S$200,'TAR FIN'!$A$1:$O$85,15,0)),0,VLOOKUP($S$200,'TAR FIN'!$A$1:$O$85,15,0))</f>
        <v>19.32</v>
      </c>
      <c r="W200" s="6">
        <f>IF(ISERROR(VLOOKUP($T$200,'TAR FIN'!$A$1:$O$85,15,0)),0,VLOOKUP($T$200,'TAR FIN'!$A$1:$O$85,15,0))</f>
        <v>0</v>
      </c>
      <c r="X200" s="6">
        <f>IF(ISERROR(VLOOKUP($U$200,'TAR FIN'!$A$1:$O$85,15,0)),0,VLOOKUP($U$200,'TAR FIN'!$A$1:$O$85,15,0))</f>
        <v>0</v>
      </c>
      <c r="Y200" s="6">
        <f ca="1">('TUSD BE'!$AM$10+'TUSD BF'!$AM$10+'TUSD CVA'!$AM$10)*1</f>
        <v>16.680041929169654</v>
      </c>
      <c r="Z200" s="6"/>
      <c r="AA200" s="6"/>
      <c r="AB200" s="6">
        <f>$K$200*$V$200</f>
        <v>966</v>
      </c>
      <c r="AC200" s="6">
        <f>$M$200*$W$200</f>
        <v>0</v>
      </c>
      <c r="AD200" s="6">
        <f>$O$200*$X$200</f>
        <v>0</v>
      </c>
      <c r="AE200" s="6">
        <f ca="1">$K$200*$Y$200</f>
        <v>834.0020964584827</v>
      </c>
      <c r="AF200" s="6">
        <f>$M$200*$Z$200</f>
        <v>0</v>
      </c>
      <c r="AG200" s="6">
        <f>$O$200*$AA$200</f>
        <v>0</v>
      </c>
    </row>
    <row r="201" spans="1:33" ht="11.25" customHeight="1" x14ac:dyDescent="0.25">
      <c r="A201" s="4" t="s">
        <v>21</v>
      </c>
      <c r="B201" s="4" t="s">
        <v>33</v>
      </c>
      <c r="C201" s="4" t="s">
        <v>34</v>
      </c>
      <c r="D201" s="4" t="s">
        <v>24</v>
      </c>
      <c r="E201" s="4" t="s">
        <v>24</v>
      </c>
      <c r="F201" s="4" t="s">
        <v>25</v>
      </c>
      <c r="G201" s="4" t="s">
        <v>25</v>
      </c>
      <c r="H201" s="4" t="s">
        <v>25</v>
      </c>
      <c r="I201" s="5">
        <v>44470</v>
      </c>
      <c r="J201" s="6">
        <v>50</v>
      </c>
      <c r="K201" s="6">
        <v>50</v>
      </c>
      <c r="L201" s="6">
        <v>0</v>
      </c>
      <c r="M201" s="6">
        <v>0</v>
      </c>
      <c r="N201" s="6">
        <v>0</v>
      </c>
      <c r="O201" s="6">
        <v>0</v>
      </c>
      <c r="P201" s="6">
        <v>1</v>
      </c>
      <c r="Q201" s="4" t="s">
        <v>26</v>
      </c>
      <c r="R201" s="4">
        <v>0</v>
      </c>
      <c r="S201" s="6">
        <v>6</v>
      </c>
      <c r="T201" s="6">
        <v>0</v>
      </c>
      <c r="U201" s="6">
        <v>0</v>
      </c>
      <c r="V201" s="6">
        <f>IF(ISERROR(VLOOKUP($S$201,'TAR FIN'!$A$1:$O$85,15,0)),0,VLOOKUP($S$201,'TAR FIN'!$A$1:$O$85,15,0))</f>
        <v>19.32</v>
      </c>
      <c r="W201" s="6">
        <f>IF(ISERROR(VLOOKUP($T$201,'TAR FIN'!$A$1:$O$85,15,0)),0,VLOOKUP($T$201,'TAR FIN'!$A$1:$O$85,15,0))</f>
        <v>0</v>
      </c>
      <c r="X201" s="6">
        <f>IF(ISERROR(VLOOKUP($U$201,'TAR FIN'!$A$1:$O$85,15,0)),0,VLOOKUP($U$201,'TAR FIN'!$A$1:$O$85,15,0))</f>
        <v>0</v>
      </c>
      <c r="Y201" s="6">
        <f ca="1">('TUSD BE'!$AM$10+'TUSD BF'!$AM$10+'TUSD CVA'!$AM$10)*1</f>
        <v>16.680041929169654</v>
      </c>
      <c r="Z201" s="6"/>
      <c r="AA201" s="6"/>
      <c r="AB201" s="6">
        <f>$K$201*$V$201</f>
        <v>966</v>
      </c>
      <c r="AC201" s="6">
        <f>$M$201*$W$201</f>
        <v>0</v>
      </c>
      <c r="AD201" s="6">
        <f>$O$201*$X$201</f>
        <v>0</v>
      </c>
      <c r="AE201" s="6">
        <f ca="1">$K$201*$Y$201</f>
        <v>834.0020964584827</v>
      </c>
      <c r="AF201" s="6">
        <f>$M$201*$Z$201</f>
        <v>0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33</v>
      </c>
      <c r="C202" s="4" t="s">
        <v>34</v>
      </c>
      <c r="D202" s="4" t="s">
        <v>24</v>
      </c>
      <c r="E202" s="4" t="s">
        <v>24</v>
      </c>
      <c r="F202" s="4" t="s">
        <v>25</v>
      </c>
      <c r="G202" s="4" t="s">
        <v>25</v>
      </c>
      <c r="H202" s="4" t="s">
        <v>25</v>
      </c>
      <c r="I202" s="5">
        <v>44501</v>
      </c>
      <c r="J202" s="6">
        <v>50</v>
      </c>
      <c r="K202" s="6">
        <v>50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4" t="s">
        <v>26</v>
      </c>
      <c r="R202" s="4">
        <v>0</v>
      </c>
      <c r="S202" s="6">
        <v>6</v>
      </c>
      <c r="T202" s="6">
        <v>0</v>
      </c>
      <c r="U202" s="6">
        <v>0</v>
      </c>
      <c r="V202" s="6">
        <f>IF(ISERROR(VLOOKUP($S$202,'TAR FIN'!$A$1:$O$85,15,0)),0,VLOOKUP($S$202,'TAR FIN'!$A$1:$O$85,15,0))</f>
        <v>19.32</v>
      </c>
      <c r="W202" s="6">
        <f>IF(ISERROR(VLOOKUP($T$202,'TAR FIN'!$A$1:$O$85,15,0)),0,VLOOKUP($T$202,'TAR FIN'!$A$1:$O$85,15,0))</f>
        <v>0</v>
      </c>
      <c r="X202" s="6">
        <f>IF(ISERROR(VLOOKUP($U$202,'TAR FIN'!$A$1:$O$85,15,0)),0,VLOOKUP($U$202,'TAR FIN'!$A$1:$O$85,15,0))</f>
        <v>0</v>
      </c>
      <c r="Y202" s="6">
        <f ca="1">('TUSD BE'!$AM$10+'TUSD BF'!$AM$10+'TUSD CVA'!$AM$10)*1</f>
        <v>16.680041929169654</v>
      </c>
      <c r="Z202" s="6"/>
      <c r="AA202" s="6"/>
      <c r="AB202" s="6">
        <f>$K$202*$V$202</f>
        <v>966</v>
      </c>
      <c r="AC202" s="6">
        <f>$M$202*$W$202</f>
        <v>0</v>
      </c>
      <c r="AD202" s="6">
        <f>$O$202*$X$202</f>
        <v>0</v>
      </c>
      <c r="AE202" s="6">
        <f ca="1">$K$202*$Y$202</f>
        <v>834.0020964584827</v>
      </c>
      <c r="AF202" s="6">
        <f>$M$202*$Z$202</f>
        <v>0</v>
      </c>
      <c r="AG202" s="6">
        <f>$O$202*$AA$202</f>
        <v>0</v>
      </c>
    </row>
    <row r="203" spans="1:33" ht="11.25" customHeight="1" x14ac:dyDescent="0.25">
      <c r="A203" s="4" t="s">
        <v>21</v>
      </c>
      <c r="B203" s="4" t="s">
        <v>33</v>
      </c>
      <c r="C203" s="4" t="s">
        <v>34</v>
      </c>
      <c r="D203" s="4" t="s">
        <v>24</v>
      </c>
      <c r="E203" s="4" t="s">
        <v>24</v>
      </c>
      <c r="F203" s="4" t="s">
        <v>25</v>
      </c>
      <c r="G203" s="4" t="s">
        <v>25</v>
      </c>
      <c r="H203" s="4" t="s">
        <v>25</v>
      </c>
      <c r="I203" s="5">
        <v>44531</v>
      </c>
      <c r="J203" s="6">
        <v>50</v>
      </c>
      <c r="K203" s="6">
        <v>50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4" t="s">
        <v>26</v>
      </c>
      <c r="R203" s="4">
        <v>0</v>
      </c>
      <c r="S203" s="6">
        <v>6</v>
      </c>
      <c r="T203" s="6">
        <v>0</v>
      </c>
      <c r="U203" s="6">
        <v>0</v>
      </c>
      <c r="V203" s="6">
        <f>IF(ISERROR(VLOOKUP($S$203,'TAR FIN'!$A$1:$O$85,15,0)),0,VLOOKUP($S$203,'TAR FIN'!$A$1:$O$85,15,0))</f>
        <v>19.32</v>
      </c>
      <c r="W203" s="6">
        <f>IF(ISERROR(VLOOKUP($T$203,'TAR FIN'!$A$1:$O$85,15,0)),0,VLOOKUP($T$203,'TAR FIN'!$A$1:$O$85,15,0))</f>
        <v>0</v>
      </c>
      <c r="X203" s="6">
        <f>IF(ISERROR(VLOOKUP($U$203,'TAR FIN'!$A$1:$O$85,15,0)),0,VLOOKUP($U$203,'TAR FIN'!$A$1:$O$85,15,0))</f>
        <v>0</v>
      </c>
      <c r="Y203" s="6">
        <f ca="1">('TUSD BE'!$AM$10+'TUSD BF'!$AM$10+'TUSD CVA'!$AM$10)*1</f>
        <v>16.680041929169654</v>
      </c>
      <c r="Z203" s="6"/>
      <c r="AA203" s="6"/>
      <c r="AB203" s="6">
        <f>$K$203*$V$203</f>
        <v>966</v>
      </c>
      <c r="AC203" s="6">
        <f>$M$203*$W$203</f>
        <v>0</v>
      </c>
      <c r="AD203" s="6">
        <f>$O$203*$X$203</f>
        <v>0</v>
      </c>
      <c r="AE203" s="6">
        <f ca="1">$K$203*$Y$203</f>
        <v>834.0020964584827</v>
      </c>
      <c r="AF203" s="6">
        <f>$M$203*$Z$203</f>
        <v>0</v>
      </c>
      <c r="AG203" s="6">
        <f>$O$203*$AA$203</f>
        <v>0</v>
      </c>
    </row>
    <row r="204" spans="1:33" ht="11.25" customHeight="1" x14ac:dyDescent="0.25">
      <c r="A204" s="4" t="s">
        <v>21</v>
      </c>
      <c r="B204" s="4" t="s">
        <v>33</v>
      </c>
      <c r="C204" s="4" t="s">
        <v>34</v>
      </c>
      <c r="D204" s="4" t="s">
        <v>24</v>
      </c>
      <c r="E204" s="4" t="s">
        <v>24</v>
      </c>
      <c r="F204" s="4" t="s">
        <v>25</v>
      </c>
      <c r="G204" s="4" t="s">
        <v>25</v>
      </c>
      <c r="H204" s="4" t="s">
        <v>25</v>
      </c>
      <c r="I204" s="5">
        <v>44562</v>
      </c>
      <c r="J204" s="6">
        <v>50</v>
      </c>
      <c r="K204" s="6">
        <v>50</v>
      </c>
      <c r="L204" s="6">
        <v>0</v>
      </c>
      <c r="M204" s="6">
        <v>0</v>
      </c>
      <c r="N204" s="6">
        <v>0</v>
      </c>
      <c r="O204" s="6">
        <v>0</v>
      </c>
      <c r="P204" s="6">
        <v>1</v>
      </c>
      <c r="Q204" s="4" t="s">
        <v>26</v>
      </c>
      <c r="R204" s="4">
        <v>0</v>
      </c>
      <c r="S204" s="6">
        <v>6</v>
      </c>
      <c r="T204" s="6">
        <v>0</v>
      </c>
      <c r="U204" s="6">
        <v>0</v>
      </c>
      <c r="V204" s="6">
        <f>IF(ISERROR(VLOOKUP($S$204,'TAR FIN'!$A$1:$O$85,15,0)),0,VLOOKUP($S$204,'TAR FIN'!$A$1:$O$85,15,0))</f>
        <v>19.32</v>
      </c>
      <c r="W204" s="6">
        <f>IF(ISERROR(VLOOKUP($T$204,'TAR FIN'!$A$1:$O$85,15,0)),0,VLOOKUP($T$204,'TAR FIN'!$A$1:$O$85,15,0))</f>
        <v>0</v>
      </c>
      <c r="X204" s="6">
        <f>IF(ISERROR(VLOOKUP($U$204,'TAR FIN'!$A$1:$O$85,15,0)),0,VLOOKUP($U$204,'TAR FIN'!$A$1:$O$85,15,0))</f>
        <v>0</v>
      </c>
      <c r="Y204" s="6">
        <f ca="1">('TUSD BE'!$AM$10+'TUSD BF'!$AM$10+'TUSD CVA'!$AM$10)*1</f>
        <v>16.680041929169654</v>
      </c>
      <c r="Z204" s="6"/>
      <c r="AA204" s="6"/>
      <c r="AB204" s="6">
        <f>$K$204*$V$204</f>
        <v>966</v>
      </c>
      <c r="AC204" s="6">
        <f>$M$204*$W$204</f>
        <v>0</v>
      </c>
      <c r="AD204" s="6">
        <f>$O$204*$X$204</f>
        <v>0</v>
      </c>
      <c r="AE204" s="6">
        <f ca="1">$K$204*$Y$204</f>
        <v>834.0020964584827</v>
      </c>
      <c r="AF204" s="6">
        <f>$M$204*$Z$204</f>
        <v>0</v>
      </c>
      <c r="AG204" s="6">
        <f>$O$204*$AA$204</f>
        <v>0</v>
      </c>
    </row>
    <row r="205" spans="1:33" ht="11.25" customHeight="1" x14ac:dyDescent="0.25">
      <c r="A205" s="4" t="s">
        <v>21</v>
      </c>
      <c r="B205" s="4" t="s">
        <v>33</v>
      </c>
      <c r="C205" s="4" t="s">
        <v>34</v>
      </c>
      <c r="D205" s="4" t="s">
        <v>24</v>
      </c>
      <c r="E205" s="4" t="s">
        <v>24</v>
      </c>
      <c r="F205" s="4" t="s">
        <v>25</v>
      </c>
      <c r="G205" s="4" t="s">
        <v>25</v>
      </c>
      <c r="H205" s="4" t="s">
        <v>25</v>
      </c>
      <c r="I205" s="5">
        <v>44593</v>
      </c>
      <c r="J205" s="6">
        <v>50</v>
      </c>
      <c r="K205" s="6">
        <v>50</v>
      </c>
      <c r="L205" s="6">
        <v>0</v>
      </c>
      <c r="M205" s="6">
        <v>0</v>
      </c>
      <c r="N205" s="6">
        <v>0</v>
      </c>
      <c r="O205" s="6">
        <v>0</v>
      </c>
      <c r="P205" s="6">
        <v>1</v>
      </c>
      <c r="Q205" s="4" t="s">
        <v>26</v>
      </c>
      <c r="R205" s="4">
        <v>0</v>
      </c>
      <c r="S205" s="6">
        <v>6</v>
      </c>
      <c r="T205" s="6">
        <v>0</v>
      </c>
      <c r="U205" s="6">
        <v>0</v>
      </c>
      <c r="V205" s="6">
        <f>IF(ISERROR(VLOOKUP($S$205,'TAR FIN'!$A$1:$O$85,15,0)),0,VLOOKUP($S$205,'TAR FIN'!$A$1:$O$85,15,0))</f>
        <v>19.32</v>
      </c>
      <c r="W205" s="6">
        <f>IF(ISERROR(VLOOKUP($T$205,'TAR FIN'!$A$1:$O$85,15,0)),0,VLOOKUP($T$205,'TAR FIN'!$A$1:$O$85,15,0))</f>
        <v>0</v>
      </c>
      <c r="X205" s="6">
        <f>IF(ISERROR(VLOOKUP($U$205,'TAR FIN'!$A$1:$O$85,15,0)),0,VLOOKUP($U$205,'TAR FIN'!$A$1:$O$85,15,0))</f>
        <v>0</v>
      </c>
      <c r="Y205" s="6">
        <f ca="1">('TUSD BE'!$AM$10+'TUSD BF'!$AM$10+'TUSD CVA'!$AM$10)*1</f>
        <v>16.680041929169654</v>
      </c>
      <c r="Z205" s="6"/>
      <c r="AA205" s="6"/>
      <c r="AB205" s="6">
        <f>$K$205*$V$205</f>
        <v>966</v>
      </c>
      <c r="AC205" s="6">
        <f>$M$205*$W$205</f>
        <v>0</v>
      </c>
      <c r="AD205" s="6">
        <f>$O$205*$X$205</f>
        <v>0</v>
      </c>
      <c r="AE205" s="6">
        <f ca="1">$K$205*$Y$205</f>
        <v>834.0020964584827</v>
      </c>
      <c r="AF205" s="6">
        <f>$M$205*$Z$205</f>
        <v>0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33</v>
      </c>
      <c r="C206" s="4" t="s">
        <v>34</v>
      </c>
      <c r="D206" s="4" t="s">
        <v>24</v>
      </c>
      <c r="E206" s="4" t="s">
        <v>24</v>
      </c>
      <c r="F206" s="4" t="s">
        <v>25</v>
      </c>
      <c r="G206" s="4" t="s">
        <v>25</v>
      </c>
      <c r="H206" s="4" t="s">
        <v>25</v>
      </c>
      <c r="I206" s="5">
        <v>44621</v>
      </c>
      <c r="J206" s="6">
        <v>50</v>
      </c>
      <c r="K206" s="6">
        <v>50</v>
      </c>
      <c r="L206" s="6">
        <v>0</v>
      </c>
      <c r="M206" s="6">
        <v>0</v>
      </c>
      <c r="N206" s="6">
        <v>0</v>
      </c>
      <c r="O206" s="6">
        <v>0</v>
      </c>
      <c r="P206" s="6">
        <v>1</v>
      </c>
      <c r="Q206" s="4" t="s">
        <v>26</v>
      </c>
      <c r="R206" s="4">
        <v>0</v>
      </c>
      <c r="S206" s="6">
        <v>6</v>
      </c>
      <c r="T206" s="6">
        <v>0</v>
      </c>
      <c r="U206" s="6">
        <v>0</v>
      </c>
      <c r="V206" s="6">
        <f>IF(ISERROR(VLOOKUP($S$206,'TAR FIN'!$A$1:$O$85,15,0)),0,VLOOKUP($S$206,'TAR FIN'!$A$1:$O$85,15,0))</f>
        <v>19.32</v>
      </c>
      <c r="W206" s="6">
        <f>IF(ISERROR(VLOOKUP($T$206,'TAR FIN'!$A$1:$O$85,15,0)),0,VLOOKUP($T$206,'TAR FIN'!$A$1:$O$85,15,0))</f>
        <v>0</v>
      </c>
      <c r="X206" s="6">
        <f>IF(ISERROR(VLOOKUP($U$206,'TAR FIN'!$A$1:$O$85,15,0)),0,VLOOKUP($U$206,'TAR FIN'!$A$1:$O$85,15,0))</f>
        <v>0</v>
      </c>
      <c r="Y206" s="6">
        <f ca="1">('TUSD BE'!$AM$10+'TUSD BF'!$AM$10+'TUSD CVA'!$AM$10)*1</f>
        <v>16.680041929169654</v>
      </c>
      <c r="Z206" s="6"/>
      <c r="AA206" s="6"/>
      <c r="AB206" s="6">
        <f>$K$206*$V$206</f>
        <v>966</v>
      </c>
      <c r="AC206" s="6">
        <f>$M$206*$W$206</f>
        <v>0</v>
      </c>
      <c r="AD206" s="6">
        <f>$O$206*$X$206</f>
        <v>0</v>
      </c>
      <c r="AE206" s="6">
        <f ca="1">$K$206*$Y$206</f>
        <v>834.0020964584827</v>
      </c>
      <c r="AF206" s="6">
        <f>$M$206*$Z$206</f>
        <v>0</v>
      </c>
      <c r="AG206" s="6">
        <f>$O$206*$AA$206</f>
        <v>0</v>
      </c>
    </row>
    <row r="207" spans="1:33" ht="11.25" customHeight="1" x14ac:dyDescent="0.25">
      <c r="A207" s="4" t="s">
        <v>21</v>
      </c>
      <c r="B207" s="4" t="s">
        <v>33</v>
      </c>
      <c r="C207" s="4" t="s">
        <v>34</v>
      </c>
      <c r="D207" s="4" t="s">
        <v>24</v>
      </c>
      <c r="E207" s="4" t="s">
        <v>24</v>
      </c>
      <c r="F207" s="4" t="s">
        <v>25</v>
      </c>
      <c r="G207" s="4" t="s">
        <v>25</v>
      </c>
      <c r="H207" s="4" t="s">
        <v>25</v>
      </c>
      <c r="I207" s="5">
        <v>44652</v>
      </c>
      <c r="J207" s="6">
        <v>51</v>
      </c>
      <c r="K207" s="6">
        <v>51</v>
      </c>
      <c r="L207" s="6">
        <v>0</v>
      </c>
      <c r="M207" s="6">
        <v>0</v>
      </c>
      <c r="N207" s="6">
        <v>0</v>
      </c>
      <c r="O207" s="6">
        <v>0</v>
      </c>
      <c r="P207" s="6">
        <v>1</v>
      </c>
      <c r="Q207" s="4" t="s">
        <v>26</v>
      </c>
      <c r="R207" s="4">
        <v>0</v>
      </c>
      <c r="S207" s="6">
        <v>6</v>
      </c>
      <c r="T207" s="6">
        <v>0</v>
      </c>
      <c r="U207" s="6">
        <v>0</v>
      </c>
      <c r="V207" s="6">
        <f>IF(ISERROR(VLOOKUP($S$207,'TAR FIN'!$A$1:$O$85,15,0)),0,VLOOKUP($S$207,'TAR FIN'!$A$1:$O$85,15,0))</f>
        <v>19.32</v>
      </c>
      <c r="W207" s="6">
        <f>IF(ISERROR(VLOOKUP($T$207,'TAR FIN'!$A$1:$O$85,15,0)),0,VLOOKUP($T$207,'TAR FIN'!$A$1:$O$85,15,0))</f>
        <v>0</v>
      </c>
      <c r="X207" s="6">
        <f>IF(ISERROR(VLOOKUP($U$207,'TAR FIN'!$A$1:$O$85,15,0)),0,VLOOKUP($U$207,'TAR FIN'!$A$1:$O$85,15,0))</f>
        <v>0</v>
      </c>
      <c r="Y207" s="6">
        <f ca="1">('TUSD BE'!$AM$10+'TUSD BF'!$AM$10+'TUSD CVA'!$AM$10)*1</f>
        <v>16.680041929169654</v>
      </c>
      <c r="Z207" s="6"/>
      <c r="AA207" s="6"/>
      <c r="AB207" s="6">
        <f>$K$207*$V$207</f>
        <v>985.32</v>
      </c>
      <c r="AC207" s="6">
        <f>$M$207*$W$207</f>
        <v>0</v>
      </c>
      <c r="AD207" s="6">
        <f>$O$207*$X$207</f>
        <v>0</v>
      </c>
      <c r="AE207" s="6">
        <f ca="1">$K$207*$Y$207</f>
        <v>850.68213838765234</v>
      </c>
      <c r="AF207" s="6">
        <f>$M$207*$Z$207</f>
        <v>0</v>
      </c>
      <c r="AG207" s="6">
        <f>$O$207*$AA$207</f>
        <v>0</v>
      </c>
    </row>
    <row r="208" spans="1:33" ht="11.25" customHeight="1" x14ac:dyDescent="0.25">
      <c r="A208" s="4" t="s">
        <v>21</v>
      </c>
      <c r="B208" s="4" t="s">
        <v>33</v>
      </c>
      <c r="C208" s="4" t="s">
        <v>34</v>
      </c>
      <c r="D208" s="4" t="s">
        <v>24</v>
      </c>
      <c r="E208" s="4" t="s">
        <v>24</v>
      </c>
      <c r="F208" s="4" t="s">
        <v>25</v>
      </c>
      <c r="G208" s="4" t="s">
        <v>25</v>
      </c>
      <c r="H208" s="4" t="s">
        <v>35</v>
      </c>
      <c r="I208" s="5">
        <v>44317</v>
      </c>
      <c r="J208" s="6">
        <v>0</v>
      </c>
      <c r="K208" s="6">
        <v>0</v>
      </c>
      <c r="L208" s="6">
        <v>0.313</v>
      </c>
      <c r="M208" s="6">
        <v>0.313</v>
      </c>
      <c r="N208" s="6">
        <v>0.313</v>
      </c>
      <c r="O208" s="6">
        <v>0.313</v>
      </c>
      <c r="P208" s="6">
        <v>0</v>
      </c>
      <c r="Q208" s="4" t="s">
        <v>26</v>
      </c>
      <c r="R208" s="4">
        <v>0</v>
      </c>
      <c r="S208" s="6">
        <v>0</v>
      </c>
      <c r="T208" s="6">
        <v>7</v>
      </c>
      <c r="U208" s="6">
        <v>48</v>
      </c>
      <c r="V208" s="6">
        <f>IF(ISERROR(VLOOKUP($S$208,'TAR FIN'!$A$1:$O$85,15,0)),0,VLOOKUP($S$208,'TAR FIN'!$A$1:$O$85,15,0))</f>
        <v>0</v>
      </c>
      <c r="W208" s="6">
        <f>IF(ISERROR(VLOOKUP($T$208,'TAR FIN'!$A$1:$O$85,15,0)),0,VLOOKUP($T$208,'TAR FIN'!$A$1:$O$85,15,0))</f>
        <v>948.15</v>
      </c>
      <c r="X208" s="6">
        <f>IF(ISERROR(VLOOKUP($U$208,'TAR FIN'!$A$1:$O$85,15,0)),0,VLOOKUP($U$208,'TAR FIN'!$A$1:$O$85,15,0))</f>
        <v>263.29000000000002</v>
      </c>
      <c r="Y208" s="6"/>
      <c r="Z208" s="6">
        <f ca="1">('TUSD BE'!$AM$11+'TUSD BF'!$AM$11+'TUSD CVA'!$AM$11)*1</f>
        <v>976.42305228824534</v>
      </c>
      <c r="AA208" s="6">
        <f>('TE BE'!$AA$5+'TE BF'!$AA$5+'TE CVA'!$AA$5)*1</f>
        <v>210.64397598313801</v>
      </c>
      <c r="AB208" s="6">
        <f>$K$208*$V$208</f>
        <v>0</v>
      </c>
      <c r="AC208" s="6">
        <f>$M$208*$W$208</f>
        <v>296.77094999999997</v>
      </c>
      <c r="AD208" s="6">
        <f>$O$208*$X$208</f>
        <v>82.409770000000009</v>
      </c>
      <c r="AE208" s="6">
        <f>$K$208*$Y$208</f>
        <v>0</v>
      </c>
      <c r="AF208" s="6">
        <f ca="1">$M$208*$Z$208</f>
        <v>305.62041536622081</v>
      </c>
      <c r="AG208" s="6">
        <f>$O$208*$AA$208</f>
        <v>65.931564482722194</v>
      </c>
    </row>
    <row r="209" spans="1:33" ht="11.25" customHeight="1" x14ac:dyDescent="0.25">
      <c r="A209" s="4" t="s">
        <v>21</v>
      </c>
      <c r="B209" s="4" t="s">
        <v>33</v>
      </c>
      <c r="C209" s="4" t="s">
        <v>34</v>
      </c>
      <c r="D209" s="4" t="s">
        <v>24</v>
      </c>
      <c r="E209" s="4" t="s">
        <v>24</v>
      </c>
      <c r="F209" s="4" t="s">
        <v>25</v>
      </c>
      <c r="G209" s="4" t="s">
        <v>25</v>
      </c>
      <c r="H209" s="4" t="s">
        <v>35</v>
      </c>
      <c r="I209" s="5">
        <v>44348</v>
      </c>
      <c r="J209" s="6">
        <v>0</v>
      </c>
      <c r="K209" s="6">
        <v>0</v>
      </c>
      <c r="L209" s="6">
        <v>0.28899999999999998</v>
      </c>
      <c r="M209" s="6">
        <v>0.28899999999999998</v>
      </c>
      <c r="N209" s="6">
        <v>0.28899999999999998</v>
      </c>
      <c r="O209" s="6">
        <v>0.28899999999999998</v>
      </c>
      <c r="P209" s="6">
        <v>0</v>
      </c>
      <c r="Q209" s="4" t="s">
        <v>26</v>
      </c>
      <c r="R209" s="4">
        <v>0</v>
      </c>
      <c r="S209" s="6">
        <v>0</v>
      </c>
      <c r="T209" s="6">
        <v>7</v>
      </c>
      <c r="U209" s="6">
        <v>48</v>
      </c>
      <c r="V209" s="6">
        <f>IF(ISERROR(VLOOKUP($S$209,'TAR FIN'!$A$1:$O$85,15,0)),0,VLOOKUP($S$209,'TAR FIN'!$A$1:$O$85,15,0))</f>
        <v>0</v>
      </c>
      <c r="W209" s="6">
        <f>IF(ISERROR(VLOOKUP($T$209,'TAR FIN'!$A$1:$O$85,15,0)),0,VLOOKUP($T$209,'TAR FIN'!$A$1:$O$85,15,0))</f>
        <v>948.15</v>
      </c>
      <c r="X209" s="6">
        <f>IF(ISERROR(VLOOKUP($U$209,'TAR FIN'!$A$1:$O$85,15,0)),0,VLOOKUP($U$209,'TAR FIN'!$A$1:$O$85,15,0))</f>
        <v>263.29000000000002</v>
      </c>
      <c r="Y209" s="6"/>
      <c r="Z209" s="6">
        <f ca="1">('TUSD BE'!$AM$11+'TUSD BF'!$AM$11+'TUSD CVA'!$AM$11)*1</f>
        <v>976.42305228824534</v>
      </c>
      <c r="AA209" s="6">
        <f>('TE BE'!$AA$5+'TE BF'!$AA$5+'TE CVA'!$AA$5)*1</f>
        <v>210.64397598313801</v>
      </c>
      <c r="AB209" s="6">
        <f>$K$209*$V$209</f>
        <v>0</v>
      </c>
      <c r="AC209" s="6">
        <f>$M$209*$W$209</f>
        <v>274.01534999999996</v>
      </c>
      <c r="AD209" s="6">
        <f>$O$209*$X$209</f>
        <v>76.090810000000005</v>
      </c>
      <c r="AE209" s="6">
        <f>$K$209*$Y$209</f>
        <v>0</v>
      </c>
      <c r="AF209" s="6">
        <f ca="1">$M$209*$Z$209</f>
        <v>282.18626211130288</v>
      </c>
      <c r="AG209" s="6">
        <f>$O$209*$AA$209</f>
        <v>60.876109059126883</v>
      </c>
    </row>
    <row r="210" spans="1:33" ht="11.25" customHeight="1" x14ac:dyDescent="0.25">
      <c r="A210" s="4" t="s">
        <v>21</v>
      </c>
      <c r="B210" s="4" t="s">
        <v>33</v>
      </c>
      <c r="C210" s="4" t="s">
        <v>34</v>
      </c>
      <c r="D210" s="4" t="s">
        <v>24</v>
      </c>
      <c r="E210" s="4" t="s">
        <v>24</v>
      </c>
      <c r="F210" s="4" t="s">
        <v>25</v>
      </c>
      <c r="G210" s="4" t="s">
        <v>25</v>
      </c>
      <c r="H210" s="4" t="s">
        <v>35</v>
      </c>
      <c r="I210" s="5">
        <v>44378</v>
      </c>
      <c r="J210" s="6">
        <v>0</v>
      </c>
      <c r="K210" s="6">
        <v>0</v>
      </c>
      <c r="L210" s="6">
        <v>0.43</v>
      </c>
      <c r="M210" s="6">
        <v>0.43</v>
      </c>
      <c r="N210" s="6">
        <v>0.43</v>
      </c>
      <c r="O210" s="6">
        <v>0.43</v>
      </c>
      <c r="P210" s="6">
        <v>0</v>
      </c>
      <c r="Q210" s="4" t="s">
        <v>26</v>
      </c>
      <c r="R210" s="4">
        <v>0</v>
      </c>
      <c r="S210" s="6">
        <v>0</v>
      </c>
      <c r="T210" s="6">
        <v>7</v>
      </c>
      <c r="U210" s="6">
        <v>48</v>
      </c>
      <c r="V210" s="6">
        <f>IF(ISERROR(VLOOKUP($S$210,'TAR FIN'!$A$1:$O$85,15,0)),0,VLOOKUP($S$210,'TAR FIN'!$A$1:$O$85,15,0))</f>
        <v>0</v>
      </c>
      <c r="W210" s="6">
        <f>IF(ISERROR(VLOOKUP($T$210,'TAR FIN'!$A$1:$O$85,15,0)),0,VLOOKUP($T$210,'TAR FIN'!$A$1:$O$85,15,0))</f>
        <v>948.15</v>
      </c>
      <c r="X210" s="6">
        <f>IF(ISERROR(VLOOKUP($U$210,'TAR FIN'!$A$1:$O$85,15,0)),0,VLOOKUP($U$210,'TAR FIN'!$A$1:$O$85,15,0))</f>
        <v>263.29000000000002</v>
      </c>
      <c r="Y210" s="6"/>
      <c r="Z210" s="6">
        <f ca="1">('TUSD BE'!$AM$11+'TUSD BF'!$AM$11+'TUSD CVA'!$AM$11)*1</f>
        <v>976.42305228824534</v>
      </c>
      <c r="AA210" s="6">
        <f>('TE BE'!$AA$5+'TE BF'!$AA$5+'TE CVA'!$AA$5)*1</f>
        <v>210.64397598313801</v>
      </c>
      <c r="AB210" s="6">
        <f>$K$210*$V$210</f>
        <v>0</v>
      </c>
      <c r="AC210" s="6">
        <f>$M$210*$W$210</f>
        <v>407.7045</v>
      </c>
      <c r="AD210" s="6">
        <f>$O$210*$X$210</f>
        <v>113.21470000000001</v>
      </c>
      <c r="AE210" s="6">
        <f>$K$210*$Y$210</f>
        <v>0</v>
      </c>
      <c r="AF210" s="6">
        <f ca="1">$M$210*$Z$210</f>
        <v>419.8619124839455</v>
      </c>
      <c r="AG210" s="6">
        <f>$O$210*$AA$210</f>
        <v>90.576909672749338</v>
      </c>
    </row>
    <row r="211" spans="1:33" ht="11.25" customHeight="1" x14ac:dyDescent="0.25">
      <c r="A211" s="4" t="s">
        <v>21</v>
      </c>
      <c r="B211" s="4" t="s">
        <v>33</v>
      </c>
      <c r="C211" s="4" t="s">
        <v>34</v>
      </c>
      <c r="D211" s="4" t="s">
        <v>24</v>
      </c>
      <c r="E211" s="4" t="s">
        <v>24</v>
      </c>
      <c r="F211" s="4" t="s">
        <v>25</v>
      </c>
      <c r="G211" s="4" t="s">
        <v>25</v>
      </c>
      <c r="H211" s="4" t="s">
        <v>35</v>
      </c>
      <c r="I211" s="5">
        <v>44409</v>
      </c>
      <c r="J211" s="6">
        <v>0</v>
      </c>
      <c r="K211" s="6">
        <v>0</v>
      </c>
      <c r="L211" s="6">
        <v>0.46800000000000003</v>
      </c>
      <c r="M211" s="6">
        <v>0.46800000000000003</v>
      </c>
      <c r="N211" s="6">
        <v>0.46800000000000003</v>
      </c>
      <c r="O211" s="6">
        <v>0.46800000000000003</v>
      </c>
      <c r="P211" s="6">
        <v>0</v>
      </c>
      <c r="Q211" s="4" t="s">
        <v>26</v>
      </c>
      <c r="R211" s="4">
        <v>0</v>
      </c>
      <c r="S211" s="6">
        <v>0</v>
      </c>
      <c r="T211" s="6">
        <v>7</v>
      </c>
      <c r="U211" s="6">
        <v>48</v>
      </c>
      <c r="V211" s="6">
        <f>IF(ISERROR(VLOOKUP($S$211,'TAR FIN'!$A$1:$O$85,15,0)),0,VLOOKUP($S$211,'TAR FIN'!$A$1:$O$85,15,0))</f>
        <v>0</v>
      </c>
      <c r="W211" s="6">
        <f>IF(ISERROR(VLOOKUP($T$211,'TAR FIN'!$A$1:$O$85,15,0)),0,VLOOKUP($T$211,'TAR FIN'!$A$1:$O$85,15,0))</f>
        <v>948.15</v>
      </c>
      <c r="X211" s="6">
        <f>IF(ISERROR(VLOOKUP($U$211,'TAR FIN'!$A$1:$O$85,15,0)),0,VLOOKUP($U$211,'TAR FIN'!$A$1:$O$85,15,0))</f>
        <v>263.29000000000002</v>
      </c>
      <c r="Y211" s="6"/>
      <c r="Z211" s="6">
        <f ca="1">('TUSD BE'!$AM$11+'TUSD BF'!$AM$11+'TUSD CVA'!$AM$11)*1</f>
        <v>976.42305228824534</v>
      </c>
      <c r="AA211" s="6">
        <f>('TE BE'!$AA$5+'TE BF'!$AA$5+'TE CVA'!$AA$5)*1</f>
        <v>210.64397598313801</v>
      </c>
      <c r="AB211" s="6">
        <f>$K$211*$V$211</f>
        <v>0</v>
      </c>
      <c r="AC211" s="6">
        <f>$M$211*$W$211</f>
        <v>443.73419999999999</v>
      </c>
      <c r="AD211" s="6">
        <f>$O$211*$X$211</f>
        <v>123.21972000000002</v>
      </c>
      <c r="AE211" s="6">
        <f>$K$211*$Y$211</f>
        <v>0</v>
      </c>
      <c r="AF211" s="6">
        <f ca="1">$M$211*$Z$211</f>
        <v>456.96598847089882</v>
      </c>
      <c r="AG211" s="6">
        <f>$O$211*$AA$211</f>
        <v>98.581380760108587</v>
      </c>
    </row>
    <row r="212" spans="1:33" ht="11.25" customHeight="1" x14ac:dyDescent="0.25">
      <c r="A212" s="4" t="s">
        <v>21</v>
      </c>
      <c r="B212" s="4" t="s">
        <v>33</v>
      </c>
      <c r="C212" s="4" t="s">
        <v>34</v>
      </c>
      <c r="D212" s="4" t="s">
        <v>24</v>
      </c>
      <c r="E212" s="4" t="s">
        <v>24</v>
      </c>
      <c r="F212" s="4" t="s">
        <v>25</v>
      </c>
      <c r="G212" s="4" t="s">
        <v>25</v>
      </c>
      <c r="H212" s="4" t="s">
        <v>35</v>
      </c>
      <c r="I212" s="5">
        <v>44440</v>
      </c>
      <c r="J212" s="6">
        <v>0</v>
      </c>
      <c r="K212" s="6">
        <v>0</v>
      </c>
      <c r="L212" s="6">
        <v>0.33300000000000002</v>
      </c>
      <c r="M212" s="6">
        <v>0.33300000000000002</v>
      </c>
      <c r="N212" s="6">
        <v>0.33300000000000002</v>
      </c>
      <c r="O212" s="6">
        <v>0.33300000000000002</v>
      </c>
      <c r="P212" s="6">
        <v>0</v>
      </c>
      <c r="Q212" s="4" t="s">
        <v>26</v>
      </c>
      <c r="R212" s="4">
        <v>0</v>
      </c>
      <c r="S212" s="6">
        <v>0</v>
      </c>
      <c r="T212" s="6">
        <v>7</v>
      </c>
      <c r="U212" s="6">
        <v>48</v>
      </c>
      <c r="V212" s="6">
        <f>IF(ISERROR(VLOOKUP($S$212,'TAR FIN'!$A$1:$O$85,15,0)),0,VLOOKUP($S$212,'TAR FIN'!$A$1:$O$85,15,0))</f>
        <v>0</v>
      </c>
      <c r="W212" s="6">
        <f>IF(ISERROR(VLOOKUP($T$212,'TAR FIN'!$A$1:$O$85,15,0)),0,VLOOKUP($T$212,'TAR FIN'!$A$1:$O$85,15,0))</f>
        <v>948.15</v>
      </c>
      <c r="X212" s="6">
        <f>IF(ISERROR(VLOOKUP($U$212,'TAR FIN'!$A$1:$O$85,15,0)),0,VLOOKUP($U$212,'TAR FIN'!$A$1:$O$85,15,0))</f>
        <v>263.29000000000002</v>
      </c>
      <c r="Y212" s="6"/>
      <c r="Z212" s="6">
        <f ca="1">('TUSD BE'!$AM$11+'TUSD BF'!$AM$11+'TUSD CVA'!$AM$11)*1</f>
        <v>976.42305228824534</v>
      </c>
      <c r="AA212" s="6">
        <f>('TE BE'!$AA$5+'TE BF'!$AA$5+'TE CVA'!$AA$5)*1</f>
        <v>210.64397598313801</v>
      </c>
      <c r="AB212" s="6">
        <f>$K$212*$V$212</f>
        <v>0</v>
      </c>
      <c r="AC212" s="6">
        <f>$M$212*$W$212</f>
        <v>315.73394999999999</v>
      </c>
      <c r="AD212" s="6">
        <f>$O$212*$X$212</f>
        <v>87.675570000000008</v>
      </c>
      <c r="AE212" s="6">
        <f>$K$212*$Y$212</f>
        <v>0</v>
      </c>
      <c r="AF212" s="6">
        <f ca="1">$M$212*$Z$212</f>
        <v>325.14887641198573</v>
      </c>
      <c r="AG212" s="6">
        <f>$O$212*$AA$212</f>
        <v>70.144444002384958</v>
      </c>
    </row>
    <row r="213" spans="1:33" ht="11.25" customHeight="1" x14ac:dyDescent="0.25">
      <c r="A213" s="4" t="s">
        <v>21</v>
      </c>
      <c r="B213" s="4" t="s">
        <v>33</v>
      </c>
      <c r="C213" s="4" t="s">
        <v>34</v>
      </c>
      <c r="D213" s="4" t="s">
        <v>24</v>
      </c>
      <c r="E213" s="4" t="s">
        <v>24</v>
      </c>
      <c r="F213" s="4" t="s">
        <v>25</v>
      </c>
      <c r="G213" s="4" t="s">
        <v>25</v>
      </c>
      <c r="H213" s="4" t="s">
        <v>35</v>
      </c>
      <c r="I213" s="5">
        <v>44470</v>
      </c>
      <c r="J213" s="6">
        <v>0</v>
      </c>
      <c r="K213" s="6">
        <v>0</v>
      </c>
      <c r="L213" s="6">
        <v>0.501</v>
      </c>
      <c r="M213" s="6">
        <v>0.501</v>
      </c>
      <c r="N213" s="6">
        <v>0.501</v>
      </c>
      <c r="O213" s="6">
        <v>0.501</v>
      </c>
      <c r="P213" s="6">
        <v>0</v>
      </c>
      <c r="Q213" s="4" t="s">
        <v>26</v>
      </c>
      <c r="R213" s="4">
        <v>0</v>
      </c>
      <c r="S213" s="6">
        <v>0</v>
      </c>
      <c r="T213" s="6">
        <v>7</v>
      </c>
      <c r="U213" s="6">
        <v>48</v>
      </c>
      <c r="V213" s="6">
        <f>IF(ISERROR(VLOOKUP($S$213,'TAR FIN'!$A$1:$O$85,15,0)),0,VLOOKUP($S$213,'TAR FIN'!$A$1:$O$85,15,0))</f>
        <v>0</v>
      </c>
      <c r="W213" s="6">
        <f>IF(ISERROR(VLOOKUP($T$213,'TAR FIN'!$A$1:$O$85,15,0)),0,VLOOKUP($T$213,'TAR FIN'!$A$1:$O$85,15,0))</f>
        <v>948.15</v>
      </c>
      <c r="X213" s="6">
        <f>IF(ISERROR(VLOOKUP($U$213,'TAR FIN'!$A$1:$O$85,15,0)),0,VLOOKUP($U$213,'TAR FIN'!$A$1:$O$85,15,0))</f>
        <v>263.29000000000002</v>
      </c>
      <c r="Y213" s="6"/>
      <c r="Z213" s="6">
        <f ca="1">('TUSD BE'!$AM$11+'TUSD BF'!$AM$11+'TUSD CVA'!$AM$11)*1</f>
        <v>976.42305228824534</v>
      </c>
      <c r="AA213" s="6">
        <f>('TE BE'!$AA$5+'TE BF'!$AA$5+'TE CVA'!$AA$5)*1</f>
        <v>210.64397598313801</v>
      </c>
      <c r="AB213" s="6">
        <f>$K$213*$V$213</f>
        <v>0</v>
      </c>
      <c r="AC213" s="6">
        <f>$M$213*$W$213</f>
        <v>475.02314999999999</v>
      </c>
      <c r="AD213" s="6">
        <f>$O$213*$X$213</f>
        <v>131.90829000000002</v>
      </c>
      <c r="AE213" s="6">
        <f>$K$213*$Y$213</f>
        <v>0</v>
      </c>
      <c r="AF213" s="6">
        <f ca="1">$M$213*$Z$213</f>
        <v>489.1879491964109</v>
      </c>
      <c r="AG213" s="6">
        <f>$O$213*$AA$213</f>
        <v>105.53263196755213</v>
      </c>
    </row>
    <row r="214" spans="1:33" ht="11.25" customHeight="1" x14ac:dyDescent="0.25">
      <c r="A214" s="4" t="s">
        <v>21</v>
      </c>
      <c r="B214" s="4" t="s">
        <v>33</v>
      </c>
      <c r="C214" s="4" t="s">
        <v>34</v>
      </c>
      <c r="D214" s="4" t="s">
        <v>24</v>
      </c>
      <c r="E214" s="4" t="s">
        <v>24</v>
      </c>
      <c r="F214" s="4" t="s">
        <v>25</v>
      </c>
      <c r="G214" s="4" t="s">
        <v>25</v>
      </c>
      <c r="H214" s="4" t="s">
        <v>35</v>
      </c>
      <c r="I214" s="5">
        <v>44501</v>
      </c>
      <c r="J214" s="6">
        <v>0</v>
      </c>
      <c r="K214" s="6">
        <v>0</v>
      </c>
      <c r="L214" s="6">
        <v>0.437</v>
      </c>
      <c r="M214" s="6">
        <v>0.437</v>
      </c>
      <c r="N214" s="6">
        <v>0.437</v>
      </c>
      <c r="O214" s="6">
        <v>0.437</v>
      </c>
      <c r="P214" s="6">
        <v>0</v>
      </c>
      <c r="Q214" s="4" t="s">
        <v>26</v>
      </c>
      <c r="R214" s="4">
        <v>0</v>
      </c>
      <c r="S214" s="6">
        <v>0</v>
      </c>
      <c r="T214" s="6">
        <v>7</v>
      </c>
      <c r="U214" s="6">
        <v>48</v>
      </c>
      <c r="V214" s="6">
        <f>IF(ISERROR(VLOOKUP($S$214,'TAR FIN'!$A$1:$O$85,15,0)),0,VLOOKUP($S$214,'TAR FIN'!$A$1:$O$85,15,0))</f>
        <v>0</v>
      </c>
      <c r="W214" s="6">
        <f>IF(ISERROR(VLOOKUP($T$214,'TAR FIN'!$A$1:$O$85,15,0)),0,VLOOKUP($T$214,'TAR FIN'!$A$1:$O$85,15,0))</f>
        <v>948.15</v>
      </c>
      <c r="X214" s="6">
        <f>IF(ISERROR(VLOOKUP($U$214,'TAR FIN'!$A$1:$O$85,15,0)),0,VLOOKUP($U$214,'TAR FIN'!$A$1:$O$85,15,0))</f>
        <v>263.29000000000002</v>
      </c>
      <c r="Y214" s="6"/>
      <c r="Z214" s="6">
        <f ca="1">('TUSD BE'!$AM$11+'TUSD BF'!$AM$11+'TUSD CVA'!$AM$11)*1</f>
        <v>976.42305228824534</v>
      </c>
      <c r="AA214" s="6">
        <f>('TE BE'!$AA$5+'TE BF'!$AA$5+'TE CVA'!$AA$5)*1</f>
        <v>210.64397598313801</v>
      </c>
      <c r="AB214" s="6">
        <f>$K$214*$V$214</f>
        <v>0</v>
      </c>
      <c r="AC214" s="6">
        <f>$M$214*$W$214</f>
        <v>414.34154999999998</v>
      </c>
      <c r="AD214" s="6">
        <f>$O$214*$X$214</f>
        <v>115.05773000000001</v>
      </c>
      <c r="AE214" s="6">
        <f>$K$214*$Y$214</f>
        <v>0</v>
      </c>
      <c r="AF214" s="6">
        <f ca="1">$M$214*$Z$214</f>
        <v>426.6968738499632</v>
      </c>
      <c r="AG214" s="6">
        <f>$O$214*$AA$214</f>
        <v>92.051417504631303</v>
      </c>
    </row>
    <row r="215" spans="1:33" ht="11.25" customHeight="1" x14ac:dyDescent="0.25">
      <c r="A215" s="4" t="s">
        <v>21</v>
      </c>
      <c r="B215" s="4" t="s">
        <v>33</v>
      </c>
      <c r="C215" s="4" t="s">
        <v>34</v>
      </c>
      <c r="D215" s="4" t="s">
        <v>24</v>
      </c>
      <c r="E215" s="4" t="s">
        <v>24</v>
      </c>
      <c r="F215" s="4" t="s">
        <v>25</v>
      </c>
      <c r="G215" s="4" t="s">
        <v>25</v>
      </c>
      <c r="H215" s="4" t="s">
        <v>35</v>
      </c>
      <c r="I215" s="5">
        <v>44531</v>
      </c>
      <c r="J215" s="6">
        <v>0</v>
      </c>
      <c r="K215" s="6">
        <v>0</v>
      </c>
      <c r="L215" s="6">
        <v>0.36</v>
      </c>
      <c r="M215" s="6">
        <v>0.36</v>
      </c>
      <c r="N215" s="6">
        <v>0.36</v>
      </c>
      <c r="O215" s="6">
        <v>0.36</v>
      </c>
      <c r="P215" s="6">
        <v>0</v>
      </c>
      <c r="Q215" s="4" t="s">
        <v>26</v>
      </c>
      <c r="R215" s="4">
        <v>0</v>
      </c>
      <c r="S215" s="6">
        <v>0</v>
      </c>
      <c r="T215" s="6">
        <v>7</v>
      </c>
      <c r="U215" s="6">
        <v>48</v>
      </c>
      <c r="V215" s="6">
        <f>IF(ISERROR(VLOOKUP($S$215,'TAR FIN'!$A$1:$O$85,15,0)),0,VLOOKUP($S$215,'TAR FIN'!$A$1:$O$85,15,0))</f>
        <v>0</v>
      </c>
      <c r="W215" s="6">
        <f>IF(ISERROR(VLOOKUP($T$215,'TAR FIN'!$A$1:$O$85,15,0)),0,VLOOKUP($T$215,'TAR FIN'!$A$1:$O$85,15,0))</f>
        <v>948.15</v>
      </c>
      <c r="X215" s="6">
        <f>IF(ISERROR(VLOOKUP($U$215,'TAR FIN'!$A$1:$O$85,15,0)),0,VLOOKUP($U$215,'TAR FIN'!$A$1:$O$85,15,0))</f>
        <v>263.29000000000002</v>
      </c>
      <c r="Y215" s="6"/>
      <c r="Z215" s="6">
        <f ca="1">('TUSD BE'!$AM$11+'TUSD BF'!$AM$11+'TUSD CVA'!$AM$11)*1</f>
        <v>976.42305228824534</v>
      </c>
      <c r="AA215" s="6">
        <f>('TE BE'!$AA$5+'TE BF'!$AA$5+'TE CVA'!$AA$5)*1</f>
        <v>210.64397598313801</v>
      </c>
      <c r="AB215" s="6">
        <f>$K$215*$V$215</f>
        <v>0</v>
      </c>
      <c r="AC215" s="6">
        <f>$M$215*$W$215</f>
        <v>341.334</v>
      </c>
      <c r="AD215" s="6">
        <f>$O$215*$X$215</f>
        <v>94.784400000000005</v>
      </c>
      <c r="AE215" s="6">
        <f>$K$215*$Y$215</f>
        <v>0</v>
      </c>
      <c r="AF215" s="6">
        <f ca="1">$M$215*$Z$215</f>
        <v>351.51229882376833</v>
      </c>
      <c r="AG215" s="6">
        <f>$O$215*$AA$215</f>
        <v>75.831831353929672</v>
      </c>
    </row>
    <row r="216" spans="1:33" ht="11.25" customHeight="1" x14ac:dyDescent="0.25">
      <c r="A216" s="4" t="s">
        <v>21</v>
      </c>
      <c r="B216" s="4" t="s">
        <v>33</v>
      </c>
      <c r="C216" s="4" t="s">
        <v>34</v>
      </c>
      <c r="D216" s="4" t="s">
        <v>24</v>
      </c>
      <c r="E216" s="4" t="s">
        <v>24</v>
      </c>
      <c r="F216" s="4" t="s">
        <v>25</v>
      </c>
      <c r="G216" s="4" t="s">
        <v>25</v>
      </c>
      <c r="H216" s="4" t="s">
        <v>35</v>
      </c>
      <c r="I216" s="5">
        <v>44562</v>
      </c>
      <c r="J216" s="6">
        <v>0</v>
      </c>
      <c r="K216" s="6">
        <v>0</v>
      </c>
      <c r="L216" s="6">
        <v>0.33600000000000002</v>
      </c>
      <c r="M216" s="6">
        <v>0.33600000000000002</v>
      </c>
      <c r="N216" s="6">
        <v>0.33600000000000002</v>
      </c>
      <c r="O216" s="6">
        <v>0.33600000000000002</v>
      </c>
      <c r="P216" s="6">
        <v>0</v>
      </c>
      <c r="Q216" s="4" t="s">
        <v>26</v>
      </c>
      <c r="R216" s="4">
        <v>0</v>
      </c>
      <c r="S216" s="6">
        <v>0</v>
      </c>
      <c r="T216" s="6">
        <v>7</v>
      </c>
      <c r="U216" s="6">
        <v>48</v>
      </c>
      <c r="V216" s="6">
        <f>IF(ISERROR(VLOOKUP($S$216,'TAR FIN'!$A$1:$O$85,15,0)),0,VLOOKUP($S$216,'TAR FIN'!$A$1:$O$85,15,0))</f>
        <v>0</v>
      </c>
      <c r="W216" s="6">
        <f>IF(ISERROR(VLOOKUP($T$216,'TAR FIN'!$A$1:$O$85,15,0)),0,VLOOKUP($T$216,'TAR FIN'!$A$1:$O$85,15,0))</f>
        <v>948.15</v>
      </c>
      <c r="X216" s="6">
        <f>IF(ISERROR(VLOOKUP($U$216,'TAR FIN'!$A$1:$O$85,15,0)),0,VLOOKUP($U$216,'TAR FIN'!$A$1:$O$85,15,0))</f>
        <v>263.29000000000002</v>
      </c>
      <c r="Y216" s="6"/>
      <c r="Z216" s="6">
        <f ca="1">('TUSD BE'!$AM$11+'TUSD BF'!$AM$11+'TUSD CVA'!$AM$11)*1</f>
        <v>976.42305228824534</v>
      </c>
      <c r="AA216" s="6">
        <f>('TE BE'!$AA$5+'TE BF'!$AA$5+'TE CVA'!$AA$5)*1</f>
        <v>210.64397598313801</v>
      </c>
      <c r="AB216" s="6">
        <f>$K$216*$V$216</f>
        <v>0</v>
      </c>
      <c r="AC216" s="6">
        <f>$M$216*$W$216</f>
        <v>318.57839999999999</v>
      </c>
      <c r="AD216" s="6">
        <f>$O$216*$X$216</f>
        <v>88.465440000000015</v>
      </c>
      <c r="AE216" s="6">
        <f>$K$216*$Y$216</f>
        <v>0</v>
      </c>
      <c r="AF216" s="6">
        <f ca="1">$M$216*$Z$216</f>
        <v>328.07814556885046</v>
      </c>
      <c r="AG216" s="6">
        <f>$O$216*$AA$216</f>
        <v>70.776375930334368</v>
      </c>
    </row>
    <row r="217" spans="1:33" ht="11.25" customHeight="1" x14ac:dyDescent="0.25">
      <c r="A217" s="4" t="s">
        <v>21</v>
      </c>
      <c r="B217" s="4" t="s">
        <v>33</v>
      </c>
      <c r="C217" s="4" t="s">
        <v>34</v>
      </c>
      <c r="D217" s="4" t="s">
        <v>24</v>
      </c>
      <c r="E217" s="4" t="s">
        <v>24</v>
      </c>
      <c r="F217" s="4" t="s">
        <v>25</v>
      </c>
      <c r="G217" s="4" t="s">
        <v>25</v>
      </c>
      <c r="H217" s="4" t="s">
        <v>35</v>
      </c>
      <c r="I217" s="5">
        <v>44593</v>
      </c>
      <c r="J217" s="6">
        <v>0</v>
      </c>
      <c r="K217" s="6">
        <v>0</v>
      </c>
      <c r="L217" s="6">
        <v>0.255</v>
      </c>
      <c r="M217" s="6">
        <v>0.255</v>
      </c>
      <c r="N217" s="6">
        <v>0.255</v>
      </c>
      <c r="O217" s="6">
        <v>0.255</v>
      </c>
      <c r="P217" s="6">
        <v>0</v>
      </c>
      <c r="Q217" s="4" t="s">
        <v>26</v>
      </c>
      <c r="R217" s="4">
        <v>0</v>
      </c>
      <c r="S217" s="6">
        <v>0</v>
      </c>
      <c r="T217" s="6">
        <v>7</v>
      </c>
      <c r="U217" s="6">
        <v>48</v>
      </c>
      <c r="V217" s="6">
        <f>IF(ISERROR(VLOOKUP($S$217,'TAR FIN'!$A$1:$O$85,15,0)),0,VLOOKUP($S$217,'TAR FIN'!$A$1:$O$85,15,0))</f>
        <v>0</v>
      </c>
      <c r="W217" s="6">
        <f>IF(ISERROR(VLOOKUP($T$217,'TAR FIN'!$A$1:$O$85,15,0)),0,VLOOKUP($T$217,'TAR FIN'!$A$1:$O$85,15,0))</f>
        <v>948.15</v>
      </c>
      <c r="X217" s="6">
        <f>IF(ISERROR(VLOOKUP($U$217,'TAR FIN'!$A$1:$O$85,15,0)),0,VLOOKUP($U$217,'TAR FIN'!$A$1:$O$85,15,0))</f>
        <v>263.29000000000002</v>
      </c>
      <c r="Y217" s="6"/>
      <c r="Z217" s="6">
        <f ca="1">('TUSD BE'!$AM$11+'TUSD BF'!$AM$11+'TUSD CVA'!$AM$11)*1</f>
        <v>976.42305228824534</v>
      </c>
      <c r="AA217" s="6">
        <f>('TE BE'!$AA$5+'TE BF'!$AA$5+'TE CVA'!$AA$5)*1</f>
        <v>210.64397598313801</v>
      </c>
      <c r="AB217" s="6">
        <f>$K$217*$V$217</f>
        <v>0</v>
      </c>
      <c r="AC217" s="6">
        <f>$M$217*$W$217</f>
        <v>241.77824999999999</v>
      </c>
      <c r="AD217" s="6">
        <f>$O$217*$X$217</f>
        <v>67.138950000000008</v>
      </c>
      <c r="AE217" s="6">
        <f>$K$217*$Y$217</f>
        <v>0</v>
      </c>
      <c r="AF217" s="6">
        <f ca="1">$M$217*$Z$217</f>
        <v>248.98787833350258</v>
      </c>
      <c r="AG217" s="6">
        <f>$O$217*$AA$217</f>
        <v>53.714213875700196</v>
      </c>
    </row>
    <row r="218" spans="1:33" ht="11.25" customHeight="1" x14ac:dyDescent="0.25">
      <c r="A218" s="4" t="s">
        <v>21</v>
      </c>
      <c r="B218" s="4" t="s">
        <v>33</v>
      </c>
      <c r="C218" s="4" t="s">
        <v>34</v>
      </c>
      <c r="D218" s="4" t="s">
        <v>24</v>
      </c>
      <c r="E218" s="4" t="s">
        <v>24</v>
      </c>
      <c r="F218" s="4" t="s">
        <v>25</v>
      </c>
      <c r="G218" s="4" t="s">
        <v>25</v>
      </c>
      <c r="H218" s="4" t="s">
        <v>35</v>
      </c>
      <c r="I218" s="5">
        <v>44621</v>
      </c>
      <c r="J218" s="6">
        <v>0</v>
      </c>
      <c r="K218" s="6">
        <v>0</v>
      </c>
      <c r="L218" s="6">
        <v>0.36899999999999999</v>
      </c>
      <c r="M218" s="6">
        <v>0.36899999999999999</v>
      </c>
      <c r="N218" s="6">
        <v>0.36899999999999999</v>
      </c>
      <c r="O218" s="6">
        <v>0.36899999999999999</v>
      </c>
      <c r="P218" s="6">
        <v>0</v>
      </c>
      <c r="Q218" s="4" t="s">
        <v>26</v>
      </c>
      <c r="R218" s="4">
        <v>0</v>
      </c>
      <c r="S218" s="6">
        <v>0</v>
      </c>
      <c r="T218" s="6">
        <v>7</v>
      </c>
      <c r="U218" s="6">
        <v>48</v>
      </c>
      <c r="V218" s="6">
        <f>IF(ISERROR(VLOOKUP($S$218,'TAR FIN'!$A$1:$O$85,15,0)),0,VLOOKUP($S$218,'TAR FIN'!$A$1:$O$85,15,0))</f>
        <v>0</v>
      </c>
      <c r="W218" s="6">
        <f>IF(ISERROR(VLOOKUP($T$218,'TAR FIN'!$A$1:$O$85,15,0)),0,VLOOKUP($T$218,'TAR FIN'!$A$1:$O$85,15,0))</f>
        <v>948.15</v>
      </c>
      <c r="X218" s="6">
        <f>IF(ISERROR(VLOOKUP($U$218,'TAR FIN'!$A$1:$O$85,15,0)),0,VLOOKUP($U$218,'TAR FIN'!$A$1:$O$85,15,0))</f>
        <v>263.29000000000002</v>
      </c>
      <c r="Y218" s="6"/>
      <c r="Z218" s="6">
        <f ca="1">('TUSD BE'!$AM$11+'TUSD BF'!$AM$11+'TUSD CVA'!$AM$11)*1</f>
        <v>976.42305228824534</v>
      </c>
      <c r="AA218" s="6">
        <f>('TE BE'!$AA$5+'TE BF'!$AA$5+'TE CVA'!$AA$5)*1</f>
        <v>210.64397598313801</v>
      </c>
      <c r="AB218" s="6">
        <f>$K$218*$V$218</f>
        <v>0</v>
      </c>
      <c r="AC218" s="6">
        <f>$M$218*$W$218</f>
        <v>349.86734999999999</v>
      </c>
      <c r="AD218" s="6">
        <f>$O$218*$X$218</f>
        <v>97.15401</v>
      </c>
      <c r="AE218" s="6">
        <f>$K$218*$Y$218</f>
        <v>0</v>
      </c>
      <c r="AF218" s="6">
        <f ca="1">$M$218*$Z$218</f>
        <v>360.30010629436254</v>
      </c>
      <c r="AG218" s="6">
        <f>$O$218*$AA$218</f>
        <v>77.72762713777793</v>
      </c>
    </row>
    <row r="219" spans="1:33" ht="11.25" customHeight="1" x14ac:dyDescent="0.25">
      <c r="A219" s="4" t="s">
        <v>21</v>
      </c>
      <c r="B219" s="4" t="s">
        <v>33</v>
      </c>
      <c r="C219" s="4" t="s">
        <v>34</v>
      </c>
      <c r="D219" s="4" t="s">
        <v>24</v>
      </c>
      <c r="E219" s="4" t="s">
        <v>24</v>
      </c>
      <c r="F219" s="4" t="s">
        <v>25</v>
      </c>
      <c r="G219" s="4" t="s">
        <v>25</v>
      </c>
      <c r="H219" s="4" t="s">
        <v>35</v>
      </c>
      <c r="I219" s="5">
        <v>44652</v>
      </c>
      <c r="J219" s="6">
        <v>0</v>
      </c>
      <c r="K219" s="6">
        <v>0</v>
      </c>
      <c r="L219" s="6">
        <v>0.56399999999999995</v>
      </c>
      <c r="M219" s="6">
        <v>0.56399999999999995</v>
      </c>
      <c r="N219" s="6">
        <v>0.56399999999999995</v>
      </c>
      <c r="O219" s="6">
        <v>0.56399999999999995</v>
      </c>
      <c r="P219" s="6">
        <v>0</v>
      </c>
      <c r="Q219" s="4" t="s">
        <v>26</v>
      </c>
      <c r="R219" s="4">
        <v>0</v>
      </c>
      <c r="S219" s="6">
        <v>0</v>
      </c>
      <c r="T219" s="6">
        <v>7</v>
      </c>
      <c r="U219" s="6">
        <v>48</v>
      </c>
      <c r="V219" s="6">
        <f>IF(ISERROR(VLOOKUP($S$219,'TAR FIN'!$A$1:$O$85,15,0)),0,VLOOKUP($S$219,'TAR FIN'!$A$1:$O$85,15,0))</f>
        <v>0</v>
      </c>
      <c r="W219" s="6">
        <f>IF(ISERROR(VLOOKUP($T$219,'TAR FIN'!$A$1:$O$85,15,0)),0,VLOOKUP($T$219,'TAR FIN'!$A$1:$O$85,15,0))</f>
        <v>948.15</v>
      </c>
      <c r="X219" s="6">
        <f>IF(ISERROR(VLOOKUP($U$219,'TAR FIN'!$A$1:$O$85,15,0)),0,VLOOKUP($U$219,'TAR FIN'!$A$1:$O$85,15,0))</f>
        <v>263.29000000000002</v>
      </c>
      <c r="Y219" s="6"/>
      <c r="Z219" s="6">
        <f ca="1">('TUSD BE'!$AM$11+'TUSD BF'!$AM$11+'TUSD CVA'!$AM$11)*1</f>
        <v>976.42305228824534</v>
      </c>
      <c r="AA219" s="6">
        <f>('TE BE'!$AA$5+'TE BF'!$AA$5+'TE CVA'!$AA$5)*1</f>
        <v>210.64397598313801</v>
      </c>
      <c r="AB219" s="6">
        <f>$K$219*$V$219</f>
        <v>0</v>
      </c>
      <c r="AC219" s="6">
        <f>$M$219*$W$219</f>
        <v>534.75659999999993</v>
      </c>
      <c r="AD219" s="6">
        <f>$O$219*$X$219</f>
        <v>148.49555999999998</v>
      </c>
      <c r="AE219" s="6">
        <f>$K$219*$Y$219</f>
        <v>0</v>
      </c>
      <c r="AF219" s="6">
        <f ca="1">$M$219*$Z$219</f>
        <v>550.70260149057037</v>
      </c>
      <c r="AG219" s="6">
        <f>$O$219*$AA$219</f>
        <v>118.80320245448982</v>
      </c>
    </row>
    <row r="220" spans="1:33" ht="11.25" customHeight="1" x14ac:dyDescent="0.25">
      <c r="A220" s="4" t="s">
        <v>21</v>
      </c>
      <c r="B220" s="4" t="s">
        <v>33</v>
      </c>
      <c r="C220" s="4" t="s">
        <v>34</v>
      </c>
      <c r="D220" s="4" t="s">
        <v>44</v>
      </c>
      <c r="E220" s="4" t="s">
        <v>53</v>
      </c>
      <c r="F220" s="4" t="s">
        <v>55</v>
      </c>
      <c r="G220" s="4" t="s">
        <v>25</v>
      </c>
      <c r="H220" s="4" t="s">
        <v>36</v>
      </c>
      <c r="I220" s="5">
        <v>44317</v>
      </c>
      <c r="J220" s="6">
        <v>0</v>
      </c>
      <c r="K220" s="6">
        <v>0</v>
      </c>
      <c r="L220" s="6">
        <v>35.371000000000002</v>
      </c>
      <c r="M220" s="6">
        <v>10.6113</v>
      </c>
      <c r="N220" s="6">
        <v>35.371000000000002</v>
      </c>
      <c r="O220" s="6">
        <v>10.6113</v>
      </c>
      <c r="P220" s="6">
        <v>0</v>
      </c>
      <c r="Q220" s="4" t="s">
        <v>26</v>
      </c>
      <c r="R220" s="4">
        <v>0</v>
      </c>
      <c r="S220" s="6">
        <v>0</v>
      </c>
      <c r="T220" s="6">
        <v>8</v>
      </c>
      <c r="U220" s="6">
        <v>49</v>
      </c>
      <c r="V220" s="6">
        <f>IF(ISERROR(VLOOKUP($S$220,'TAR FIN'!$A$1:$O$85,15,0)),0,VLOOKUP($S$220,'TAR FIN'!$A$1:$O$85,15,0))</f>
        <v>0</v>
      </c>
      <c r="W220" s="6">
        <f>IF(ISERROR(VLOOKUP($T$220,'TAR FIN'!$A$1:$O$85,15,0)),0,VLOOKUP($T$220,'TAR FIN'!$A$1:$O$85,15,0))</f>
        <v>65.61</v>
      </c>
      <c r="X220" s="6">
        <f>IF(ISERROR(VLOOKUP($U$220,'TAR FIN'!$A$1:$O$85,15,0)),0,VLOOKUP($U$220,'TAR FIN'!$A$1:$O$85,15,0))</f>
        <v>263.29000000000002</v>
      </c>
      <c r="Y220" s="6"/>
      <c r="Z220" s="6">
        <f ca="1">('TUSD BE'!$AM$12+'TUSD BF'!$AM$12+'TUSD CVA'!$AM$12)*1</f>
        <v>100.34646310857573</v>
      </c>
      <c r="AA220" s="6">
        <f>('TE BE'!$AA$6+'TE BF'!$AA$6+'TE CVA'!$AA$6)*1</f>
        <v>210.64397598313801</v>
      </c>
      <c r="AB220" s="6">
        <f>$K$220*$V$220</f>
        <v>0</v>
      </c>
      <c r="AC220" s="6">
        <f>$M$220*$W$220</f>
        <v>696.20739300000002</v>
      </c>
      <c r="AD220" s="6">
        <f>$O$220*$X$220</f>
        <v>2793.8491770000001</v>
      </c>
      <c r="AE220" s="6">
        <f>$K$220*$Y$220</f>
        <v>0</v>
      </c>
      <c r="AF220" s="6">
        <f ca="1">$M$220*$Z$220</f>
        <v>1064.8064239840296</v>
      </c>
      <c r="AG220" s="6">
        <f>$O$220*$AA$220</f>
        <v>2235.2064223498724</v>
      </c>
    </row>
    <row r="221" spans="1:33" ht="11.25" customHeight="1" x14ac:dyDescent="0.25">
      <c r="A221" s="4" t="s">
        <v>21</v>
      </c>
      <c r="B221" s="4" t="s">
        <v>33</v>
      </c>
      <c r="C221" s="4" t="s">
        <v>34</v>
      </c>
      <c r="D221" s="4" t="s">
        <v>44</v>
      </c>
      <c r="E221" s="4" t="s">
        <v>53</v>
      </c>
      <c r="F221" s="4" t="s">
        <v>55</v>
      </c>
      <c r="G221" s="4" t="s">
        <v>25</v>
      </c>
      <c r="H221" s="4" t="s">
        <v>36</v>
      </c>
      <c r="I221" s="5">
        <v>44348</v>
      </c>
      <c r="J221" s="6">
        <v>0</v>
      </c>
      <c r="K221" s="6">
        <v>0</v>
      </c>
      <c r="L221" s="6">
        <v>6.79</v>
      </c>
      <c r="M221" s="6">
        <v>2.0369999999999999</v>
      </c>
      <c r="N221" s="6">
        <v>6.79</v>
      </c>
      <c r="O221" s="6">
        <v>2.0369999999999999</v>
      </c>
      <c r="P221" s="6">
        <v>0</v>
      </c>
      <c r="Q221" s="4" t="s">
        <v>26</v>
      </c>
      <c r="R221" s="4">
        <v>0</v>
      </c>
      <c r="S221" s="6">
        <v>0</v>
      </c>
      <c r="T221" s="6">
        <v>8</v>
      </c>
      <c r="U221" s="6">
        <v>49</v>
      </c>
      <c r="V221" s="6">
        <f>IF(ISERROR(VLOOKUP($S$221,'TAR FIN'!$A$1:$O$85,15,0)),0,VLOOKUP($S$221,'TAR FIN'!$A$1:$O$85,15,0))</f>
        <v>0</v>
      </c>
      <c r="W221" s="6">
        <f>IF(ISERROR(VLOOKUP($T$221,'TAR FIN'!$A$1:$O$85,15,0)),0,VLOOKUP($T$221,'TAR FIN'!$A$1:$O$85,15,0))</f>
        <v>65.61</v>
      </c>
      <c r="X221" s="6">
        <f>IF(ISERROR(VLOOKUP($U$221,'TAR FIN'!$A$1:$O$85,15,0)),0,VLOOKUP($U$221,'TAR FIN'!$A$1:$O$85,15,0))</f>
        <v>263.29000000000002</v>
      </c>
      <c r="Y221" s="6"/>
      <c r="Z221" s="6">
        <f ca="1">('TUSD BE'!$AM$12+'TUSD BF'!$AM$12+'TUSD CVA'!$AM$12)*1</f>
        <v>100.34646310857573</v>
      </c>
      <c r="AA221" s="6">
        <f>('TE BE'!$AA$6+'TE BF'!$AA$6+'TE CVA'!$AA$6)*1</f>
        <v>210.64397598313801</v>
      </c>
      <c r="AB221" s="6">
        <f>$K$221*$V$221</f>
        <v>0</v>
      </c>
      <c r="AC221" s="6">
        <f>$M$221*$W$221</f>
        <v>133.64757</v>
      </c>
      <c r="AD221" s="6">
        <f>$O$221*$X$221</f>
        <v>536.32173</v>
      </c>
      <c r="AE221" s="6">
        <f>$K$221*$Y$221</f>
        <v>0</v>
      </c>
      <c r="AF221" s="6">
        <f ca="1">$M$221*$Z$221</f>
        <v>204.40574535216876</v>
      </c>
      <c r="AG221" s="6">
        <f>$O$221*$AA$221</f>
        <v>429.08177907765213</v>
      </c>
    </row>
    <row r="222" spans="1:33" ht="11.25" customHeight="1" x14ac:dyDescent="0.25">
      <c r="A222" s="4" t="s">
        <v>21</v>
      </c>
      <c r="B222" s="4" t="s">
        <v>33</v>
      </c>
      <c r="C222" s="4" t="s">
        <v>34</v>
      </c>
      <c r="D222" s="4" t="s">
        <v>44</v>
      </c>
      <c r="E222" s="4" t="s">
        <v>53</v>
      </c>
      <c r="F222" s="4" t="s">
        <v>55</v>
      </c>
      <c r="G222" s="4" t="s">
        <v>25</v>
      </c>
      <c r="H222" s="4" t="s">
        <v>36</v>
      </c>
      <c r="I222" s="5">
        <v>44378</v>
      </c>
      <c r="J222" s="6">
        <v>0</v>
      </c>
      <c r="K222" s="6">
        <v>0</v>
      </c>
      <c r="L222" s="6">
        <v>16.233000000000001</v>
      </c>
      <c r="M222" s="6">
        <v>4.8699000000000003</v>
      </c>
      <c r="N222" s="6">
        <v>16.233000000000001</v>
      </c>
      <c r="O222" s="6">
        <v>4.8699000000000003</v>
      </c>
      <c r="P222" s="6">
        <v>0</v>
      </c>
      <c r="Q222" s="4" t="s">
        <v>26</v>
      </c>
      <c r="R222" s="4">
        <v>0</v>
      </c>
      <c r="S222" s="6">
        <v>0</v>
      </c>
      <c r="T222" s="6">
        <v>8</v>
      </c>
      <c r="U222" s="6">
        <v>49</v>
      </c>
      <c r="V222" s="6">
        <f>IF(ISERROR(VLOOKUP($S$222,'TAR FIN'!$A$1:$O$85,15,0)),0,VLOOKUP($S$222,'TAR FIN'!$A$1:$O$85,15,0))</f>
        <v>0</v>
      </c>
      <c r="W222" s="6">
        <f>IF(ISERROR(VLOOKUP($T$222,'TAR FIN'!$A$1:$O$85,15,0)),0,VLOOKUP($T$222,'TAR FIN'!$A$1:$O$85,15,0))</f>
        <v>65.61</v>
      </c>
      <c r="X222" s="6">
        <f>IF(ISERROR(VLOOKUP($U$222,'TAR FIN'!$A$1:$O$85,15,0)),0,VLOOKUP($U$222,'TAR FIN'!$A$1:$O$85,15,0))</f>
        <v>263.29000000000002</v>
      </c>
      <c r="Y222" s="6"/>
      <c r="Z222" s="6">
        <f ca="1">('TUSD BE'!$AM$12+'TUSD BF'!$AM$12+'TUSD CVA'!$AM$12)*1</f>
        <v>100.34646310857573</v>
      </c>
      <c r="AA222" s="6">
        <f>('TE BE'!$AA$6+'TE BF'!$AA$6+'TE CVA'!$AA$6)*1</f>
        <v>210.64397598313801</v>
      </c>
      <c r="AB222" s="6">
        <f>$K$222*$V$222</f>
        <v>0</v>
      </c>
      <c r="AC222" s="6">
        <f>$M$222*$W$222</f>
        <v>319.514139</v>
      </c>
      <c r="AD222" s="6">
        <f>$O$222*$X$222</f>
        <v>1282.1959710000001</v>
      </c>
      <c r="AE222" s="6">
        <f>$K$222*$Y$222</f>
        <v>0</v>
      </c>
      <c r="AF222" s="6">
        <f ca="1">$M$222*$Z$222</f>
        <v>488.67724069245298</v>
      </c>
      <c r="AG222" s="6">
        <f>$O$222*$AA$222</f>
        <v>1025.8150986402838</v>
      </c>
    </row>
    <row r="223" spans="1:33" ht="11.25" customHeight="1" x14ac:dyDescent="0.25">
      <c r="A223" s="4" t="s">
        <v>21</v>
      </c>
      <c r="B223" s="4" t="s">
        <v>33</v>
      </c>
      <c r="C223" s="4" t="s">
        <v>34</v>
      </c>
      <c r="D223" s="4" t="s">
        <v>44</v>
      </c>
      <c r="E223" s="4" t="s">
        <v>53</v>
      </c>
      <c r="F223" s="4" t="s">
        <v>55</v>
      </c>
      <c r="G223" s="4" t="s">
        <v>25</v>
      </c>
      <c r="H223" s="4" t="s">
        <v>36</v>
      </c>
      <c r="I223" s="5">
        <v>44409</v>
      </c>
      <c r="J223" s="6">
        <v>0</v>
      </c>
      <c r="K223" s="6">
        <v>0</v>
      </c>
      <c r="L223" s="6">
        <v>19.994</v>
      </c>
      <c r="M223" s="6">
        <v>5.9981999999999998</v>
      </c>
      <c r="N223" s="6">
        <v>19.994</v>
      </c>
      <c r="O223" s="6">
        <v>5.9981999999999998</v>
      </c>
      <c r="P223" s="6">
        <v>0</v>
      </c>
      <c r="Q223" s="4" t="s">
        <v>26</v>
      </c>
      <c r="R223" s="4">
        <v>0</v>
      </c>
      <c r="S223" s="6">
        <v>0</v>
      </c>
      <c r="T223" s="6">
        <v>8</v>
      </c>
      <c r="U223" s="6">
        <v>49</v>
      </c>
      <c r="V223" s="6">
        <f>IF(ISERROR(VLOOKUP($S$223,'TAR FIN'!$A$1:$O$85,15,0)),0,VLOOKUP($S$223,'TAR FIN'!$A$1:$O$85,15,0))</f>
        <v>0</v>
      </c>
      <c r="W223" s="6">
        <f>IF(ISERROR(VLOOKUP($T$223,'TAR FIN'!$A$1:$O$85,15,0)),0,VLOOKUP($T$223,'TAR FIN'!$A$1:$O$85,15,0))</f>
        <v>65.61</v>
      </c>
      <c r="X223" s="6">
        <f>IF(ISERROR(VLOOKUP($U$223,'TAR FIN'!$A$1:$O$85,15,0)),0,VLOOKUP($U$223,'TAR FIN'!$A$1:$O$85,15,0))</f>
        <v>263.29000000000002</v>
      </c>
      <c r="Y223" s="6"/>
      <c r="Z223" s="6">
        <f ca="1">('TUSD BE'!$AM$12+'TUSD BF'!$AM$12+'TUSD CVA'!$AM$12)*1</f>
        <v>100.34646310857573</v>
      </c>
      <c r="AA223" s="6">
        <f>('TE BE'!$AA$6+'TE BF'!$AA$6+'TE CVA'!$AA$6)*1</f>
        <v>210.64397598313801</v>
      </c>
      <c r="AB223" s="6">
        <f>$K$223*$V$223</f>
        <v>0</v>
      </c>
      <c r="AC223" s="6">
        <f>$M$223*$W$223</f>
        <v>393.54190199999999</v>
      </c>
      <c r="AD223" s="6">
        <f>$O$223*$X$223</f>
        <v>1579.2660780000001</v>
      </c>
      <c r="AE223" s="6">
        <f>$K$223*$Y$223</f>
        <v>0</v>
      </c>
      <c r="AF223" s="6">
        <f ca="1">$M$223*$Z$223</f>
        <v>601.89815501785893</v>
      </c>
      <c r="AG223" s="6">
        <f>$O$223*$AA$223</f>
        <v>1263.4846967420583</v>
      </c>
    </row>
    <row r="224" spans="1:33" ht="11.25" customHeight="1" x14ac:dyDescent="0.25">
      <c r="A224" s="4" t="s">
        <v>21</v>
      </c>
      <c r="B224" s="4" t="s">
        <v>33</v>
      </c>
      <c r="C224" s="4" t="s">
        <v>34</v>
      </c>
      <c r="D224" s="4" t="s">
        <v>44</v>
      </c>
      <c r="E224" s="4" t="s">
        <v>53</v>
      </c>
      <c r="F224" s="4" t="s">
        <v>55</v>
      </c>
      <c r="G224" s="4" t="s">
        <v>25</v>
      </c>
      <c r="H224" s="4" t="s">
        <v>36</v>
      </c>
      <c r="I224" s="5">
        <v>44440</v>
      </c>
      <c r="J224" s="6">
        <v>0</v>
      </c>
      <c r="K224" s="6">
        <v>0</v>
      </c>
      <c r="L224" s="6">
        <v>42.274000000000001</v>
      </c>
      <c r="M224" s="6">
        <v>12.6822</v>
      </c>
      <c r="N224" s="6">
        <v>42.274000000000001</v>
      </c>
      <c r="O224" s="6">
        <v>12.6822</v>
      </c>
      <c r="P224" s="6">
        <v>0</v>
      </c>
      <c r="Q224" s="4" t="s">
        <v>26</v>
      </c>
      <c r="R224" s="4">
        <v>0</v>
      </c>
      <c r="S224" s="6">
        <v>0</v>
      </c>
      <c r="T224" s="6">
        <v>8</v>
      </c>
      <c r="U224" s="6">
        <v>49</v>
      </c>
      <c r="V224" s="6">
        <f>IF(ISERROR(VLOOKUP($S$224,'TAR FIN'!$A$1:$O$85,15,0)),0,VLOOKUP($S$224,'TAR FIN'!$A$1:$O$85,15,0))</f>
        <v>0</v>
      </c>
      <c r="W224" s="6">
        <f>IF(ISERROR(VLOOKUP($T$224,'TAR FIN'!$A$1:$O$85,15,0)),0,VLOOKUP($T$224,'TAR FIN'!$A$1:$O$85,15,0))</f>
        <v>65.61</v>
      </c>
      <c r="X224" s="6">
        <f>IF(ISERROR(VLOOKUP($U$224,'TAR FIN'!$A$1:$O$85,15,0)),0,VLOOKUP($U$224,'TAR FIN'!$A$1:$O$85,15,0))</f>
        <v>263.29000000000002</v>
      </c>
      <c r="Y224" s="6"/>
      <c r="Z224" s="6">
        <f ca="1">('TUSD BE'!$AM$12+'TUSD BF'!$AM$12+'TUSD CVA'!$AM$12)*1</f>
        <v>100.34646310857573</v>
      </c>
      <c r="AA224" s="6">
        <f>('TE BE'!$AA$6+'TE BF'!$AA$6+'TE CVA'!$AA$6)*1</f>
        <v>210.64397598313801</v>
      </c>
      <c r="AB224" s="6">
        <f>$K$224*$V$224</f>
        <v>0</v>
      </c>
      <c r="AC224" s="6">
        <f>$M$224*$W$224</f>
        <v>832.07914199999993</v>
      </c>
      <c r="AD224" s="6">
        <f>$O$224*$X$224</f>
        <v>3339.096438</v>
      </c>
      <c r="AE224" s="6">
        <f>$K$224*$Y$224</f>
        <v>0</v>
      </c>
      <c r="AF224" s="6">
        <f ca="1">$M$224*$Z$224</f>
        <v>1272.6139144355791</v>
      </c>
      <c r="AG224" s="6">
        <f>$O$224*$AA$224</f>
        <v>2671.4290322133529</v>
      </c>
    </row>
    <row r="225" spans="1:33" ht="11.25" customHeight="1" x14ac:dyDescent="0.25">
      <c r="A225" s="4" t="s">
        <v>21</v>
      </c>
      <c r="B225" s="4" t="s">
        <v>33</v>
      </c>
      <c r="C225" s="4" t="s">
        <v>34</v>
      </c>
      <c r="D225" s="4" t="s">
        <v>44</v>
      </c>
      <c r="E225" s="4" t="s">
        <v>53</v>
      </c>
      <c r="F225" s="4" t="s">
        <v>55</v>
      </c>
      <c r="G225" s="4" t="s">
        <v>25</v>
      </c>
      <c r="H225" s="4" t="s">
        <v>36</v>
      </c>
      <c r="I225" s="5">
        <v>44470</v>
      </c>
      <c r="J225" s="6">
        <v>0</v>
      </c>
      <c r="K225" s="6">
        <v>0</v>
      </c>
      <c r="L225" s="6">
        <v>2.4</v>
      </c>
      <c r="M225" s="6">
        <v>0.72</v>
      </c>
      <c r="N225" s="6">
        <v>2.4</v>
      </c>
      <c r="O225" s="6">
        <v>0.72</v>
      </c>
      <c r="P225" s="6">
        <v>0</v>
      </c>
      <c r="Q225" s="4" t="s">
        <v>26</v>
      </c>
      <c r="R225" s="4">
        <v>0</v>
      </c>
      <c r="S225" s="6">
        <v>0</v>
      </c>
      <c r="T225" s="6">
        <v>8</v>
      </c>
      <c r="U225" s="6">
        <v>49</v>
      </c>
      <c r="V225" s="6">
        <f>IF(ISERROR(VLOOKUP($S$225,'TAR FIN'!$A$1:$O$85,15,0)),0,VLOOKUP($S$225,'TAR FIN'!$A$1:$O$85,15,0))</f>
        <v>0</v>
      </c>
      <c r="W225" s="6">
        <f>IF(ISERROR(VLOOKUP($T$225,'TAR FIN'!$A$1:$O$85,15,0)),0,VLOOKUP($T$225,'TAR FIN'!$A$1:$O$85,15,0))</f>
        <v>65.61</v>
      </c>
      <c r="X225" s="6">
        <f>IF(ISERROR(VLOOKUP($U$225,'TAR FIN'!$A$1:$O$85,15,0)),0,VLOOKUP($U$225,'TAR FIN'!$A$1:$O$85,15,0))</f>
        <v>263.29000000000002</v>
      </c>
      <c r="Y225" s="6"/>
      <c r="Z225" s="6">
        <f ca="1">('TUSD BE'!$AM$12+'TUSD BF'!$AM$12+'TUSD CVA'!$AM$12)*1</f>
        <v>100.34646310857573</v>
      </c>
      <c r="AA225" s="6">
        <f>('TE BE'!$AA$6+'TE BF'!$AA$6+'TE CVA'!$AA$6)*1</f>
        <v>210.64397598313801</v>
      </c>
      <c r="AB225" s="6">
        <f>$K$225*$V$225</f>
        <v>0</v>
      </c>
      <c r="AC225" s="6">
        <f>$M$225*$W$225</f>
        <v>47.239199999999997</v>
      </c>
      <c r="AD225" s="6">
        <f>$O$225*$X$225</f>
        <v>189.56880000000001</v>
      </c>
      <c r="AE225" s="6">
        <f>$K$225*$Y$225</f>
        <v>0</v>
      </c>
      <c r="AF225" s="6">
        <f ca="1">$M$225*$Z$225</f>
        <v>72.249453438174527</v>
      </c>
      <c r="AG225" s="6">
        <f>$O$225*$AA$225</f>
        <v>151.66366270785934</v>
      </c>
    </row>
    <row r="226" spans="1:33" ht="11.25" customHeight="1" x14ac:dyDescent="0.25">
      <c r="A226" s="4" t="s">
        <v>21</v>
      </c>
      <c r="B226" s="4" t="s">
        <v>33</v>
      </c>
      <c r="C226" s="4" t="s">
        <v>34</v>
      </c>
      <c r="D226" s="4" t="s">
        <v>44</v>
      </c>
      <c r="E226" s="4" t="s">
        <v>53</v>
      </c>
      <c r="F226" s="4" t="s">
        <v>55</v>
      </c>
      <c r="G226" s="4" t="s">
        <v>25</v>
      </c>
      <c r="H226" s="4" t="s">
        <v>36</v>
      </c>
      <c r="I226" s="5">
        <v>44501</v>
      </c>
      <c r="J226" s="6">
        <v>0</v>
      </c>
      <c r="K226" s="6">
        <v>0</v>
      </c>
      <c r="L226" s="6">
        <v>3.2000000000000001E-2</v>
      </c>
      <c r="M226" s="6">
        <v>9.5999999999999992E-3</v>
      </c>
      <c r="N226" s="6">
        <v>3.2000000000000001E-2</v>
      </c>
      <c r="O226" s="6">
        <v>9.5999999999999992E-3</v>
      </c>
      <c r="P226" s="6">
        <v>0</v>
      </c>
      <c r="Q226" s="4" t="s">
        <v>26</v>
      </c>
      <c r="R226" s="4">
        <v>0</v>
      </c>
      <c r="S226" s="6">
        <v>0</v>
      </c>
      <c r="T226" s="6">
        <v>8</v>
      </c>
      <c r="U226" s="6">
        <v>49</v>
      </c>
      <c r="V226" s="6">
        <f>IF(ISERROR(VLOOKUP($S$226,'TAR FIN'!$A$1:$O$85,15,0)),0,VLOOKUP($S$226,'TAR FIN'!$A$1:$O$85,15,0))</f>
        <v>0</v>
      </c>
      <c r="W226" s="6">
        <f>IF(ISERROR(VLOOKUP($T$226,'TAR FIN'!$A$1:$O$85,15,0)),0,VLOOKUP($T$226,'TAR FIN'!$A$1:$O$85,15,0))</f>
        <v>65.61</v>
      </c>
      <c r="X226" s="6">
        <f>IF(ISERROR(VLOOKUP($U$226,'TAR FIN'!$A$1:$O$85,15,0)),0,VLOOKUP($U$226,'TAR FIN'!$A$1:$O$85,15,0))</f>
        <v>263.29000000000002</v>
      </c>
      <c r="Y226" s="6"/>
      <c r="Z226" s="6">
        <f ca="1">('TUSD BE'!$AM$12+'TUSD BF'!$AM$12+'TUSD CVA'!$AM$12)*1</f>
        <v>100.34646310857573</v>
      </c>
      <c r="AA226" s="6">
        <f>('TE BE'!$AA$6+'TE BF'!$AA$6+'TE CVA'!$AA$6)*1</f>
        <v>210.64397598313801</v>
      </c>
      <c r="AB226" s="6">
        <f>$K$226*$V$226</f>
        <v>0</v>
      </c>
      <c r="AC226" s="6">
        <f>$M$226*$W$226</f>
        <v>0.62985599999999997</v>
      </c>
      <c r="AD226" s="6">
        <f>$O$226*$X$226</f>
        <v>2.5275840000000001</v>
      </c>
      <c r="AE226" s="6">
        <f>$K$226*$Y$226</f>
        <v>0</v>
      </c>
      <c r="AF226" s="6">
        <f ca="1">$M$226*$Z$226</f>
        <v>0.96332604584232695</v>
      </c>
      <c r="AG226" s="6">
        <f>$O$226*$AA$226</f>
        <v>2.0221821694381248</v>
      </c>
    </row>
    <row r="227" spans="1:33" ht="11.25" customHeight="1" x14ac:dyDescent="0.25">
      <c r="A227" s="4" t="s">
        <v>21</v>
      </c>
      <c r="B227" s="4" t="s">
        <v>33</v>
      </c>
      <c r="C227" s="4" t="s">
        <v>34</v>
      </c>
      <c r="D227" s="4" t="s">
        <v>44</v>
      </c>
      <c r="E227" s="4" t="s">
        <v>53</v>
      </c>
      <c r="F227" s="4" t="s">
        <v>55</v>
      </c>
      <c r="G227" s="4" t="s">
        <v>25</v>
      </c>
      <c r="H227" s="4" t="s">
        <v>36</v>
      </c>
      <c r="I227" s="5">
        <v>44531</v>
      </c>
      <c r="J227" s="6">
        <v>0</v>
      </c>
      <c r="K227" s="6">
        <v>0</v>
      </c>
      <c r="L227" s="6">
        <v>6.6000000000000003E-2</v>
      </c>
      <c r="M227" s="6">
        <v>1.9800000000000002E-2</v>
      </c>
      <c r="N227" s="6">
        <v>6.6000000000000003E-2</v>
      </c>
      <c r="O227" s="6">
        <v>1.9800000000000002E-2</v>
      </c>
      <c r="P227" s="6">
        <v>0</v>
      </c>
      <c r="Q227" s="4" t="s">
        <v>26</v>
      </c>
      <c r="R227" s="4">
        <v>0</v>
      </c>
      <c r="S227" s="6">
        <v>0</v>
      </c>
      <c r="T227" s="6">
        <v>8</v>
      </c>
      <c r="U227" s="6">
        <v>49</v>
      </c>
      <c r="V227" s="6">
        <f>IF(ISERROR(VLOOKUP($S$227,'TAR FIN'!$A$1:$O$85,15,0)),0,VLOOKUP($S$227,'TAR FIN'!$A$1:$O$85,15,0))</f>
        <v>0</v>
      </c>
      <c r="W227" s="6">
        <f>IF(ISERROR(VLOOKUP($T$227,'TAR FIN'!$A$1:$O$85,15,0)),0,VLOOKUP($T$227,'TAR FIN'!$A$1:$O$85,15,0))</f>
        <v>65.61</v>
      </c>
      <c r="X227" s="6">
        <f>IF(ISERROR(VLOOKUP($U$227,'TAR FIN'!$A$1:$O$85,15,0)),0,VLOOKUP($U$227,'TAR FIN'!$A$1:$O$85,15,0))</f>
        <v>263.29000000000002</v>
      </c>
      <c r="Y227" s="6"/>
      <c r="Z227" s="6">
        <f ca="1">('TUSD BE'!$AM$12+'TUSD BF'!$AM$12+'TUSD CVA'!$AM$12)*1</f>
        <v>100.34646310857573</v>
      </c>
      <c r="AA227" s="6">
        <f>('TE BE'!$AA$6+'TE BF'!$AA$6+'TE CVA'!$AA$6)*1</f>
        <v>210.64397598313801</v>
      </c>
      <c r="AB227" s="6">
        <f>$K$227*$V$227</f>
        <v>0</v>
      </c>
      <c r="AC227" s="6">
        <f>$M$227*$W$227</f>
        <v>1.2990780000000002</v>
      </c>
      <c r="AD227" s="6">
        <f>$O$227*$X$227</f>
        <v>5.2131420000000013</v>
      </c>
      <c r="AE227" s="6">
        <f>$K$227*$Y$227</f>
        <v>0</v>
      </c>
      <c r="AF227" s="6">
        <f ca="1">$M$227*$Z$227</f>
        <v>1.9868599695497997</v>
      </c>
      <c r="AG227" s="6">
        <f>$O$227*$AA$227</f>
        <v>4.1707507244661333</v>
      </c>
    </row>
    <row r="228" spans="1:33" ht="11.25" customHeight="1" x14ac:dyDescent="0.25">
      <c r="A228" s="4" t="s">
        <v>21</v>
      </c>
      <c r="B228" s="4" t="s">
        <v>33</v>
      </c>
      <c r="C228" s="4" t="s">
        <v>34</v>
      </c>
      <c r="D228" s="4" t="s">
        <v>44</v>
      </c>
      <c r="E228" s="4" t="s">
        <v>53</v>
      </c>
      <c r="F228" s="4" t="s">
        <v>55</v>
      </c>
      <c r="G228" s="4" t="s">
        <v>25</v>
      </c>
      <c r="H228" s="4" t="s">
        <v>36</v>
      </c>
      <c r="I228" s="5">
        <v>44562</v>
      </c>
      <c r="J228" s="6">
        <v>0</v>
      </c>
      <c r="K228" s="6">
        <v>0</v>
      </c>
      <c r="L228" s="6">
        <v>0.10199999999999999</v>
      </c>
      <c r="M228" s="6">
        <v>3.0599999999999999E-2</v>
      </c>
      <c r="N228" s="6">
        <v>0.10199999999999999</v>
      </c>
      <c r="O228" s="6">
        <v>3.0599999999999999E-2</v>
      </c>
      <c r="P228" s="6">
        <v>0</v>
      </c>
      <c r="Q228" s="4" t="s">
        <v>26</v>
      </c>
      <c r="R228" s="4">
        <v>0</v>
      </c>
      <c r="S228" s="6">
        <v>0</v>
      </c>
      <c r="T228" s="6">
        <v>8</v>
      </c>
      <c r="U228" s="6">
        <v>49</v>
      </c>
      <c r="V228" s="6">
        <f>IF(ISERROR(VLOOKUP($S$228,'TAR FIN'!$A$1:$O$85,15,0)),0,VLOOKUP($S$228,'TAR FIN'!$A$1:$O$85,15,0))</f>
        <v>0</v>
      </c>
      <c r="W228" s="6">
        <f>IF(ISERROR(VLOOKUP($T$228,'TAR FIN'!$A$1:$O$85,15,0)),0,VLOOKUP($T$228,'TAR FIN'!$A$1:$O$85,15,0))</f>
        <v>65.61</v>
      </c>
      <c r="X228" s="6">
        <f>IF(ISERROR(VLOOKUP($U$228,'TAR FIN'!$A$1:$O$85,15,0)),0,VLOOKUP($U$228,'TAR FIN'!$A$1:$O$85,15,0))</f>
        <v>263.29000000000002</v>
      </c>
      <c r="Y228" s="6"/>
      <c r="Z228" s="6">
        <f ca="1">('TUSD BE'!$AM$12+'TUSD BF'!$AM$12+'TUSD CVA'!$AM$12)*1</f>
        <v>100.34646310857573</v>
      </c>
      <c r="AA228" s="6">
        <f>('TE BE'!$AA$6+'TE BF'!$AA$6+'TE CVA'!$AA$6)*1</f>
        <v>210.64397598313801</v>
      </c>
      <c r="AB228" s="6">
        <f>$K$228*$V$228</f>
        <v>0</v>
      </c>
      <c r="AC228" s="6">
        <f>$M$228*$W$228</f>
        <v>2.007666</v>
      </c>
      <c r="AD228" s="6">
        <f>$O$228*$X$228</f>
        <v>8.056674000000001</v>
      </c>
      <c r="AE228" s="6">
        <f>$K$228*$Y$228</f>
        <v>0</v>
      </c>
      <c r="AF228" s="6">
        <f ca="1">$M$228*$Z$228</f>
        <v>3.0706017711224174</v>
      </c>
      <c r="AG228" s="6">
        <f>$O$228*$AA$228</f>
        <v>6.4457056650840228</v>
      </c>
    </row>
    <row r="229" spans="1:33" ht="11.25" customHeight="1" x14ac:dyDescent="0.25">
      <c r="A229" s="4" t="s">
        <v>21</v>
      </c>
      <c r="B229" s="4" t="s">
        <v>33</v>
      </c>
      <c r="C229" s="4" t="s">
        <v>34</v>
      </c>
      <c r="D229" s="4" t="s">
        <v>44</v>
      </c>
      <c r="E229" s="4" t="s">
        <v>53</v>
      </c>
      <c r="F229" s="4" t="s">
        <v>55</v>
      </c>
      <c r="G229" s="4" t="s">
        <v>25</v>
      </c>
      <c r="H229" s="4" t="s">
        <v>36</v>
      </c>
      <c r="I229" s="5">
        <v>44593</v>
      </c>
      <c r="J229" s="6">
        <v>0</v>
      </c>
      <c r="K229" s="6">
        <v>0</v>
      </c>
      <c r="L229" s="6">
        <v>0.25700000000000001</v>
      </c>
      <c r="M229" s="6">
        <v>7.7100000000000002E-2</v>
      </c>
      <c r="N229" s="6">
        <v>0.25700000000000001</v>
      </c>
      <c r="O229" s="6">
        <v>7.7100000000000002E-2</v>
      </c>
      <c r="P229" s="6">
        <v>0</v>
      </c>
      <c r="Q229" s="4" t="s">
        <v>26</v>
      </c>
      <c r="R229" s="4">
        <v>0</v>
      </c>
      <c r="S229" s="6">
        <v>0</v>
      </c>
      <c r="T229" s="6">
        <v>8</v>
      </c>
      <c r="U229" s="6">
        <v>49</v>
      </c>
      <c r="V229" s="6">
        <f>IF(ISERROR(VLOOKUP($S$229,'TAR FIN'!$A$1:$O$85,15,0)),0,VLOOKUP($S$229,'TAR FIN'!$A$1:$O$85,15,0))</f>
        <v>0</v>
      </c>
      <c r="W229" s="6">
        <f>IF(ISERROR(VLOOKUP($T$229,'TAR FIN'!$A$1:$O$85,15,0)),0,VLOOKUP($T$229,'TAR FIN'!$A$1:$O$85,15,0))</f>
        <v>65.61</v>
      </c>
      <c r="X229" s="6">
        <f>IF(ISERROR(VLOOKUP($U$229,'TAR FIN'!$A$1:$O$85,15,0)),0,VLOOKUP($U$229,'TAR FIN'!$A$1:$O$85,15,0))</f>
        <v>263.29000000000002</v>
      </c>
      <c r="Y229" s="6"/>
      <c r="Z229" s="6">
        <f ca="1">('TUSD BE'!$AM$12+'TUSD BF'!$AM$12+'TUSD CVA'!$AM$12)*1</f>
        <v>100.34646310857573</v>
      </c>
      <c r="AA229" s="6">
        <f>('TE BE'!$AA$6+'TE BF'!$AA$6+'TE CVA'!$AA$6)*1</f>
        <v>210.64397598313801</v>
      </c>
      <c r="AB229" s="6">
        <f>$K$229*$V$229</f>
        <v>0</v>
      </c>
      <c r="AC229" s="6">
        <f>$M$229*$W$229</f>
        <v>5.0585310000000003</v>
      </c>
      <c r="AD229" s="6">
        <f>$O$229*$X$229</f>
        <v>20.299659000000002</v>
      </c>
      <c r="AE229" s="6">
        <f>$K$229*$Y$229</f>
        <v>0</v>
      </c>
      <c r="AF229" s="6">
        <f ca="1">$M$229*$Z$229</f>
        <v>7.7367123056711895</v>
      </c>
      <c r="AG229" s="6">
        <f>$O$229*$AA$229</f>
        <v>16.240650548299939</v>
      </c>
    </row>
    <row r="230" spans="1:33" ht="11.25" customHeight="1" x14ac:dyDescent="0.25">
      <c r="A230" s="4" t="s">
        <v>21</v>
      </c>
      <c r="B230" s="4" t="s">
        <v>33</v>
      </c>
      <c r="C230" s="4" t="s">
        <v>34</v>
      </c>
      <c r="D230" s="4" t="s">
        <v>44</v>
      </c>
      <c r="E230" s="4" t="s">
        <v>53</v>
      </c>
      <c r="F230" s="4" t="s">
        <v>55</v>
      </c>
      <c r="G230" s="4" t="s">
        <v>25</v>
      </c>
      <c r="H230" s="4" t="s">
        <v>36</v>
      </c>
      <c r="I230" s="5">
        <v>44621</v>
      </c>
      <c r="J230" s="6">
        <v>0</v>
      </c>
      <c r="K230" s="6">
        <v>0</v>
      </c>
      <c r="L230" s="6">
        <v>3.399</v>
      </c>
      <c r="M230" s="6">
        <v>1.0197000000000001</v>
      </c>
      <c r="N230" s="6">
        <v>3.399</v>
      </c>
      <c r="O230" s="6">
        <v>1.0197000000000001</v>
      </c>
      <c r="P230" s="6">
        <v>0</v>
      </c>
      <c r="Q230" s="4" t="s">
        <v>26</v>
      </c>
      <c r="R230" s="4">
        <v>0</v>
      </c>
      <c r="S230" s="6">
        <v>0</v>
      </c>
      <c r="T230" s="6">
        <v>8</v>
      </c>
      <c r="U230" s="6">
        <v>49</v>
      </c>
      <c r="V230" s="6">
        <f>IF(ISERROR(VLOOKUP($S$230,'TAR FIN'!$A$1:$O$85,15,0)),0,VLOOKUP($S$230,'TAR FIN'!$A$1:$O$85,15,0))</f>
        <v>0</v>
      </c>
      <c r="W230" s="6">
        <f>IF(ISERROR(VLOOKUP($T$230,'TAR FIN'!$A$1:$O$85,15,0)),0,VLOOKUP($T$230,'TAR FIN'!$A$1:$O$85,15,0))</f>
        <v>65.61</v>
      </c>
      <c r="X230" s="6">
        <f>IF(ISERROR(VLOOKUP($U$230,'TAR FIN'!$A$1:$O$85,15,0)),0,VLOOKUP($U$230,'TAR FIN'!$A$1:$O$85,15,0))</f>
        <v>263.29000000000002</v>
      </c>
      <c r="Y230" s="6"/>
      <c r="Z230" s="6">
        <f ca="1">('TUSD BE'!$AM$12+'TUSD BF'!$AM$12+'TUSD CVA'!$AM$12)*1</f>
        <v>100.34646310857573</v>
      </c>
      <c r="AA230" s="6">
        <f>('TE BE'!$AA$6+'TE BF'!$AA$6+'TE CVA'!$AA$6)*1</f>
        <v>210.64397598313801</v>
      </c>
      <c r="AB230" s="6">
        <f>$K$230*$V$230</f>
        <v>0</v>
      </c>
      <c r="AC230" s="6">
        <f>$M$230*$W$230</f>
        <v>66.902517000000003</v>
      </c>
      <c r="AD230" s="6">
        <f>$O$230*$X$230</f>
        <v>268.47681300000005</v>
      </c>
      <c r="AE230" s="6">
        <f>$K$230*$Y$230</f>
        <v>0</v>
      </c>
      <c r="AF230" s="6">
        <f ca="1">$M$230*$Z$230</f>
        <v>102.32328843181467</v>
      </c>
      <c r="AG230" s="6">
        <f>$O$230*$AA$230</f>
        <v>214.79366231000583</v>
      </c>
    </row>
    <row r="231" spans="1:33" ht="11.25" customHeight="1" x14ac:dyDescent="0.25">
      <c r="A231" s="4" t="s">
        <v>21</v>
      </c>
      <c r="B231" s="4" t="s">
        <v>33</v>
      </c>
      <c r="C231" s="4" t="s">
        <v>34</v>
      </c>
      <c r="D231" s="4" t="s">
        <v>44</v>
      </c>
      <c r="E231" s="4" t="s">
        <v>53</v>
      </c>
      <c r="F231" s="4" t="s">
        <v>55</v>
      </c>
      <c r="G231" s="4" t="s">
        <v>25</v>
      </c>
      <c r="H231" s="4" t="s">
        <v>36</v>
      </c>
      <c r="I231" s="5">
        <v>44652</v>
      </c>
      <c r="J231" s="6">
        <v>0</v>
      </c>
      <c r="K231" s="6">
        <v>0</v>
      </c>
      <c r="L231" s="6">
        <v>5.7000000000000002E-2</v>
      </c>
      <c r="M231" s="6">
        <v>1.7100000000000001E-2</v>
      </c>
      <c r="N231" s="6">
        <v>5.7000000000000002E-2</v>
      </c>
      <c r="O231" s="6">
        <v>1.7100000000000001E-2</v>
      </c>
      <c r="P231" s="6">
        <v>0</v>
      </c>
      <c r="Q231" s="4" t="s">
        <v>26</v>
      </c>
      <c r="R231" s="4">
        <v>0</v>
      </c>
      <c r="S231" s="6">
        <v>0</v>
      </c>
      <c r="T231" s="6">
        <v>8</v>
      </c>
      <c r="U231" s="6">
        <v>49</v>
      </c>
      <c r="V231" s="6">
        <f>IF(ISERROR(VLOOKUP($S$231,'TAR FIN'!$A$1:$O$85,15,0)),0,VLOOKUP($S$231,'TAR FIN'!$A$1:$O$85,15,0))</f>
        <v>0</v>
      </c>
      <c r="W231" s="6">
        <f>IF(ISERROR(VLOOKUP($T$231,'TAR FIN'!$A$1:$O$85,15,0)),0,VLOOKUP($T$231,'TAR FIN'!$A$1:$O$85,15,0))</f>
        <v>65.61</v>
      </c>
      <c r="X231" s="6">
        <f>IF(ISERROR(VLOOKUP($U$231,'TAR FIN'!$A$1:$O$85,15,0)),0,VLOOKUP($U$231,'TAR FIN'!$A$1:$O$85,15,0))</f>
        <v>263.29000000000002</v>
      </c>
      <c r="Y231" s="6"/>
      <c r="Z231" s="6">
        <f ca="1">('TUSD BE'!$AM$12+'TUSD BF'!$AM$12+'TUSD CVA'!$AM$12)*1</f>
        <v>100.34646310857573</v>
      </c>
      <c r="AA231" s="6">
        <f>('TE BE'!$AA$6+'TE BF'!$AA$6+'TE CVA'!$AA$6)*1</f>
        <v>210.64397598313801</v>
      </c>
      <c r="AB231" s="6">
        <f>$K$231*$V$231</f>
        <v>0</v>
      </c>
      <c r="AC231" s="6">
        <f>$M$231*$W$231</f>
        <v>1.121931</v>
      </c>
      <c r="AD231" s="6">
        <f>$O$231*$X$231</f>
        <v>4.5022590000000005</v>
      </c>
      <c r="AE231" s="6">
        <f>$K$231*$Y$231</f>
        <v>0</v>
      </c>
      <c r="AF231" s="6">
        <f ca="1">$M$231*$Z$231</f>
        <v>1.715924519156645</v>
      </c>
      <c r="AG231" s="6">
        <f>$O$231*$AA$231</f>
        <v>3.6020119893116602</v>
      </c>
    </row>
    <row r="232" spans="1:33" ht="11.25" customHeight="1" x14ac:dyDescent="0.25">
      <c r="A232" s="4" t="s">
        <v>21</v>
      </c>
      <c r="B232" s="4" t="s">
        <v>33</v>
      </c>
      <c r="C232" s="4" t="s">
        <v>34</v>
      </c>
      <c r="D232" s="4" t="s">
        <v>44</v>
      </c>
      <c r="E232" s="4" t="s">
        <v>53</v>
      </c>
      <c r="F232" s="4" t="s">
        <v>25</v>
      </c>
      <c r="G232" s="4" t="s">
        <v>25</v>
      </c>
      <c r="H232" s="4" t="s">
        <v>36</v>
      </c>
      <c r="I232" s="5">
        <v>44317</v>
      </c>
      <c r="J232" s="6">
        <v>0</v>
      </c>
      <c r="K232" s="77">
        <v>0</v>
      </c>
      <c r="L232" s="6">
        <v>81.334000000000003</v>
      </c>
      <c r="M232" s="77">
        <v>81.334000000000003</v>
      </c>
      <c r="N232" s="6">
        <v>81.334000000000003</v>
      </c>
      <c r="O232" s="77">
        <v>81.334000000000003</v>
      </c>
      <c r="P232" s="6">
        <v>0</v>
      </c>
      <c r="Q232" s="4" t="s">
        <v>26</v>
      </c>
      <c r="R232" s="4">
        <v>0</v>
      </c>
      <c r="S232" s="6">
        <v>0</v>
      </c>
      <c r="T232" s="6">
        <v>8</v>
      </c>
      <c r="U232" s="6">
        <v>49</v>
      </c>
      <c r="V232" s="77">
        <f>IF(ISERROR(VLOOKUP($S$232,'TAR FIN'!$A$1:$O$85,15,0)),0,VLOOKUP($S$232,'TAR FIN'!$A$1:$O$85,15,0))</f>
        <v>0</v>
      </c>
      <c r="W232" s="77">
        <f>IF(ISERROR(VLOOKUP($T$232,'TAR FIN'!$A$1:$O$85,15,0)),0,VLOOKUP($T$232,'TAR FIN'!$A$1:$O$85,15,0))*(1-0.04)</f>
        <v>62.985599999999998</v>
      </c>
      <c r="X232" s="77">
        <f>IF(ISERROR(VLOOKUP($U$232,'TAR FIN'!$A$1:$O$85,15,0)),0,VLOOKUP($U$232,'TAR FIN'!$A$1:$O$85,15,0))*(1-0.04)</f>
        <v>252.75840000000002</v>
      </c>
      <c r="Y232" s="77"/>
      <c r="Z232" s="77">
        <f ca="1">('TUSD BE'!$AM$12+'TUSD BF'!$AM$12+'TUSD CVA'!$AM$12)*1*(1-0.02)</f>
        <v>98.339533846404223</v>
      </c>
      <c r="AA232" s="77">
        <f>('TE BE'!$AA$6+'TE BF'!$AA$6+'TE CVA'!$AA$6)*1*(1-0.02)</f>
        <v>206.43109646347523</v>
      </c>
      <c r="AB232" s="6">
        <f>$K$232*$V$232</f>
        <v>0</v>
      </c>
      <c r="AC232" s="6">
        <f>$M$232*$W$232</f>
        <v>5122.8707904000003</v>
      </c>
      <c r="AD232" s="6">
        <f>$O$232*$X$232</f>
        <v>20557.851705600002</v>
      </c>
      <c r="AE232" s="6">
        <f>$K$232*$Y$232</f>
        <v>0</v>
      </c>
      <c r="AF232" s="6">
        <f ca="1">$M$232*$Z$232</f>
        <v>7998.3476458634414</v>
      </c>
      <c r="AG232" s="6">
        <f>$O$232*$AA$232</f>
        <v>16789.866799760293</v>
      </c>
    </row>
    <row r="233" spans="1:33" ht="11.25" customHeight="1" x14ac:dyDescent="0.25">
      <c r="A233" s="4" t="s">
        <v>21</v>
      </c>
      <c r="B233" s="4" t="s">
        <v>33</v>
      </c>
      <c r="C233" s="4" t="s">
        <v>34</v>
      </c>
      <c r="D233" s="4" t="s">
        <v>44</v>
      </c>
      <c r="E233" s="4" t="s">
        <v>53</v>
      </c>
      <c r="F233" s="4" t="s">
        <v>25</v>
      </c>
      <c r="G233" s="4" t="s">
        <v>25</v>
      </c>
      <c r="H233" s="4" t="s">
        <v>36</v>
      </c>
      <c r="I233" s="5">
        <v>44348</v>
      </c>
      <c r="J233" s="6">
        <v>0</v>
      </c>
      <c r="K233" s="77">
        <v>0</v>
      </c>
      <c r="L233" s="6">
        <v>26.411000000000001</v>
      </c>
      <c r="M233" s="77">
        <v>26.411000000000001</v>
      </c>
      <c r="N233" s="6">
        <v>26.411000000000001</v>
      </c>
      <c r="O233" s="77">
        <v>26.411000000000001</v>
      </c>
      <c r="P233" s="6">
        <v>0</v>
      </c>
      <c r="Q233" s="4" t="s">
        <v>26</v>
      </c>
      <c r="R233" s="4">
        <v>0</v>
      </c>
      <c r="S233" s="6">
        <v>0</v>
      </c>
      <c r="T233" s="6">
        <v>8</v>
      </c>
      <c r="U233" s="6">
        <v>49</v>
      </c>
      <c r="V233" s="77">
        <f>IF(ISERROR(VLOOKUP($S$233,'TAR FIN'!$A$1:$O$85,15,0)),0,VLOOKUP($S$233,'TAR FIN'!$A$1:$O$85,15,0))</f>
        <v>0</v>
      </c>
      <c r="W233" s="77">
        <f>IF(ISERROR(VLOOKUP($T$233,'TAR FIN'!$A$1:$O$85,15,0)),0,VLOOKUP($T$233,'TAR FIN'!$A$1:$O$85,15,0))*(1-0.04)</f>
        <v>62.985599999999998</v>
      </c>
      <c r="X233" s="77">
        <f>IF(ISERROR(VLOOKUP($U$233,'TAR FIN'!$A$1:$O$85,15,0)),0,VLOOKUP($U$233,'TAR FIN'!$A$1:$O$85,15,0))*(1-0.04)</f>
        <v>252.75840000000002</v>
      </c>
      <c r="Y233" s="77"/>
      <c r="Z233" s="77">
        <f ca="1">('TUSD BE'!$AM$12+'TUSD BF'!$AM$12+'TUSD CVA'!$AM$12)*1*(1-0.02)</f>
        <v>98.339533846404223</v>
      </c>
      <c r="AA233" s="77">
        <f>('TE BE'!$AA$6+'TE BF'!$AA$6+'TE CVA'!$AA$6)*1*(1-0.02)</f>
        <v>206.43109646347523</v>
      </c>
      <c r="AB233" s="6">
        <f>$K$233*$V$233</f>
        <v>0</v>
      </c>
      <c r="AC233" s="6">
        <f>$M$233*$W$233</f>
        <v>1663.5126816</v>
      </c>
      <c r="AD233" s="6">
        <f>$O$233*$X$233</f>
        <v>6675.6021024000011</v>
      </c>
      <c r="AE233" s="6">
        <f>$K$233*$Y$233</f>
        <v>0</v>
      </c>
      <c r="AF233" s="6">
        <f ca="1">$M$233*$Z$233</f>
        <v>2597.2454284173818</v>
      </c>
      <c r="AG233" s="6">
        <f>$O$233*$AA$233</f>
        <v>5452.0516886968444</v>
      </c>
    </row>
    <row r="234" spans="1:33" ht="11.25" customHeight="1" x14ac:dyDescent="0.25">
      <c r="A234" s="4" t="s">
        <v>21</v>
      </c>
      <c r="B234" s="4" t="s">
        <v>33</v>
      </c>
      <c r="C234" s="4" t="s">
        <v>34</v>
      </c>
      <c r="D234" s="4" t="s">
        <v>44</v>
      </c>
      <c r="E234" s="4" t="s">
        <v>53</v>
      </c>
      <c r="F234" s="4" t="s">
        <v>25</v>
      </c>
      <c r="G234" s="4" t="s">
        <v>25</v>
      </c>
      <c r="H234" s="4" t="s">
        <v>36</v>
      </c>
      <c r="I234" s="5">
        <v>44378</v>
      </c>
      <c r="J234" s="6">
        <v>0</v>
      </c>
      <c r="K234" s="77">
        <v>0</v>
      </c>
      <c r="L234" s="6">
        <v>42.161000000000001</v>
      </c>
      <c r="M234" s="77">
        <v>42.161000000000001</v>
      </c>
      <c r="N234" s="6">
        <v>42.161000000000001</v>
      </c>
      <c r="O234" s="77">
        <v>42.161000000000001</v>
      </c>
      <c r="P234" s="6">
        <v>0</v>
      </c>
      <c r="Q234" s="4" t="s">
        <v>26</v>
      </c>
      <c r="R234" s="4">
        <v>0</v>
      </c>
      <c r="S234" s="6">
        <v>0</v>
      </c>
      <c r="T234" s="6">
        <v>8</v>
      </c>
      <c r="U234" s="6">
        <v>49</v>
      </c>
      <c r="V234" s="77">
        <f>IF(ISERROR(VLOOKUP($S$234,'TAR FIN'!$A$1:$O$85,15,0)),0,VLOOKUP($S$234,'TAR FIN'!$A$1:$O$85,15,0))</f>
        <v>0</v>
      </c>
      <c r="W234" s="77">
        <f>IF(ISERROR(VLOOKUP($T$234,'TAR FIN'!$A$1:$O$85,15,0)),0,VLOOKUP($T$234,'TAR FIN'!$A$1:$O$85,15,0))*(1-0.04)</f>
        <v>62.985599999999998</v>
      </c>
      <c r="X234" s="77">
        <f>IF(ISERROR(VLOOKUP($U$234,'TAR FIN'!$A$1:$O$85,15,0)),0,VLOOKUP($U$234,'TAR FIN'!$A$1:$O$85,15,0))*(1-0.04)</f>
        <v>252.75840000000002</v>
      </c>
      <c r="Y234" s="77"/>
      <c r="Z234" s="77">
        <f ca="1">('TUSD BE'!$AM$12+'TUSD BF'!$AM$12+'TUSD CVA'!$AM$12)*1*(1-0.02)</f>
        <v>98.339533846404223</v>
      </c>
      <c r="AA234" s="77">
        <f>('TE BE'!$AA$6+'TE BF'!$AA$6+'TE CVA'!$AA$6)*1*(1-0.02)</f>
        <v>206.43109646347523</v>
      </c>
      <c r="AB234" s="6">
        <f>$K$234*$V$234</f>
        <v>0</v>
      </c>
      <c r="AC234" s="6">
        <f>$M$234*$W$234</f>
        <v>2655.5358815999998</v>
      </c>
      <c r="AD234" s="6">
        <f>$O$234*$X$234</f>
        <v>10656.546902400001</v>
      </c>
      <c r="AE234" s="6">
        <f>$K$234*$Y$234</f>
        <v>0</v>
      </c>
      <c r="AF234" s="6">
        <f ca="1">$M$234*$Z$234</f>
        <v>4146.0930864982483</v>
      </c>
      <c r="AG234" s="6">
        <f>$O$234*$AA$234</f>
        <v>8703.3414579965793</v>
      </c>
    </row>
    <row r="235" spans="1:33" ht="11.25" customHeight="1" x14ac:dyDescent="0.25">
      <c r="A235" s="4" t="s">
        <v>21</v>
      </c>
      <c r="B235" s="4" t="s">
        <v>33</v>
      </c>
      <c r="C235" s="4" t="s">
        <v>34</v>
      </c>
      <c r="D235" s="4" t="s">
        <v>44</v>
      </c>
      <c r="E235" s="4" t="s">
        <v>53</v>
      </c>
      <c r="F235" s="4" t="s">
        <v>25</v>
      </c>
      <c r="G235" s="4" t="s">
        <v>25</v>
      </c>
      <c r="H235" s="4" t="s">
        <v>36</v>
      </c>
      <c r="I235" s="5">
        <v>44409</v>
      </c>
      <c r="J235" s="6">
        <v>0</v>
      </c>
      <c r="K235" s="77">
        <v>0</v>
      </c>
      <c r="L235" s="6">
        <v>63.097000000000001</v>
      </c>
      <c r="M235" s="77">
        <v>63.097000000000001</v>
      </c>
      <c r="N235" s="6">
        <v>63.097000000000001</v>
      </c>
      <c r="O235" s="77">
        <v>63.097000000000001</v>
      </c>
      <c r="P235" s="6">
        <v>0</v>
      </c>
      <c r="Q235" s="4" t="s">
        <v>26</v>
      </c>
      <c r="R235" s="4">
        <v>0</v>
      </c>
      <c r="S235" s="6">
        <v>0</v>
      </c>
      <c r="T235" s="6">
        <v>8</v>
      </c>
      <c r="U235" s="6">
        <v>49</v>
      </c>
      <c r="V235" s="77">
        <f>IF(ISERROR(VLOOKUP($S$235,'TAR FIN'!$A$1:$O$85,15,0)),0,VLOOKUP($S$235,'TAR FIN'!$A$1:$O$85,15,0))</f>
        <v>0</v>
      </c>
      <c r="W235" s="77">
        <f>IF(ISERROR(VLOOKUP($T$235,'TAR FIN'!$A$1:$O$85,15,0)),0,VLOOKUP($T$235,'TAR FIN'!$A$1:$O$85,15,0))*(1-0.04)</f>
        <v>62.985599999999998</v>
      </c>
      <c r="X235" s="77">
        <f>IF(ISERROR(VLOOKUP($U$235,'TAR FIN'!$A$1:$O$85,15,0)),0,VLOOKUP($U$235,'TAR FIN'!$A$1:$O$85,15,0))*(1-0.04)</f>
        <v>252.75840000000002</v>
      </c>
      <c r="Y235" s="77"/>
      <c r="Z235" s="77">
        <f ca="1">('TUSD BE'!$AM$12+'TUSD BF'!$AM$12+'TUSD CVA'!$AM$12)*1*(1-0.02)</f>
        <v>98.339533846404223</v>
      </c>
      <c r="AA235" s="77">
        <f>('TE BE'!$AA$6+'TE BF'!$AA$6+'TE CVA'!$AA$6)*1*(1-0.02)</f>
        <v>206.43109646347523</v>
      </c>
      <c r="AB235" s="6">
        <f>$K$235*$V$235</f>
        <v>0</v>
      </c>
      <c r="AC235" s="6">
        <f>$M$235*$W$235</f>
        <v>3974.2024031999999</v>
      </c>
      <c r="AD235" s="6">
        <f>$O$235*$X$235</f>
        <v>15948.296764800001</v>
      </c>
      <c r="AE235" s="6">
        <f>$K$235*$Y$235</f>
        <v>0</v>
      </c>
      <c r="AF235" s="6">
        <f ca="1">$M$235*$Z$235</f>
        <v>6204.9295671065674</v>
      </c>
      <c r="AG235" s="6">
        <f>$O$235*$AA$235</f>
        <v>13025.182893555897</v>
      </c>
    </row>
    <row r="236" spans="1:33" ht="11.25" customHeight="1" x14ac:dyDescent="0.25">
      <c r="A236" s="4" t="s">
        <v>21</v>
      </c>
      <c r="B236" s="4" t="s">
        <v>33</v>
      </c>
      <c r="C236" s="4" t="s">
        <v>34</v>
      </c>
      <c r="D236" s="4" t="s">
        <v>44</v>
      </c>
      <c r="E236" s="4" t="s">
        <v>53</v>
      </c>
      <c r="F236" s="4" t="s">
        <v>25</v>
      </c>
      <c r="G236" s="4" t="s">
        <v>25</v>
      </c>
      <c r="H236" s="4" t="s">
        <v>36</v>
      </c>
      <c r="I236" s="5">
        <v>44440</v>
      </c>
      <c r="J236" s="6">
        <v>0</v>
      </c>
      <c r="K236" s="77">
        <v>0</v>
      </c>
      <c r="L236" s="6">
        <v>77.786000000000001</v>
      </c>
      <c r="M236" s="77">
        <v>77.786000000000001</v>
      </c>
      <c r="N236" s="6">
        <v>77.786000000000001</v>
      </c>
      <c r="O236" s="77">
        <v>77.786000000000001</v>
      </c>
      <c r="P236" s="6">
        <v>0</v>
      </c>
      <c r="Q236" s="4" t="s">
        <v>26</v>
      </c>
      <c r="R236" s="4">
        <v>0</v>
      </c>
      <c r="S236" s="6">
        <v>0</v>
      </c>
      <c r="T236" s="6">
        <v>8</v>
      </c>
      <c r="U236" s="6">
        <v>49</v>
      </c>
      <c r="V236" s="77">
        <f>IF(ISERROR(VLOOKUP($S$236,'TAR FIN'!$A$1:$O$85,15,0)),0,VLOOKUP($S$236,'TAR FIN'!$A$1:$O$85,15,0))</f>
        <v>0</v>
      </c>
      <c r="W236" s="77">
        <f>IF(ISERROR(VLOOKUP($T$236,'TAR FIN'!$A$1:$O$85,15,0)),0,VLOOKUP($T$236,'TAR FIN'!$A$1:$O$85,15,0))*(1-0.04)</f>
        <v>62.985599999999998</v>
      </c>
      <c r="X236" s="77">
        <f>IF(ISERROR(VLOOKUP($U$236,'TAR FIN'!$A$1:$O$85,15,0)),0,VLOOKUP($U$236,'TAR FIN'!$A$1:$O$85,15,0))*(1-0.04)</f>
        <v>252.75840000000002</v>
      </c>
      <c r="Y236" s="77"/>
      <c r="Z236" s="77">
        <f ca="1">('TUSD BE'!$AM$12+'TUSD BF'!$AM$12+'TUSD CVA'!$AM$12)*1*(1-0.02)</f>
        <v>98.339533846404223</v>
      </c>
      <c r="AA236" s="77">
        <f>('TE BE'!$AA$6+'TE BF'!$AA$6+'TE CVA'!$AA$6)*1*(1-0.02)</f>
        <v>206.43109646347523</v>
      </c>
      <c r="AB236" s="6">
        <f>$K$236*$V$236</f>
        <v>0</v>
      </c>
      <c r="AC236" s="6">
        <f>$M$236*$W$236</f>
        <v>4899.3978815999999</v>
      </c>
      <c r="AD236" s="6">
        <f>$O$236*$X$236</f>
        <v>19661.064902400001</v>
      </c>
      <c r="AE236" s="6">
        <f>$K$236*$Y$236</f>
        <v>0</v>
      </c>
      <c r="AF236" s="6">
        <f ca="1">$M$236*$Z$236</f>
        <v>7649.4389797763988</v>
      </c>
      <c r="AG236" s="6">
        <f>$O$236*$AA$236</f>
        <v>16057.449269507884</v>
      </c>
    </row>
    <row r="237" spans="1:33" ht="11.25" customHeight="1" x14ac:dyDescent="0.25">
      <c r="A237" s="4" t="s">
        <v>21</v>
      </c>
      <c r="B237" s="4" t="s">
        <v>33</v>
      </c>
      <c r="C237" s="4" t="s">
        <v>34</v>
      </c>
      <c r="D237" s="4" t="s">
        <v>44</v>
      </c>
      <c r="E237" s="4" t="s">
        <v>53</v>
      </c>
      <c r="F237" s="4" t="s">
        <v>25</v>
      </c>
      <c r="G237" s="4" t="s">
        <v>25</v>
      </c>
      <c r="H237" s="4" t="s">
        <v>36</v>
      </c>
      <c r="I237" s="5">
        <v>44470</v>
      </c>
      <c r="J237" s="6">
        <v>0</v>
      </c>
      <c r="K237" s="77">
        <v>0</v>
      </c>
      <c r="L237" s="6">
        <v>10.853999999999999</v>
      </c>
      <c r="M237" s="77">
        <v>10.853999999999999</v>
      </c>
      <c r="N237" s="6">
        <v>10.853999999999999</v>
      </c>
      <c r="O237" s="77">
        <v>10.853999999999999</v>
      </c>
      <c r="P237" s="6">
        <v>0</v>
      </c>
      <c r="Q237" s="4" t="s">
        <v>26</v>
      </c>
      <c r="R237" s="4">
        <v>0</v>
      </c>
      <c r="S237" s="6">
        <v>0</v>
      </c>
      <c r="T237" s="6">
        <v>8</v>
      </c>
      <c r="U237" s="6">
        <v>49</v>
      </c>
      <c r="V237" s="77">
        <f>IF(ISERROR(VLOOKUP($S$237,'TAR FIN'!$A$1:$O$85,15,0)),0,VLOOKUP($S$237,'TAR FIN'!$A$1:$O$85,15,0))</f>
        <v>0</v>
      </c>
      <c r="W237" s="77">
        <f>IF(ISERROR(VLOOKUP($T$237,'TAR FIN'!$A$1:$O$85,15,0)),0,VLOOKUP($T$237,'TAR FIN'!$A$1:$O$85,15,0))*(1-0.04)</f>
        <v>62.985599999999998</v>
      </c>
      <c r="X237" s="77">
        <f>IF(ISERROR(VLOOKUP($U$237,'TAR FIN'!$A$1:$O$85,15,0)),0,VLOOKUP($U$237,'TAR FIN'!$A$1:$O$85,15,0))*(1-0.04)</f>
        <v>252.75840000000002</v>
      </c>
      <c r="Y237" s="77"/>
      <c r="Z237" s="77">
        <f ca="1">('TUSD BE'!$AM$12+'TUSD BF'!$AM$12+'TUSD CVA'!$AM$12)*1*(1-0.02)</f>
        <v>98.339533846404223</v>
      </c>
      <c r="AA237" s="77">
        <f>('TE BE'!$AA$6+'TE BF'!$AA$6+'TE CVA'!$AA$6)*1*(1-0.02)</f>
        <v>206.43109646347523</v>
      </c>
      <c r="AB237" s="6">
        <f>$K$237*$V$237</f>
        <v>0</v>
      </c>
      <c r="AC237" s="6">
        <f>$M$237*$W$237</f>
        <v>683.64570239999989</v>
      </c>
      <c r="AD237" s="6">
        <f>$O$237*$X$237</f>
        <v>2743.4396735999999</v>
      </c>
      <c r="AE237" s="6">
        <f>$K$237*$Y$237</f>
        <v>0</v>
      </c>
      <c r="AF237" s="6">
        <f ca="1">$M$237*$Z$237</f>
        <v>1067.3773003688714</v>
      </c>
      <c r="AG237" s="6">
        <f>$O$237*$AA$237</f>
        <v>2240.6031210145597</v>
      </c>
    </row>
    <row r="238" spans="1:33" ht="11.25" customHeight="1" x14ac:dyDescent="0.25">
      <c r="A238" s="4" t="s">
        <v>21</v>
      </c>
      <c r="B238" s="4" t="s">
        <v>33</v>
      </c>
      <c r="C238" s="4" t="s">
        <v>34</v>
      </c>
      <c r="D238" s="4" t="s">
        <v>44</v>
      </c>
      <c r="E238" s="4" t="s">
        <v>53</v>
      </c>
      <c r="F238" s="4" t="s">
        <v>25</v>
      </c>
      <c r="G238" s="4" t="s">
        <v>25</v>
      </c>
      <c r="H238" s="4" t="s">
        <v>36</v>
      </c>
      <c r="I238" s="5">
        <v>44501</v>
      </c>
      <c r="J238" s="6">
        <v>0</v>
      </c>
      <c r="K238" s="77">
        <v>0</v>
      </c>
      <c r="L238" s="6">
        <v>11.193</v>
      </c>
      <c r="M238" s="77">
        <v>11.193</v>
      </c>
      <c r="N238" s="6">
        <v>11.193</v>
      </c>
      <c r="O238" s="77">
        <v>11.193</v>
      </c>
      <c r="P238" s="6">
        <v>0</v>
      </c>
      <c r="Q238" s="4" t="s">
        <v>26</v>
      </c>
      <c r="R238" s="4">
        <v>0</v>
      </c>
      <c r="S238" s="6">
        <v>0</v>
      </c>
      <c r="T238" s="6">
        <v>8</v>
      </c>
      <c r="U238" s="6">
        <v>49</v>
      </c>
      <c r="V238" s="77">
        <f>IF(ISERROR(VLOOKUP($S$238,'TAR FIN'!$A$1:$O$85,15,0)),0,VLOOKUP($S$238,'TAR FIN'!$A$1:$O$85,15,0))</f>
        <v>0</v>
      </c>
      <c r="W238" s="77">
        <f>IF(ISERROR(VLOOKUP($T$238,'TAR FIN'!$A$1:$O$85,15,0)),0,VLOOKUP($T$238,'TAR FIN'!$A$1:$O$85,15,0))*(1-0.04)</f>
        <v>62.985599999999998</v>
      </c>
      <c r="X238" s="77">
        <f>IF(ISERROR(VLOOKUP($U$238,'TAR FIN'!$A$1:$O$85,15,0)),0,VLOOKUP($U$238,'TAR FIN'!$A$1:$O$85,15,0))*(1-0.04)</f>
        <v>252.75840000000002</v>
      </c>
      <c r="Y238" s="77"/>
      <c r="Z238" s="77">
        <f ca="1">('TUSD BE'!$AM$12+'TUSD BF'!$AM$12+'TUSD CVA'!$AM$12)*1*(1-0.02)</f>
        <v>98.339533846404223</v>
      </c>
      <c r="AA238" s="77">
        <f>('TE BE'!$AA$6+'TE BF'!$AA$6+'TE CVA'!$AA$6)*1*(1-0.02)</f>
        <v>206.43109646347523</v>
      </c>
      <c r="AB238" s="6">
        <f>$K$238*$V$238</f>
        <v>0</v>
      </c>
      <c r="AC238" s="6">
        <f>$M$238*$W$238</f>
        <v>704.9978208</v>
      </c>
      <c r="AD238" s="6">
        <f>$O$238*$X$238</f>
        <v>2829.1247711999999</v>
      </c>
      <c r="AE238" s="6">
        <f>$K$238*$Y$238</f>
        <v>0</v>
      </c>
      <c r="AF238" s="6">
        <f ca="1">$M$238*$Z$238</f>
        <v>1100.7144023428025</v>
      </c>
      <c r="AG238" s="6">
        <f>$O$238*$AA$238</f>
        <v>2310.5832627156783</v>
      </c>
    </row>
    <row r="239" spans="1:33" ht="11.25" customHeight="1" x14ac:dyDescent="0.25">
      <c r="A239" s="4" t="s">
        <v>21</v>
      </c>
      <c r="B239" s="4" t="s">
        <v>33</v>
      </c>
      <c r="C239" s="4" t="s">
        <v>34</v>
      </c>
      <c r="D239" s="4" t="s">
        <v>44</v>
      </c>
      <c r="E239" s="4" t="s">
        <v>53</v>
      </c>
      <c r="F239" s="4" t="s">
        <v>25</v>
      </c>
      <c r="G239" s="4" t="s">
        <v>25</v>
      </c>
      <c r="H239" s="4" t="s">
        <v>36</v>
      </c>
      <c r="I239" s="5">
        <v>44531</v>
      </c>
      <c r="J239" s="6">
        <v>0</v>
      </c>
      <c r="K239" s="77">
        <v>0</v>
      </c>
      <c r="L239" s="6">
        <v>7.9580000000000002</v>
      </c>
      <c r="M239" s="77">
        <v>7.9580000000000002</v>
      </c>
      <c r="N239" s="6">
        <v>7.9580000000000002</v>
      </c>
      <c r="O239" s="77">
        <v>7.9580000000000002</v>
      </c>
      <c r="P239" s="6">
        <v>0</v>
      </c>
      <c r="Q239" s="4" t="s">
        <v>26</v>
      </c>
      <c r="R239" s="4">
        <v>0</v>
      </c>
      <c r="S239" s="6">
        <v>0</v>
      </c>
      <c r="T239" s="6">
        <v>8</v>
      </c>
      <c r="U239" s="6">
        <v>49</v>
      </c>
      <c r="V239" s="77">
        <f>IF(ISERROR(VLOOKUP($S$239,'TAR FIN'!$A$1:$O$85,15,0)),0,VLOOKUP($S$239,'TAR FIN'!$A$1:$O$85,15,0))</f>
        <v>0</v>
      </c>
      <c r="W239" s="77">
        <f>IF(ISERROR(VLOOKUP($T$239,'TAR FIN'!$A$1:$O$85,15,0)),0,VLOOKUP($T$239,'TAR FIN'!$A$1:$O$85,15,0))*(1-0.04)</f>
        <v>62.985599999999998</v>
      </c>
      <c r="X239" s="77">
        <f>IF(ISERROR(VLOOKUP($U$239,'TAR FIN'!$A$1:$O$85,15,0)),0,VLOOKUP($U$239,'TAR FIN'!$A$1:$O$85,15,0))*(1-0.04)</f>
        <v>252.75840000000002</v>
      </c>
      <c r="Y239" s="77"/>
      <c r="Z239" s="77">
        <f ca="1">('TUSD BE'!$AM$12+'TUSD BF'!$AM$12+'TUSD CVA'!$AM$12)*1*(1-0.02)</f>
        <v>98.339533846404223</v>
      </c>
      <c r="AA239" s="77">
        <f>('TE BE'!$AA$6+'TE BF'!$AA$6+'TE CVA'!$AA$6)*1*(1-0.02)</f>
        <v>206.43109646347523</v>
      </c>
      <c r="AB239" s="6">
        <f>$K$239*$V$239</f>
        <v>0</v>
      </c>
      <c r="AC239" s="6">
        <f>$M$239*$W$239</f>
        <v>501.23940479999999</v>
      </c>
      <c r="AD239" s="6">
        <f>$O$239*$X$239</f>
        <v>2011.4513472000003</v>
      </c>
      <c r="AE239" s="6">
        <f>$K$239*$Y$239</f>
        <v>0</v>
      </c>
      <c r="AF239" s="6">
        <f ca="1">$M$239*$Z$239</f>
        <v>782.58601034968478</v>
      </c>
      <c r="AG239" s="6">
        <f>$O$239*$AA$239</f>
        <v>1642.778665656336</v>
      </c>
    </row>
    <row r="240" spans="1:33" ht="11.25" customHeight="1" x14ac:dyDescent="0.25">
      <c r="A240" s="4" t="s">
        <v>21</v>
      </c>
      <c r="B240" s="4" t="s">
        <v>33</v>
      </c>
      <c r="C240" s="4" t="s">
        <v>34</v>
      </c>
      <c r="D240" s="4" t="s">
        <v>44</v>
      </c>
      <c r="E240" s="4" t="s">
        <v>53</v>
      </c>
      <c r="F240" s="4" t="s">
        <v>25</v>
      </c>
      <c r="G240" s="4" t="s">
        <v>25</v>
      </c>
      <c r="H240" s="4" t="s">
        <v>36</v>
      </c>
      <c r="I240" s="5">
        <v>44562</v>
      </c>
      <c r="J240" s="6">
        <v>0</v>
      </c>
      <c r="K240" s="77">
        <v>0</v>
      </c>
      <c r="L240" s="6">
        <v>6.7270000000000003</v>
      </c>
      <c r="M240" s="77">
        <v>6.7270000000000003</v>
      </c>
      <c r="N240" s="6">
        <v>6.7270000000000003</v>
      </c>
      <c r="O240" s="77">
        <v>6.7270000000000003</v>
      </c>
      <c r="P240" s="6">
        <v>0</v>
      </c>
      <c r="Q240" s="4" t="s">
        <v>26</v>
      </c>
      <c r="R240" s="4">
        <v>0</v>
      </c>
      <c r="S240" s="6">
        <v>0</v>
      </c>
      <c r="T240" s="6">
        <v>8</v>
      </c>
      <c r="U240" s="6">
        <v>49</v>
      </c>
      <c r="V240" s="77">
        <f>IF(ISERROR(VLOOKUP($S$240,'TAR FIN'!$A$1:$O$85,15,0)),0,VLOOKUP($S$240,'TAR FIN'!$A$1:$O$85,15,0))</f>
        <v>0</v>
      </c>
      <c r="W240" s="77">
        <f>IF(ISERROR(VLOOKUP($T$240,'TAR FIN'!$A$1:$O$85,15,0)),0,VLOOKUP($T$240,'TAR FIN'!$A$1:$O$85,15,0))*(1-0.04)</f>
        <v>62.985599999999998</v>
      </c>
      <c r="X240" s="77">
        <f>IF(ISERROR(VLOOKUP($U$240,'TAR FIN'!$A$1:$O$85,15,0)),0,VLOOKUP($U$240,'TAR FIN'!$A$1:$O$85,15,0))*(1-0.04)</f>
        <v>252.75840000000002</v>
      </c>
      <c r="Y240" s="77"/>
      <c r="Z240" s="77">
        <f ca="1">('TUSD BE'!$AM$12+'TUSD BF'!$AM$12+'TUSD CVA'!$AM$12)*1*(1-0.02)</f>
        <v>98.339533846404223</v>
      </c>
      <c r="AA240" s="77">
        <f>('TE BE'!$AA$6+'TE BF'!$AA$6+'TE CVA'!$AA$6)*1*(1-0.02)</f>
        <v>206.43109646347523</v>
      </c>
      <c r="AB240" s="6">
        <f>$K$240*$V$240</f>
        <v>0</v>
      </c>
      <c r="AC240" s="6">
        <f>$M$240*$W$240</f>
        <v>423.70413120000001</v>
      </c>
      <c r="AD240" s="6">
        <f>$O$240*$X$240</f>
        <v>1700.3057568000002</v>
      </c>
      <c r="AE240" s="6">
        <f>$K$240*$Y$240</f>
        <v>0</v>
      </c>
      <c r="AF240" s="6">
        <f ca="1">$M$240*$Z$240</f>
        <v>661.53004418476121</v>
      </c>
      <c r="AG240" s="6">
        <f>$O$240*$AA$240</f>
        <v>1388.661985909798</v>
      </c>
    </row>
    <row r="241" spans="1:33" ht="11.25" customHeight="1" x14ac:dyDescent="0.25">
      <c r="A241" s="4" t="s">
        <v>21</v>
      </c>
      <c r="B241" s="4" t="s">
        <v>33</v>
      </c>
      <c r="C241" s="4" t="s">
        <v>34</v>
      </c>
      <c r="D241" s="4" t="s">
        <v>44</v>
      </c>
      <c r="E241" s="4" t="s">
        <v>53</v>
      </c>
      <c r="F241" s="4" t="s">
        <v>25</v>
      </c>
      <c r="G241" s="4" t="s">
        <v>25</v>
      </c>
      <c r="H241" s="4" t="s">
        <v>36</v>
      </c>
      <c r="I241" s="5">
        <v>44593</v>
      </c>
      <c r="J241" s="6">
        <v>0</v>
      </c>
      <c r="K241" s="77">
        <v>0</v>
      </c>
      <c r="L241" s="6">
        <v>11.124000000000001</v>
      </c>
      <c r="M241" s="77">
        <v>11.124000000000001</v>
      </c>
      <c r="N241" s="6">
        <v>11.124000000000001</v>
      </c>
      <c r="O241" s="77">
        <v>11.124000000000001</v>
      </c>
      <c r="P241" s="6">
        <v>0</v>
      </c>
      <c r="Q241" s="4" t="s">
        <v>26</v>
      </c>
      <c r="R241" s="4">
        <v>0</v>
      </c>
      <c r="S241" s="6">
        <v>0</v>
      </c>
      <c r="T241" s="6">
        <v>8</v>
      </c>
      <c r="U241" s="6">
        <v>49</v>
      </c>
      <c r="V241" s="77">
        <f>IF(ISERROR(VLOOKUP($S$241,'TAR FIN'!$A$1:$O$85,15,0)),0,VLOOKUP($S$241,'TAR FIN'!$A$1:$O$85,15,0))</f>
        <v>0</v>
      </c>
      <c r="W241" s="77">
        <f>IF(ISERROR(VLOOKUP($T$241,'TAR FIN'!$A$1:$O$85,15,0)),0,VLOOKUP($T$241,'TAR FIN'!$A$1:$O$85,15,0))*(1-0.04)</f>
        <v>62.985599999999998</v>
      </c>
      <c r="X241" s="77">
        <f>IF(ISERROR(VLOOKUP($U$241,'TAR FIN'!$A$1:$O$85,15,0)),0,VLOOKUP($U$241,'TAR FIN'!$A$1:$O$85,15,0))*(1-0.04)</f>
        <v>252.75840000000002</v>
      </c>
      <c r="Y241" s="77"/>
      <c r="Z241" s="77">
        <f ca="1">('TUSD BE'!$AM$12+'TUSD BF'!$AM$12+'TUSD CVA'!$AM$12)*1*(1-0.02)</f>
        <v>98.339533846404223</v>
      </c>
      <c r="AA241" s="77">
        <f>('TE BE'!$AA$6+'TE BF'!$AA$6+'TE CVA'!$AA$6)*1*(1-0.02)</f>
        <v>206.43109646347523</v>
      </c>
      <c r="AB241" s="6">
        <f>$K$241*$V$241</f>
        <v>0</v>
      </c>
      <c r="AC241" s="6">
        <f>$M$241*$W$241</f>
        <v>700.65181440000003</v>
      </c>
      <c r="AD241" s="6">
        <f>$O$241*$X$241</f>
        <v>2811.6844416000004</v>
      </c>
      <c r="AE241" s="6">
        <f>$K$241*$Y$241</f>
        <v>0</v>
      </c>
      <c r="AF241" s="6">
        <f ca="1">$M$241*$Z$241</f>
        <v>1093.9289745074007</v>
      </c>
      <c r="AG241" s="6">
        <f>$O$241*$AA$241</f>
        <v>2296.3395170596987</v>
      </c>
    </row>
    <row r="242" spans="1:33" ht="11.25" customHeight="1" x14ac:dyDescent="0.25">
      <c r="A242" s="4" t="s">
        <v>21</v>
      </c>
      <c r="B242" s="4" t="s">
        <v>33</v>
      </c>
      <c r="C242" s="4" t="s">
        <v>34</v>
      </c>
      <c r="D242" s="4" t="s">
        <v>44</v>
      </c>
      <c r="E242" s="4" t="s">
        <v>53</v>
      </c>
      <c r="F242" s="4" t="s">
        <v>25</v>
      </c>
      <c r="G242" s="4" t="s">
        <v>25</v>
      </c>
      <c r="H242" s="4" t="s">
        <v>36</v>
      </c>
      <c r="I242" s="5">
        <v>44621</v>
      </c>
      <c r="J242" s="6">
        <v>0</v>
      </c>
      <c r="K242" s="77">
        <v>0</v>
      </c>
      <c r="L242" s="6">
        <v>18.661999999999999</v>
      </c>
      <c r="M242" s="77">
        <v>18.661999999999999</v>
      </c>
      <c r="N242" s="6">
        <v>18.661999999999999</v>
      </c>
      <c r="O242" s="77">
        <v>18.661999999999999</v>
      </c>
      <c r="P242" s="6">
        <v>0</v>
      </c>
      <c r="Q242" s="4" t="s">
        <v>26</v>
      </c>
      <c r="R242" s="4">
        <v>0</v>
      </c>
      <c r="S242" s="6">
        <v>0</v>
      </c>
      <c r="T242" s="6">
        <v>8</v>
      </c>
      <c r="U242" s="6">
        <v>49</v>
      </c>
      <c r="V242" s="77">
        <f>IF(ISERROR(VLOOKUP($S$242,'TAR FIN'!$A$1:$O$85,15,0)),0,VLOOKUP($S$242,'TAR FIN'!$A$1:$O$85,15,0))</f>
        <v>0</v>
      </c>
      <c r="W242" s="77">
        <f>IF(ISERROR(VLOOKUP($T$242,'TAR FIN'!$A$1:$O$85,15,0)),0,VLOOKUP($T$242,'TAR FIN'!$A$1:$O$85,15,0))*(1-0.04)</f>
        <v>62.985599999999998</v>
      </c>
      <c r="X242" s="77">
        <f>IF(ISERROR(VLOOKUP($U$242,'TAR FIN'!$A$1:$O$85,15,0)),0,VLOOKUP($U$242,'TAR FIN'!$A$1:$O$85,15,0))*(1-0.04)</f>
        <v>252.75840000000002</v>
      </c>
      <c r="Y242" s="77"/>
      <c r="Z242" s="77">
        <f ca="1">('TUSD BE'!$AM$12+'TUSD BF'!$AM$12+'TUSD CVA'!$AM$12)*1*(1-0.02)</f>
        <v>98.339533846404223</v>
      </c>
      <c r="AA242" s="77">
        <f>('TE BE'!$AA$6+'TE BF'!$AA$6+'TE CVA'!$AA$6)*1*(1-0.02)</f>
        <v>206.43109646347523</v>
      </c>
      <c r="AB242" s="6">
        <f>$K$242*$V$242</f>
        <v>0</v>
      </c>
      <c r="AC242" s="6">
        <f>$M$242*$W$242</f>
        <v>1175.4372672</v>
      </c>
      <c r="AD242" s="6">
        <f>$O$242*$X$242</f>
        <v>4716.9772608000003</v>
      </c>
      <c r="AE242" s="6">
        <f>$K$242*$Y$242</f>
        <v>0</v>
      </c>
      <c r="AF242" s="6">
        <f ca="1">$M$242*$Z$242</f>
        <v>1835.2123806415955</v>
      </c>
      <c r="AG242" s="6">
        <f>$O$242*$AA$242</f>
        <v>3852.4171222013747</v>
      </c>
    </row>
    <row r="243" spans="1:33" ht="11.25" customHeight="1" x14ac:dyDescent="0.25">
      <c r="A243" s="4" t="s">
        <v>21</v>
      </c>
      <c r="B243" s="4" t="s">
        <v>33</v>
      </c>
      <c r="C243" s="4" t="s">
        <v>34</v>
      </c>
      <c r="D243" s="4" t="s">
        <v>44</v>
      </c>
      <c r="E243" s="4" t="s">
        <v>53</v>
      </c>
      <c r="F243" s="4" t="s">
        <v>25</v>
      </c>
      <c r="G243" s="4" t="s">
        <v>25</v>
      </c>
      <c r="H243" s="4" t="s">
        <v>36</v>
      </c>
      <c r="I243" s="5">
        <v>44652</v>
      </c>
      <c r="J243" s="6">
        <v>0</v>
      </c>
      <c r="K243" s="77">
        <v>0</v>
      </c>
      <c r="L243" s="6">
        <v>7.1369999999999996</v>
      </c>
      <c r="M243" s="77">
        <v>7.1369999999999996</v>
      </c>
      <c r="N243" s="6">
        <v>7.1369999999999996</v>
      </c>
      <c r="O243" s="77">
        <v>7.1369999999999996</v>
      </c>
      <c r="P243" s="6">
        <v>0</v>
      </c>
      <c r="Q243" s="4" t="s">
        <v>26</v>
      </c>
      <c r="R243" s="4">
        <v>0</v>
      </c>
      <c r="S243" s="6">
        <v>0</v>
      </c>
      <c r="T243" s="6">
        <v>8</v>
      </c>
      <c r="U243" s="6">
        <v>49</v>
      </c>
      <c r="V243" s="77">
        <f>IF(ISERROR(VLOOKUP($S$243,'TAR FIN'!$A$1:$O$85,15,0)),0,VLOOKUP($S$243,'TAR FIN'!$A$1:$O$85,15,0))</f>
        <v>0</v>
      </c>
      <c r="W243" s="77">
        <f>IF(ISERROR(VLOOKUP($T$243,'TAR FIN'!$A$1:$O$85,15,0)),0,VLOOKUP($T$243,'TAR FIN'!$A$1:$O$85,15,0))*(1-0.04)</f>
        <v>62.985599999999998</v>
      </c>
      <c r="X243" s="77">
        <f>IF(ISERROR(VLOOKUP($U$243,'TAR FIN'!$A$1:$O$85,15,0)),0,VLOOKUP($U$243,'TAR FIN'!$A$1:$O$85,15,0))*(1-0.04)</f>
        <v>252.75840000000002</v>
      </c>
      <c r="Y243" s="77"/>
      <c r="Z243" s="77">
        <f ca="1">('TUSD BE'!$AM$12+'TUSD BF'!$AM$12+'TUSD CVA'!$AM$12)*1*(1-0.02)</f>
        <v>98.339533846404223</v>
      </c>
      <c r="AA243" s="77">
        <f>('TE BE'!$AA$6+'TE BF'!$AA$6+'TE CVA'!$AA$6)*1*(1-0.02)</f>
        <v>206.43109646347523</v>
      </c>
      <c r="AB243" s="6">
        <f>$K$243*$V$243</f>
        <v>0</v>
      </c>
      <c r="AC243" s="6">
        <f>$M$243*$W$243</f>
        <v>449.52822719999995</v>
      </c>
      <c r="AD243" s="6">
        <f>$O$243*$X$243</f>
        <v>1803.9367008000002</v>
      </c>
      <c r="AE243" s="6">
        <f>$K$243*$Y$243</f>
        <v>0</v>
      </c>
      <c r="AF243" s="6">
        <f ca="1">$M$243*$Z$243</f>
        <v>701.84925306178684</v>
      </c>
      <c r="AG243" s="6">
        <f>$O$243*$AA$243</f>
        <v>1473.2987354598226</v>
      </c>
    </row>
    <row r="244" spans="1:33" ht="11.25" customHeight="1" x14ac:dyDescent="0.25">
      <c r="A244" s="4" t="s">
        <v>21</v>
      </c>
      <c r="B244" s="4" t="s">
        <v>33</v>
      </c>
      <c r="C244" s="4" t="s">
        <v>34</v>
      </c>
      <c r="D244" s="4" t="s">
        <v>44</v>
      </c>
      <c r="E244" s="4" t="s">
        <v>53</v>
      </c>
      <c r="F244" s="4" t="s">
        <v>25</v>
      </c>
      <c r="G244" s="4" t="s">
        <v>25</v>
      </c>
      <c r="H244" s="4" t="s">
        <v>25</v>
      </c>
      <c r="I244" s="5">
        <v>44317</v>
      </c>
      <c r="J244" s="6">
        <v>487</v>
      </c>
      <c r="K244" s="77">
        <v>487</v>
      </c>
      <c r="L244" s="6">
        <v>0</v>
      </c>
      <c r="M244" s="77">
        <v>0</v>
      </c>
      <c r="N244" s="6">
        <v>0</v>
      </c>
      <c r="O244" s="77">
        <v>0</v>
      </c>
      <c r="P244" s="6">
        <v>5</v>
      </c>
      <c r="Q244" s="4" t="s">
        <v>26</v>
      </c>
      <c r="R244" s="4">
        <v>0</v>
      </c>
      <c r="S244" s="6">
        <v>6</v>
      </c>
      <c r="T244" s="6">
        <v>0</v>
      </c>
      <c r="U244" s="6">
        <v>0</v>
      </c>
      <c r="V244" s="77">
        <f>IF(ISERROR(VLOOKUP($S$244,'TAR FIN'!$A$1:$O$85,15,0)),0,VLOOKUP($S$244,'TAR FIN'!$A$1:$O$85,15,0))*(1-0.04)</f>
        <v>18.5472</v>
      </c>
      <c r="W244" s="77">
        <f>IF(ISERROR(VLOOKUP($T$244,'TAR FIN'!$A$1:$O$85,15,0)),0,VLOOKUP($T$244,'TAR FIN'!$A$1:$O$85,15,0))</f>
        <v>0</v>
      </c>
      <c r="X244" s="77">
        <f>IF(ISERROR(VLOOKUP($U$244,'TAR FIN'!$A$1:$O$85,15,0)),0,VLOOKUP($U$244,'TAR FIN'!$A$1:$O$85,15,0))</f>
        <v>0</v>
      </c>
      <c r="Y244" s="77">
        <f ca="1">('TUSD BE'!$AM$10+'TUSD BF'!$AM$10+'TUSD CVA'!$AM$10)*1*(1-0.02)</f>
        <v>16.346441090586261</v>
      </c>
      <c r="Z244" s="77"/>
      <c r="AA244" s="77"/>
      <c r="AB244" s="6">
        <f>$K$244*$V$244</f>
        <v>9032.4863999999998</v>
      </c>
      <c r="AC244" s="6">
        <f>$M$244*$W$244</f>
        <v>0</v>
      </c>
      <c r="AD244" s="6">
        <f>$O$244*$X$244</f>
        <v>0</v>
      </c>
      <c r="AE244" s="6">
        <f ca="1">$K$244*$Y$244</f>
        <v>7960.7168111155088</v>
      </c>
      <c r="AF244" s="6">
        <f>$M$244*$Z$244</f>
        <v>0</v>
      </c>
      <c r="AG244" s="6">
        <f>$O$244*$AA$244</f>
        <v>0</v>
      </c>
    </row>
    <row r="245" spans="1:33" ht="11.25" customHeight="1" x14ac:dyDescent="0.25">
      <c r="A245" s="4" t="s">
        <v>21</v>
      </c>
      <c r="B245" s="4" t="s">
        <v>33</v>
      </c>
      <c r="C245" s="4" t="s">
        <v>34</v>
      </c>
      <c r="D245" s="4" t="s">
        <v>44</v>
      </c>
      <c r="E245" s="4" t="s">
        <v>53</v>
      </c>
      <c r="F245" s="4" t="s">
        <v>25</v>
      </c>
      <c r="G245" s="4" t="s">
        <v>25</v>
      </c>
      <c r="H245" s="4" t="s">
        <v>25</v>
      </c>
      <c r="I245" s="5">
        <v>44348</v>
      </c>
      <c r="J245" s="6">
        <v>385</v>
      </c>
      <c r="K245" s="77">
        <v>385</v>
      </c>
      <c r="L245" s="6">
        <v>0</v>
      </c>
      <c r="M245" s="77">
        <v>0</v>
      </c>
      <c r="N245" s="6">
        <v>0</v>
      </c>
      <c r="O245" s="77">
        <v>0</v>
      </c>
      <c r="P245" s="6">
        <v>5</v>
      </c>
      <c r="Q245" s="4" t="s">
        <v>26</v>
      </c>
      <c r="R245" s="4">
        <v>0</v>
      </c>
      <c r="S245" s="6">
        <v>6</v>
      </c>
      <c r="T245" s="6">
        <v>0</v>
      </c>
      <c r="U245" s="6">
        <v>0</v>
      </c>
      <c r="V245" s="77">
        <f>IF(ISERROR(VLOOKUP($S$245,'TAR FIN'!$A$1:$O$85,15,0)),0,VLOOKUP($S$245,'TAR FIN'!$A$1:$O$85,15,0))*(1-0.04)</f>
        <v>18.5472</v>
      </c>
      <c r="W245" s="77">
        <f>IF(ISERROR(VLOOKUP($T$245,'TAR FIN'!$A$1:$O$85,15,0)),0,VLOOKUP($T$245,'TAR FIN'!$A$1:$O$85,15,0))</f>
        <v>0</v>
      </c>
      <c r="X245" s="77">
        <f>IF(ISERROR(VLOOKUP($U$245,'TAR FIN'!$A$1:$O$85,15,0)),0,VLOOKUP($U$245,'TAR FIN'!$A$1:$O$85,15,0))</f>
        <v>0</v>
      </c>
      <c r="Y245" s="77">
        <f ca="1">('TUSD BE'!$AM$10+'TUSD BF'!$AM$10+'TUSD CVA'!$AM$10)*1*(1-0.02)</f>
        <v>16.346441090586261</v>
      </c>
      <c r="Z245" s="77"/>
      <c r="AA245" s="77"/>
      <c r="AB245" s="6">
        <f>$K$245*$V$245</f>
        <v>7140.6720000000005</v>
      </c>
      <c r="AC245" s="6">
        <f>$M$245*$W$245</f>
        <v>0</v>
      </c>
      <c r="AD245" s="6">
        <f>$O$245*$X$245</f>
        <v>0</v>
      </c>
      <c r="AE245" s="6">
        <f ca="1">$K$245*$Y$245</f>
        <v>6293.3798198757104</v>
      </c>
      <c r="AF245" s="6">
        <f>$M$245*$Z$245</f>
        <v>0</v>
      </c>
      <c r="AG245" s="6">
        <f>$O$245*$AA$245</f>
        <v>0</v>
      </c>
    </row>
    <row r="246" spans="1:33" ht="11.25" customHeight="1" x14ac:dyDescent="0.25">
      <c r="A246" s="4" t="s">
        <v>21</v>
      </c>
      <c r="B246" s="4" t="s">
        <v>33</v>
      </c>
      <c r="C246" s="4" t="s">
        <v>34</v>
      </c>
      <c r="D246" s="4" t="s">
        <v>44</v>
      </c>
      <c r="E246" s="4" t="s">
        <v>53</v>
      </c>
      <c r="F246" s="4" t="s">
        <v>25</v>
      </c>
      <c r="G246" s="4" t="s">
        <v>25</v>
      </c>
      <c r="H246" s="4" t="s">
        <v>25</v>
      </c>
      <c r="I246" s="5">
        <v>44378</v>
      </c>
      <c r="J246" s="6">
        <v>389</v>
      </c>
      <c r="K246" s="77">
        <v>389</v>
      </c>
      <c r="L246" s="6">
        <v>0</v>
      </c>
      <c r="M246" s="77">
        <v>0</v>
      </c>
      <c r="N246" s="6">
        <v>0</v>
      </c>
      <c r="O246" s="77">
        <v>0</v>
      </c>
      <c r="P246" s="6">
        <v>5</v>
      </c>
      <c r="Q246" s="4" t="s">
        <v>26</v>
      </c>
      <c r="R246" s="4">
        <v>0</v>
      </c>
      <c r="S246" s="6">
        <v>6</v>
      </c>
      <c r="T246" s="6">
        <v>0</v>
      </c>
      <c r="U246" s="6">
        <v>0</v>
      </c>
      <c r="V246" s="77">
        <f>IF(ISERROR(VLOOKUP($S$246,'TAR FIN'!$A$1:$O$85,15,0)),0,VLOOKUP($S$246,'TAR FIN'!$A$1:$O$85,15,0))*(1-0.04)</f>
        <v>18.5472</v>
      </c>
      <c r="W246" s="77">
        <f>IF(ISERROR(VLOOKUP($T$246,'TAR FIN'!$A$1:$O$85,15,0)),0,VLOOKUP($T$246,'TAR FIN'!$A$1:$O$85,15,0))</f>
        <v>0</v>
      </c>
      <c r="X246" s="77">
        <f>IF(ISERROR(VLOOKUP($U$246,'TAR FIN'!$A$1:$O$85,15,0)),0,VLOOKUP($U$246,'TAR FIN'!$A$1:$O$85,15,0))</f>
        <v>0</v>
      </c>
      <c r="Y246" s="77">
        <f ca="1">('TUSD BE'!$AM$10+'TUSD BF'!$AM$10+'TUSD CVA'!$AM$10)*1*(1-0.02)</f>
        <v>16.346441090586261</v>
      </c>
      <c r="Z246" s="77"/>
      <c r="AA246" s="77"/>
      <c r="AB246" s="6">
        <f>$K$246*$V$246</f>
        <v>7214.8608000000004</v>
      </c>
      <c r="AC246" s="6">
        <f>$M$246*$W$246</f>
        <v>0</v>
      </c>
      <c r="AD246" s="6">
        <f>$O$246*$X$246</f>
        <v>0</v>
      </c>
      <c r="AE246" s="6">
        <f ca="1">$K$246*$Y$246</f>
        <v>6358.7655842380555</v>
      </c>
      <c r="AF246" s="6">
        <f>$M$246*$Z$246</f>
        <v>0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33</v>
      </c>
      <c r="C247" s="4" t="s">
        <v>34</v>
      </c>
      <c r="D247" s="4" t="s">
        <v>44</v>
      </c>
      <c r="E247" s="4" t="s">
        <v>53</v>
      </c>
      <c r="F247" s="4" t="s">
        <v>25</v>
      </c>
      <c r="G247" s="4" t="s">
        <v>25</v>
      </c>
      <c r="H247" s="4" t="s">
        <v>25</v>
      </c>
      <c r="I247" s="5">
        <v>44409</v>
      </c>
      <c r="J247" s="6">
        <v>502</v>
      </c>
      <c r="K247" s="77">
        <v>502</v>
      </c>
      <c r="L247" s="6">
        <v>0</v>
      </c>
      <c r="M247" s="77">
        <v>0</v>
      </c>
      <c r="N247" s="6">
        <v>0</v>
      </c>
      <c r="O247" s="77">
        <v>0</v>
      </c>
      <c r="P247" s="6">
        <v>5</v>
      </c>
      <c r="Q247" s="4" t="s">
        <v>26</v>
      </c>
      <c r="R247" s="4">
        <v>0</v>
      </c>
      <c r="S247" s="6">
        <v>6</v>
      </c>
      <c r="T247" s="6">
        <v>0</v>
      </c>
      <c r="U247" s="6">
        <v>0</v>
      </c>
      <c r="V247" s="77">
        <f>IF(ISERROR(VLOOKUP($S$247,'TAR FIN'!$A$1:$O$85,15,0)),0,VLOOKUP($S$247,'TAR FIN'!$A$1:$O$85,15,0))*(1-0.04)</f>
        <v>18.5472</v>
      </c>
      <c r="W247" s="77">
        <f>IF(ISERROR(VLOOKUP($T$247,'TAR FIN'!$A$1:$O$85,15,0)),0,VLOOKUP($T$247,'TAR FIN'!$A$1:$O$85,15,0))</f>
        <v>0</v>
      </c>
      <c r="X247" s="77">
        <f>IF(ISERROR(VLOOKUP($U$247,'TAR FIN'!$A$1:$O$85,15,0)),0,VLOOKUP($U$247,'TAR FIN'!$A$1:$O$85,15,0))</f>
        <v>0</v>
      </c>
      <c r="Y247" s="77">
        <f ca="1">('TUSD BE'!$AM$10+'TUSD BF'!$AM$10+'TUSD CVA'!$AM$10)*1*(1-0.02)</f>
        <v>16.346441090586261</v>
      </c>
      <c r="Z247" s="77"/>
      <c r="AA247" s="77"/>
      <c r="AB247" s="6">
        <f>$K$247*$V$247</f>
        <v>9310.6944000000003</v>
      </c>
      <c r="AC247" s="6">
        <f>$M$247*$W$247</f>
        <v>0</v>
      </c>
      <c r="AD247" s="6">
        <f>$O$247*$X$247</f>
        <v>0</v>
      </c>
      <c r="AE247" s="6">
        <f ca="1">$K$247*$Y$247</f>
        <v>8205.9134274743028</v>
      </c>
      <c r="AF247" s="6">
        <f>$M$247*$Z$247</f>
        <v>0</v>
      </c>
      <c r="AG247" s="6">
        <f>$O$247*$AA$247</f>
        <v>0</v>
      </c>
    </row>
    <row r="248" spans="1:33" ht="11.25" customHeight="1" x14ac:dyDescent="0.25">
      <c r="A248" s="4" t="s">
        <v>21</v>
      </c>
      <c r="B248" s="4" t="s">
        <v>33</v>
      </c>
      <c r="C248" s="4" t="s">
        <v>34</v>
      </c>
      <c r="D248" s="4" t="s">
        <v>44</v>
      </c>
      <c r="E248" s="4" t="s">
        <v>53</v>
      </c>
      <c r="F248" s="4" t="s">
        <v>25</v>
      </c>
      <c r="G248" s="4" t="s">
        <v>25</v>
      </c>
      <c r="H248" s="4" t="s">
        <v>25</v>
      </c>
      <c r="I248" s="5">
        <v>44440</v>
      </c>
      <c r="J248" s="6">
        <v>496</v>
      </c>
      <c r="K248" s="77">
        <v>496</v>
      </c>
      <c r="L248" s="6">
        <v>0</v>
      </c>
      <c r="M248" s="77">
        <v>0</v>
      </c>
      <c r="N248" s="6">
        <v>0</v>
      </c>
      <c r="O248" s="77">
        <v>0</v>
      </c>
      <c r="P248" s="6">
        <v>5</v>
      </c>
      <c r="Q248" s="4" t="s">
        <v>26</v>
      </c>
      <c r="R248" s="4">
        <v>0</v>
      </c>
      <c r="S248" s="6">
        <v>6</v>
      </c>
      <c r="T248" s="6">
        <v>0</v>
      </c>
      <c r="U248" s="6">
        <v>0</v>
      </c>
      <c r="V248" s="77">
        <f>IF(ISERROR(VLOOKUP($S$248,'TAR FIN'!$A$1:$O$85,15,0)),0,VLOOKUP($S$248,'TAR FIN'!$A$1:$O$85,15,0))*(1-0.04)</f>
        <v>18.5472</v>
      </c>
      <c r="W248" s="77">
        <f>IF(ISERROR(VLOOKUP($T$248,'TAR FIN'!$A$1:$O$85,15,0)),0,VLOOKUP($T$248,'TAR FIN'!$A$1:$O$85,15,0))</f>
        <v>0</v>
      </c>
      <c r="X248" s="77">
        <f>IF(ISERROR(VLOOKUP($U$248,'TAR FIN'!$A$1:$O$85,15,0)),0,VLOOKUP($U$248,'TAR FIN'!$A$1:$O$85,15,0))</f>
        <v>0</v>
      </c>
      <c r="Y248" s="77">
        <f ca="1">('TUSD BE'!$AM$10+'TUSD BF'!$AM$10+'TUSD CVA'!$AM$10)*1*(1-0.02)</f>
        <v>16.346441090586261</v>
      </c>
      <c r="Z248" s="77"/>
      <c r="AA248" s="77"/>
      <c r="AB248" s="6">
        <f>$K$248*$V$248</f>
        <v>9199.4112000000005</v>
      </c>
      <c r="AC248" s="6">
        <f>$M$248*$W$248</f>
        <v>0</v>
      </c>
      <c r="AD248" s="6">
        <f>$O$248*$X$248</f>
        <v>0</v>
      </c>
      <c r="AE248" s="6">
        <f ca="1">$K$248*$Y$248</f>
        <v>8107.8347809307852</v>
      </c>
      <c r="AF248" s="6">
        <f>$M$248*$Z$248</f>
        <v>0</v>
      </c>
      <c r="AG248" s="6">
        <f>$O$248*$AA$248</f>
        <v>0</v>
      </c>
    </row>
    <row r="249" spans="1:33" ht="11.25" customHeight="1" x14ac:dyDescent="0.25">
      <c r="A249" s="4" t="s">
        <v>21</v>
      </c>
      <c r="B249" s="4" t="s">
        <v>33</v>
      </c>
      <c r="C249" s="4" t="s">
        <v>34</v>
      </c>
      <c r="D249" s="4" t="s">
        <v>44</v>
      </c>
      <c r="E249" s="4" t="s">
        <v>53</v>
      </c>
      <c r="F249" s="4" t="s">
        <v>25</v>
      </c>
      <c r="G249" s="4" t="s">
        <v>25</v>
      </c>
      <c r="H249" s="4" t="s">
        <v>25</v>
      </c>
      <c r="I249" s="5">
        <v>44470</v>
      </c>
      <c r="J249" s="6">
        <v>466</v>
      </c>
      <c r="K249" s="77">
        <v>466</v>
      </c>
      <c r="L249" s="6">
        <v>0</v>
      </c>
      <c r="M249" s="77">
        <v>0</v>
      </c>
      <c r="N249" s="6">
        <v>0</v>
      </c>
      <c r="O249" s="77">
        <v>0</v>
      </c>
      <c r="P249" s="6">
        <v>5</v>
      </c>
      <c r="Q249" s="4" t="s">
        <v>26</v>
      </c>
      <c r="R249" s="4">
        <v>0</v>
      </c>
      <c r="S249" s="6">
        <v>6</v>
      </c>
      <c r="T249" s="6">
        <v>0</v>
      </c>
      <c r="U249" s="6">
        <v>0</v>
      </c>
      <c r="V249" s="77">
        <f>IF(ISERROR(VLOOKUP($S$249,'TAR FIN'!$A$1:$O$85,15,0)),0,VLOOKUP($S$249,'TAR FIN'!$A$1:$O$85,15,0))*(1-0.04)</f>
        <v>18.5472</v>
      </c>
      <c r="W249" s="77">
        <f>IF(ISERROR(VLOOKUP($T$249,'TAR FIN'!$A$1:$O$85,15,0)),0,VLOOKUP($T$249,'TAR FIN'!$A$1:$O$85,15,0))</f>
        <v>0</v>
      </c>
      <c r="X249" s="77">
        <f>IF(ISERROR(VLOOKUP($U$249,'TAR FIN'!$A$1:$O$85,15,0)),0,VLOOKUP($U$249,'TAR FIN'!$A$1:$O$85,15,0))</f>
        <v>0</v>
      </c>
      <c r="Y249" s="77">
        <f ca="1">('TUSD BE'!$AM$10+'TUSD BF'!$AM$10+'TUSD CVA'!$AM$10)*1*(1-0.02)</f>
        <v>16.346441090586261</v>
      </c>
      <c r="Z249" s="77"/>
      <c r="AA249" s="77"/>
      <c r="AB249" s="6">
        <f>$K$249*$V$249</f>
        <v>8642.9951999999994</v>
      </c>
      <c r="AC249" s="6">
        <f>$M$249*$W$249</f>
        <v>0</v>
      </c>
      <c r="AD249" s="6">
        <f>$O$249*$X$249</f>
        <v>0</v>
      </c>
      <c r="AE249" s="6">
        <f ca="1">$K$249*$Y$249</f>
        <v>7617.4415482131972</v>
      </c>
      <c r="AF249" s="6">
        <f>$M$249*$Z$249</f>
        <v>0</v>
      </c>
      <c r="AG249" s="6">
        <f>$O$249*$AA$249</f>
        <v>0</v>
      </c>
    </row>
    <row r="250" spans="1:33" ht="11.25" customHeight="1" x14ac:dyDescent="0.25">
      <c r="A250" s="4" t="s">
        <v>21</v>
      </c>
      <c r="B250" s="4" t="s">
        <v>33</v>
      </c>
      <c r="C250" s="4" t="s">
        <v>34</v>
      </c>
      <c r="D250" s="4" t="s">
        <v>44</v>
      </c>
      <c r="E250" s="4" t="s">
        <v>53</v>
      </c>
      <c r="F250" s="4" t="s">
        <v>25</v>
      </c>
      <c r="G250" s="4" t="s">
        <v>25</v>
      </c>
      <c r="H250" s="4" t="s">
        <v>25</v>
      </c>
      <c r="I250" s="5">
        <v>44501</v>
      </c>
      <c r="J250" s="6">
        <v>311</v>
      </c>
      <c r="K250" s="77">
        <v>311</v>
      </c>
      <c r="L250" s="6">
        <v>0</v>
      </c>
      <c r="M250" s="77">
        <v>0</v>
      </c>
      <c r="N250" s="6">
        <v>0</v>
      </c>
      <c r="O250" s="77">
        <v>0</v>
      </c>
      <c r="P250" s="6">
        <v>4</v>
      </c>
      <c r="Q250" s="4" t="s">
        <v>26</v>
      </c>
      <c r="R250" s="4">
        <v>0</v>
      </c>
      <c r="S250" s="6">
        <v>6</v>
      </c>
      <c r="T250" s="6">
        <v>0</v>
      </c>
      <c r="U250" s="6">
        <v>0</v>
      </c>
      <c r="V250" s="77">
        <f>IF(ISERROR(VLOOKUP($S$250,'TAR FIN'!$A$1:$O$85,15,0)),0,VLOOKUP($S$250,'TAR FIN'!$A$1:$O$85,15,0))*(1-0.04)</f>
        <v>18.5472</v>
      </c>
      <c r="W250" s="77">
        <f>IF(ISERROR(VLOOKUP($T$250,'TAR FIN'!$A$1:$O$85,15,0)),0,VLOOKUP($T$250,'TAR FIN'!$A$1:$O$85,15,0))</f>
        <v>0</v>
      </c>
      <c r="X250" s="77">
        <f>IF(ISERROR(VLOOKUP($U$250,'TAR FIN'!$A$1:$O$85,15,0)),0,VLOOKUP($U$250,'TAR FIN'!$A$1:$O$85,15,0))</f>
        <v>0</v>
      </c>
      <c r="Y250" s="77">
        <f ca="1">('TUSD BE'!$AM$10+'TUSD BF'!$AM$10+'TUSD CVA'!$AM$10)*1*(1-0.02)</f>
        <v>16.346441090586261</v>
      </c>
      <c r="Z250" s="77"/>
      <c r="AA250" s="77"/>
      <c r="AB250" s="6">
        <f>$K$250*$V$250</f>
        <v>5768.1792000000005</v>
      </c>
      <c r="AC250" s="6">
        <f>$M$250*$W$250</f>
        <v>0</v>
      </c>
      <c r="AD250" s="6">
        <f>$O$250*$X$250</f>
        <v>0</v>
      </c>
      <c r="AE250" s="6">
        <f ca="1">$K$250*$Y$250</f>
        <v>5083.7431791723275</v>
      </c>
      <c r="AF250" s="6">
        <f>$M$250*$Z$250</f>
        <v>0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33</v>
      </c>
      <c r="C251" s="4" t="s">
        <v>34</v>
      </c>
      <c r="D251" s="4" t="s">
        <v>44</v>
      </c>
      <c r="E251" s="4" t="s">
        <v>53</v>
      </c>
      <c r="F251" s="4" t="s">
        <v>25</v>
      </c>
      <c r="G251" s="4" t="s">
        <v>25</v>
      </c>
      <c r="H251" s="4" t="s">
        <v>25</v>
      </c>
      <c r="I251" s="5">
        <v>44531</v>
      </c>
      <c r="J251" s="6">
        <v>307</v>
      </c>
      <c r="K251" s="77">
        <v>307</v>
      </c>
      <c r="L251" s="6">
        <v>0</v>
      </c>
      <c r="M251" s="77">
        <v>0</v>
      </c>
      <c r="N251" s="6">
        <v>0</v>
      </c>
      <c r="O251" s="77">
        <v>0</v>
      </c>
      <c r="P251" s="6">
        <v>4</v>
      </c>
      <c r="Q251" s="4" t="s">
        <v>26</v>
      </c>
      <c r="R251" s="4">
        <v>0</v>
      </c>
      <c r="S251" s="6">
        <v>6</v>
      </c>
      <c r="T251" s="6">
        <v>0</v>
      </c>
      <c r="U251" s="6">
        <v>0</v>
      </c>
      <c r="V251" s="77">
        <f>IF(ISERROR(VLOOKUP($S$251,'TAR FIN'!$A$1:$O$85,15,0)),0,VLOOKUP($S$251,'TAR FIN'!$A$1:$O$85,15,0))*(1-0.04)</f>
        <v>18.5472</v>
      </c>
      <c r="W251" s="77">
        <f>IF(ISERROR(VLOOKUP($T$251,'TAR FIN'!$A$1:$O$85,15,0)),0,VLOOKUP($T$251,'TAR FIN'!$A$1:$O$85,15,0))</f>
        <v>0</v>
      </c>
      <c r="X251" s="77">
        <f>IF(ISERROR(VLOOKUP($U$251,'TAR FIN'!$A$1:$O$85,15,0)),0,VLOOKUP($U$251,'TAR FIN'!$A$1:$O$85,15,0))</f>
        <v>0</v>
      </c>
      <c r="Y251" s="77">
        <f ca="1">('TUSD BE'!$AM$10+'TUSD BF'!$AM$10+'TUSD CVA'!$AM$10)*1*(1-0.02)</f>
        <v>16.346441090586261</v>
      </c>
      <c r="Z251" s="77"/>
      <c r="AA251" s="77"/>
      <c r="AB251" s="6">
        <f>$K$251*$V$251</f>
        <v>5693.9903999999997</v>
      </c>
      <c r="AC251" s="6">
        <f>$M$251*$W$251</f>
        <v>0</v>
      </c>
      <c r="AD251" s="6">
        <f>$O$251*$X$251</f>
        <v>0</v>
      </c>
      <c r="AE251" s="6">
        <f ca="1">$K$251*$Y$251</f>
        <v>5018.3574148099824</v>
      </c>
      <c r="AF251" s="6">
        <f>$M$251*$Z$251</f>
        <v>0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33</v>
      </c>
      <c r="C252" s="4" t="s">
        <v>34</v>
      </c>
      <c r="D252" s="4" t="s">
        <v>44</v>
      </c>
      <c r="E252" s="4" t="s">
        <v>53</v>
      </c>
      <c r="F252" s="4" t="s">
        <v>25</v>
      </c>
      <c r="G252" s="4" t="s">
        <v>25</v>
      </c>
      <c r="H252" s="4" t="s">
        <v>25</v>
      </c>
      <c r="I252" s="5">
        <v>44562</v>
      </c>
      <c r="J252" s="6">
        <v>403</v>
      </c>
      <c r="K252" s="77">
        <v>403</v>
      </c>
      <c r="L252" s="6">
        <v>0</v>
      </c>
      <c r="M252" s="77">
        <v>0</v>
      </c>
      <c r="N252" s="6">
        <v>0</v>
      </c>
      <c r="O252" s="77">
        <v>0</v>
      </c>
      <c r="P252" s="6">
        <v>4</v>
      </c>
      <c r="Q252" s="4" t="s">
        <v>26</v>
      </c>
      <c r="R252" s="4">
        <v>0</v>
      </c>
      <c r="S252" s="6">
        <v>6</v>
      </c>
      <c r="T252" s="6">
        <v>0</v>
      </c>
      <c r="U252" s="6">
        <v>0</v>
      </c>
      <c r="V252" s="77">
        <f>IF(ISERROR(VLOOKUP($S$252,'TAR FIN'!$A$1:$O$85,15,0)),0,VLOOKUP($S$252,'TAR FIN'!$A$1:$O$85,15,0))*(1-0.04)</f>
        <v>18.5472</v>
      </c>
      <c r="W252" s="77">
        <f>IF(ISERROR(VLOOKUP($T$252,'TAR FIN'!$A$1:$O$85,15,0)),0,VLOOKUP($T$252,'TAR FIN'!$A$1:$O$85,15,0))</f>
        <v>0</v>
      </c>
      <c r="X252" s="77">
        <f>IF(ISERROR(VLOOKUP($U$252,'TAR FIN'!$A$1:$O$85,15,0)),0,VLOOKUP($U$252,'TAR FIN'!$A$1:$O$85,15,0))</f>
        <v>0</v>
      </c>
      <c r="Y252" s="77">
        <f ca="1">('TUSD BE'!$AM$10+'TUSD BF'!$AM$10+'TUSD CVA'!$AM$10)*1*(1-0.02)</f>
        <v>16.346441090586261</v>
      </c>
      <c r="Z252" s="77"/>
      <c r="AA252" s="77"/>
      <c r="AB252" s="6">
        <f>$K$252*$V$252</f>
        <v>7474.5216</v>
      </c>
      <c r="AC252" s="6">
        <f>$M$252*$W$252</f>
        <v>0</v>
      </c>
      <c r="AD252" s="6">
        <f>$O$252*$X$252</f>
        <v>0</v>
      </c>
      <c r="AE252" s="6">
        <f ca="1">$K$252*$Y$252</f>
        <v>6587.6157595062632</v>
      </c>
      <c r="AF252" s="6">
        <f>$M$252*$Z$252</f>
        <v>0</v>
      </c>
      <c r="AG252" s="6">
        <f>$O$252*$AA$252</f>
        <v>0</v>
      </c>
    </row>
    <row r="253" spans="1:33" ht="11.25" customHeight="1" x14ac:dyDescent="0.25">
      <c r="A253" s="4" t="s">
        <v>21</v>
      </c>
      <c r="B253" s="4" t="s">
        <v>33</v>
      </c>
      <c r="C253" s="4" t="s">
        <v>34</v>
      </c>
      <c r="D253" s="4" t="s">
        <v>44</v>
      </c>
      <c r="E253" s="4" t="s">
        <v>53</v>
      </c>
      <c r="F253" s="4" t="s">
        <v>25</v>
      </c>
      <c r="G253" s="4" t="s">
        <v>25</v>
      </c>
      <c r="H253" s="4" t="s">
        <v>25</v>
      </c>
      <c r="I253" s="5">
        <v>44593</v>
      </c>
      <c r="J253" s="6">
        <v>319</v>
      </c>
      <c r="K253" s="77">
        <v>319</v>
      </c>
      <c r="L253" s="6">
        <v>0</v>
      </c>
      <c r="M253" s="77">
        <v>0</v>
      </c>
      <c r="N253" s="6">
        <v>0</v>
      </c>
      <c r="O253" s="77">
        <v>0</v>
      </c>
      <c r="P253" s="6">
        <v>4</v>
      </c>
      <c r="Q253" s="4" t="s">
        <v>26</v>
      </c>
      <c r="R253" s="4">
        <v>0</v>
      </c>
      <c r="S253" s="6">
        <v>6</v>
      </c>
      <c r="T253" s="6">
        <v>0</v>
      </c>
      <c r="U253" s="6">
        <v>0</v>
      </c>
      <c r="V253" s="77">
        <f>IF(ISERROR(VLOOKUP($S$253,'TAR FIN'!$A$1:$O$85,15,0)),0,VLOOKUP($S$253,'TAR FIN'!$A$1:$O$85,15,0))*(1-0.04)</f>
        <v>18.5472</v>
      </c>
      <c r="W253" s="77">
        <f>IF(ISERROR(VLOOKUP($T$253,'TAR FIN'!$A$1:$O$85,15,0)),0,VLOOKUP($T$253,'TAR FIN'!$A$1:$O$85,15,0))</f>
        <v>0</v>
      </c>
      <c r="X253" s="77">
        <f>IF(ISERROR(VLOOKUP($U$253,'TAR FIN'!$A$1:$O$85,15,0)),0,VLOOKUP($U$253,'TAR FIN'!$A$1:$O$85,15,0))</f>
        <v>0</v>
      </c>
      <c r="Y253" s="77">
        <f ca="1">('TUSD BE'!$AM$10+'TUSD BF'!$AM$10+'TUSD CVA'!$AM$10)*1*(1-0.02)</f>
        <v>16.346441090586261</v>
      </c>
      <c r="Z253" s="77"/>
      <c r="AA253" s="77"/>
      <c r="AB253" s="6">
        <f>$K$253*$V$253</f>
        <v>5916.5568000000003</v>
      </c>
      <c r="AC253" s="6">
        <f>$M$253*$W$253</f>
        <v>0</v>
      </c>
      <c r="AD253" s="6">
        <f>$O$253*$X$253</f>
        <v>0</v>
      </c>
      <c r="AE253" s="6">
        <f ca="1">$K$253*$Y$253</f>
        <v>5214.5147078970176</v>
      </c>
      <c r="AF253" s="6">
        <f>$M$253*$Z$253</f>
        <v>0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33</v>
      </c>
      <c r="C254" s="4" t="s">
        <v>34</v>
      </c>
      <c r="D254" s="4" t="s">
        <v>44</v>
      </c>
      <c r="E254" s="4" t="s">
        <v>53</v>
      </c>
      <c r="F254" s="4" t="s">
        <v>25</v>
      </c>
      <c r="G254" s="4" t="s">
        <v>25</v>
      </c>
      <c r="H254" s="4" t="s">
        <v>25</v>
      </c>
      <c r="I254" s="5">
        <v>44621</v>
      </c>
      <c r="J254" s="6">
        <v>767</v>
      </c>
      <c r="K254" s="77">
        <v>767</v>
      </c>
      <c r="L254" s="6">
        <v>0</v>
      </c>
      <c r="M254" s="77">
        <v>0</v>
      </c>
      <c r="N254" s="6">
        <v>0</v>
      </c>
      <c r="O254" s="77">
        <v>0</v>
      </c>
      <c r="P254" s="6">
        <v>4</v>
      </c>
      <c r="Q254" s="4" t="s">
        <v>26</v>
      </c>
      <c r="R254" s="4">
        <v>0</v>
      </c>
      <c r="S254" s="6">
        <v>6</v>
      </c>
      <c r="T254" s="6">
        <v>0</v>
      </c>
      <c r="U254" s="6">
        <v>0</v>
      </c>
      <c r="V254" s="77">
        <f>IF(ISERROR(VLOOKUP($S$254,'TAR FIN'!$A$1:$O$85,15,0)),0,VLOOKUP($S$254,'TAR FIN'!$A$1:$O$85,15,0))*(1-0.04)</f>
        <v>18.5472</v>
      </c>
      <c r="W254" s="77">
        <f>IF(ISERROR(VLOOKUP($T$254,'TAR FIN'!$A$1:$O$85,15,0)),0,VLOOKUP($T$254,'TAR FIN'!$A$1:$O$85,15,0))</f>
        <v>0</v>
      </c>
      <c r="X254" s="77">
        <f>IF(ISERROR(VLOOKUP($U$254,'TAR FIN'!$A$1:$O$85,15,0)),0,VLOOKUP($U$254,'TAR FIN'!$A$1:$O$85,15,0))</f>
        <v>0</v>
      </c>
      <c r="Y254" s="77">
        <f ca="1">('TUSD BE'!$AM$10+'TUSD BF'!$AM$10+'TUSD CVA'!$AM$10)*1*(1-0.02)</f>
        <v>16.346441090586261</v>
      </c>
      <c r="Z254" s="77"/>
      <c r="AA254" s="77"/>
      <c r="AB254" s="6">
        <f>$K$254*$V$254</f>
        <v>14225.7024</v>
      </c>
      <c r="AC254" s="6">
        <f>$M$254*$W$254</f>
        <v>0</v>
      </c>
      <c r="AD254" s="6">
        <f>$O$254*$X$254</f>
        <v>0</v>
      </c>
      <c r="AE254" s="6">
        <f ca="1">$K$254*$Y$254</f>
        <v>12537.720316479663</v>
      </c>
      <c r="AF254" s="6">
        <f>$M$254*$Z$254</f>
        <v>0</v>
      </c>
      <c r="AG254" s="6">
        <f>$O$254*$AA$254</f>
        <v>0</v>
      </c>
    </row>
    <row r="255" spans="1:33" ht="11.25" customHeight="1" x14ac:dyDescent="0.25">
      <c r="A255" s="4" t="s">
        <v>21</v>
      </c>
      <c r="B255" s="4" t="s">
        <v>33</v>
      </c>
      <c r="C255" s="4" t="s">
        <v>34</v>
      </c>
      <c r="D255" s="4" t="s">
        <v>44</v>
      </c>
      <c r="E255" s="4" t="s">
        <v>53</v>
      </c>
      <c r="F255" s="4" t="s">
        <v>25</v>
      </c>
      <c r="G255" s="4" t="s">
        <v>25</v>
      </c>
      <c r="H255" s="4" t="s">
        <v>25</v>
      </c>
      <c r="I255" s="5">
        <v>44652</v>
      </c>
      <c r="J255" s="6">
        <v>367</v>
      </c>
      <c r="K255" s="77">
        <v>367</v>
      </c>
      <c r="L255" s="6">
        <v>0</v>
      </c>
      <c r="M255" s="77">
        <v>0</v>
      </c>
      <c r="N255" s="6">
        <v>0</v>
      </c>
      <c r="O255" s="77">
        <v>0</v>
      </c>
      <c r="P255" s="6">
        <v>4</v>
      </c>
      <c r="Q255" s="4" t="s">
        <v>26</v>
      </c>
      <c r="R255" s="4">
        <v>0</v>
      </c>
      <c r="S255" s="6">
        <v>6</v>
      </c>
      <c r="T255" s="6">
        <v>0</v>
      </c>
      <c r="U255" s="6">
        <v>0</v>
      </c>
      <c r="V255" s="77">
        <f>IF(ISERROR(VLOOKUP($S$255,'TAR FIN'!$A$1:$O$85,15,0)),0,VLOOKUP($S$255,'TAR FIN'!$A$1:$O$85,15,0))*(1-0.04)</f>
        <v>18.5472</v>
      </c>
      <c r="W255" s="77">
        <f>IF(ISERROR(VLOOKUP($T$255,'TAR FIN'!$A$1:$O$85,15,0)),0,VLOOKUP($T$255,'TAR FIN'!$A$1:$O$85,15,0))</f>
        <v>0</v>
      </c>
      <c r="X255" s="77">
        <f>IF(ISERROR(VLOOKUP($U$255,'TAR FIN'!$A$1:$O$85,15,0)),0,VLOOKUP($U$255,'TAR FIN'!$A$1:$O$85,15,0))</f>
        <v>0</v>
      </c>
      <c r="Y255" s="77">
        <f ca="1">('TUSD BE'!$AM$10+'TUSD BF'!$AM$10+'TUSD CVA'!$AM$10)*1*(1-0.02)</f>
        <v>16.346441090586261</v>
      </c>
      <c r="Z255" s="77"/>
      <c r="AA255" s="77"/>
      <c r="AB255" s="6">
        <f>$K$255*$V$255</f>
        <v>6806.8224</v>
      </c>
      <c r="AC255" s="6">
        <f>$M$255*$W$255</f>
        <v>0</v>
      </c>
      <c r="AD255" s="6">
        <f>$O$255*$X$255</f>
        <v>0</v>
      </c>
      <c r="AE255" s="6">
        <f ca="1">$K$255*$Y$255</f>
        <v>5999.1438802451576</v>
      </c>
      <c r="AF255" s="6">
        <f>$M$255*$Z$255</f>
        <v>0</v>
      </c>
      <c r="AG255" s="6">
        <f>$O$255*$AA$255</f>
        <v>0</v>
      </c>
    </row>
    <row r="256" spans="1:33" ht="11.25" customHeight="1" x14ac:dyDescent="0.25">
      <c r="A256" s="4" t="s">
        <v>21</v>
      </c>
      <c r="B256" s="4" t="s">
        <v>33</v>
      </c>
      <c r="C256" s="4" t="s">
        <v>34</v>
      </c>
      <c r="D256" s="4" t="s">
        <v>44</v>
      </c>
      <c r="E256" s="4" t="s">
        <v>53</v>
      </c>
      <c r="F256" s="4" t="s">
        <v>25</v>
      </c>
      <c r="G256" s="4" t="s">
        <v>25</v>
      </c>
      <c r="H256" s="4" t="s">
        <v>35</v>
      </c>
      <c r="I256" s="5">
        <v>44317</v>
      </c>
      <c r="J256" s="6">
        <v>0</v>
      </c>
      <c r="K256" s="77">
        <v>0</v>
      </c>
      <c r="L256" s="6">
        <v>3.048</v>
      </c>
      <c r="M256" s="77">
        <v>3.048</v>
      </c>
      <c r="N256" s="6">
        <v>3.048</v>
      </c>
      <c r="O256" s="77">
        <v>3.048</v>
      </c>
      <c r="P256" s="6">
        <v>0</v>
      </c>
      <c r="Q256" s="4" t="s">
        <v>26</v>
      </c>
      <c r="R256" s="4">
        <v>0</v>
      </c>
      <c r="S256" s="6">
        <v>0</v>
      </c>
      <c r="T256" s="6">
        <v>7</v>
      </c>
      <c r="U256" s="6">
        <v>48</v>
      </c>
      <c r="V256" s="77">
        <f>IF(ISERROR(VLOOKUP($S$256,'TAR FIN'!$A$1:$O$85,15,0)),0,VLOOKUP($S$256,'TAR FIN'!$A$1:$O$85,15,0))</f>
        <v>0</v>
      </c>
      <c r="W256" s="77">
        <f>IF(ISERROR(VLOOKUP($T$256,'TAR FIN'!$A$1:$O$85,15,0)),0,VLOOKUP($T$256,'TAR FIN'!$A$1:$O$85,15,0))*(1-0.04)</f>
        <v>910.22399999999993</v>
      </c>
      <c r="X256" s="77">
        <f>IF(ISERROR(VLOOKUP($U$256,'TAR FIN'!$A$1:$O$85,15,0)),0,VLOOKUP($U$256,'TAR FIN'!$A$1:$O$85,15,0))*(1-0.04)</f>
        <v>252.75840000000002</v>
      </c>
      <c r="Y256" s="77"/>
      <c r="Z256" s="77">
        <f ca="1">('TUSD BE'!$AM$11+'TUSD BF'!$AM$11+'TUSD CVA'!$AM$11)*1*(1-0.02)</f>
        <v>956.89459124248037</v>
      </c>
      <c r="AA256" s="77">
        <f>('TE BE'!$AA$5+'TE BF'!$AA$5+'TE CVA'!$AA$5)*1*(1-0.02)</f>
        <v>206.43109646347523</v>
      </c>
      <c r="AB256" s="6">
        <f>$K$256*$V$256</f>
        <v>0</v>
      </c>
      <c r="AC256" s="6">
        <f>$M$256*$W$256</f>
        <v>2774.362752</v>
      </c>
      <c r="AD256" s="6">
        <f>$O$256*$X$256</f>
        <v>770.40760320000004</v>
      </c>
      <c r="AE256" s="6">
        <f>$K$256*$Y$256</f>
        <v>0</v>
      </c>
      <c r="AF256" s="6">
        <f ca="1">$M$256*$Z$256</f>
        <v>2916.6147141070801</v>
      </c>
      <c r="AG256" s="6">
        <f>$O$256*$AA$256</f>
        <v>629.20198202067252</v>
      </c>
    </row>
    <row r="257" spans="1:33" ht="11.25" customHeight="1" x14ac:dyDescent="0.25">
      <c r="A257" s="4" t="s">
        <v>21</v>
      </c>
      <c r="B257" s="4" t="s">
        <v>33</v>
      </c>
      <c r="C257" s="4" t="s">
        <v>34</v>
      </c>
      <c r="D257" s="4" t="s">
        <v>44</v>
      </c>
      <c r="E257" s="4" t="s">
        <v>53</v>
      </c>
      <c r="F257" s="4" t="s">
        <v>25</v>
      </c>
      <c r="G257" s="4" t="s">
        <v>25</v>
      </c>
      <c r="H257" s="4" t="s">
        <v>35</v>
      </c>
      <c r="I257" s="5">
        <v>44348</v>
      </c>
      <c r="J257" s="6">
        <v>0</v>
      </c>
      <c r="K257" s="77">
        <v>0</v>
      </c>
      <c r="L257" s="6">
        <v>0.34399999999999997</v>
      </c>
      <c r="M257" s="77">
        <v>0.34399999999999997</v>
      </c>
      <c r="N257" s="6">
        <v>0.34399999999999997</v>
      </c>
      <c r="O257" s="77">
        <v>0.34399999999999997</v>
      </c>
      <c r="P257" s="6">
        <v>0</v>
      </c>
      <c r="Q257" s="4" t="s">
        <v>26</v>
      </c>
      <c r="R257" s="4">
        <v>0</v>
      </c>
      <c r="S257" s="6">
        <v>0</v>
      </c>
      <c r="T257" s="6">
        <v>7</v>
      </c>
      <c r="U257" s="6">
        <v>48</v>
      </c>
      <c r="V257" s="77">
        <f>IF(ISERROR(VLOOKUP($S$257,'TAR FIN'!$A$1:$O$85,15,0)),0,VLOOKUP($S$257,'TAR FIN'!$A$1:$O$85,15,0))</f>
        <v>0</v>
      </c>
      <c r="W257" s="77">
        <f>IF(ISERROR(VLOOKUP($T$257,'TAR FIN'!$A$1:$O$85,15,0)),0,VLOOKUP($T$257,'TAR FIN'!$A$1:$O$85,15,0))*(1-0.04)</f>
        <v>910.22399999999993</v>
      </c>
      <c r="X257" s="77">
        <f>IF(ISERROR(VLOOKUP($U$257,'TAR FIN'!$A$1:$O$85,15,0)),0,VLOOKUP($U$257,'TAR FIN'!$A$1:$O$85,15,0))*(1-0.04)</f>
        <v>252.75840000000002</v>
      </c>
      <c r="Y257" s="77"/>
      <c r="Z257" s="77">
        <f ca="1">('TUSD BE'!$AM$11+'TUSD BF'!$AM$11+'TUSD CVA'!$AM$11)*1*(1-0.02)</f>
        <v>956.89459124248037</v>
      </c>
      <c r="AA257" s="77">
        <f>('TE BE'!$AA$5+'TE BF'!$AA$5+'TE CVA'!$AA$5)*1*(1-0.02)</f>
        <v>206.43109646347523</v>
      </c>
      <c r="AB257" s="6">
        <f>$K$257*$V$257</f>
        <v>0</v>
      </c>
      <c r="AC257" s="6">
        <f>$M$257*$W$257</f>
        <v>313.11705599999993</v>
      </c>
      <c r="AD257" s="6">
        <f>$O$257*$X$257</f>
        <v>86.948889600000001</v>
      </c>
      <c r="AE257" s="6">
        <f>$K$257*$Y$257</f>
        <v>0</v>
      </c>
      <c r="AF257" s="6">
        <f ca="1">$M$257*$Z$257</f>
        <v>329.1717393874132</v>
      </c>
      <c r="AG257" s="6">
        <f>$O$257*$AA$257</f>
        <v>71.012297183435479</v>
      </c>
    </row>
    <row r="258" spans="1:33" ht="11.25" customHeight="1" x14ac:dyDescent="0.25">
      <c r="A258" s="4" t="s">
        <v>21</v>
      </c>
      <c r="B258" s="4" t="s">
        <v>33</v>
      </c>
      <c r="C258" s="4" t="s">
        <v>34</v>
      </c>
      <c r="D258" s="4" t="s">
        <v>44</v>
      </c>
      <c r="E258" s="4" t="s">
        <v>53</v>
      </c>
      <c r="F258" s="4" t="s">
        <v>25</v>
      </c>
      <c r="G258" s="4" t="s">
        <v>25</v>
      </c>
      <c r="H258" s="4" t="s">
        <v>35</v>
      </c>
      <c r="I258" s="5">
        <v>44378</v>
      </c>
      <c r="J258" s="6">
        <v>0</v>
      </c>
      <c r="K258" s="77">
        <v>0</v>
      </c>
      <c r="L258" s="6">
        <v>1.044</v>
      </c>
      <c r="M258" s="77">
        <v>1.044</v>
      </c>
      <c r="N258" s="6">
        <v>1.044</v>
      </c>
      <c r="O258" s="77">
        <v>1.044</v>
      </c>
      <c r="P258" s="6">
        <v>0</v>
      </c>
      <c r="Q258" s="4" t="s">
        <v>26</v>
      </c>
      <c r="R258" s="4">
        <v>0</v>
      </c>
      <c r="S258" s="6">
        <v>0</v>
      </c>
      <c r="T258" s="6">
        <v>7</v>
      </c>
      <c r="U258" s="6">
        <v>48</v>
      </c>
      <c r="V258" s="77">
        <f>IF(ISERROR(VLOOKUP($S$258,'TAR FIN'!$A$1:$O$85,15,0)),0,VLOOKUP($S$258,'TAR FIN'!$A$1:$O$85,15,0))</f>
        <v>0</v>
      </c>
      <c r="W258" s="77">
        <f>IF(ISERROR(VLOOKUP($T$258,'TAR FIN'!$A$1:$O$85,15,0)),0,VLOOKUP($T$258,'TAR FIN'!$A$1:$O$85,15,0))*(1-0.04)</f>
        <v>910.22399999999993</v>
      </c>
      <c r="X258" s="77">
        <f>IF(ISERROR(VLOOKUP($U$258,'TAR FIN'!$A$1:$O$85,15,0)),0,VLOOKUP($U$258,'TAR FIN'!$A$1:$O$85,15,0))*(1-0.04)</f>
        <v>252.75840000000002</v>
      </c>
      <c r="Y258" s="77"/>
      <c r="Z258" s="77">
        <f ca="1">('TUSD BE'!$AM$11+'TUSD BF'!$AM$11+'TUSD CVA'!$AM$11)*1*(1-0.02)</f>
        <v>956.89459124248037</v>
      </c>
      <c r="AA258" s="77">
        <f>('TE BE'!$AA$5+'TE BF'!$AA$5+'TE CVA'!$AA$5)*1*(1-0.02)</f>
        <v>206.43109646347523</v>
      </c>
      <c r="AB258" s="6">
        <f>$K$258*$V$258</f>
        <v>0</v>
      </c>
      <c r="AC258" s="6">
        <f>$M$258*$W$258</f>
        <v>950.27385599999991</v>
      </c>
      <c r="AD258" s="6">
        <f>$O$258*$X$258</f>
        <v>263.87976960000003</v>
      </c>
      <c r="AE258" s="6">
        <f>$K$258*$Y$258</f>
        <v>0</v>
      </c>
      <c r="AF258" s="6">
        <f ca="1">$M$258*$Z$258</f>
        <v>998.99795325714956</v>
      </c>
      <c r="AG258" s="6">
        <f>$O$258*$AA$258</f>
        <v>215.51406470786816</v>
      </c>
    </row>
    <row r="259" spans="1:33" ht="11.25" customHeight="1" x14ac:dyDescent="0.25">
      <c r="A259" s="4" t="s">
        <v>21</v>
      </c>
      <c r="B259" s="4" t="s">
        <v>33</v>
      </c>
      <c r="C259" s="4" t="s">
        <v>34</v>
      </c>
      <c r="D259" s="4" t="s">
        <v>44</v>
      </c>
      <c r="E259" s="4" t="s">
        <v>53</v>
      </c>
      <c r="F259" s="4" t="s">
        <v>25</v>
      </c>
      <c r="G259" s="4" t="s">
        <v>25</v>
      </c>
      <c r="H259" s="4" t="s">
        <v>35</v>
      </c>
      <c r="I259" s="5">
        <v>44409</v>
      </c>
      <c r="J259" s="6">
        <v>0</v>
      </c>
      <c r="K259" s="77">
        <v>0</v>
      </c>
      <c r="L259" s="6">
        <v>1.976</v>
      </c>
      <c r="M259" s="77">
        <v>1.976</v>
      </c>
      <c r="N259" s="6">
        <v>1.976</v>
      </c>
      <c r="O259" s="77">
        <v>1.976</v>
      </c>
      <c r="P259" s="6">
        <v>0</v>
      </c>
      <c r="Q259" s="4" t="s">
        <v>26</v>
      </c>
      <c r="R259" s="4">
        <v>0</v>
      </c>
      <c r="S259" s="6">
        <v>0</v>
      </c>
      <c r="T259" s="6">
        <v>7</v>
      </c>
      <c r="U259" s="6">
        <v>48</v>
      </c>
      <c r="V259" s="77">
        <f>IF(ISERROR(VLOOKUP($S$259,'TAR FIN'!$A$1:$O$85,15,0)),0,VLOOKUP($S$259,'TAR FIN'!$A$1:$O$85,15,0))</f>
        <v>0</v>
      </c>
      <c r="W259" s="77">
        <f>IF(ISERROR(VLOOKUP($T$259,'TAR FIN'!$A$1:$O$85,15,0)),0,VLOOKUP($T$259,'TAR FIN'!$A$1:$O$85,15,0))*(1-0.04)</f>
        <v>910.22399999999993</v>
      </c>
      <c r="X259" s="77">
        <f>IF(ISERROR(VLOOKUP($U$259,'TAR FIN'!$A$1:$O$85,15,0)),0,VLOOKUP($U$259,'TAR FIN'!$A$1:$O$85,15,0))*(1-0.04)</f>
        <v>252.75840000000002</v>
      </c>
      <c r="Y259" s="77"/>
      <c r="Z259" s="77">
        <f ca="1">('TUSD BE'!$AM$11+'TUSD BF'!$AM$11+'TUSD CVA'!$AM$11)*1*(1-0.02)</f>
        <v>956.89459124248037</v>
      </c>
      <c r="AA259" s="77">
        <f>('TE BE'!$AA$5+'TE BF'!$AA$5+'TE CVA'!$AA$5)*1*(1-0.02)</f>
        <v>206.43109646347523</v>
      </c>
      <c r="AB259" s="6">
        <f>$K$259*$V$259</f>
        <v>0</v>
      </c>
      <c r="AC259" s="6">
        <f>$M$259*$W$259</f>
        <v>1798.6026239999999</v>
      </c>
      <c r="AD259" s="6">
        <f>$O$259*$X$259</f>
        <v>499.45059840000005</v>
      </c>
      <c r="AE259" s="6">
        <f>$K$259*$Y$259</f>
        <v>0</v>
      </c>
      <c r="AF259" s="6">
        <f ca="1">$M$259*$Z$259</f>
        <v>1890.8237122951411</v>
      </c>
      <c r="AG259" s="6">
        <f>$O$259*$AA$259</f>
        <v>407.90784661182704</v>
      </c>
    </row>
    <row r="260" spans="1:33" ht="11.25" customHeight="1" x14ac:dyDescent="0.25">
      <c r="A260" s="4" t="s">
        <v>21</v>
      </c>
      <c r="B260" s="4" t="s">
        <v>33</v>
      </c>
      <c r="C260" s="4" t="s">
        <v>34</v>
      </c>
      <c r="D260" s="4" t="s">
        <v>44</v>
      </c>
      <c r="E260" s="4" t="s">
        <v>53</v>
      </c>
      <c r="F260" s="4" t="s">
        <v>25</v>
      </c>
      <c r="G260" s="4" t="s">
        <v>25</v>
      </c>
      <c r="H260" s="4" t="s">
        <v>35</v>
      </c>
      <c r="I260" s="5">
        <v>44440</v>
      </c>
      <c r="J260" s="6">
        <v>0</v>
      </c>
      <c r="K260" s="77">
        <v>0</v>
      </c>
      <c r="L260" s="6">
        <v>2.6779999999999999</v>
      </c>
      <c r="M260" s="77">
        <v>2.6779999999999999</v>
      </c>
      <c r="N260" s="6">
        <v>2.6779999999999999</v>
      </c>
      <c r="O260" s="77">
        <v>2.6779999999999999</v>
      </c>
      <c r="P260" s="6">
        <v>0</v>
      </c>
      <c r="Q260" s="4" t="s">
        <v>26</v>
      </c>
      <c r="R260" s="4">
        <v>0</v>
      </c>
      <c r="S260" s="6">
        <v>0</v>
      </c>
      <c r="T260" s="6">
        <v>7</v>
      </c>
      <c r="U260" s="6">
        <v>48</v>
      </c>
      <c r="V260" s="77">
        <f>IF(ISERROR(VLOOKUP($S$260,'TAR FIN'!$A$1:$O$85,15,0)),0,VLOOKUP($S$260,'TAR FIN'!$A$1:$O$85,15,0))</f>
        <v>0</v>
      </c>
      <c r="W260" s="77">
        <f>IF(ISERROR(VLOOKUP($T$260,'TAR FIN'!$A$1:$O$85,15,0)),0,VLOOKUP($T$260,'TAR FIN'!$A$1:$O$85,15,0))*(1-0.04)</f>
        <v>910.22399999999993</v>
      </c>
      <c r="X260" s="77">
        <f>IF(ISERROR(VLOOKUP($U$260,'TAR FIN'!$A$1:$O$85,15,0)),0,VLOOKUP($U$260,'TAR FIN'!$A$1:$O$85,15,0))*(1-0.04)</f>
        <v>252.75840000000002</v>
      </c>
      <c r="Y260" s="77"/>
      <c r="Z260" s="77">
        <f ca="1">('TUSD BE'!$AM$11+'TUSD BF'!$AM$11+'TUSD CVA'!$AM$11)*1*(1-0.02)</f>
        <v>956.89459124248037</v>
      </c>
      <c r="AA260" s="77">
        <f>('TE BE'!$AA$5+'TE BF'!$AA$5+'TE CVA'!$AA$5)*1*(1-0.02)</f>
        <v>206.43109646347523</v>
      </c>
      <c r="AB260" s="6">
        <f>$K$260*$V$260</f>
        <v>0</v>
      </c>
      <c r="AC260" s="6">
        <f>$M$260*$W$260</f>
        <v>2437.5798719999998</v>
      </c>
      <c r="AD260" s="6">
        <f>$O$260*$X$260</f>
        <v>676.8869952</v>
      </c>
      <c r="AE260" s="6">
        <f>$K$260*$Y$260</f>
        <v>0</v>
      </c>
      <c r="AF260" s="6">
        <f ca="1">$M$260*$Z$260</f>
        <v>2562.5637153473622</v>
      </c>
      <c r="AG260" s="6">
        <f>$O$260*$AA$260</f>
        <v>552.82247632918666</v>
      </c>
    </row>
    <row r="261" spans="1:33" ht="11.25" customHeight="1" x14ac:dyDescent="0.25">
      <c r="A261" s="4" t="s">
        <v>21</v>
      </c>
      <c r="B261" s="4" t="s">
        <v>33</v>
      </c>
      <c r="C261" s="4" t="s">
        <v>34</v>
      </c>
      <c r="D261" s="4" t="s">
        <v>44</v>
      </c>
      <c r="E261" s="4" t="s">
        <v>53</v>
      </c>
      <c r="F261" s="4" t="s">
        <v>25</v>
      </c>
      <c r="G261" s="4" t="s">
        <v>25</v>
      </c>
      <c r="H261" s="4" t="s">
        <v>35</v>
      </c>
      <c r="I261" s="5">
        <v>44470</v>
      </c>
      <c r="J261" s="6">
        <v>0</v>
      </c>
      <c r="K261" s="77">
        <v>0</v>
      </c>
      <c r="L261" s="6">
        <v>1.6E-2</v>
      </c>
      <c r="M261" s="77">
        <v>1.6E-2</v>
      </c>
      <c r="N261" s="6">
        <v>1.6E-2</v>
      </c>
      <c r="O261" s="77">
        <v>1.6E-2</v>
      </c>
      <c r="P261" s="6">
        <v>0</v>
      </c>
      <c r="Q261" s="4" t="s">
        <v>26</v>
      </c>
      <c r="R261" s="4">
        <v>0</v>
      </c>
      <c r="S261" s="6">
        <v>0</v>
      </c>
      <c r="T261" s="6">
        <v>7</v>
      </c>
      <c r="U261" s="6">
        <v>48</v>
      </c>
      <c r="V261" s="77">
        <f>IF(ISERROR(VLOOKUP($S$261,'TAR FIN'!$A$1:$O$85,15,0)),0,VLOOKUP($S$261,'TAR FIN'!$A$1:$O$85,15,0))</f>
        <v>0</v>
      </c>
      <c r="W261" s="77">
        <f>IF(ISERROR(VLOOKUP($T$261,'TAR FIN'!$A$1:$O$85,15,0)),0,VLOOKUP($T$261,'TAR FIN'!$A$1:$O$85,15,0))*(1-0.04)</f>
        <v>910.22399999999993</v>
      </c>
      <c r="X261" s="77">
        <f>IF(ISERROR(VLOOKUP($U$261,'TAR FIN'!$A$1:$O$85,15,0)),0,VLOOKUP($U$261,'TAR FIN'!$A$1:$O$85,15,0))*(1-0.04)</f>
        <v>252.75840000000002</v>
      </c>
      <c r="Y261" s="77"/>
      <c r="Z261" s="77">
        <f ca="1">('TUSD BE'!$AM$11+'TUSD BF'!$AM$11+'TUSD CVA'!$AM$11)*1*(1-0.02)</f>
        <v>956.89459124248037</v>
      </c>
      <c r="AA261" s="77">
        <f>('TE BE'!$AA$5+'TE BF'!$AA$5+'TE CVA'!$AA$5)*1*(1-0.02)</f>
        <v>206.43109646347523</v>
      </c>
      <c r="AB261" s="6">
        <f>$K$261*$V$261</f>
        <v>0</v>
      </c>
      <c r="AC261" s="6">
        <f>$M$261*$W$261</f>
        <v>14.563583999999999</v>
      </c>
      <c r="AD261" s="6">
        <f>$O$261*$X$261</f>
        <v>4.0441344000000008</v>
      </c>
      <c r="AE261" s="6">
        <f>$K$261*$Y$261</f>
        <v>0</v>
      </c>
      <c r="AF261" s="6">
        <f ca="1">$M$261*$Z$261</f>
        <v>15.310313459879687</v>
      </c>
      <c r="AG261" s="6">
        <f>$O$261*$AA$261</f>
        <v>3.3028975434156038</v>
      </c>
    </row>
    <row r="262" spans="1:33" ht="11.25" customHeight="1" x14ac:dyDescent="0.25">
      <c r="A262" s="4" t="s">
        <v>21</v>
      </c>
      <c r="B262" s="4" t="s">
        <v>33</v>
      </c>
      <c r="C262" s="4" t="s">
        <v>34</v>
      </c>
      <c r="D262" s="4" t="s">
        <v>44</v>
      </c>
      <c r="E262" s="4" t="s">
        <v>53</v>
      </c>
      <c r="F262" s="4" t="s">
        <v>25</v>
      </c>
      <c r="G262" s="4" t="s">
        <v>25</v>
      </c>
      <c r="H262" s="4" t="s">
        <v>35</v>
      </c>
      <c r="I262" s="5">
        <v>44501</v>
      </c>
      <c r="J262" s="6">
        <v>0</v>
      </c>
      <c r="K262" s="77">
        <v>0</v>
      </c>
      <c r="L262" s="6">
        <v>1.7999999999999999E-2</v>
      </c>
      <c r="M262" s="77">
        <v>1.7999999999999999E-2</v>
      </c>
      <c r="N262" s="6">
        <v>1.7999999999999999E-2</v>
      </c>
      <c r="O262" s="77">
        <v>1.7999999999999999E-2</v>
      </c>
      <c r="P262" s="6">
        <v>0</v>
      </c>
      <c r="Q262" s="4" t="s">
        <v>26</v>
      </c>
      <c r="R262" s="4">
        <v>0</v>
      </c>
      <c r="S262" s="6">
        <v>0</v>
      </c>
      <c r="T262" s="6">
        <v>7</v>
      </c>
      <c r="U262" s="6">
        <v>48</v>
      </c>
      <c r="V262" s="77">
        <f>IF(ISERROR(VLOOKUP($S$262,'TAR FIN'!$A$1:$O$85,15,0)),0,VLOOKUP($S$262,'TAR FIN'!$A$1:$O$85,15,0))</f>
        <v>0</v>
      </c>
      <c r="W262" s="77">
        <f>IF(ISERROR(VLOOKUP($T$262,'TAR FIN'!$A$1:$O$85,15,0)),0,VLOOKUP($T$262,'TAR FIN'!$A$1:$O$85,15,0))*(1-0.04)</f>
        <v>910.22399999999993</v>
      </c>
      <c r="X262" s="77">
        <f>IF(ISERROR(VLOOKUP($U$262,'TAR FIN'!$A$1:$O$85,15,0)),0,VLOOKUP($U$262,'TAR FIN'!$A$1:$O$85,15,0))*(1-0.04)</f>
        <v>252.75840000000002</v>
      </c>
      <c r="Y262" s="77"/>
      <c r="Z262" s="77">
        <f ca="1">('TUSD BE'!$AM$11+'TUSD BF'!$AM$11+'TUSD CVA'!$AM$11)*1*(1-0.02)</f>
        <v>956.89459124248037</v>
      </c>
      <c r="AA262" s="77">
        <f>('TE BE'!$AA$5+'TE BF'!$AA$5+'TE CVA'!$AA$5)*1*(1-0.02)</f>
        <v>206.43109646347523</v>
      </c>
      <c r="AB262" s="6">
        <f>$K$262*$V$262</f>
        <v>0</v>
      </c>
      <c r="AC262" s="6">
        <f>$M$262*$W$262</f>
        <v>16.384031999999998</v>
      </c>
      <c r="AD262" s="6">
        <f>$O$262*$X$262</f>
        <v>4.5496512000000005</v>
      </c>
      <c r="AE262" s="6">
        <f>$K$262*$Y$262</f>
        <v>0</v>
      </c>
      <c r="AF262" s="6">
        <f ca="1">$M$262*$Z$262</f>
        <v>17.224102642364645</v>
      </c>
      <c r="AG262" s="6">
        <f>$O$262*$AA$262</f>
        <v>3.7157597363425539</v>
      </c>
    </row>
    <row r="263" spans="1:33" ht="11.25" customHeight="1" x14ac:dyDescent="0.25">
      <c r="A263" s="4" t="s">
        <v>21</v>
      </c>
      <c r="B263" s="4" t="s">
        <v>33</v>
      </c>
      <c r="C263" s="4" t="s">
        <v>34</v>
      </c>
      <c r="D263" s="4" t="s">
        <v>44</v>
      </c>
      <c r="E263" s="4" t="s">
        <v>53</v>
      </c>
      <c r="F263" s="4" t="s">
        <v>25</v>
      </c>
      <c r="G263" s="4" t="s">
        <v>25</v>
      </c>
      <c r="H263" s="4" t="s">
        <v>35</v>
      </c>
      <c r="I263" s="5">
        <v>44531</v>
      </c>
      <c r="J263" s="6">
        <v>0</v>
      </c>
      <c r="K263" s="77">
        <v>0</v>
      </c>
      <c r="L263" s="6">
        <v>0.1</v>
      </c>
      <c r="M263" s="77">
        <v>0.1</v>
      </c>
      <c r="N263" s="6">
        <v>0.1</v>
      </c>
      <c r="O263" s="77">
        <v>0.1</v>
      </c>
      <c r="P263" s="6">
        <v>0</v>
      </c>
      <c r="Q263" s="4" t="s">
        <v>26</v>
      </c>
      <c r="R263" s="4">
        <v>0</v>
      </c>
      <c r="S263" s="6">
        <v>0</v>
      </c>
      <c r="T263" s="6">
        <v>7</v>
      </c>
      <c r="U263" s="6">
        <v>48</v>
      </c>
      <c r="V263" s="77">
        <f>IF(ISERROR(VLOOKUP($S$263,'TAR FIN'!$A$1:$O$85,15,0)),0,VLOOKUP($S$263,'TAR FIN'!$A$1:$O$85,15,0))</f>
        <v>0</v>
      </c>
      <c r="W263" s="77">
        <f>IF(ISERROR(VLOOKUP($T$263,'TAR FIN'!$A$1:$O$85,15,0)),0,VLOOKUP($T$263,'TAR FIN'!$A$1:$O$85,15,0))*(1-0.04)</f>
        <v>910.22399999999993</v>
      </c>
      <c r="X263" s="77">
        <f>IF(ISERROR(VLOOKUP($U$263,'TAR FIN'!$A$1:$O$85,15,0)),0,VLOOKUP($U$263,'TAR FIN'!$A$1:$O$85,15,0))*(1-0.04)</f>
        <v>252.75840000000002</v>
      </c>
      <c r="Y263" s="77"/>
      <c r="Z263" s="77">
        <f ca="1">('TUSD BE'!$AM$11+'TUSD BF'!$AM$11+'TUSD CVA'!$AM$11)*1*(1-0.02)</f>
        <v>956.89459124248037</v>
      </c>
      <c r="AA263" s="77">
        <f>('TE BE'!$AA$5+'TE BF'!$AA$5+'TE CVA'!$AA$5)*1*(1-0.02)</f>
        <v>206.43109646347523</v>
      </c>
      <c r="AB263" s="6">
        <f>$K$263*$V$263</f>
        <v>0</v>
      </c>
      <c r="AC263" s="6">
        <f>$M$263*$W$263</f>
        <v>91.022400000000005</v>
      </c>
      <c r="AD263" s="6">
        <f>$O$263*$X$263</f>
        <v>25.275840000000002</v>
      </c>
      <c r="AE263" s="6">
        <f>$K$263*$Y$263</f>
        <v>0</v>
      </c>
      <c r="AF263" s="6">
        <f ca="1">$M$263*$Z$263</f>
        <v>95.689459124248046</v>
      </c>
      <c r="AG263" s="6">
        <f>$O$263*$AA$263</f>
        <v>20.643109646347526</v>
      </c>
    </row>
    <row r="264" spans="1:33" ht="11.25" customHeight="1" x14ac:dyDescent="0.25">
      <c r="A264" s="4" t="s">
        <v>21</v>
      </c>
      <c r="B264" s="4" t="s">
        <v>33</v>
      </c>
      <c r="C264" s="4" t="s">
        <v>34</v>
      </c>
      <c r="D264" s="4" t="s">
        <v>44</v>
      </c>
      <c r="E264" s="4" t="s">
        <v>53</v>
      </c>
      <c r="F264" s="4" t="s">
        <v>25</v>
      </c>
      <c r="G264" s="4" t="s">
        <v>25</v>
      </c>
      <c r="H264" s="4" t="s">
        <v>35</v>
      </c>
      <c r="I264" s="5">
        <v>44562</v>
      </c>
      <c r="J264" s="6">
        <v>0</v>
      </c>
      <c r="K264" s="77">
        <v>0</v>
      </c>
      <c r="L264" s="6">
        <v>0.128</v>
      </c>
      <c r="M264" s="77">
        <v>0.128</v>
      </c>
      <c r="N264" s="6">
        <v>0.128</v>
      </c>
      <c r="O264" s="77">
        <v>0.128</v>
      </c>
      <c r="P264" s="6">
        <v>0</v>
      </c>
      <c r="Q264" s="4" t="s">
        <v>26</v>
      </c>
      <c r="R264" s="4">
        <v>0</v>
      </c>
      <c r="S264" s="6">
        <v>0</v>
      </c>
      <c r="T264" s="6">
        <v>7</v>
      </c>
      <c r="U264" s="6">
        <v>48</v>
      </c>
      <c r="V264" s="77">
        <f>IF(ISERROR(VLOOKUP($S$264,'TAR FIN'!$A$1:$O$85,15,0)),0,VLOOKUP($S$264,'TAR FIN'!$A$1:$O$85,15,0))</f>
        <v>0</v>
      </c>
      <c r="W264" s="77">
        <f>IF(ISERROR(VLOOKUP($T$264,'TAR FIN'!$A$1:$O$85,15,0)),0,VLOOKUP($T$264,'TAR FIN'!$A$1:$O$85,15,0))*(1-0.04)</f>
        <v>910.22399999999993</v>
      </c>
      <c r="X264" s="77">
        <f>IF(ISERROR(VLOOKUP($U$264,'TAR FIN'!$A$1:$O$85,15,0)),0,VLOOKUP($U$264,'TAR FIN'!$A$1:$O$85,15,0))*(1-0.04)</f>
        <v>252.75840000000002</v>
      </c>
      <c r="Y264" s="77"/>
      <c r="Z264" s="77">
        <f ca="1">('TUSD BE'!$AM$11+'TUSD BF'!$AM$11+'TUSD CVA'!$AM$11)*1*(1-0.02)</f>
        <v>956.89459124248037</v>
      </c>
      <c r="AA264" s="77">
        <f>('TE BE'!$AA$5+'TE BF'!$AA$5+'TE CVA'!$AA$5)*1*(1-0.02)</f>
        <v>206.43109646347523</v>
      </c>
      <c r="AB264" s="6">
        <f>$K$264*$V$264</f>
        <v>0</v>
      </c>
      <c r="AC264" s="6">
        <f>$M$264*$W$264</f>
        <v>116.50867199999999</v>
      </c>
      <c r="AD264" s="6">
        <f>$O$264*$X$264</f>
        <v>32.353075200000006</v>
      </c>
      <c r="AE264" s="6">
        <f>$K$264*$Y$264</f>
        <v>0</v>
      </c>
      <c r="AF264" s="6">
        <f ca="1">$M$264*$Z$264</f>
        <v>122.4825076790375</v>
      </c>
      <c r="AG264" s="6">
        <f>$O$264*$AA$264</f>
        <v>26.423180347324831</v>
      </c>
    </row>
    <row r="265" spans="1:33" ht="11.25" customHeight="1" x14ac:dyDescent="0.25">
      <c r="A265" s="4" t="s">
        <v>21</v>
      </c>
      <c r="B265" s="4" t="s">
        <v>33</v>
      </c>
      <c r="C265" s="4" t="s">
        <v>34</v>
      </c>
      <c r="D265" s="4" t="s">
        <v>44</v>
      </c>
      <c r="E265" s="4" t="s">
        <v>53</v>
      </c>
      <c r="F265" s="4" t="s">
        <v>25</v>
      </c>
      <c r="G265" s="4" t="s">
        <v>25</v>
      </c>
      <c r="H265" s="4" t="s">
        <v>35</v>
      </c>
      <c r="I265" s="5">
        <v>44593</v>
      </c>
      <c r="J265" s="6">
        <v>0</v>
      </c>
      <c r="K265" s="77">
        <v>0</v>
      </c>
      <c r="L265" s="6">
        <v>0.19800000000000001</v>
      </c>
      <c r="M265" s="77">
        <v>0.19800000000000001</v>
      </c>
      <c r="N265" s="6">
        <v>0.19800000000000001</v>
      </c>
      <c r="O265" s="77">
        <v>0.19800000000000001</v>
      </c>
      <c r="P265" s="6">
        <v>0</v>
      </c>
      <c r="Q265" s="4" t="s">
        <v>26</v>
      </c>
      <c r="R265" s="4">
        <v>0</v>
      </c>
      <c r="S265" s="6">
        <v>0</v>
      </c>
      <c r="T265" s="6">
        <v>7</v>
      </c>
      <c r="U265" s="6">
        <v>48</v>
      </c>
      <c r="V265" s="77">
        <f>IF(ISERROR(VLOOKUP($S$265,'TAR FIN'!$A$1:$O$85,15,0)),0,VLOOKUP($S$265,'TAR FIN'!$A$1:$O$85,15,0))</f>
        <v>0</v>
      </c>
      <c r="W265" s="77">
        <f>IF(ISERROR(VLOOKUP($T$265,'TAR FIN'!$A$1:$O$85,15,0)),0,VLOOKUP($T$265,'TAR FIN'!$A$1:$O$85,15,0))*(1-0.04)</f>
        <v>910.22399999999993</v>
      </c>
      <c r="X265" s="77">
        <f>IF(ISERROR(VLOOKUP($U$265,'TAR FIN'!$A$1:$O$85,15,0)),0,VLOOKUP($U$265,'TAR FIN'!$A$1:$O$85,15,0))*(1-0.04)</f>
        <v>252.75840000000002</v>
      </c>
      <c r="Y265" s="77"/>
      <c r="Z265" s="77">
        <f ca="1">('TUSD BE'!$AM$11+'TUSD BF'!$AM$11+'TUSD CVA'!$AM$11)*1*(1-0.02)</f>
        <v>956.89459124248037</v>
      </c>
      <c r="AA265" s="77">
        <f>('TE BE'!$AA$5+'TE BF'!$AA$5+'TE CVA'!$AA$5)*1*(1-0.02)</f>
        <v>206.43109646347523</v>
      </c>
      <c r="AB265" s="6">
        <f>$K$265*$V$265</f>
        <v>0</v>
      </c>
      <c r="AC265" s="6">
        <f>$M$265*$W$265</f>
        <v>180.22435199999998</v>
      </c>
      <c r="AD265" s="6">
        <f>$O$265*$X$265</f>
        <v>50.046163200000009</v>
      </c>
      <c r="AE265" s="6">
        <f>$K$265*$Y$265</f>
        <v>0</v>
      </c>
      <c r="AF265" s="6">
        <f ca="1">$M$265*$Z$265</f>
        <v>189.46512906601112</v>
      </c>
      <c r="AG265" s="6">
        <f>$O$265*$AA$265</f>
        <v>40.8733570997681</v>
      </c>
    </row>
    <row r="266" spans="1:33" ht="11.25" customHeight="1" x14ac:dyDescent="0.25">
      <c r="A266" s="4" t="s">
        <v>21</v>
      </c>
      <c r="B266" s="4" t="s">
        <v>33</v>
      </c>
      <c r="C266" s="4" t="s">
        <v>34</v>
      </c>
      <c r="D266" s="4" t="s">
        <v>44</v>
      </c>
      <c r="E266" s="4" t="s">
        <v>53</v>
      </c>
      <c r="F266" s="4" t="s">
        <v>25</v>
      </c>
      <c r="G266" s="4" t="s">
        <v>25</v>
      </c>
      <c r="H266" s="4" t="s">
        <v>35</v>
      </c>
      <c r="I266" s="5">
        <v>44621</v>
      </c>
      <c r="J266" s="6">
        <v>0</v>
      </c>
      <c r="K266" s="77">
        <v>0</v>
      </c>
      <c r="L266" s="6">
        <v>0.214</v>
      </c>
      <c r="M266" s="77">
        <v>0.214</v>
      </c>
      <c r="N266" s="6">
        <v>0.214</v>
      </c>
      <c r="O266" s="77">
        <v>0.214</v>
      </c>
      <c r="P266" s="6">
        <v>0</v>
      </c>
      <c r="Q266" s="4" t="s">
        <v>26</v>
      </c>
      <c r="R266" s="4">
        <v>0</v>
      </c>
      <c r="S266" s="6">
        <v>0</v>
      </c>
      <c r="T266" s="6">
        <v>7</v>
      </c>
      <c r="U266" s="6">
        <v>48</v>
      </c>
      <c r="V266" s="77">
        <f>IF(ISERROR(VLOOKUP($S$266,'TAR FIN'!$A$1:$O$85,15,0)),0,VLOOKUP($S$266,'TAR FIN'!$A$1:$O$85,15,0))</f>
        <v>0</v>
      </c>
      <c r="W266" s="77">
        <f>IF(ISERROR(VLOOKUP($T$266,'TAR FIN'!$A$1:$O$85,15,0)),0,VLOOKUP($T$266,'TAR FIN'!$A$1:$O$85,15,0))*(1-0.04)</f>
        <v>910.22399999999993</v>
      </c>
      <c r="X266" s="77">
        <f>IF(ISERROR(VLOOKUP($U$266,'TAR FIN'!$A$1:$O$85,15,0)),0,VLOOKUP($U$266,'TAR FIN'!$A$1:$O$85,15,0))*(1-0.04)</f>
        <v>252.75840000000002</v>
      </c>
      <c r="Y266" s="77"/>
      <c r="Z266" s="77">
        <f ca="1">('TUSD BE'!$AM$11+'TUSD BF'!$AM$11+'TUSD CVA'!$AM$11)*1*(1-0.02)</f>
        <v>956.89459124248037</v>
      </c>
      <c r="AA266" s="77">
        <f>('TE BE'!$AA$5+'TE BF'!$AA$5+'TE CVA'!$AA$5)*1*(1-0.02)</f>
        <v>206.43109646347523</v>
      </c>
      <c r="AB266" s="6">
        <f>$K$266*$V$266</f>
        <v>0</v>
      </c>
      <c r="AC266" s="6">
        <f>$M$266*$W$266</f>
        <v>194.78793599999997</v>
      </c>
      <c r="AD266" s="6">
        <f>$O$266*$X$266</f>
        <v>54.090297600000007</v>
      </c>
      <c r="AE266" s="6">
        <f>$K$266*$Y$266</f>
        <v>0</v>
      </c>
      <c r="AF266" s="6">
        <f ca="1">$M$266*$Z$266</f>
        <v>204.77544252589081</v>
      </c>
      <c r="AG266" s="6">
        <f>$O$266*$AA$266</f>
        <v>44.176254643183697</v>
      </c>
    </row>
    <row r="267" spans="1:33" ht="11.25" customHeight="1" x14ac:dyDescent="0.25">
      <c r="A267" s="4" t="s">
        <v>21</v>
      </c>
      <c r="B267" s="4" t="s">
        <v>33</v>
      </c>
      <c r="C267" s="4" t="s">
        <v>34</v>
      </c>
      <c r="D267" s="4" t="s">
        <v>44</v>
      </c>
      <c r="E267" s="4" t="s">
        <v>53</v>
      </c>
      <c r="F267" s="4" t="s">
        <v>25</v>
      </c>
      <c r="G267" s="4" t="s">
        <v>25</v>
      </c>
      <c r="H267" s="4" t="s">
        <v>35</v>
      </c>
      <c r="I267" s="5">
        <v>44652</v>
      </c>
      <c r="J267" s="6">
        <v>0</v>
      </c>
      <c r="K267" s="77">
        <v>0</v>
      </c>
      <c r="L267" s="6">
        <v>2.7E-2</v>
      </c>
      <c r="M267" s="77">
        <v>2.7E-2</v>
      </c>
      <c r="N267" s="6">
        <v>2.7E-2</v>
      </c>
      <c r="O267" s="77">
        <v>2.7E-2</v>
      </c>
      <c r="P267" s="6">
        <v>0</v>
      </c>
      <c r="Q267" s="4" t="s">
        <v>26</v>
      </c>
      <c r="R267" s="4">
        <v>0</v>
      </c>
      <c r="S267" s="6">
        <v>0</v>
      </c>
      <c r="T267" s="6">
        <v>7</v>
      </c>
      <c r="U267" s="6">
        <v>48</v>
      </c>
      <c r="V267" s="77">
        <f>IF(ISERROR(VLOOKUP($S$267,'TAR FIN'!$A$1:$O$85,15,0)),0,VLOOKUP($S$267,'TAR FIN'!$A$1:$O$85,15,0))</f>
        <v>0</v>
      </c>
      <c r="W267" s="77">
        <f>IF(ISERROR(VLOOKUP($T$267,'TAR FIN'!$A$1:$O$85,15,0)),0,VLOOKUP($T$267,'TAR FIN'!$A$1:$O$85,15,0))*(1-0.04)</f>
        <v>910.22399999999993</v>
      </c>
      <c r="X267" s="77">
        <f>IF(ISERROR(VLOOKUP($U$267,'TAR FIN'!$A$1:$O$85,15,0)),0,VLOOKUP($U$267,'TAR FIN'!$A$1:$O$85,15,0))*(1-0.04)</f>
        <v>252.75840000000002</v>
      </c>
      <c r="Y267" s="77"/>
      <c r="Z267" s="77">
        <f ca="1">('TUSD BE'!$AM$11+'TUSD BF'!$AM$11+'TUSD CVA'!$AM$11)*1*(1-0.02)</f>
        <v>956.89459124248037</v>
      </c>
      <c r="AA267" s="77">
        <f>('TE BE'!$AA$5+'TE BF'!$AA$5+'TE CVA'!$AA$5)*1*(1-0.02)</f>
        <v>206.43109646347523</v>
      </c>
      <c r="AB267" s="6">
        <f>$K$267*$V$267</f>
        <v>0</v>
      </c>
      <c r="AC267" s="6">
        <f>$M$267*$W$267</f>
        <v>24.576047999999997</v>
      </c>
      <c r="AD267" s="6">
        <f>$O$267*$X$267</f>
        <v>6.8244768000000002</v>
      </c>
      <c r="AE267" s="6">
        <f>$K$267*$Y$267</f>
        <v>0</v>
      </c>
      <c r="AF267" s="6">
        <f ca="1">$M$267*$Z$267</f>
        <v>25.83615396354697</v>
      </c>
      <c r="AG267" s="6">
        <f>$O$267*$AA$267</f>
        <v>5.573639604513831</v>
      </c>
    </row>
    <row r="268" spans="1:33" ht="11.25" customHeight="1" x14ac:dyDescent="0.25">
      <c r="A268" s="4" t="s">
        <v>21</v>
      </c>
      <c r="B268" s="4" t="s">
        <v>33</v>
      </c>
      <c r="C268" s="4" t="s">
        <v>34</v>
      </c>
      <c r="D268" s="4" t="s">
        <v>44</v>
      </c>
      <c r="E268" s="4" t="s">
        <v>25</v>
      </c>
      <c r="F268" s="4" t="s">
        <v>25</v>
      </c>
      <c r="G268" s="4" t="s">
        <v>25</v>
      </c>
      <c r="H268" s="4" t="s">
        <v>36</v>
      </c>
      <c r="I268" s="5">
        <v>44317</v>
      </c>
      <c r="J268" s="6">
        <v>0</v>
      </c>
      <c r="K268" s="77">
        <v>0</v>
      </c>
      <c r="L268" s="6">
        <v>1497.307</v>
      </c>
      <c r="M268" s="77">
        <v>1497.307</v>
      </c>
      <c r="N268" s="6">
        <v>1497.307</v>
      </c>
      <c r="O268" s="77">
        <v>1497.307</v>
      </c>
      <c r="P268" s="6">
        <v>0</v>
      </c>
      <c r="Q268" s="4" t="s">
        <v>26</v>
      </c>
      <c r="R268" s="4">
        <v>0</v>
      </c>
      <c r="S268" s="6">
        <v>0</v>
      </c>
      <c r="T268" s="6">
        <v>8</v>
      </c>
      <c r="U268" s="6">
        <v>49</v>
      </c>
      <c r="V268" s="77">
        <f>IF(ISERROR(VLOOKUP($S$268,'TAR FIN'!$A$1:$O$85,15,0)),0,VLOOKUP($S$268,'TAR FIN'!$A$1:$O$85,15,0))</f>
        <v>0</v>
      </c>
      <c r="W268" s="77">
        <f>IF(ISERROR(VLOOKUP($T$268,'TAR FIN'!$A$1:$O$85,15,0)),0,VLOOKUP($T$268,'TAR FIN'!$A$1:$O$85,15,0))*(1-0.04)</f>
        <v>62.985599999999998</v>
      </c>
      <c r="X268" s="77">
        <f>IF(ISERROR(VLOOKUP($U$268,'TAR FIN'!$A$1:$O$85,15,0)),0,VLOOKUP($U$268,'TAR FIN'!$A$1:$O$85,15,0))*(1-0.04)</f>
        <v>252.75840000000002</v>
      </c>
      <c r="Y268" s="77"/>
      <c r="Z268" s="77">
        <f ca="1">('TUSD BE'!$AM$12+'TUSD BF'!$AM$12+'TUSD CVA'!$AM$12)*1*(1-0.02)</f>
        <v>98.339533846404223</v>
      </c>
      <c r="AA268" s="77">
        <f>('TE BE'!$AA$6+'TE BF'!$AA$6+'TE CVA'!$AA$6)*1*(1-0.02)</f>
        <v>206.43109646347523</v>
      </c>
      <c r="AB268" s="6">
        <f>$K$268*$V$268</f>
        <v>0</v>
      </c>
      <c r="AC268" s="6">
        <f>$M$268*$W$268</f>
        <v>94308.779779199991</v>
      </c>
      <c r="AD268" s="6">
        <f>$O$268*$X$268</f>
        <v>378456.92162880005</v>
      </c>
      <c r="AE268" s="6">
        <f>$K$268*$Y$268</f>
        <v>0</v>
      </c>
      <c r="AF268" s="6">
        <f ca="1">$M$268*$Z$268</f>
        <v>147244.47240495798</v>
      </c>
      <c r="AG268" s="6">
        <f>$O$268*$AA$268</f>
        <v>309090.72575243673</v>
      </c>
    </row>
    <row r="269" spans="1:33" ht="11.25" customHeight="1" x14ac:dyDescent="0.25">
      <c r="A269" s="4" t="s">
        <v>21</v>
      </c>
      <c r="B269" s="4" t="s">
        <v>33</v>
      </c>
      <c r="C269" s="4" t="s">
        <v>34</v>
      </c>
      <c r="D269" s="4" t="s">
        <v>44</v>
      </c>
      <c r="E269" s="4" t="s">
        <v>25</v>
      </c>
      <c r="F269" s="4" t="s">
        <v>25</v>
      </c>
      <c r="G269" s="4" t="s">
        <v>25</v>
      </c>
      <c r="H269" s="4" t="s">
        <v>36</v>
      </c>
      <c r="I269" s="5">
        <v>44348</v>
      </c>
      <c r="J269" s="6">
        <v>0</v>
      </c>
      <c r="K269" s="77">
        <v>0</v>
      </c>
      <c r="L269" s="6">
        <v>1484.1410000000001</v>
      </c>
      <c r="M269" s="77">
        <v>1484.1410000000001</v>
      </c>
      <c r="N269" s="6">
        <v>1484.1410000000001</v>
      </c>
      <c r="O269" s="77">
        <v>1484.1410000000001</v>
      </c>
      <c r="P269" s="6">
        <v>0</v>
      </c>
      <c r="Q269" s="4" t="s">
        <v>26</v>
      </c>
      <c r="R269" s="4">
        <v>0</v>
      </c>
      <c r="S269" s="6">
        <v>0</v>
      </c>
      <c r="T269" s="6">
        <v>8</v>
      </c>
      <c r="U269" s="6">
        <v>49</v>
      </c>
      <c r="V269" s="77">
        <f>IF(ISERROR(VLOOKUP($S$269,'TAR FIN'!$A$1:$O$85,15,0)),0,VLOOKUP($S$269,'TAR FIN'!$A$1:$O$85,15,0))</f>
        <v>0</v>
      </c>
      <c r="W269" s="77">
        <f>IF(ISERROR(VLOOKUP($T$269,'TAR FIN'!$A$1:$O$85,15,0)),0,VLOOKUP($T$269,'TAR FIN'!$A$1:$O$85,15,0))*(1-0.04)</f>
        <v>62.985599999999998</v>
      </c>
      <c r="X269" s="77">
        <f>IF(ISERROR(VLOOKUP($U$269,'TAR FIN'!$A$1:$O$85,15,0)),0,VLOOKUP($U$269,'TAR FIN'!$A$1:$O$85,15,0))*(1-0.04)</f>
        <v>252.75840000000002</v>
      </c>
      <c r="Y269" s="77"/>
      <c r="Z269" s="77">
        <f ca="1">('TUSD BE'!$AM$12+'TUSD BF'!$AM$12+'TUSD CVA'!$AM$12)*1*(1-0.02)</f>
        <v>98.339533846404223</v>
      </c>
      <c r="AA269" s="77">
        <f>('TE BE'!$AA$6+'TE BF'!$AA$6+'TE CVA'!$AA$6)*1*(1-0.02)</f>
        <v>206.43109646347523</v>
      </c>
      <c r="AB269" s="6">
        <f>$K$269*$V$269</f>
        <v>0</v>
      </c>
      <c r="AC269" s="6">
        <f>$M$269*$W$269</f>
        <v>93479.511369600004</v>
      </c>
      <c r="AD269" s="6">
        <f>$O$269*$X$269</f>
        <v>375129.10453440004</v>
      </c>
      <c r="AE269" s="6">
        <f>$K$269*$Y$269</f>
        <v>0</v>
      </c>
      <c r="AF269" s="6">
        <f ca="1">$M$269*$Z$269</f>
        <v>145949.73410233622</v>
      </c>
      <c r="AG269" s="6">
        <f>$O$269*$AA$269</f>
        <v>306372.85393639858</v>
      </c>
    </row>
    <row r="270" spans="1:33" ht="11.25" customHeight="1" x14ac:dyDescent="0.25">
      <c r="A270" s="4" t="s">
        <v>21</v>
      </c>
      <c r="B270" s="4" t="s">
        <v>33</v>
      </c>
      <c r="C270" s="4" t="s">
        <v>34</v>
      </c>
      <c r="D270" s="4" t="s">
        <v>44</v>
      </c>
      <c r="E270" s="4" t="s">
        <v>25</v>
      </c>
      <c r="F270" s="4" t="s">
        <v>25</v>
      </c>
      <c r="G270" s="4" t="s">
        <v>25</v>
      </c>
      <c r="H270" s="4" t="s">
        <v>36</v>
      </c>
      <c r="I270" s="5">
        <v>44378</v>
      </c>
      <c r="J270" s="6">
        <v>0</v>
      </c>
      <c r="K270" s="77">
        <v>0</v>
      </c>
      <c r="L270" s="6">
        <v>1533.3710000000001</v>
      </c>
      <c r="M270" s="77">
        <v>1533.3710000000001</v>
      </c>
      <c r="N270" s="6">
        <v>1533.3710000000001</v>
      </c>
      <c r="O270" s="77">
        <v>1533.3710000000001</v>
      </c>
      <c r="P270" s="6">
        <v>0</v>
      </c>
      <c r="Q270" s="4" t="s">
        <v>26</v>
      </c>
      <c r="R270" s="4">
        <v>0</v>
      </c>
      <c r="S270" s="6">
        <v>0</v>
      </c>
      <c r="T270" s="6">
        <v>8</v>
      </c>
      <c r="U270" s="6">
        <v>49</v>
      </c>
      <c r="V270" s="77">
        <f>IF(ISERROR(VLOOKUP($S$270,'TAR FIN'!$A$1:$O$85,15,0)),0,VLOOKUP($S$270,'TAR FIN'!$A$1:$O$85,15,0))</f>
        <v>0</v>
      </c>
      <c r="W270" s="77">
        <f>IF(ISERROR(VLOOKUP($T$270,'TAR FIN'!$A$1:$O$85,15,0)),0,VLOOKUP($T$270,'TAR FIN'!$A$1:$O$85,15,0))*(1-0.04)</f>
        <v>62.985599999999998</v>
      </c>
      <c r="X270" s="77">
        <f>IF(ISERROR(VLOOKUP($U$270,'TAR FIN'!$A$1:$O$85,15,0)),0,VLOOKUP($U$270,'TAR FIN'!$A$1:$O$85,15,0))*(1-0.04)</f>
        <v>252.75840000000002</v>
      </c>
      <c r="Y270" s="77"/>
      <c r="Z270" s="77">
        <f ca="1">('TUSD BE'!$AM$12+'TUSD BF'!$AM$12+'TUSD CVA'!$AM$12)*1*(1-0.02)</f>
        <v>98.339533846404223</v>
      </c>
      <c r="AA270" s="77">
        <f>('TE BE'!$AA$6+'TE BF'!$AA$6+'TE CVA'!$AA$6)*1*(1-0.02)</f>
        <v>206.43109646347523</v>
      </c>
      <c r="AB270" s="6">
        <f>$K$270*$V$270</f>
        <v>0</v>
      </c>
      <c r="AC270" s="6">
        <f>$M$270*$W$270</f>
        <v>96580.292457600008</v>
      </c>
      <c r="AD270" s="6">
        <f>$O$270*$X$270</f>
        <v>387572.40056640009</v>
      </c>
      <c r="AE270" s="6">
        <f>$K$270*$Y$270</f>
        <v>0</v>
      </c>
      <c r="AF270" s="6">
        <f ca="1">$M$270*$Z$270</f>
        <v>150790.98935359469</v>
      </c>
      <c r="AG270" s="6">
        <f>$O$270*$AA$270</f>
        <v>316535.4568152955</v>
      </c>
    </row>
    <row r="271" spans="1:33" ht="11.25" customHeight="1" x14ac:dyDescent="0.25">
      <c r="A271" s="4" t="s">
        <v>21</v>
      </c>
      <c r="B271" s="4" t="s">
        <v>33</v>
      </c>
      <c r="C271" s="4" t="s">
        <v>34</v>
      </c>
      <c r="D271" s="4" t="s">
        <v>44</v>
      </c>
      <c r="E271" s="4" t="s">
        <v>25</v>
      </c>
      <c r="F271" s="4" t="s">
        <v>25</v>
      </c>
      <c r="G271" s="4" t="s">
        <v>25</v>
      </c>
      <c r="H271" s="4" t="s">
        <v>36</v>
      </c>
      <c r="I271" s="5">
        <v>44409</v>
      </c>
      <c r="J271" s="6">
        <v>0</v>
      </c>
      <c r="K271" s="77">
        <v>0</v>
      </c>
      <c r="L271" s="6">
        <v>1605.268</v>
      </c>
      <c r="M271" s="77">
        <v>1605.268</v>
      </c>
      <c r="N271" s="6">
        <v>1605.268</v>
      </c>
      <c r="O271" s="77">
        <v>1605.268</v>
      </c>
      <c r="P271" s="6">
        <v>0</v>
      </c>
      <c r="Q271" s="4" t="s">
        <v>26</v>
      </c>
      <c r="R271" s="4">
        <v>0</v>
      </c>
      <c r="S271" s="6">
        <v>0</v>
      </c>
      <c r="T271" s="6">
        <v>8</v>
      </c>
      <c r="U271" s="6">
        <v>49</v>
      </c>
      <c r="V271" s="77">
        <f>IF(ISERROR(VLOOKUP($S$271,'TAR FIN'!$A$1:$O$85,15,0)),0,VLOOKUP($S$271,'TAR FIN'!$A$1:$O$85,15,0))</f>
        <v>0</v>
      </c>
      <c r="W271" s="77">
        <f>IF(ISERROR(VLOOKUP($T$271,'TAR FIN'!$A$1:$O$85,15,0)),0,VLOOKUP($T$271,'TAR FIN'!$A$1:$O$85,15,0))*(1-0.04)</f>
        <v>62.985599999999998</v>
      </c>
      <c r="X271" s="77">
        <f>IF(ISERROR(VLOOKUP($U$271,'TAR FIN'!$A$1:$O$85,15,0)),0,VLOOKUP($U$271,'TAR FIN'!$A$1:$O$85,15,0))*(1-0.04)</f>
        <v>252.75840000000002</v>
      </c>
      <c r="Y271" s="77"/>
      <c r="Z271" s="77">
        <f ca="1">('TUSD BE'!$AM$12+'TUSD BF'!$AM$12+'TUSD CVA'!$AM$12)*1*(1-0.02)</f>
        <v>98.339533846404223</v>
      </c>
      <c r="AA271" s="77">
        <f>('TE BE'!$AA$6+'TE BF'!$AA$6+'TE CVA'!$AA$6)*1*(1-0.02)</f>
        <v>206.43109646347523</v>
      </c>
      <c r="AB271" s="6">
        <f>$K$271*$V$271</f>
        <v>0</v>
      </c>
      <c r="AC271" s="6">
        <f>$M$271*$W$271</f>
        <v>101108.76814079999</v>
      </c>
      <c r="AD271" s="6">
        <f>$O$271*$X$271</f>
        <v>405744.97125120007</v>
      </c>
      <c r="AE271" s="6">
        <f>$K$271*$Y$271</f>
        <v>0</v>
      </c>
      <c r="AF271" s="6">
        <f ca="1">$M$271*$Z$271</f>
        <v>157861.30681854961</v>
      </c>
      <c r="AG271" s="6">
        <f>$O$271*$AA$271</f>
        <v>331377.23335772997</v>
      </c>
    </row>
    <row r="272" spans="1:33" ht="11.25" customHeight="1" x14ac:dyDescent="0.25">
      <c r="A272" s="4" t="s">
        <v>28</v>
      </c>
      <c r="B272" s="4" t="s">
        <v>33</v>
      </c>
      <c r="C272" s="4" t="s">
        <v>34</v>
      </c>
      <c r="D272" s="4" t="s">
        <v>44</v>
      </c>
      <c r="E272" s="4" t="s">
        <v>25</v>
      </c>
      <c r="F272" s="4" t="s">
        <v>25</v>
      </c>
      <c r="G272" s="4" t="s">
        <v>25</v>
      </c>
      <c r="H272" s="4" t="s">
        <v>36</v>
      </c>
      <c r="I272" s="5">
        <v>44409</v>
      </c>
      <c r="J272" s="6">
        <v>0</v>
      </c>
      <c r="K272" s="77">
        <v>0</v>
      </c>
      <c r="L272" s="6">
        <v>6.8630000000000004</v>
      </c>
      <c r="M272" s="77">
        <v>6.8630000000000004</v>
      </c>
      <c r="N272" s="6">
        <v>6.8630000000000004</v>
      </c>
      <c r="O272" s="77">
        <v>6.8630000000000004</v>
      </c>
      <c r="P272" s="6">
        <v>0</v>
      </c>
      <c r="Q272" s="4" t="s">
        <v>26</v>
      </c>
      <c r="R272" s="4">
        <v>0</v>
      </c>
      <c r="S272" s="6">
        <v>0</v>
      </c>
      <c r="T272" s="6">
        <v>8</v>
      </c>
      <c r="U272" s="6">
        <v>49</v>
      </c>
      <c r="V272" s="77">
        <f>IF(ISERROR(VLOOKUP($S$272,'TAR FIN'!$A$1:$O$85,15,0)),0,VLOOKUP($S$272,'TAR FIN'!$A$1:$O$85,15,0))</f>
        <v>0</v>
      </c>
      <c r="W272" s="77">
        <f>IF(ISERROR(VLOOKUP($T$272,'TAR FIN'!$A$1:$O$85,15,0)),0,VLOOKUP($T$272,'TAR FIN'!$A$1:$O$85,15,0))*(1-0.04)</f>
        <v>62.985599999999998</v>
      </c>
      <c r="X272" s="77">
        <f>IF(ISERROR(VLOOKUP($U$272,'TAR FIN'!$A$1:$O$85,15,0)),0,VLOOKUP($U$272,'TAR FIN'!$A$1:$O$85,15,0))*(1-0.04)</f>
        <v>252.75840000000002</v>
      </c>
      <c r="Y272" s="77"/>
      <c r="Z272" s="77">
        <f ca="1">('TUSD BE'!$AM$12+'TUSD BF'!$AM$12+'TUSD CVA'!$AM$12)*1*(1-0.02)</f>
        <v>98.339533846404223</v>
      </c>
      <c r="AA272" s="77">
        <f>('TE BE'!$AA$6+'TE BF'!$AA$6+'TE CVA'!$AA$6)*1*(1-0.02)</f>
        <v>206.43109646347523</v>
      </c>
      <c r="AB272" s="6">
        <f>$K$272*$V$272</f>
        <v>0</v>
      </c>
      <c r="AC272" s="6">
        <f>$M$272*$W$272</f>
        <v>432.27017280000001</v>
      </c>
      <c r="AD272" s="6">
        <f>$O$272*$X$272</f>
        <v>1734.6808992000003</v>
      </c>
      <c r="AE272" s="6">
        <f>$K$272*$Y$272</f>
        <v>0</v>
      </c>
      <c r="AF272" s="6">
        <f ca="1">$M$272*$Z$272</f>
        <v>674.90422078787219</v>
      </c>
      <c r="AG272" s="6">
        <f>$O$272*$AA$272</f>
        <v>1416.7366150288306</v>
      </c>
    </row>
    <row r="273" spans="1:33" ht="11.25" customHeight="1" x14ac:dyDescent="0.25">
      <c r="A273" s="4" t="s">
        <v>21</v>
      </c>
      <c r="B273" s="4" t="s">
        <v>33</v>
      </c>
      <c r="C273" s="4" t="s">
        <v>34</v>
      </c>
      <c r="D273" s="4" t="s">
        <v>44</v>
      </c>
      <c r="E273" s="4" t="s">
        <v>25</v>
      </c>
      <c r="F273" s="4" t="s">
        <v>25</v>
      </c>
      <c r="G273" s="4" t="s">
        <v>25</v>
      </c>
      <c r="H273" s="4" t="s">
        <v>36</v>
      </c>
      <c r="I273" s="5">
        <v>44440</v>
      </c>
      <c r="J273" s="6">
        <v>0</v>
      </c>
      <c r="K273" s="77">
        <v>0</v>
      </c>
      <c r="L273" s="6">
        <v>1987.703</v>
      </c>
      <c r="M273" s="77">
        <v>1987.703</v>
      </c>
      <c r="N273" s="6">
        <v>1987.703</v>
      </c>
      <c r="O273" s="77">
        <v>1987.703</v>
      </c>
      <c r="P273" s="6">
        <v>0</v>
      </c>
      <c r="Q273" s="4" t="s">
        <v>26</v>
      </c>
      <c r="R273" s="4">
        <v>0</v>
      </c>
      <c r="S273" s="6">
        <v>0</v>
      </c>
      <c r="T273" s="6">
        <v>8</v>
      </c>
      <c r="U273" s="6">
        <v>49</v>
      </c>
      <c r="V273" s="77">
        <f>IF(ISERROR(VLOOKUP($S$273,'TAR FIN'!$A$1:$O$85,15,0)),0,VLOOKUP($S$273,'TAR FIN'!$A$1:$O$85,15,0))</f>
        <v>0</v>
      </c>
      <c r="W273" s="77">
        <f>IF(ISERROR(VLOOKUP($T$273,'TAR FIN'!$A$1:$O$85,15,0)),0,VLOOKUP($T$273,'TAR FIN'!$A$1:$O$85,15,0))*(1-0.04)</f>
        <v>62.985599999999998</v>
      </c>
      <c r="X273" s="77">
        <f>IF(ISERROR(VLOOKUP($U$273,'TAR FIN'!$A$1:$O$85,15,0)),0,VLOOKUP($U$273,'TAR FIN'!$A$1:$O$85,15,0))*(1-0.04)</f>
        <v>252.75840000000002</v>
      </c>
      <c r="Y273" s="77"/>
      <c r="Z273" s="77">
        <f ca="1">('TUSD BE'!$AM$12+'TUSD BF'!$AM$12+'TUSD CVA'!$AM$12)*1*(1-0.02)</f>
        <v>98.339533846404223</v>
      </c>
      <c r="AA273" s="77">
        <f>('TE BE'!$AA$6+'TE BF'!$AA$6+'TE CVA'!$AA$6)*1*(1-0.02)</f>
        <v>206.43109646347523</v>
      </c>
      <c r="AB273" s="6">
        <f>$K$273*$V$273</f>
        <v>0</v>
      </c>
      <c r="AC273" s="6">
        <f>$M$273*$W$273</f>
        <v>125196.6660768</v>
      </c>
      <c r="AD273" s="6">
        <f>$O$273*$X$273</f>
        <v>502408.62995520001</v>
      </c>
      <c r="AE273" s="6">
        <f>$K$273*$Y$273</f>
        <v>0</v>
      </c>
      <c r="AF273" s="6">
        <f ca="1">$M$273*$Z$273</f>
        <v>195469.78644509922</v>
      </c>
      <c r="AG273" s="6">
        <f>$O$273*$AA$273</f>
        <v>410323.70973373909</v>
      </c>
    </row>
    <row r="274" spans="1:33" ht="11.25" customHeight="1" x14ac:dyDescent="0.25">
      <c r="A274" s="4" t="s">
        <v>28</v>
      </c>
      <c r="B274" s="4" t="s">
        <v>33</v>
      </c>
      <c r="C274" s="4" t="s">
        <v>34</v>
      </c>
      <c r="D274" s="4" t="s">
        <v>44</v>
      </c>
      <c r="E274" s="4" t="s">
        <v>25</v>
      </c>
      <c r="F274" s="4" t="s">
        <v>25</v>
      </c>
      <c r="G274" s="4" t="s">
        <v>25</v>
      </c>
      <c r="H274" s="4" t="s">
        <v>36</v>
      </c>
      <c r="I274" s="5">
        <v>44440</v>
      </c>
      <c r="J274" s="6">
        <v>0</v>
      </c>
      <c r="K274" s="77">
        <v>0</v>
      </c>
      <c r="L274" s="6">
        <v>13.683999999999999</v>
      </c>
      <c r="M274" s="77">
        <v>13.683999999999999</v>
      </c>
      <c r="N274" s="6">
        <v>13.683999999999999</v>
      </c>
      <c r="O274" s="77">
        <v>13.683999999999999</v>
      </c>
      <c r="P274" s="6">
        <v>0</v>
      </c>
      <c r="Q274" s="4" t="s">
        <v>26</v>
      </c>
      <c r="R274" s="4">
        <v>0</v>
      </c>
      <c r="S274" s="6">
        <v>0</v>
      </c>
      <c r="T274" s="6">
        <v>8</v>
      </c>
      <c r="U274" s="6">
        <v>49</v>
      </c>
      <c r="V274" s="77">
        <f>IF(ISERROR(VLOOKUP($S$274,'TAR FIN'!$A$1:$O$85,15,0)),0,VLOOKUP($S$274,'TAR FIN'!$A$1:$O$85,15,0))</f>
        <v>0</v>
      </c>
      <c r="W274" s="77">
        <f>IF(ISERROR(VLOOKUP($T$274,'TAR FIN'!$A$1:$O$85,15,0)),0,VLOOKUP($T$274,'TAR FIN'!$A$1:$O$85,15,0))*(1-0.04)</f>
        <v>62.985599999999998</v>
      </c>
      <c r="X274" s="77">
        <f>IF(ISERROR(VLOOKUP($U$274,'TAR FIN'!$A$1:$O$85,15,0)),0,VLOOKUP($U$274,'TAR FIN'!$A$1:$O$85,15,0))*(1-0.04)</f>
        <v>252.75840000000002</v>
      </c>
      <c r="Y274" s="77"/>
      <c r="Z274" s="77">
        <f ca="1">('TUSD BE'!$AM$12+'TUSD BF'!$AM$12+'TUSD CVA'!$AM$12)*1*(1-0.02)</f>
        <v>98.339533846404223</v>
      </c>
      <c r="AA274" s="77">
        <f>('TE BE'!$AA$6+'TE BF'!$AA$6+'TE CVA'!$AA$6)*1*(1-0.02)</f>
        <v>206.43109646347523</v>
      </c>
      <c r="AB274" s="6">
        <f>$K$274*$V$274</f>
        <v>0</v>
      </c>
      <c r="AC274" s="6">
        <f>$M$274*$W$274</f>
        <v>861.89495039999997</v>
      </c>
      <c r="AD274" s="6">
        <f>$O$274*$X$274</f>
        <v>3458.7459456000001</v>
      </c>
      <c r="AE274" s="6">
        <f>$K$274*$Y$274</f>
        <v>0</v>
      </c>
      <c r="AF274" s="6">
        <f ca="1">$M$274*$Z$274</f>
        <v>1345.6781811541953</v>
      </c>
      <c r="AG274" s="6">
        <f>$O$274*$AA$274</f>
        <v>2824.803124006195</v>
      </c>
    </row>
    <row r="275" spans="1:33" ht="11.25" customHeight="1" x14ac:dyDescent="0.25">
      <c r="A275" s="4" t="s">
        <v>21</v>
      </c>
      <c r="B275" s="4" t="s">
        <v>33</v>
      </c>
      <c r="C275" s="4" t="s">
        <v>34</v>
      </c>
      <c r="D275" s="4" t="s">
        <v>44</v>
      </c>
      <c r="E275" s="4" t="s">
        <v>25</v>
      </c>
      <c r="F275" s="4" t="s">
        <v>25</v>
      </c>
      <c r="G275" s="4" t="s">
        <v>25</v>
      </c>
      <c r="H275" s="4" t="s">
        <v>36</v>
      </c>
      <c r="I275" s="5">
        <v>44470</v>
      </c>
      <c r="J275" s="6">
        <v>0</v>
      </c>
      <c r="K275" s="77">
        <v>0</v>
      </c>
      <c r="L275" s="6">
        <v>2111.8159999999998</v>
      </c>
      <c r="M275" s="77">
        <v>2111.8159999999998</v>
      </c>
      <c r="N275" s="6">
        <v>2111.8159999999998</v>
      </c>
      <c r="O275" s="77">
        <v>2111.8159999999998</v>
      </c>
      <c r="P275" s="6">
        <v>0</v>
      </c>
      <c r="Q275" s="4" t="s">
        <v>26</v>
      </c>
      <c r="R275" s="4">
        <v>0</v>
      </c>
      <c r="S275" s="6">
        <v>0</v>
      </c>
      <c r="T275" s="6">
        <v>8</v>
      </c>
      <c r="U275" s="6">
        <v>49</v>
      </c>
      <c r="V275" s="77">
        <f>IF(ISERROR(VLOOKUP($S$275,'TAR FIN'!$A$1:$O$85,15,0)),0,VLOOKUP($S$275,'TAR FIN'!$A$1:$O$85,15,0))</f>
        <v>0</v>
      </c>
      <c r="W275" s="77">
        <f>IF(ISERROR(VLOOKUP($T$275,'TAR FIN'!$A$1:$O$85,15,0)),0,VLOOKUP($T$275,'TAR FIN'!$A$1:$O$85,15,0))*(1-0.04)</f>
        <v>62.985599999999998</v>
      </c>
      <c r="X275" s="77">
        <f>IF(ISERROR(VLOOKUP($U$275,'TAR FIN'!$A$1:$O$85,15,0)),0,VLOOKUP($U$275,'TAR FIN'!$A$1:$O$85,15,0))*(1-0.04)</f>
        <v>252.75840000000002</v>
      </c>
      <c r="Y275" s="77"/>
      <c r="Z275" s="77">
        <f ca="1">('TUSD BE'!$AM$12+'TUSD BF'!$AM$12+'TUSD CVA'!$AM$12)*1*(1-0.02)</f>
        <v>98.339533846404223</v>
      </c>
      <c r="AA275" s="77">
        <f>('TE BE'!$AA$6+'TE BF'!$AA$6+'TE CVA'!$AA$6)*1*(1-0.02)</f>
        <v>206.43109646347523</v>
      </c>
      <c r="AB275" s="6">
        <f>$K$275*$V$275</f>
        <v>0</v>
      </c>
      <c r="AC275" s="6">
        <f>$M$275*$W$275</f>
        <v>133013.99784959998</v>
      </c>
      <c r="AD275" s="6">
        <f>$O$275*$X$275</f>
        <v>533779.23325439997</v>
      </c>
      <c r="AE275" s="6">
        <f>$K$275*$Y$275</f>
        <v>0</v>
      </c>
      <c r="AF275" s="6">
        <f ca="1">$M$275*$Z$275</f>
        <v>207675.00100937797</v>
      </c>
      <c r="AG275" s="6">
        <f>$O$275*$AA$275</f>
        <v>435944.49240911036</v>
      </c>
    </row>
    <row r="276" spans="1:33" ht="11.25" customHeight="1" x14ac:dyDescent="0.25">
      <c r="A276" s="4" t="s">
        <v>28</v>
      </c>
      <c r="B276" s="4" t="s">
        <v>33</v>
      </c>
      <c r="C276" s="4" t="s">
        <v>34</v>
      </c>
      <c r="D276" s="4" t="s">
        <v>44</v>
      </c>
      <c r="E276" s="4" t="s">
        <v>25</v>
      </c>
      <c r="F276" s="4" t="s">
        <v>25</v>
      </c>
      <c r="G276" s="4" t="s">
        <v>25</v>
      </c>
      <c r="H276" s="4" t="s">
        <v>36</v>
      </c>
      <c r="I276" s="5">
        <v>44470</v>
      </c>
      <c r="J276" s="6">
        <v>0</v>
      </c>
      <c r="K276" s="77">
        <v>0</v>
      </c>
      <c r="L276" s="6">
        <v>22.838999999999999</v>
      </c>
      <c r="M276" s="77">
        <v>22.838999999999999</v>
      </c>
      <c r="N276" s="6">
        <v>22.838999999999999</v>
      </c>
      <c r="O276" s="77">
        <v>22.838999999999999</v>
      </c>
      <c r="P276" s="6">
        <v>0</v>
      </c>
      <c r="Q276" s="4" t="s">
        <v>26</v>
      </c>
      <c r="R276" s="4">
        <v>0</v>
      </c>
      <c r="S276" s="6">
        <v>0</v>
      </c>
      <c r="T276" s="6">
        <v>8</v>
      </c>
      <c r="U276" s="6">
        <v>49</v>
      </c>
      <c r="V276" s="77">
        <f>IF(ISERROR(VLOOKUP($S$276,'TAR FIN'!$A$1:$O$85,15,0)),0,VLOOKUP($S$276,'TAR FIN'!$A$1:$O$85,15,0))</f>
        <v>0</v>
      </c>
      <c r="W276" s="77">
        <f>IF(ISERROR(VLOOKUP($T$276,'TAR FIN'!$A$1:$O$85,15,0)),0,VLOOKUP($T$276,'TAR FIN'!$A$1:$O$85,15,0))*(1-0.04)</f>
        <v>62.985599999999998</v>
      </c>
      <c r="X276" s="77">
        <f>IF(ISERROR(VLOOKUP($U$276,'TAR FIN'!$A$1:$O$85,15,0)),0,VLOOKUP($U$276,'TAR FIN'!$A$1:$O$85,15,0))*(1-0.04)</f>
        <v>252.75840000000002</v>
      </c>
      <c r="Y276" s="77"/>
      <c r="Z276" s="77">
        <f ca="1">('TUSD BE'!$AM$12+'TUSD BF'!$AM$12+'TUSD CVA'!$AM$12)*1*(1-0.02)</f>
        <v>98.339533846404223</v>
      </c>
      <c r="AA276" s="77">
        <f>('TE BE'!$AA$6+'TE BF'!$AA$6+'TE CVA'!$AA$6)*1*(1-0.02)</f>
        <v>206.43109646347523</v>
      </c>
      <c r="AB276" s="6">
        <f>$K$276*$V$276</f>
        <v>0</v>
      </c>
      <c r="AC276" s="6">
        <f>$M$276*$W$276</f>
        <v>1438.5281183999998</v>
      </c>
      <c r="AD276" s="6">
        <f>$O$276*$X$276</f>
        <v>5772.7490975999999</v>
      </c>
      <c r="AE276" s="6">
        <f>$K$276*$Y$276</f>
        <v>0</v>
      </c>
      <c r="AF276" s="6">
        <f ca="1">$M$276*$Z$276</f>
        <v>2245.9766135180257</v>
      </c>
      <c r="AG276" s="6">
        <f>$O$276*$AA$276</f>
        <v>4714.6798121293104</v>
      </c>
    </row>
    <row r="277" spans="1:33" ht="11.25" customHeight="1" x14ac:dyDescent="0.25">
      <c r="A277" s="4" t="s">
        <v>21</v>
      </c>
      <c r="B277" s="4" t="s">
        <v>33</v>
      </c>
      <c r="C277" s="4" t="s">
        <v>34</v>
      </c>
      <c r="D277" s="4" t="s">
        <v>44</v>
      </c>
      <c r="E277" s="4" t="s">
        <v>25</v>
      </c>
      <c r="F277" s="4" t="s">
        <v>25</v>
      </c>
      <c r="G277" s="4" t="s">
        <v>25</v>
      </c>
      <c r="H277" s="4" t="s">
        <v>36</v>
      </c>
      <c r="I277" s="5">
        <v>44501</v>
      </c>
      <c r="J277" s="6">
        <v>0</v>
      </c>
      <c r="K277" s="77">
        <v>0</v>
      </c>
      <c r="L277" s="6">
        <v>2204.989</v>
      </c>
      <c r="M277" s="77">
        <v>2204.989</v>
      </c>
      <c r="N277" s="6">
        <v>2204.989</v>
      </c>
      <c r="O277" s="77">
        <v>2204.989</v>
      </c>
      <c r="P277" s="6">
        <v>0</v>
      </c>
      <c r="Q277" s="4" t="s">
        <v>26</v>
      </c>
      <c r="R277" s="4">
        <v>0</v>
      </c>
      <c r="S277" s="6">
        <v>0</v>
      </c>
      <c r="T277" s="6">
        <v>8</v>
      </c>
      <c r="U277" s="6">
        <v>49</v>
      </c>
      <c r="V277" s="77">
        <f>IF(ISERROR(VLOOKUP($S$277,'TAR FIN'!$A$1:$O$85,15,0)),0,VLOOKUP($S$277,'TAR FIN'!$A$1:$O$85,15,0))</f>
        <v>0</v>
      </c>
      <c r="W277" s="77">
        <f>IF(ISERROR(VLOOKUP($T$277,'TAR FIN'!$A$1:$O$85,15,0)),0,VLOOKUP($T$277,'TAR FIN'!$A$1:$O$85,15,0))*(1-0.04)</f>
        <v>62.985599999999998</v>
      </c>
      <c r="X277" s="77">
        <f>IF(ISERROR(VLOOKUP($U$277,'TAR FIN'!$A$1:$O$85,15,0)),0,VLOOKUP($U$277,'TAR FIN'!$A$1:$O$85,15,0))*(1-0.04)</f>
        <v>252.75840000000002</v>
      </c>
      <c r="Y277" s="77"/>
      <c r="Z277" s="77">
        <f ca="1">('TUSD BE'!$AM$12+'TUSD BF'!$AM$12+'TUSD CVA'!$AM$12)*1*(1-0.02)</f>
        <v>98.339533846404223</v>
      </c>
      <c r="AA277" s="77">
        <f>('TE BE'!$AA$6+'TE BF'!$AA$6+'TE CVA'!$AA$6)*1*(1-0.02)</f>
        <v>206.43109646347523</v>
      </c>
      <c r="AB277" s="6">
        <f>$K$277*$V$277</f>
        <v>0</v>
      </c>
      <c r="AC277" s="6">
        <f>$M$277*$W$277</f>
        <v>138882.55515840001</v>
      </c>
      <c r="AD277" s="6">
        <f>$O$277*$X$277</f>
        <v>557329.49165760004</v>
      </c>
      <c r="AE277" s="6">
        <f>$K$277*$Y$277</f>
        <v>0</v>
      </c>
      <c r="AF277" s="6">
        <f ca="1">$M$277*$Z$277</f>
        <v>216837.590396449</v>
      </c>
      <c r="AG277" s="6">
        <f>$O$277*$AA$277</f>
        <v>455178.29695990181</v>
      </c>
    </row>
    <row r="278" spans="1:33" ht="11.25" customHeight="1" x14ac:dyDescent="0.25">
      <c r="A278" s="4" t="s">
        <v>21</v>
      </c>
      <c r="B278" s="4" t="s">
        <v>33</v>
      </c>
      <c r="C278" s="4" t="s">
        <v>34</v>
      </c>
      <c r="D278" s="4" t="s">
        <v>44</v>
      </c>
      <c r="E278" s="4" t="s">
        <v>25</v>
      </c>
      <c r="F278" s="4" t="s">
        <v>25</v>
      </c>
      <c r="G278" s="4" t="s">
        <v>25</v>
      </c>
      <c r="H278" s="4" t="s">
        <v>36</v>
      </c>
      <c r="I278" s="5">
        <v>44531</v>
      </c>
      <c r="J278" s="6">
        <v>0</v>
      </c>
      <c r="K278" s="77">
        <v>0</v>
      </c>
      <c r="L278" s="6">
        <v>2329.8919999999998</v>
      </c>
      <c r="M278" s="77">
        <v>2329.8919999999998</v>
      </c>
      <c r="N278" s="6">
        <v>2329.8919999999998</v>
      </c>
      <c r="O278" s="77">
        <v>2329.8919999999998</v>
      </c>
      <c r="P278" s="6">
        <v>0</v>
      </c>
      <c r="Q278" s="4" t="s">
        <v>26</v>
      </c>
      <c r="R278" s="4">
        <v>0</v>
      </c>
      <c r="S278" s="6">
        <v>0</v>
      </c>
      <c r="T278" s="6">
        <v>8</v>
      </c>
      <c r="U278" s="6">
        <v>49</v>
      </c>
      <c r="V278" s="77">
        <f>IF(ISERROR(VLOOKUP($S$278,'TAR FIN'!$A$1:$O$85,15,0)),0,VLOOKUP($S$278,'TAR FIN'!$A$1:$O$85,15,0))</f>
        <v>0</v>
      </c>
      <c r="W278" s="77">
        <f>IF(ISERROR(VLOOKUP($T$278,'TAR FIN'!$A$1:$O$85,15,0)),0,VLOOKUP($T$278,'TAR FIN'!$A$1:$O$85,15,0))*(1-0.04)</f>
        <v>62.985599999999998</v>
      </c>
      <c r="X278" s="77">
        <f>IF(ISERROR(VLOOKUP($U$278,'TAR FIN'!$A$1:$O$85,15,0)),0,VLOOKUP($U$278,'TAR FIN'!$A$1:$O$85,15,0))*(1-0.04)</f>
        <v>252.75840000000002</v>
      </c>
      <c r="Y278" s="77"/>
      <c r="Z278" s="77">
        <f ca="1">('TUSD BE'!$AM$12+'TUSD BF'!$AM$12+'TUSD CVA'!$AM$12)*1*(1-0.02)</f>
        <v>98.339533846404223</v>
      </c>
      <c r="AA278" s="77">
        <f>('TE BE'!$AA$6+'TE BF'!$AA$6+'TE CVA'!$AA$6)*1*(1-0.02)</f>
        <v>206.43109646347523</v>
      </c>
      <c r="AB278" s="6">
        <f>$K$278*$V$278</f>
        <v>0</v>
      </c>
      <c r="AC278" s="6">
        <f>$M$278*$W$278</f>
        <v>146749.6455552</v>
      </c>
      <c r="AD278" s="6">
        <f>$O$278*$X$278</f>
        <v>588899.77409279998</v>
      </c>
      <c r="AE278" s="6">
        <f>$K$278*$Y$278</f>
        <v>0</v>
      </c>
      <c r="AF278" s="6">
        <f ca="1">$M$278*$Z$278</f>
        <v>229120.49319246641</v>
      </c>
      <c r="AG278" s="6">
        <f>$O$278*$AA$278</f>
        <v>480962.16020147922</v>
      </c>
    </row>
    <row r="279" spans="1:33" ht="11.25" customHeight="1" x14ac:dyDescent="0.25">
      <c r="A279" s="4" t="s">
        <v>28</v>
      </c>
      <c r="B279" s="4" t="s">
        <v>33</v>
      </c>
      <c r="C279" s="4" t="s">
        <v>34</v>
      </c>
      <c r="D279" s="4" t="s">
        <v>44</v>
      </c>
      <c r="E279" s="4" t="s">
        <v>25</v>
      </c>
      <c r="F279" s="4" t="s">
        <v>25</v>
      </c>
      <c r="G279" s="4" t="s">
        <v>25</v>
      </c>
      <c r="H279" s="4" t="s">
        <v>36</v>
      </c>
      <c r="I279" s="5">
        <v>44531</v>
      </c>
      <c r="J279" s="6">
        <v>0</v>
      </c>
      <c r="K279" s="77">
        <v>0</v>
      </c>
      <c r="L279" s="6">
        <v>13.545999999999999</v>
      </c>
      <c r="M279" s="77">
        <v>13.545999999999999</v>
      </c>
      <c r="N279" s="6">
        <v>13.545999999999999</v>
      </c>
      <c r="O279" s="77">
        <v>13.545999999999999</v>
      </c>
      <c r="P279" s="6">
        <v>0</v>
      </c>
      <c r="Q279" s="4" t="s">
        <v>26</v>
      </c>
      <c r="R279" s="4">
        <v>0</v>
      </c>
      <c r="S279" s="6">
        <v>0</v>
      </c>
      <c r="T279" s="6">
        <v>8</v>
      </c>
      <c r="U279" s="6">
        <v>49</v>
      </c>
      <c r="V279" s="77">
        <f>IF(ISERROR(VLOOKUP($S$279,'TAR FIN'!$A$1:$O$85,15,0)),0,VLOOKUP($S$279,'TAR FIN'!$A$1:$O$85,15,0))</f>
        <v>0</v>
      </c>
      <c r="W279" s="77">
        <f>IF(ISERROR(VLOOKUP($T$279,'TAR FIN'!$A$1:$O$85,15,0)),0,VLOOKUP($T$279,'TAR FIN'!$A$1:$O$85,15,0))*(1-0.04)</f>
        <v>62.985599999999998</v>
      </c>
      <c r="X279" s="77">
        <f>IF(ISERROR(VLOOKUP($U$279,'TAR FIN'!$A$1:$O$85,15,0)),0,VLOOKUP($U$279,'TAR FIN'!$A$1:$O$85,15,0))*(1-0.04)</f>
        <v>252.75840000000002</v>
      </c>
      <c r="Y279" s="77"/>
      <c r="Z279" s="77">
        <f ca="1">('TUSD BE'!$AM$12+'TUSD BF'!$AM$12+'TUSD CVA'!$AM$12)*1*(1-0.02)</f>
        <v>98.339533846404223</v>
      </c>
      <c r="AA279" s="77">
        <f>('TE BE'!$AA$6+'TE BF'!$AA$6+'TE CVA'!$AA$6)*1*(1-0.02)</f>
        <v>206.43109646347523</v>
      </c>
      <c r="AB279" s="6">
        <f>$K$279*$V$279</f>
        <v>0</v>
      </c>
      <c r="AC279" s="6">
        <f>$M$279*$W$279</f>
        <v>853.20293759999993</v>
      </c>
      <c r="AD279" s="6">
        <f>$O$279*$X$279</f>
        <v>3423.8652864000001</v>
      </c>
      <c r="AE279" s="6">
        <f>$K$279*$Y$279</f>
        <v>0</v>
      </c>
      <c r="AF279" s="6">
        <f ca="1">$M$279*$Z$279</f>
        <v>1332.1073254833916</v>
      </c>
      <c r="AG279" s="6">
        <f>$O$279*$AA$279</f>
        <v>2796.3156326942353</v>
      </c>
    </row>
    <row r="280" spans="1:33" ht="11.25" customHeight="1" x14ac:dyDescent="0.25">
      <c r="A280" s="4" t="s">
        <v>21</v>
      </c>
      <c r="B280" s="4" t="s">
        <v>33</v>
      </c>
      <c r="C280" s="4" t="s">
        <v>34</v>
      </c>
      <c r="D280" s="4" t="s">
        <v>44</v>
      </c>
      <c r="E280" s="4" t="s">
        <v>25</v>
      </c>
      <c r="F280" s="4" t="s">
        <v>25</v>
      </c>
      <c r="G280" s="4" t="s">
        <v>25</v>
      </c>
      <c r="H280" s="4" t="s">
        <v>36</v>
      </c>
      <c r="I280" s="5">
        <v>44562</v>
      </c>
      <c r="J280" s="6">
        <v>0</v>
      </c>
      <c r="K280" s="77">
        <v>0</v>
      </c>
      <c r="L280" s="6">
        <v>2430.29</v>
      </c>
      <c r="M280" s="77">
        <v>2430.29</v>
      </c>
      <c r="N280" s="6">
        <v>2430.29</v>
      </c>
      <c r="O280" s="77">
        <v>2430.29</v>
      </c>
      <c r="P280" s="6">
        <v>0</v>
      </c>
      <c r="Q280" s="4" t="s">
        <v>26</v>
      </c>
      <c r="R280" s="4">
        <v>0</v>
      </c>
      <c r="S280" s="6">
        <v>0</v>
      </c>
      <c r="T280" s="6">
        <v>8</v>
      </c>
      <c r="U280" s="6">
        <v>49</v>
      </c>
      <c r="V280" s="77">
        <f>IF(ISERROR(VLOOKUP($S$280,'TAR FIN'!$A$1:$O$85,15,0)),0,VLOOKUP($S$280,'TAR FIN'!$A$1:$O$85,15,0))</f>
        <v>0</v>
      </c>
      <c r="W280" s="77">
        <f>IF(ISERROR(VLOOKUP($T$280,'TAR FIN'!$A$1:$O$85,15,0)),0,VLOOKUP($T$280,'TAR FIN'!$A$1:$O$85,15,0))*(1-0.04)</f>
        <v>62.985599999999998</v>
      </c>
      <c r="X280" s="77">
        <f>IF(ISERROR(VLOOKUP($U$280,'TAR FIN'!$A$1:$O$85,15,0)),0,VLOOKUP($U$280,'TAR FIN'!$A$1:$O$85,15,0))*(1-0.04)</f>
        <v>252.75840000000002</v>
      </c>
      <c r="Y280" s="77"/>
      <c r="Z280" s="77">
        <f ca="1">('TUSD BE'!$AM$12+'TUSD BF'!$AM$12+'TUSD CVA'!$AM$12)*1*(1-0.02)</f>
        <v>98.339533846404223</v>
      </c>
      <c r="AA280" s="77">
        <f>('TE BE'!$AA$6+'TE BF'!$AA$6+'TE CVA'!$AA$6)*1*(1-0.02)</f>
        <v>206.43109646347523</v>
      </c>
      <c r="AB280" s="6">
        <f>$K$280*$V$280</f>
        <v>0</v>
      </c>
      <c r="AC280" s="6">
        <f>$M$280*$W$280</f>
        <v>153073.273824</v>
      </c>
      <c r="AD280" s="6">
        <f>$O$280*$X$280</f>
        <v>614276.21193600004</v>
      </c>
      <c r="AE280" s="6">
        <f>$K$280*$Y$280</f>
        <v>0</v>
      </c>
      <c r="AF280" s="6">
        <f ca="1">$M$280*$Z$280</f>
        <v>238993.5857115777</v>
      </c>
      <c r="AG280" s="6">
        <f>$O$280*$AA$280</f>
        <v>501687.42942421918</v>
      </c>
    </row>
    <row r="281" spans="1:33" ht="11.25" customHeight="1" x14ac:dyDescent="0.25">
      <c r="A281" s="4" t="s">
        <v>28</v>
      </c>
      <c r="B281" s="4" t="s">
        <v>33</v>
      </c>
      <c r="C281" s="4" t="s">
        <v>34</v>
      </c>
      <c r="D281" s="4" t="s">
        <v>44</v>
      </c>
      <c r="E281" s="4" t="s">
        <v>25</v>
      </c>
      <c r="F281" s="4" t="s">
        <v>25</v>
      </c>
      <c r="G281" s="4" t="s">
        <v>25</v>
      </c>
      <c r="H281" s="4" t="s">
        <v>36</v>
      </c>
      <c r="I281" s="5">
        <v>44562</v>
      </c>
      <c r="J281" s="6">
        <v>0</v>
      </c>
      <c r="K281" s="77">
        <v>0</v>
      </c>
      <c r="L281" s="6">
        <v>8.6039999999999992</v>
      </c>
      <c r="M281" s="77">
        <v>8.6039999999999992</v>
      </c>
      <c r="N281" s="6">
        <v>8.6039999999999992</v>
      </c>
      <c r="O281" s="77">
        <v>8.6039999999999992</v>
      </c>
      <c r="P281" s="6">
        <v>0</v>
      </c>
      <c r="Q281" s="4" t="s">
        <v>26</v>
      </c>
      <c r="R281" s="4">
        <v>0</v>
      </c>
      <c r="S281" s="6">
        <v>0</v>
      </c>
      <c r="T281" s="6">
        <v>8</v>
      </c>
      <c r="U281" s="6">
        <v>49</v>
      </c>
      <c r="V281" s="77">
        <f>IF(ISERROR(VLOOKUP($S$281,'TAR FIN'!$A$1:$O$85,15,0)),0,VLOOKUP($S$281,'TAR FIN'!$A$1:$O$85,15,0))</f>
        <v>0</v>
      </c>
      <c r="W281" s="77">
        <f>IF(ISERROR(VLOOKUP($T$281,'TAR FIN'!$A$1:$O$85,15,0)),0,VLOOKUP($T$281,'TAR FIN'!$A$1:$O$85,15,0))*(1-0.04)</f>
        <v>62.985599999999998</v>
      </c>
      <c r="X281" s="77">
        <f>IF(ISERROR(VLOOKUP($U$281,'TAR FIN'!$A$1:$O$85,15,0)),0,VLOOKUP($U$281,'TAR FIN'!$A$1:$O$85,15,0))*(1-0.04)</f>
        <v>252.75840000000002</v>
      </c>
      <c r="Y281" s="77"/>
      <c r="Z281" s="77">
        <f ca="1">('TUSD BE'!$AM$12+'TUSD BF'!$AM$12+'TUSD CVA'!$AM$12)*1*(1-0.02)</f>
        <v>98.339533846404223</v>
      </c>
      <c r="AA281" s="77">
        <f>('TE BE'!$AA$6+'TE BF'!$AA$6+'TE CVA'!$AA$6)*1*(1-0.02)</f>
        <v>206.43109646347523</v>
      </c>
      <c r="AB281" s="6">
        <f>$K$281*$V$281</f>
        <v>0</v>
      </c>
      <c r="AC281" s="6">
        <f>$M$281*$W$281</f>
        <v>541.92810239999994</v>
      </c>
      <c r="AD281" s="6">
        <f>$O$281*$X$281</f>
        <v>2174.7332735999998</v>
      </c>
      <c r="AE281" s="6">
        <f>$K$281*$Y$281</f>
        <v>0</v>
      </c>
      <c r="AF281" s="6">
        <f ca="1">$M$281*$Z$281</f>
        <v>846.11334921446189</v>
      </c>
      <c r="AG281" s="6">
        <f>$O$281*$AA$281</f>
        <v>1776.1331539717407</v>
      </c>
    </row>
    <row r="282" spans="1:33" ht="11.25" customHeight="1" x14ac:dyDescent="0.25">
      <c r="A282" s="4" t="s">
        <v>21</v>
      </c>
      <c r="B282" s="4" t="s">
        <v>33</v>
      </c>
      <c r="C282" s="4" t="s">
        <v>34</v>
      </c>
      <c r="D282" s="4" t="s">
        <v>44</v>
      </c>
      <c r="E282" s="4" t="s">
        <v>25</v>
      </c>
      <c r="F282" s="4" t="s">
        <v>25</v>
      </c>
      <c r="G282" s="4" t="s">
        <v>25</v>
      </c>
      <c r="H282" s="4" t="s">
        <v>36</v>
      </c>
      <c r="I282" s="5">
        <v>44593</v>
      </c>
      <c r="J282" s="6">
        <v>0</v>
      </c>
      <c r="K282" s="77">
        <v>0</v>
      </c>
      <c r="L282" s="6">
        <v>2171.7860000000001</v>
      </c>
      <c r="M282" s="77">
        <v>2171.7860000000001</v>
      </c>
      <c r="N282" s="6">
        <v>2171.7860000000001</v>
      </c>
      <c r="O282" s="77">
        <v>2171.7860000000001</v>
      </c>
      <c r="P282" s="6">
        <v>0</v>
      </c>
      <c r="Q282" s="4" t="s">
        <v>26</v>
      </c>
      <c r="R282" s="4">
        <v>0</v>
      </c>
      <c r="S282" s="6">
        <v>0</v>
      </c>
      <c r="T282" s="6">
        <v>8</v>
      </c>
      <c r="U282" s="6">
        <v>49</v>
      </c>
      <c r="V282" s="77">
        <f>IF(ISERROR(VLOOKUP($S$282,'TAR FIN'!$A$1:$O$85,15,0)),0,VLOOKUP($S$282,'TAR FIN'!$A$1:$O$85,15,0))</f>
        <v>0</v>
      </c>
      <c r="W282" s="77">
        <f>IF(ISERROR(VLOOKUP($T$282,'TAR FIN'!$A$1:$O$85,15,0)),0,VLOOKUP($T$282,'TAR FIN'!$A$1:$O$85,15,0))*(1-0.04)</f>
        <v>62.985599999999998</v>
      </c>
      <c r="X282" s="77">
        <f>IF(ISERROR(VLOOKUP($U$282,'TAR FIN'!$A$1:$O$85,15,0)),0,VLOOKUP($U$282,'TAR FIN'!$A$1:$O$85,15,0))*(1-0.04)</f>
        <v>252.75840000000002</v>
      </c>
      <c r="Y282" s="77"/>
      <c r="Z282" s="77">
        <f ca="1">('TUSD BE'!$AM$12+'TUSD BF'!$AM$12+'TUSD CVA'!$AM$12)*1*(1-0.02)</f>
        <v>98.339533846404223</v>
      </c>
      <c r="AA282" s="77">
        <f>('TE BE'!$AA$6+'TE BF'!$AA$6+'TE CVA'!$AA$6)*1*(1-0.02)</f>
        <v>206.43109646347523</v>
      </c>
      <c r="AB282" s="6">
        <f>$K$282*$V$282</f>
        <v>0</v>
      </c>
      <c r="AC282" s="6">
        <f>$M$282*$W$282</f>
        <v>136791.2442816</v>
      </c>
      <c r="AD282" s="6">
        <f>$O$282*$X$282</f>
        <v>548937.15450240008</v>
      </c>
      <c r="AE282" s="6">
        <f>$K$282*$Y$282</f>
        <v>0</v>
      </c>
      <c r="AF282" s="6">
        <f ca="1">$M$282*$Z$282</f>
        <v>213572.42285414683</v>
      </c>
      <c r="AG282" s="6">
        <f>$O$282*$AA$282</f>
        <v>448324.16526402504</v>
      </c>
    </row>
    <row r="283" spans="1:33" ht="11.25" customHeight="1" x14ac:dyDescent="0.25">
      <c r="A283" s="4" t="s">
        <v>21</v>
      </c>
      <c r="B283" s="4" t="s">
        <v>33</v>
      </c>
      <c r="C283" s="4" t="s">
        <v>34</v>
      </c>
      <c r="D283" s="4" t="s">
        <v>44</v>
      </c>
      <c r="E283" s="4" t="s">
        <v>25</v>
      </c>
      <c r="F283" s="4" t="s">
        <v>25</v>
      </c>
      <c r="G283" s="4" t="s">
        <v>25</v>
      </c>
      <c r="H283" s="4" t="s">
        <v>36</v>
      </c>
      <c r="I283" s="5">
        <v>44621</v>
      </c>
      <c r="J283" s="6">
        <v>0</v>
      </c>
      <c r="K283" s="77">
        <v>0</v>
      </c>
      <c r="L283" s="6">
        <v>2384.8110000000001</v>
      </c>
      <c r="M283" s="77">
        <v>2384.8110000000001</v>
      </c>
      <c r="N283" s="6">
        <v>2384.8110000000001</v>
      </c>
      <c r="O283" s="77">
        <v>2384.8110000000001</v>
      </c>
      <c r="P283" s="6">
        <v>0</v>
      </c>
      <c r="Q283" s="4" t="s">
        <v>26</v>
      </c>
      <c r="R283" s="4">
        <v>0</v>
      </c>
      <c r="S283" s="6">
        <v>0</v>
      </c>
      <c r="T283" s="6">
        <v>8</v>
      </c>
      <c r="U283" s="6">
        <v>49</v>
      </c>
      <c r="V283" s="77">
        <f>IF(ISERROR(VLOOKUP($S$283,'TAR FIN'!$A$1:$O$85,15,0)),0,VLOOKUP($S$283,'TAR FIN'!$A$1:$O$85,15,0))</f>
        <v>0</v>
      </c>
      <c r="W283" s="77">
        <f>IF(ISERROR(VLOOKUP($T$283,'TAR FIN'!$A$1:$O$85,15,0)),0,VLOOKUP($T$283,'TAR FIN'!$A$1:$O$85,15,0))*(1-0.04)</f>
        <v>62.985599999999998</v>
      </c>
      <c r="X283" s="77">
        <f>IF(ISERROR(VLOOKUP($U$283,'TAR FIN'!$A$1:$O$85,15,0)),0,VLOOKUP($U$283,'TAR FIN'!$A$1:$O$85,15,0))*(1-0.04)</f>
        <v>252.75840000000002</v>
      </c>
      <c r="Y283" s="77"/>
      <c r="Z283" s="77">
        <f ca="1">('TUSD BE'!$AM$12+'TUSD BF'!$AM$12+'TUSD CVA'!$AM$12)*1*(1-0.02)</f>
        <v>98.339533846404223</v>
      </c>
      <c r="AA283" s="77">
        <f>('TE BE'!$AA$6+'TE BF'!$AA$6+'TE CVA'!$AA$6)*1*(1-0.02)</f>
        <v>206.43109646347523</v>
      </c>
      <c r="AB283" s="6">
        <f>$K$283*$V$283</f>
        <v>0</v>
      </c>
      <c r="AC283" s="6">
        <f>$M$283*$W$283</f>
        <v>150208.75172160001</v>
      </c>
      <c r="AD283" s="6">
        <f>$O$283*$X$283</f>
        <v>602781.01266240014</v>
      </c>
      <c r="AE283" s="6">
        <f>$K$283*$Y$283</f>
        <v>0</v>
      </c>
      <c r="AF283" s="6">
        <f ca="1">$M$283*$Z$283</f>
        <v>234521.2020517771</v>
      </c>
      <c r="AG283" s="6">
        <f>$O$283*$AA$283</f>
        <v>492299.14958815684</v>
      </c>
    </row>
    <row r="284" spans="1:33" ht="11.25" customHeight="1" x14ac:dyDescent="0.25">
      <c r="A284" s="4" t="s">
        <v>28</v>
      </c>
      <c r="B284" s="4" t="s">
        <v>33</v>
      </c>
      <c r="C284" s="4" t="s">
        <v>34</v>
      </c>
      <c r="D284" s="4" t="s">
        <v>44</v>
      </c>
      <c r="E284" s="4" t="s">
        <v>25</v>
      </c>
      <c r="F284" s="4" t="s">
        <v>25</v>
      </c>
      <c r="G284" s="4" t="s">
        <v>25</v>
      </c>
      <c r="H284" s="4" t="s">
        <v>36</v>
      </c>
      <c r="I284" s="5">
        <v>44621</v>
      </c>
      <c r="J284" s="6">
        <v>0</v>
      </c>
      <c r="K284" s="77">
        <v>0</v>
      </c>
      <c r="L284" s="6">
        <v>70.647999999999996</v>
      </c>
      <c r="M284" s="77">
        <v>70.647999999999996</v>
      </c>
      <c r="N284" s="6">
        <v>70.647999999999996</v>
      </c>
      <c r="O284" s="77">
        <v>70.647999999999996</v>
      </c>
      <c r="P284" s="6">
        <v>0</v>
      </c>
      <c r="Q284" s="4" t="s">
        <v>26</v>
      </c>
      <c r="R284" s="4">
        <v>0</v>
      </c>
      <c r="S284" s="6">
        <v>0</v>
      </c>
      <c r="T284" s="6">
        <v>8</v>
      </c>
      <c r="U284" s="6">
        <v>49</v>
      </c>
      <c r="V284" s="77">
        <f>IF(ISERROR(VLOOKUP($S$284,'TAR FIN'!$A$1:$O$85,15,0)),0,VLOOKUP($S$284,'TAR FIN'!$A$1:$O$85,15,0))</f>
        <v>0</v>
      </c>
      <c r="W284" s="77">
        <f>IF(ISERROR(VLOOKUP($T$284,'TAR FIN'!$A$1:$O$85,15,0)),0,VLOOKUP($T$284,'TAR FIN'!$A$1:$O$85,15,0))*(1-0.04)</f>
        <v>62.985599999999998</v>
      </c>
      <c r="X284" s="77">
        <f>IF(ISERROR(VLOOKUP($U$284,'TAR FIN'!$A$1:$O$85,15,0)),0,VLOOKUP($U$284,'TAR FIN'!$A$1:$O$85,15,0))*(1-0.04)</f>
        <v>252.75840000000002</v>
      </c>
      <c r="Y284" s="77"/>
      <c r="Z284" s="77">
        <f ca="1">('TUSD BE'!$AM$12+'TUSD BF'!$AM$12+'TUSD CVA'!$AM$12)*1*(1-0.02)</f>
        <v>98.339533846404223</v>
      </c>
      <c r="AA284" s="77">
        <f>('TE BE'!$AA$6+'TE BF'!$AA$6+'TE CVA'!$AA$6)*1*(1-0.02)</f>
        <v>206.43109646347523</v>
      </c>
      <c r="AB284" s="6">
        <f>$K$284*$V$284</f>
        <v>0</v>
      </c>
      <c r="AC284" s="6">
        <f>$M$284*$W$284</f>
        <v>4449.8066687999999</v>
      </c>
      <c r="AD284" s="6">
        <f>$O$284*$X$284</f>
        <v>17856.875443200002</v>
      </c>
      <c r="AE284" s="6">
        <f>$K$284*$Y$284</f>
        <v>0</v>
      </c>
      <c r="AF284" s="6">
        <f ca="1">$M$284*$Z$284</f>
        <v>6947.4913871807648</v>
      </c>
      <c r="AG284" s="6">
        <f>$O$284*$AA$284</f>
        <v>14583.944102951597</v>
      </c>
    </row>
    <row r="285" spans="1:33" ht="11.25" customHeight="1" x14ac:dyDescent="0.25">
      <c r="A285" s="4" t="s">
        <v>21</v>
      </c>
      <c r="B285" s="4" t="s">
        <v>33</v>
      </c>
      <c r="C285" s="4" t="s">
        <v>34</v>
      </c>
      <c r="D285" s="4" t="s">
        <v>44</v>
      </c>
      <c r="E285" s="4" t="s">
        <v>25</v>
      </c>
      <c r="F285" s="4" t="s">
        <v>25</v>
      </c>
      <c r="G285" s="4" t="s">
        <v>25</v>
      </c>
      <c r="H285" s="4" t="s">
        <v>36</v>
      </c>
      <c r="I285" s="5">
        <v>44652</v>
      </c>
      <c r="J285" s="6">
        <v>0</v>
      </c>
      <c r="K285" s="77">
        <v>0</v>
      </c>
      <c r="L285" s="6">
        <v>1900.2560000000001</v>
      </c>
      <c r="M285" s="77">
        <v>1900.2560000000001</v>
      </c>
      <c r="N285" s="6">
        <v>1900.2560000000001</v>
      </c>
      <c r="O285" s="77">
        <v>1900.2560000000001</v>
      </c>
      <c r="P285" s="6">
        <v>0</v>
      </c>
      <c r="Q285" s="4" t="s">
        <v>26</v>
      </c>
      <c r="R285" s="4">
        <v>0</v>
      </c>
      <c r="S285" s="6">
        <v>0</v>
      </c>
      <c r="T285" s="6">
        <v>8</v>
      </c>
      <c r="U285" s="6">
        <v>49</v>
      </c>
      <c r="V285" s="77">
        <f>IF(ISERROR(VLOOKUP($S$285,'TAR FIN'!$A$1:$O$85,15,0)),0,VLOOKUP($S$285,'TAR FIN'!$A$1:$O$85,15,0))</f>
        <v>0</v>
      </c>
      <c r="W285" s="77">
        <f>IF(ISERROR(VLOOKUP($T$285,'TAR FIN'!$A$1:$O$85,15,0)),0,VLOOKUP($T$285,'TAR FIN'!$A$1:$O$85,15,0))*(1-0.04)</f>
        <v>62.985599999999998</v>
      </c>
      <c r="X285" s="77">
        <f>IF(ISERROR(VLOOKUP($U$285,'TAR FIN'!$A$1:$O$85,15,0)),0,VLOOKUP($U$285,'TAR FIN'!$A$1:$O$85,15,0))*(1-0.04)</f>
        <v>252.75840000000002</v>
      </c>
      <c r="Y285" s="77"/>
      <c r="Z285" s="77">
        <f ca="1">('TUSD BE'!$AM$12+'TUSD BF'!$AM$12+'TUSD CVA'!$AM$12)*1*(1-0.02)</f>
        <v>98.339533846404223</v>
      </c>
      <c r="AA285" s="77">
        <f>('TE BE'!$AA$6+'TE BF'!$AA$6+'TE CVA'!$AA$6)*1*(1-0.02)</f>
        <v>206.43109646347523</v>
      </c>
      <c r="AB285" s="6">
        <f>$K$285*$V$285</f>
        <v>0</v>
      </c>
      <c r="AC285" s="6">
        <f>$M$285*$W$285</f>
        <v>119688.7643136</v>
      </c>
      <c r="AD285" s="6">
        <f>$O$285*$X$285</f>
        <v>480305.66615040007</v>
      </c>
      <c r="AE285" s="6">
        <f>$K$285*$Y$285</f>
        <v>0</v>
      </c>
      <c r="AF285" s="6">
        <f ca="1">$M$285*$Z$285</f>
        <v>186870.2892288327</v>
      </c>
      <c r="AG285" s="6">
        <f>$O$285*$AA$285</f>
        <v>392271.92964129761</v>
      </c>
    </row>
    <row r="286" spans="1:33" ht="11.25" customHeight="1" x14ac:dyDescent="0.25">
      <c r="A286" s="4" t="s">
        <v>21</v>
      </c>
      <c r="B286" s="4" t="s">
        <v>33</v>
      </c>
      <c r="C286" s="4" t="s">
        <v>34</v>
      </c>
      <c r="D286" s="4" t="s">
        <v>44</v>
      </c>
      <c r="E286" s="4" t="s">
        <v>25</v>
      </c>
      <c r="F286" s="4" t="s">
        <v>25</v>
      </c>
      <c r="G286" s="4" t="s">
        <v>25</v>
      </c>
      <c r="H286" s="4" t="s">
        <v>25</v>
      </c>
      <c r="I286" s="5">
        <v>44317</v>
      </c>
      <c r="J286" s="6">
        <v>6735</v>
      </c>
      <c r="K286" s="77">
        <v>6735</v>
      </c>
      <c r="L286" s="6">
        <v>0</v>
      </c>
      <c r="M286" s="77">
        <v>0</v>
      </c>
      <c r="N286" s="6">
        <v>0</v>
      </c>
      <c r="O286" s="77">
        <v>0</v>
      </c>
      <c r="P286" s="6">
        <v>48</v>
      </c>
      <c r="Q286" s="4" t="s">
        <v>26</v>
      </c>
      <c r="R286" s="4">
        <v>0</v>
      </c>
      <c r="S286" s="6">
        <v>6</v>
      </c>
      <c r="T286" s="6">
        <v>0</v>
      </c>
      <c r="U286" s="6">
        <v>0</v>
      </c>
      <c r="V286" s="77">
        <f>IF(ISERROR(VLOOKUP($S$286,'TAR FIN'!$A$1:$O$85,15,0)),0,VLOOKUP($S$286,'TAR FIN'!$A$1:$O$85,15,0))*(1-0.04)</f>
        <v>18.5472</v>
      </c>
      <c r="W286" s="77">
        <f>IF(ISERROR(VLOOKUP($T$286,'TAR FIN'!$A$1:$O$85,15,0)),0,VLOOKUP($T$286,'TAR FIN'!$A$1:$O$85,15,0))</f>
        <v>0</v>
      </c>
      <c r="X286" s="77">
        <f>IF(ISERROR(VLOOKUP($U$286,'TAR FIN'!$A$1:$O$85,15,0)),0,VLOOKUP($U$286,'TAR FIN'!$A$1:$O$85,15,0))</f>
        <v>0</v>
      </c>
      <c r="Y286" s="77">
        <f ca="1">('TUSD BE'!$AM$10+'TUSD BF'!$AM$10+'TUSD CVA'!$AM$10)*1*(1-0.02)</f>
        <v>16.346441090586261</v>
      </c>
      <c r="Z286" s="77"/>
      <c r="AA286" s="77"/>
      <c r="AB286" s="6">
        <f>$K$286*$V$286</f>
        <v>124915.39200000001</v>
      </c>
      <c r="AC286" s="6">
        <f>$M$286*$W$286</f>
        <v>0</v>
      </c>
      <c r="AD286" s="6">
        <f>$O$286*$X$286</f>
        <v>0</v>
      </c>
      <c r="AE286" s="6">
        <f ca="1">$K$286*$Y$286</f>
        <v>110093.28074509847</v>
      </c>
      <c r="AF286" s="6">
        <f>$M$286*$Z$286</f>
        <v>0</v>
      </c>
      <c r="AG286" s="6">
        <f>$O$286*$AA$286</f>
        <v>0</v>
      </c>
    </row>
    <row r="287" spans="1:33" ht="11.25" customHeight="1" x14ac:dyDescent="0.25">
      <c r="A287" s="4" t="s">
        <v>28</v>
      </c>
      <c r="B287" s="4" t="s">
        <v>33</v>
      </c>
      <c r="C287" s="4" t="s">
        <v>34</v>
      </c>
      <c r="D287" s="4" t="s">
        <v>44</v>
      </c>
      <c r="E287" s="4" t="s">
        <v>25</v>
      </c>
      <c r="F287" s="4" t="s">
        <v>25</v>
      </c>
      <c r="G287" s="4" t="s">
        <v>25</v>
      </c>
      <c r="H287" s="4" t="s">
        <v>25</v>
      </c>
      <c r="I287" s="5">
        <v>44317</v>
      </c>
      <c r="J287" s="6">
        <v>63</v>
      </c>
      <c r="K287" s="77">
        <v>63</v>
      </c>
      <c r="L287" s="6">
        <v>0</v>
      </c>
      <c r="M287" s="77">
        <v>0</v>
      </c>
      <c r="N287" s="6">
        <v>0</v>
      </c>
      <c r="O287" s="77">
        <v>0</v>
      </c>
      <c r="P287" s="6">
        <v>1</v>
      </c>
      <c r="Q287" s="4" t="s">
        <v>26</v>
      </c>
      <c r="R287" s="4">
        <v>0</v>
      </c>
      <c r="S287" s="6">
        <v>6</v>
      </c>
      <c r="T287" s="6">
        <v>0</v>
      </c>
      <c r="U287" s="6">
        <v>0</v>
      </c>
      <c r="V287" s="77">
        <f>IF(ISERROR(VLOOKUP($S$287,'TAR FIN'!$A$1:$O$85,15,0)),0,VLOOKUP($S$287,'TAR FIN'!$A$1:$O$85,15,0))*(1-0.04)</f>
        <v>18.5472</v>
      </c>
      <c r="W287" s="77">
        <f>IF(ISERROR(VLOOKUP($T$287,'TAR FIN'!$A$1:$O$85,15,0)),0,VLOOKUP($T$287,'TAR FIN'!$A$1:$O$85,15,0))</f>
        <v>0</v>
      </c>
      <c r="X287" s="77">
        <f>IF(ISERROR(VLOOKUP($U$287,'TAR FIN'!$A$1:$O$85,15,0)),0,VLOOKUP($U$287,'TAR FIN'!$A$1:$O$85,15,0))</f>
        <v>0</v>
      </c>
      <c r="Y287" s="77">
        <f ca="1">('TUSD BE'!$AM$10+'TUSD BF'!$AM$10+'TUSD CVA'!$AM$10)*1*(1-0.02)</f>
        <v>16.346441090586261</v>
      </c>
      <c r="Z287" s="77"/>
      <c r="AA287" s="77"/>
      <c r="AB287" s="6">
        <f>$K$287*$V$287</f>
        <v>1168.4736</v>
      </c>
      <c r="AC287" s="6">
        <f>$M$287*$W$287</f>
        <v>0</v>
      </c>
      <c r="AD287" s="6">
        <f>$O$287*$X$287</f>
        <v>0</v>
      </c>
      <c r="AE287" s="6">
        <f ca="1">$K$287*$Y$287</f>
        <v>1029.8257887069344</v>
      </c>
      <c r="AF287" s="6">
        <f>$M$287*$Z$287</f>
        <v>0</v>
      </c>
      <c r="AG287" s="6">
        <f>$O$287*$AA$287</f>
        <v>0</v>
      </c>
    </row>
    <row r="288" spans="1:33" ht="11.25" customHeight="1" x14ac:dyDescent="0.25">
      <c r="A288" s="4" t="s">
        <v>21</v>
      </c>
      <c r="B288" s="4" t="s">
        <v>33</v>
      </c>
      <c r="C288" s="4" t="s">
        <v>34</v>
      </c>
      <c r="D288" s="4" t="s">
        <v>44</v>
      </c>
      <c r="E288" s="4" t="s">
        <v>25</v>
      </c>
      <c r="F288" s="4" t="s">
        <v>25</v>
      </c>
      <c r="G288" s="4" t="s">
        <v>25</v>
      </c>
      <c r="H288" s="4" t="s">
        <v>25</v>
      </c>
      <c r="I288" s="5">
        <v>44348</v>
      </c>
      <c r="J288" s="6">
        <v>6004</v>
      </c>
      <c r="K288" s="77">
        <v>6004</v>
      </c>
      <c r="L288" s="6">
        <v>0</v>
      </c>
      <c r="M288" s="77">
        <v>0</v>
      </c>
      <c r="N288" s="6">
        <v>0</v>
      </c>
      <c r="O288" s="77">
        <v>0</v>
      </c>
      <c r="P288" s="6">
        <v>48</v>
      </c>
      <c r="Q288" s="4" t="s">
        <v>26</v>
      </c>
      <c r="R288" s="4">
        <v>0</v>
      </c>
      <c r="S288" s="6">
        <v>6</v>
      </c>
      <c r="T288" s="6">
        <v>0</v>
      </c>
      <c r="U288" s="6">
        <v>0</v>
      </c>
      <c r="V288" s="77">
        <f>IF(ISERROR(VLOOKUP($S$288,'TAR FIN'!$A$1:$O$85,15,0)),0,VLOOKUP($S$288,'TAR FIN'!$A$1:$O$85,15,0))*(1-0.04)</f>
        <v>18.5472</v>
      </c>
      <c r="W288" s="77">
        <f>IF(ISERROR(VLOOKUP($T$288,'TAR FIN'!$A$1:$O$85,15,0)),0,VLOOKUP($T$288,'TAR FIN'!$A$1:$O$85,15,0))</f>
        <v>0</v>
      </c>
      <c r="X288" s="77">
        <f>IF(ISERROR(VLOOKUP($U$288,'TAR FIN'!$A$1:$O$85,15,0)),0,VLOOKUP($U$288,'TAR FIN'!$A$1:$O$85,15,0))</f>
        <v>0</v>
      </c>
      <c r="Y288" s="77">
        <f ca="1">('TUSD BE'!$AM$10+'TUSD BF'!$AM$10+'TUSD CVA'!$AM$10)*1*(1-0.02)</f>
        <v>16.346441090586261</v>
      </c>
      <c r="Z288" s="77"/>
      <c r="AA288" s="77"/>
      <c r="AB288" s="6">
        <f>$K$288*$V$288</f>
        <v>111357.3888</v>
      </c>
      <c r="AC288" s="6">
        <f>$M$288*$W$288</f>
        <v>0</v>
      </c>
      <c r="AD288" s="6">
        <f>$O$288*$X$288</f>
        <v>0</v>
      </c>
      <c r="AE288" s="6">
        <f ca="1">$K$288*$Y$288</f>
        <v>98144.032307879912</v>
      </c>
      <c r="AF288" s="6">
        <f>$M$288*$Z$288</f>
        <v>0</v>
      </c>
      <c r="AG288" s="6">
        <f>$O$288*$AA$288</f>
        <v>0</v>
      </c>
    </row>
    <row r="289" spans="1:33" ht="11.25" customHeight="1" x14ac:dyDescent="0.25">
      <c r="A289" s="4" t="s">
        <v>28</v>
      </c>
      <c r="B289" s="4" t="s">
        <v>33</v>
      </c>
      <c r="C289" s="4" t="s">
        <v>34</v>
      </c>
      <c r="D289" s="4" t="s">
        <v>44</v>
      </c>
      <c r="E289" s="4" t="s">
        <v>25</v>
      </c>
      <c r="F289" s="4" t="s">
        <v>25</v>
      </c>
      <c r="G289" s="4" t="s">
        <v>25</v>
      </c>
      <c r="H289" s="4" t="s">
        <v>25</v>
      </c>
      <c r="I289" s="5">
        <v>44348</v>
      </c>
      <c r="J289" s="6">
        <v>117</v>
      </c>
      <c r="K289" s="77">
        <v>117</v>
      </c>
      <c r="L289" s="6">
        <v>0</v>
      </c>
      <c r="M289" s="77">
        <v>0</v>
      </c>
      <c r="N289" s="6">
        <v>0</v>
      </c>
      <c r="O289" s="77">
        <v>0</v>
      </c>
      <c r="P289" s="6">
        <v>1</v>
      </c>
      <c r="Q289" s="4" t="s">
        <v>26</v>
      </c>
      <c r="R289" s="4">
        <v>0</v>
      </c>
      <c r="S289" s="6">
        <v>6</v>
      </c>
      <c r="T289" s="6">
        <v>0</v>
      </c>
      <c r="U289" s="6">
        <v>0</v>
      </c>
      <c r="V289" s="77">
        <f>IF(ISERROR(VLOOKUP($S$289,'TAR FIN'!$A$1:$O$85,15,0)),0,VLOOKUP($S$289,'TAR FIN'!$A$1:$O$85,15,0))*(1-0.04)</f>
        <v>18.5472</v>
      </c>
      <c r="W289" s="77">
        <f>IF(ISERROR(VLOOKUP($T$289,'TAR FIN'!$A$1:$O$85,15,0)),0,VLOOKUP($T$289,'TAR FIN'!$A$1:$O$85,15,0))</f>
        <v>0</v>
      </c>
      <c r="X289" s="77">
        <f>IF(ISERROR(VLOOKUP($U$289,'TAR FIN'!$A$1:$O$85,15,0)),0,VLOOKUP($U$289,'TAR FIN'!$A$1:$O$85,15,0))</f>
        <v>0</v>
      </c>
      <c r="Y289" s="77">
        <f ca="1">('TUSD BE'!$AM$10+'TUSD BF'!$AM$10+'TUSD CVA'!$AM$10)*1*(1-0.02)</f>
        <v>16.346441090586261</v>
      </c>
      <c r="Z289" s="77"/>
      <c r="AA289" s="77"/>
      <c r="AB289" s="6">
        <f>$K$289*$V$289</f>
        <v>2170.0223999999998</v>
      </c>
      <c r="AC289" s="6">
        <f>$M$289*$W$289</f>
        <v>0</v>
      </c>
      <c r="AD289" s="6">
        <f>$O$289*$X$289</f>
        <v>0</v>
      </c>
      <c r="AE289" s="6">
        <f ca="1">$K$289*$Y$289</f>
        <v>1912.5336075985924</v>
      </c>
      <c r="AF289" s="6">
        <f>$M$289*$Z$289</f>
        <v>0</v>
      </c>
      <c r="AG289" s="6">
        <f>$O$289*$AA$289</f>
        <v>0</v>
      </c>
    </row>
    <row r="290" spans="1:33" ht="11.25" customHeight="1" x14ac:dyDescent="0.25">
      <c r="A290" s="4" t="s">
        <v>21</v>
      </c>
      <c r="B290" s="4" t="s">
        <v>33</v>
      </c>
      <c r="C290" s="4" t="s">
        <v>34</v>
      </c>
      <c r="D290" s="4" t="s">
        <v>44</v>
      </c>
      <c r="E290" s="4" t="s">
        <v>25</v>
      </c>
      <c r="F290" s="4" t="s">
        <v>25</v>
      </c>
      <c r="G290" s="4" t="s">
        <v>25</v>
      </c>
      <c r="H290" s="4" t="s">
        <v>25</v>
      </c>
      <c r="I290" s="5">
        <v>44378</v>
      </c>
      <c r="J290" s="6">
        <v>5704</v>
      </c>
      <c r="K290" s="77">
        <v>5704</v>
      </c>
      <c r="L290" s="6">
        <v>0</v>
      </c>
      <c r="M290" s="77">
        <v>0</v>
      </c>
      <c r="N290" s="6">
        <v>0</v>
      </c>
      <c r="O290" s="77">
        <v>0</v>
      </c>
      <c r="P290" s="6">
        <v>48</v>
      </c>
      <c r="Q290" s="4" t="s">
        <v>26</v>
      </c>
      <c r="R290" s="4">
        <v>0</v>
      </c>
      <c r="S290" s="6">
        <v>6</v>
      </c>
      <c r="T290" s="6">
        <v>0</v>
      </c>
      <c r="U290" s="6">
        <v>0</v>
      </c>
      <c r="V290" s="77">
        <f>IF(ISERROR(VLOOKUP($S$290,'TAR FIN'!$A$1:$O$85,15,0)),0,VLOOKUP($S$290,'TAR FIN'!$A$1:$O$85,15,0))*(1-0.04)</f>
        <v>18.5472</v>
      </c>
      <c r="W290" s="77">
        <f>IF(ISERROR(VLOOKUP($T$290,'TAR FIN'!$A$1:$O$85,15,0)),0,VLOOKUP($T$290,'TAR FIN'!$A$1:$O$85,15,0))</f>
        <v>0</v>
      </c>
      <c r="X290" s="77">
        <f>IF(ISERROR(VLOOKUP($U$290,'TAR FIN'!$A$1:$O$85,15,0)),0,VLOOKUP($U$290,'TAR FIN'!$A$1:$O$85,15,0))</f>
        <v>0</v>
      </c>
      <c r="Y290" s="77">
        <f ca="1">('TUSD BE'!$AM$10+'TUSD BF'!$AM$10+'TUSD CVA'!$AM$10)*1*(1-0.02)</f>
        <v>16.346441090586261</v>
      </c>
      <c r="Z290" s="77"/>
      <c r="AA290" s="77"/>
      <c r="AB290" s="6">
        <f>$K$290*$V$290</f>
        <v>105793.2288</v>
      </c>
      <c r="AC290" s="6">
        <f>$M$290*$W$290</f>
        <v>0</v>
      </c>
      <c r="AD290" s="6">
        <f>$O$290*$X$290</f>
        <v>0</v>
      </c>
      <c r="AE290" s="6">
        <f ca="1">$K$290*$Y$290</f>
        <v>93240.099980704035</v>
      </c>
      <c r="AF290" s="6">
        <f>$M$290*$Z$290</f>
        <v>0</v>
      </c>
      <c r="AG290" s="6">
        <f>$O$290*$AA$290</f>
        <v>0</v>
      </c>
    </row>
    <row r="291" spans="1:33" ht="11.25" customHeight="1" x14ac:dyDescent="0.25">
      <c r="A291" s="4" t="s">
        <v>28</v>
      </c>
      <c r="B291" s="4" t="s">
        <v>33</v>
      </c>
      <c r="C291" s="4" t="s">
        <v>34</v>
      </c>
      <c r="D291" s="4" t="s">
        <v>44</v>
      </c>
      <c r="E291" s="4" t="s">
        <v>25</v>
      </c>
      <c r="F291" s="4" t="s">
        <v>25</v>
      </c>
      <c r="G291" s="4" t="s">
        <v>25</v>
      </c>
      <c r="H291" s="4" t="s">
        <v>25</v>
      </c>
      <c r="I291" s="5">
        <v>44378</v>
      </c>
      <c r="J291" s="6">
        <v>127</v>
      </c>
      <c r="K291" s="77">
        <v>127</v>
      </c>
      <c r="L291" s="6">
        <v>0</v>
      </c>
      <c r="M291" s="77">
        <v>0</v>
      </c>
      <c r="N291" s="6">
        <v>0</v>
      </c>
      <c r="O291" s="77">
        <v>0</v>
      </c>
      <c r="P291" s="6">
        <v>1</v>
      </c>
      <c r="Q291" s="4" t="s">
        <v>26</v>
      </c>
      <c r="R291" s="4">
        <v>0</v>
      </c>
      <c r="S291" s="6">
        <v>6</v>
      </c>
      <c r="T291" s="6">
        <v>0</v>
      </c>
      <c r="U291" s="6">
        <v>0</v>
      </c>
      <c r="V291" s="77">
        <f>IF(ISERROR(VLOOKUP($S$291,'TAR FIN'!$A$1:$O$85,15,0)),0,VLOOKUP($S$291,'TAR FIN'!$A$1:$O$85,15,0))*(1-0.04)</f>
        <v>18.5472</v>
      </c>
      <c r="W291" s="77">
        <f>IF(ISERROR(VLOOKUP($T$291,'TAR FIN'!$A$1:$O$85,15,0)),0,VLOOKUP($T$291,'TAR FIN'!$A$1:$O$85,15,0))</f>
        <v>0</v>
      </c>
      <c r="X291" s="77">
        <f>IF(ISERROR(VLOOKUP($U$291,'TAR FIN'!$A$1:$O$85,15,0)),0,VLOOKUP($U$291,'TAR FIN'!$A$1:$O$85,15,0))</f>
        <v>0</v>
      </c>
      <c r="Y291" s="77">
        <f ca="1">('TUSD BE'!$AM$10+'TUSD BF'!$AM$10+'TUSD CVA'!$AM$10)*1*(1-0.02)</f>
        <v>16.346441090586261</v>
      </c>
      <c r="Z291" s="77"/>
      <c r="AA291" s="77"/>
      <c r="AB291" s="6">
        <f>$K$291*$V$291</f>
        <v>2355.4944</v>
      </c>
      <c r="AC291" s="6">
        <f>$M$291*$W$291</f>
        <v>0</v>
      </c>
      <c r="AD291" s="6">
        <f>$O$291*$X$291</f>
        <v>0</v>
      </c>
      <c r="AE291" s="6">
        <f ca="1">$K$291*$Y$291</f>
        <v>2075.9980185044551</v>
      </c>
      <c r="AF291" s="6">
        <f>$M$291*$Z$291</f>
        <v>0</v>
      </c>
      <c r="AG291" s="6">
        <f>$O$291*$AA$291</f>
        <v>0</v>
      </c>
    </row>
    <row r="292" spans="1:33" ht="11.25" customHeight="1" x14ac:dyDescent="0.25">
      <c r="A292" s="4" t="s">
        <v>21</v>
      </c>
      <c r="B292" s="4" t="s">
        <v>33</v>
      </c>
      <c r="C292" s="4" t="s">
        <v>34</v>
      </c>
      <c r="D292" s="4" t="s">
        <v>44</v>
      </c>
      <c r="E292" s="4" t="s">
        <v>25</v>
      </c>
      <c r="F292" s="4" t="s">
        <v>25</v>
      </c>
      <c r="G292" s="4" t="s">
        <v>25</v>
      </c>
      <c r="H292" s="4" t="s">
        <v>25</v>
      </c>
      <c r="I292" s="5">
        <v>44409</v>
      </c>
      <c r="J292" s="6">
        <v>6448</v>
      </c>
      <c r="K292" s="77">
        <v>6448</v>
      </c>
      <c r="L292" s="6">
        <v>0</v>
      </c>
      <c r="M292" s="77">
        <v>0</v>
      </c>
      <c r="N292" s="6">
        <v>0</v>
      </c>
      <c r="O292" s="77">
        <v>0</v>
      </c>
      <c r="P292" s="6">
        <v>46</v>
      </c>
      <c r="Q292" s="4" t="s">
        <v>26</v>
      </c>
      <c r="R292" s="4">
        <v>0</v>
      </c>
      <c r="S292" s="6">
        <v>6</v>
      </c>
      <c r="T292" s="6">
        <v>0</v>
      </c>
      <c r="U292" s="6">
        <v>0</v>
      </c>
      <c r="V292" s="77">
        <f>IF(ISERROR(VLOOKUP($S$292,'TAR FIN'!$A$1:$O$85,15,0)),0,VLOOKUP($S$292,'TAR FIN'!$A$1:$O$85,15,0))*(1-0.04)</f>
        <v>18.5472</v>
      </c>
      <c r="W292" s="77">
        <f>IF(ISERROR(VLOOKUP($T$292,'TAR FIN'!$A$1:$O$85,15,0)),0,VLOOKUP($T$292,'TAR FIN'!$A$1:$O$85,15,0))</f>
        <v>0</v>
      </c>
      <c r="X292" s="77">
        <f>IF(ISERROR(VLOOKUP($U$292,'TAR FIN'!$A$1:$O$85,15,0)),0,VLOOKUP($U$292,'TAR FIN'!$A$1:$O$85,15,0))</f>
        <v>0</v>
      </c>
      <c r="Y292" s="77">
        <f ca="1">('TUSD BE'!$AM$10+'TUSD BF'!$AM$10+'TUSD CVA'!$AM$10)*1*(1-0.02)</f>
        <v>16.346441090586261</v>
      </c>
      <c r="Z292" s="77"/>
      <c r="AA292" s="77"/>
      <c r="AB292" s="6">
        <f>$K$292*$V$292</f>
        <v>119592.3456</v>
      </c>
      <c r="AC292" s="6">
        <f>$M$292*$W$292</f>
        <v>0</v>
      </c>
      <c r="AD292" s="6">
        <f>$O$292*$X$292</f>
        <v>0</v>
      </c>
      <c r="AE292" s="6">
        <f ca="1">$K$292*$Y$292</f>
        <v>105401.85215210021</v>
      </c>
      <c r="AF292" s="6">
        <f>$M$292*$Z$292</f>
        <v>0</v>
      </c>
      <c r="AG292" s="6">
        <f>$O$292*$AA$292</f>
        <v>0</v>
      </c>
    </row>
    <row r="293" spans="1:33" ht="11.25" customHeight="1" x14ac:dyDescent="0.25">
      <c r="A293" s="4" t="s">
        <v>28</v>
      </c>
      <c r="B293" s="4" t="s">
        <v>33</v>
      </c>
      <c r="C293" s="4" t="s">
        <v>34</v>
      </c>
      <c r="D293" s="4" t="s">
        <v>44</v>
      </c>
      <c r="E293" s="4" t="s">
        <v>25</v>
      </c>
      <c r="F293" s="4" t="s">
        <v>25</v>
      </c>
      <c r="G293" s="4" t="s">
        <v>25</v>
      </c>
      <c r="H293" s="4" t="s">
        <v>25</v>
      </c>
      <c r="I293" s="5">
        <v>44409</v>
      </c>
      <c r="J293" s="6">
        <v>279</v>
      </c>
      <c r="K293" s="77">
        <v>279</v>
      </c>
      <c r="L293" s="6">
        <v>0</v>
      </c>
      <c r="M293" s="77">
        <v>0</v>
      </c>
      <c r="N293" s="6">
        <v>0</v>
      </c>
      <c r="O293" s="77">
        <v>0</v>
      </c>
      <c r="P293" s="6">
        <v>2</v>
      </c>
      <c r="Q293" s="4" t="s">
        <v>26</v>
      </c>
      <c r="R293" s="4">
        <v>0</v>
      </c>
      <c r="S293" s="6">
        <v>6</v>
      </c>
      <c r="T293" s="6">
        <v>0</v>
      </c>
      <c r="U293" s="6">
        <v>0</v>
      </c>
      <c r="V293" s="77">
        <f>IF(ISERROR(VLOOKUP($S$293,'TAR FIN'!$A$1:$O$85,15,0)),0,VLOOKUP($S$293,'TAR FIN'!$A$1:$O$85,15,0))*(1-0.04)</f>
        <v>18.5472</v>
      </c>
      <c r="W293" s="77">
        <f>IF(ISERROR(VLOOKUP($T$293,'TAR FIN'!$A$1:$O$85,15,0)),0,VLOOKUP($T$293,'TAR FIN'!$A$1:$O$85,15,0))</f>
        <v>0</v>
      </c>
      <c r="X293" s="77">
        <f>IF(ISERROR(VLOOKUP($U$293,'TAR FIN'!$A$1:$O$85,15,0)),0,VLOOKUP($U$293,'TAR FIN'!$A$1:$O$85,15,0))</f>
        <v>0</v>
      </c>
      <c r="Y293" s="77">
        <f ca="1">('TUSD BE'!$AM$10+'TUSD BF'!$AM$10+'TUSD CVA'!$AM$10)*1*(1-0.02)</f>
        <v>16.346441090586261</v>
      </c>
      <c r="Z293" s="77"/>
      <c r="AA293" s="77"/>
      <c r="AB293" s="6">
        <f>$K$293*$V$293</f>
        <v>5174.6688000000004</v>
      </c>
      <c r="AC293" s="6">
        <f>$M$293*$W$293</f>
        <v>0</v>
      </c>
      <c r="AD293" s="6">
        <f>$O$293*$X$293</f>
        <v>0</v>
      </c>
      <c r="AE293" s="6">
        <f ca="1">$K$293*$Y$293</f>
        <v>4560.6570642735669</v>
      </c>
      <c r="AF293" s="6">
        <f>$M$293*$Z$293</f>
        <v>0</v>
      </c>
      <c r="AG293" s="6">
        <f>$O$293*$AA$293</f>
        <v>0</v>
      </c>
    </row>
    <row r="294" spans="1:33" ht="11.25" customHeight="1" x14ac:dyDescent="0.25">
      <c r="A294" s="4" t="s">
        <v>21</v>
      </c>
      <c r="B294" s="4" t="s">
        <v>33</v>
      </c>
      <c r="C294" s="4" t="s">
        <v>34</v>
      </c>
      <c r="D294" s="4" t="s">
        <v>44</v>
      </c>
      <c r="E294" s="4" t="s">
        <v>25</v>
      </c>
      <c r="F294" s="4" t="s">
        <v>25</v>
      </c>
      <c r="G294" s="4" t="s">
        <v>25</v>
      </c>
      <c r="H294" s="4" t="s">
        <v>25</v>
      </c>
      <c r="I294" s="5">
        <v>44440</v>
      </c>
      <c r="J294" s="6">
        <v>9002</v>
      </c>
      <c r="K294" s="77">
        <v>9002</v>
      </c>
      <c r="L294" s="6">
        <v>0</v>
      </c>
      <c r="M294" s="77">
        <v>0</v>
      </c>
      <c r="N294" s="6">
        <v>0</v>
      </c>
      <c r="O294" s="77">
        <v>0</v>
      </c>
      <c r="P294" s="6">
        <v>47</v>
      </c>
      <c r="Q294" s="4" t="s">
        <v>26</v>
      </c>
      <c r="R294" s="4">
        <v>0</v>
      </c>
      <c r="S294" s="6">
        <v>6</v>
      </c>
      <c r="T294" s="6">
        <v>0</v>
      </c>
      <c r="U294" s="6">
        <v>0</v>
      </c>
      <c r="V294" s="77">
        <f>IF(ISERROR(VLOOKUP($S$294,'TAR FIN'!$A$1:$O$85,15,0)),0,VLOOKUP($S$294,'TAR FIN'!$A$1:$O$85,15,0))*(1-0.04)</f>
        <v>18.5472</v>
      </c>
      <c r="W294" s="77">
        <f>IF(ISERROR(VLOOKUP($T$294,'TAR FIN'!$A$1:$O$85,15,0)),0,VLOOKUP($T$294,'TAR FIN'!$A$1:$O$85,15,0))</f>
        <v>0</v>
      </c>
      <c r="X294" s="77">
        <f>IF(ISERROR(VLOOKUP($U$294,'TAR FIN'!$A$1:$O$85,15,0)),0,VLOOKUP($U$294,'TAR FIN'!$A$1:$O$85,15,0))</f>
        <v>0</v>
      </c>
      <c r="Y294" s="77">
        <f ca="1">('TUSD BE'!$AM$10+'TUSD BF'!$AM$10+'TUSD CVA'!$AM$10)*1*(1-0.02)</f>
        <v>16.346441090586261</v>
      </c>
      <c r="Z294" s="77"/>
      <c r="AA294" s="77"/>
      <c r="AB294" s="6">
        <f>$K$294*$V$294</f>
        <v>166961.89439999999</v>
      </c>
      <c r="AC294" s="6">
        <f>$M$294*$W$294</f>
        <v>0</v>
      </c>
      <c r="AD294" s="6">
        <f>$O$294*$X$294</f>
        <v>0</v>
      </c>
      <c r="AE294" s="6">
        <f ca="1">$K$294*$Y$294</f>
        <v>147150.6626974575</v>
      </c>
      <c r="AF294" s="6">
        <f>$M$294*$Z$294</f>
        <v>0</v>
      </c>
      <c r="AG294" s="6">
        <f>$O$294*$AA$294</f>
        <v>0</v>
      </c>
    </row>
    <row r="295" spans="1:33" ht="11.25" customHeight="1" x14ac:dyDescent="0.25">
      <c r="A295" s="4" t="s">
        <v>28</v>
      </c>
      <c r="B295" s="4" t="s">
        <v>33</v>
      </c>
      <c r="C295" s="4" t="s">
        <v>34</v>
      </c>
      <c r="D295" s="4" t="s">
        <v>44</v>
      </c>
      <c r="E295" s="4" t="s">
        <v>25</v>
      </c>
      <c r="F295" s="4" t="s">
        <v>25</v>
      </c>
      <c r="G295" s="4" t="s">
        <v>25</v>
      </c>
      <c r="H295" s="4" t="s">
        <v>25</v>
      </c>
      <c r="I295" s="5">
        <v>44440</v>
      </c>
      <c r="J295" s="6">
        <v>320</v>
      </c>
      <c r="K295" s="77">
        <v>320</v>
      </c>
      <c r="L295" s="6">
        <v>0</v>
      </c>
      <c r="M295" s="77">
        <v>0</v>
      </c>
      <c r="N295" s="6">
        <v>0</v>
      </c>
      <c r="O295" s="77">
        <v>0</v>
      </c>
      <c r="P295" s="6">
        <v>3</v>
      </c>
      <c r="Q295" s="4" t="s">
        <v>26</v>
      </c>
      <c r="R295" s="4">
        <v>0</v>
      </c>
      <c r="S295" s="6">
        <v>6</v>
      </c>
      <c r="T295" s="6">
        <v>0</v>
      </c>
      <c r="U295" s="6">
        <v>0</v>
      </c>
      <c r="V295" s="77">
        <f>IF(ISERROR(VLOOKUP($S$295,'TAR FIN'!$A$1:$O$85,15,0)),0,VLOOKUP($S$295,'TAR FIN'!$A$1:$O$85,15,0))*(1-0.04)</f>
        <v>18.5472</v>
      </c>
      <c r="W295" s="77">
        <f>IF(ISERROR(VLOOKUP($T$295,'TAR FIN'!$A$1:$O$85,15,0)),0,VLOOKUP($T$295,'TAR FIN'!$A$1:$O$85,15,0))</f>
        <v>0</v>
      </c>
      <c r="X295" s="77">
        <f>IF(ISERROR(VLOOKUP($U$295,'TAR FIN'!$A$1:$O$85,15,0)),0,VLOOKUP($U$295,'TAR FIN'!$A$1:$O$85,15,0))</f>
        <v>0</v>
      </c>
      <c r="Y295" s="77">
        <f ca="1">('TUSD BE'!$AM$10+'TUSD BF'!$AM$10+'TUSD CVA'!$AM$10)*1*(1-0.02)</f>
        <v>16.346441090586261</v>
      </c>
      <c r="Z295" s="77"/>
      <c r="AA295" s="77"/>
      <c r="AB295" s="6">
        <f>$K$295*$V$295</f>
        <v>5935.1040000000003</v>
      </c>
      <c r="AC295" s="6">
        <f>$M$295*$W$295</f>
        <v>0</v>
      </c>
      <c r="AD295" s="6">
        <f>$O$295*$X$295</f>
        <v>0</v>
      </c>
      <c r="AE295" s="6">
        <f ca="1">$K$295*$Y$295</f>
        <v>5230.8611489876039</v>
      </c>
      <c r="AF295" s="6">
        <f>$M$295*$Z$295</f>
        <v>0</v>
      </c>
      <c r="AG295" s="6">
        <f>$O$295*$AA$295</f>
        <v>0</v>
      </c>
    </row>
    <row r="296" spans="1:33" ht="11.25" customHeight="1" x14ac:dyDescent="0.25">
      <c r="A296" s="4" t="s">
        <v>21</v>
      </c>
      <c r="B296" s="4" t="s">
        <v>33</v>
      </c>
      <c r="C296" s="4" t="s">
        <v>34</v>
      </c>
      <c r="D296" s="4" t="s">
        <v>44</v>
      </c>
      <c r="E296" s="4" t="s">
        <v>25</v>
      </c>
      <c r="F296" s="4" t="s">
        <v>25</v>
      </c>
      <c r="G296" s="4" t="s">
        <v>25</v>
      </c>
      <c r="H296" s="4" t="s">
        <v>25</v>
      </c>
      <c r="I296" s="5">
        <v>44470</v>
      </c>
      <c r="J296" s="6">
        <v>8558</v>
      </c>
      <c r="K296" s="77">
        <v>8558</v>
      </c>
      <c r="L296" s="6">
        <v>0</v>
      </c>
      <c r="M296" s="77">
        <v>0</v>
      </c>
      <c r="N296" s="6">
        <v>0</v>
      </c>
      <c r="O296" s="77">
        <v>0</v>
      </c>
      <c r="P296" s="6">
        <v>46</v>
      </c>
      <c r="Q296" s="4" t="s">
        <v>26</v>
      </c>
      <c r="R296" s="4">
        <v>0</v>
      </c>
      <c r="S296" s="6">
        <v>6</v>
      </c>
      <c r="T296" s="6">
        <v>0</v>
      </c>
      <c r="U296" s="6">
        <v>0</v>
      </c>
      <c r="V296" s="77">
        <f>IF(ISERROR(VLOOKUP($S$296,'TAR FIN'!$A$1:$O$85,15,0)),0,VLOOKUP($S$296,'TAR FIN'!$A$1:$O$85,15,0))*(1-0.04)</f>
        <v>18.5472</v>
      </c>
      <c r="W296" s="77">
        <f>IF(ISERROR(VLOOKUP($T$296,'TAR FIN'!$A$1:$O$85,15,0)),0,VLOOKUP($T$296,'TAR FIN'!$A$1:$O$85,15,0))</f>
        <v>0</v>
      </c>
      <c r="X296" s="77">
        <f>IF(ISERROR(VLOOKUP($U$296,'TAR FIN'!$A$1:$O$85,15,0)),0,VLOOKUP($U$296,'TAR FIN'!$A$1:$O$85,15,0))</f>
        <v>0</v>
      </c>
      <c r="Y296" s="77">
        <f ca="1">('TUSD BE'!$AM$10+'TUSD BF'!$AM$10+'TUSD CVA'!$AM$10)*1*(1-0.02)</f>
        <v>16.346441090586261</v>
      </c>
      <c r="Z296" s="77"/>
      <c r="AA296" s="77"/>
      <c r="AB296" s="6">
        <f>$K$296*$V$296</f>
        <v>158726.9376</v>
      </c>
      <c r="AC296" s="6">
        <f>$M$296*$W$296</f>
        <v>0</v>
      </c>
      <c r="AD296" s="6">
        <f>$O$296*$X$296</f>
        <v>0</v>
      </c>
      <c r="AE296" s="6">
        <f ca="1">$K$296*$Y$296</f>
        <v>139892.84285323721</v>
      </c>
      <c r="AF296" s="6">
        <f>$M$296*$Z$296</f>
        <v>0</v>
      </c>
      <c r="AG296" s="6">
        <f>$O$296*$AA$296</f>
        <v>0</v>
      </c>
    </row>
    <row r="297" spans="1:33" ht="11.25" customHeight="1" x14ac:dyDescent="0.25">
      <c r="A297" s="4" t="s">
        <v>28</v>
      </c>
      <c r="B297" s="4" t="s">
        <v>33</v>
      </c>
      <c r="C297" s="4" t="s">
        <v>34</v>
      </c>
      <c r="D297" s="4" t="s">
        <v>44</v>
      </c>
      <c r="E297" s="4" t="s">
        <v>25</v>
      </c>
      <c r="F297" s="4" t="s">
        <v>25</v>
      </c>
      <c r="G297" s="4" t="s">
        <v>25</v>
      </c>
      <c r="H297" s="4" t="s">
        <v>25</v>
      </c>
      <c r="I297" s="5">
        <v>44470</v>
      </c>
      <c r="J297" s="6">
        <v>209</v>
      </c>
      <c r="K297" s="77">
        <v>209</v>
      </c>
      <c r="L297" s="6">
        <v>0</v>
      </c>
      <c r="M297" s="77">
        <v>0</v>
      </c>
      <c r="N297" s="6">
        <v>0</v>
      </c>
      <c r="O297" s="77">
        <v>0</v>
      </c>
      <c r="P297" s="6">
        <v>2</v>
      </c>
      <c r="Q297" s="4" t="s">
        <v>26</v>
      </c>
      <c r="R297" s="4">
        <v>0</v>
      </c>
      <c r="S297" s="6">
        <v>6</v>
      </c>
      <c r="T297" s="6">
        <v>0</v>
      </c>
      <c r="U297" s="6">
        <v>0</v>
      </c>
      <c r="V297" s="77">
        <f>IF(ISERROR(VLOOKUP($S$297,'TAR FIN'!$A$1:$O$85,15,0)),0,VLOOKUP($S$297,'TAR FIN'!$A$1:$O$85,15,0))*(1-0.04)</f>
        <v>18.5472</v>
      </c>
      <c r="W297" s="77">
        <f>IF(ISERROR(VLOOKUP($T$297,'TAR FIN'!$A$1:$O$85,15,0)),0,VLOOKUP($T$297,'TAR FIN'!$A$1:$O$85,15,0))</f>
        <v>0</v>
      </c>
      <c r="X297" s="77">
        <f>IF(ISERROR(VLOOKUP($U$297,'TAR FIN'!$A$1:$O$85,15,0)),0,VLOOKUP($U$297,'TAR FIN'!$A$1:$O$85,15,0))</f>
        <v>0</v>
      </c>
      <c r="Y297" s="77">
        <f ca="1">('TUSD BE'!$AM$10+'TUSD BF'!$AM$10+'TUSD CVA'!$AM$10)*1*(1-0.02)</f>
        <v>16.346441090586261</v>
      </c>
      <c r="Z297" s="77"/>
      <c r="AA297" s="77"/>
      <c r="AB297" s="6">
        <f>$K$297*$V$297</f>
        <v>3876.3647999999998</v>
      </c>
      <c r="AC297" s="6">
        <f>$M$297*$W$297</f>
        <v>0</v>
      </c>
      <c r="AD297" s="6">
        <f>$O$297*$X$297</f>
        <v>0</v>
      </c>
      <c r="AE297" s="6">
        <f ca="1">$K$297*$Y$297</f>
        <v>3416.4061879325286</v>
      </c>
      <c r="AF297" s="6">
        <f>$M$297*$Z$297</f>
        <v>0</v>
      </c>
      <c r="AG297" s="6">
        <f>$O$297*$AA$297</f>
        <v>0</v>
      </c>
    </row>
    <row r="298" spans="1:33" ht="11.25" customHeight="1" x14ac:dyDescent="0.25">
      <c r="A298" s="4" t="s">
        <v>21</v>
      </c>
      <c r="B298" s="4" t="s">
        <v>33</v>
      </c>
      <c r="C298" s="4" t="s">
        <v>34</v>
      </c>
      <c r="D298" s="4" t="s">
        <v>44</v>
      </c>
      <c r="E298" s="4" t="s">
        <v>25</v>
      </c>
      <c r="F298" s="4" t="s">
        <v>25</v>
      </c>
      <c r="G298" s="4" t="s">
        <v>25</v>
      </c>
      <c r="H298" s="4" t="s">
        <v>25</v>
      </c>
      <c r="I298" s="5">
        <v>44501</v>
      </c>
      <c r="J298" s="6">
        <v>7866</v>
      </c>
      <c r="K298" s="77">
        <v>7866</v>
      </c>
      <c r="L298" s="6">
        <v>0</v>
      </c>
      <c r="M298" s="77">
        <v>0</v>
      </c>
      <c r="N298" s="6">
        <v>0</v>
      </c>
      <c r="O298" s="77">
        <v>0</v>
      </c>
      <c r="P298" s="6">
        <v>47</v>
      </c>
      <c r="Q298" s="4" t="s">
        <v>26</v>
      </c>
      <c r="R298" s="4">
        <v>0</v>
      </c>
      <c r="S298" s="6">
        <v>6</v>
      </c>
      <c r="T298" s="6">
        <v>0</v>
      </c>
      <c r="U298" s="6">
        <v>0</v>
      </c>
      <c r="V298" s="77">
        <f>IF(ISERROR(VLOOKUP($S$298,'TAR FIN'!$A$1:$O$85,15,0)),0,VLOOKUP($S$298,'TAR FIN'!$A$1:$O$85,15,0))*(1-0.04)</f>
        <v>18.5472</v>
      </c>
      <c r="W298" s="77">
        <f>IF(ISERROR(VLOOKUP($T$298,'TAR FIN'!$A$1:$O$85,15,0)),0,VLOOKUP($T$298,'TAR FIN'!$A$1:$O$85,15,0))</f>
        <v>0</v>
      </c>
      <c r="X298" s="77">
        <f>IF(ISERROR(VLOOKUP($U$298,'TAR FIN'!$A$1:$O$85,15,0)),0,VLOOKUP($U$298,'TAR FIN'!$A$1:$O$85,15,0))</f>
        <v>0</v>
      </c>
      <c r="Y298" s="77">
        <f ca="1">('TUSD BE'!$AM$10+'TUSD BF'!$AM$10+'TUSD CVA'!$AM$10)*1*(1-0.02)</f>
        <v>16.346441090586261</v>
      </c>
      <c r="Z298" s="77"/>
      <c r="AA298" s="77"/>
      <c r="AB298" s="6">
        <f>$K$298*$V$298</f>
        <v>145892.2752</v>
      </c>
      <c r="AC298" s="6">
        <f>$M$298*$W$298</f>
        <v>0</v>
      </c>
      <c r="AD298" s="6">
        <f>$O$298*$X$298</f>
        <v>0</v>
      </c>
      <c r="AE298" s="6">
        <f ca="1">$K$298*$Y$298</f>
        <v>128581.10561855153</v>
      </c>
      <c r="AF298" s="6">
        <f>$M$298*$Z$298</f>
        <v>0</v>
      </c>
      <c r="AG298" s="6">
        <f>$O$298*$AA$298</f>
        <v>0</v>
      </c>
    </row>
    <row r="299" spans="1:33" ht="11.25" customHeight="1" x14ac:dyDescent="0.25">
      <c r="A299" s="4" t="s">
        <v>28</v>
      </c>
      <c r="B299" s="4" t="s">
        <v>33</v>
      </c>
      <c r="C299" s="4" t="s">
        <v>34</v>
      </c>
      <c r="D299" s="4" t="s">
        <v>44</v>
      </c>
      <c r="E299" s="4" t="s">
        <v>25</v>
      </c>
      <c r="F299" s="4" t="s">
        <v>25</v>
      </c>
      <c r="G299" s="4" t="s">
        <v>25</v>
      </c>
      <c r="H299" s="4" t="s">
        <v>25</v>
      </c>
      <c r="I299" s="5">
        <v>44501</v>
      </c>
      <c r="J299" s="6">
        <v>275</v>
      </c>
      <c r="K299" s="77">
        <v>275</v>
      </c>
      <c r="L299" s="6">
        <v>0</v>
      </c>
      <c r="M299" s="77">
        <v>0</v>
      </c>
      <c r="N299" s="6">
        <v>0</v>
      </c>
      <c r="O299" s="77">
        <v>0</v>
      </c>
      <c r="P299" s="6">
        <v>2</v>
      </c>
      <c r="Q299" s="4" t="s">
        <v>26</v>
      </c>
      <c r="R299" s="4">
        <v>0</v>
      </c>
      <c r="S299" s="6">
        <v>6</v>
      </c>
      <c r="T299" s="6">
        <v>0</v>
      </c>
      <c r="U299" s="6">
        <v>0</v>
      </c>
      <c r="V299" s="77">
        <f>IF(ISERROR(VLOOKUP($S$299,'TAR FIN'!$A$1:$O$85,15,0)),0,VLOOKUP($S$299,'TAR FIN'!$A$1:$O$85,15,0))*(1-0.04)</f>
        <v>18.5472</v>
      </c>
      <c r="W299" s="77">
        <f>IF(ISERROR(VLOOKUP($T$299,'TAR FIN'!$A$1:$O$85,15,0)),0,VLOOKUP($T$299,'TAR FIN'!$A$1:$O$85,15,0))</f>
        <v>0</v>
      </c>
      <c r="X299" s="77">
        <f>IF(ISERROR(VLOOKUP($U$299,'TAR FIN'!$A$1:$O$85,15,0)),0,VLOOKUP($U$299,'TAR FIN'!$A$1:$O$85,15,0))</f>
        <v>0</v>
      </c>
      <c r="Y299" s="77">
        <f ca="1">('TUSD BE'!$AM$10+'TUSD BF'!$AM$10+'TUSD CVA'!$AM$10)*1*(1-0.02)</f>
        <v>16.346441090586261</v>
      </c>
      <c r="Z299" s="77"/>
      <c r="AA299" s="77"/>
      <c r="AB299" s="6">
        <f>$K$299*$V$299</f>
        <v>5100.4800000000005</v>
      </c>
      <c r="AC299" s="6">
        <f>$M$299*$W$299</f>
        <v>0</v>
      </c>
      <c r="AD299" s="6">
        <f>$O$299*$X$299</f>
        <v>0</v>
      </c>
      <c r="AE299" s="6">
        <f ca="1">$K$299*$Y$299</f>
        <v>4495.2712999112218</v>
      </c>
      <c r="AF299" s="6">
        <f>$M$299*$Z$299</f>
        <v>0</v>
      </c>
      <c r="AG299" s="6">
        <f>$O$299*$AA$299</f>
        <v>0</v>
      </c>
    </row>
    <row r="300" spans="1:33" ht="11.25" customHeight="1" x14ac:dyDescent="0.25">
      <c r="A300" s="4" t="s">
        <v>21</v>
      </c>
      <c r="B300" s="4" t="s">
        <v>33</v>
      </c>
      <c r="C300" s="4" t="s">
        <v>34</v>
      </c>
      <c r="D300" s="4" t="s">
        <v>44</v>
      </c>
      <c r="E300" s="4" t="s">
        <v>25</v>
      </c>
      <c r="F300" s="4" t="s">
        <v>25</v>
      </c>
      <c r="G300" s="4" t="s">
        <v>25</v>
      </c>
      <c r="H300" s="4" t="s">
        <v>25</v>
      </c>
      <c r="I300" s="5">
        <v>44531</v>
      </c>
      <c r="J300" s="6">
        <v>8612</v>
      </c>
      <c r="K300" s="77">
        <v>8612</v>
      </c>
      <c r="L300" s="6">
        <v>0</v>
      </c>
      <c r="M300" s="77">
        <v>0</v>
      </c>
      <c r="N300" s="6">
        <v>0</v>
      </c>
      <c r="O300" s="77">
        <v>0</v>
      </c>
      <c r="P300" s="6">
        <v>47</v>
      </c>
      <c r="Q300" s="4" t="s">
        <v>26</v>
      </c>
      <c r="R300" s="4">
        <v>0</v>
      </c>
      <c r="S300" s="6">
        <v>6</v>
      </c>
      <c r="T300" s="6">
        <v>0</v>
      </c>
      <c r="U300" s="6">
        <v>0</v>
      </c>
      <c r="V300" s="77">
        <f>IF(ISERROR(VLOOKUP($S$300,'TAR FIN'!$A$1:$O$85,15,0)),0,VLOOKUP($S$300,'TAR FIN'!$A$1:$O$85,15,0))*(1-0.04)</f>
        <v>18.5472</v>
      </c>
      <c r="W300" s="77">
        <f>IF(ISERROR(VLOOKUP($T$300,'TAR FIN'!$A$1:$O$85,15,0)),0,VLOOKUP($T$300,'TAR FIN'!$A$1:$O$85,15,0))</f>
        <v>0</v>
      </c>
      <c r="X300" s="77">
        <f>IF(ISERROR(VLOOKUP($U$300,'TAR FIN'!$A$1:$O$85,15,0)),0,VLOOKUP($U$300,'TAR FIN'!$A$1:$O$85,15,0))</f>
        <v>0</v>
      </c>
      <c r="Y300" s="77">
        <f ca="1">('TUSD BE'!$AM$10+'TUSD BF'!$AM$10+'TUSD CVA'!$AM$10)*1*(1-0.02)</f>
        <v>16.346441090586261</v>
      </c>
      <c r="Z300" s="77"/>
      <c r="AA300" s="77"/>
      <c r="AB300" s="6">
        <f>$K$300*$V$300</f>
        <v>159728.48639999999</v>
      </c>
      <c r="AC300" s="6">
        <f>$M$300*$W$300</f>
        <v>0</v>
      </c>
      <c r="AD300" s="6">
        <f>$O$300*$X$300</f>
        <v>0</v>
      </c>
      <c r="AE300" s="6">
        <f ca="1">$K$300*$Y$300</f>
        <v>140775.55067212888</v>
      </c>
      <c r="AF300" s="6">
        <f>$M$300*$Z$300</f>
        <v>0</v>
      </c>
      <c r="AG300" s="6">
        <f>$O$300*$AA$300</f>
        <v>0</v>
      </c>
    </row>
    <row r="301" spans="1:33" ht="11.25" customHeight="1" x14ac:dyDescent="0.25">
      <c r="A301" s="4" t="s">
        <v>28</v>
      </c>
      <c r="B301" s="4" t="s">
        <v>33</v>
      </c>
      <c r="C301" s="4" t="s">
        <v>34</v>
      </c>
      <c r="D301" s="4" t="s">
        <v>44</v>
      </c>
      <c r="E301" s="4" t="s">
        <v>25</v>
      </c>
      <c r="F301" s="4" t="s">
        <v>25</v>
      </c>
      <c r="G301" s="4" t="s">
        <v>25</v>
      </c>
      <c r="H301" s="4" t="s">
        <v>25</v>
      </c>
      <c r="I301" s="5">
        <v>44531</v>
      </c>
      <c r="J301" s="6">
        <v>541</v>
      </c>
      <c r="K301" s="77">
        <v>541</v>
      </c>
      <c r="L301" s="6">
        <v>0</v>
      </c>
      <c r="M301" s="77">
        <v>0</v>
      </c>
      <c r="N301" s="6">
        <v>0</v>
      </c>
      <c r="O301" s="77">
        <v>0</v>
      </c>
      <c r="P301" s="6">
        <v>2</v>
      </c>
      <c r="Q301" s="4" t="s">
        <v>26</v>
      </c>
      <c r="R301" s="4">
        <v>0</v>
      </c>
      <c r="S301" s="6">
        <v>6</v>
      </c>
      <c r="T301" s="6">
        <v>0</v>
      </c>
      <c r="U301" s="6">
        <v>0</v>
      </c>
      <c r="V301" s="77">
        <f>IF(ISERROR(VLOOKUP($S$301,'TAR FIN'!$A$1:$O$85,15,0)),0,VLOOKUP($S$301,'TAR FIN'!$A$1:$O$85,15,0))*(1-0.04)</f>
        <v>18.5472</v>
      </c>
      <c r="W301" s="77">
        <f>IF(ISERROR(VLOOKUP($T$301,'TAR FIN'!$A$1:$O$85,15,0)),0,VLOOKUP($T$301,'TAR FIN'!$A$1:$O$85,15,0))</f>
        <v>0</v>
      </c>
      <c r="X301" s="77">
        <f>IF(ISERROR(VLOOKUP($U$301,'TAR FIN'!$A$1:$O$85,15,0)),0,VLOOKUP($U$301,'TAR FIN'!$A$1:$O$85,15,0))</f>
        <v>0</v>
      </c>
      <c r="Y301" s="77">
        <f ca="1">('TUSD BE'!$AM$10+'TUSD BF'!$AM$10+'TUSD CVA'!$AM$10)*1*(1-0.02)</f>
        <v>16.346441090586261</v>
      </c>
      <c r="Z301" s="77"/>
      <c r="AA301" s="77"/>
      <c r="AB301" s="6">
        <f>$K$301*$V$301</f>
        <v>10034.0352</v>
      </c>
      <c r="AC301" s="6">
        <f>$M$301*$W$301</f>
        <v>0</v>
      </c>
      <c r="AD301" s="6">
        <f>$O$301*$X$301</f>
        <v>0</v>
      </c>
      <c r="AE301" s="6">
        <f ca="1">$K$301*$Y$301</f>
        <v>8843.4246300071663</v>
      </c>
      <c r="AF301" s="6">
        <f>$M$301*$Z$301</f>
        <v>0</v>
      </c>
      <c r="AG301" s="6">
        <f>$O$301*$AA$301</f>
        <v>0</v>
      </c>
    </row>
    <row r="302" spans="1:33" ht="11.25" customHeight="1" x14ac:dyDescent="0.25">
      <c r="A302" s="4" t="s">
        <v>21</v>
      </c>
      <c r="B302" s="4" t="s">
        <v>33</v>
      </c>
      <c r="C302" s="4" t="s">
        <v>34</v>
      </c>
      <c r="D302" s="4" t="s">
        <v>44</v>
      </c>
      <c r="E302" s="4" t="s">
        <v>25</v>
      </c>
      <c r="F302" s="4" t="s">
        <v>25</v>
      </c>
      <c r="G302" s="4" t="s">
        <v>25</v>
      </c>
      <c r="H302" s="4" t="s">
        <v>25</v>
      </c>
      <c r="I302" s="5">
        <v>44562</v>
      </c>
      <c r="J302" s="6">
        <v>8678</v>
      </c>
      <c r="K302" s="77">
        <v>8678</v>
      </c>
      <c r="L302" s="6">
        <v>0</v>
      </c>
      <c r="M302" s="77">
        <v>0</v>
      </c>
      <c r="N302" s="6">
        <v>0</v>
      </c>
      <c r="O302" s="77">
        <v>0</v>
      </c>
      <c r="P302" s="6">
        <v>45</v>
      </c>
      <c r="Q302" s="4" t="s">
        <v>26</v>
      </c>
      <c r="R302" s="4">
        <v>0</v>
      </c>
      <c r="S302" s="6">
        <v>6</v>
      </c>
      <c r="T302" s="6">
        <v>0</v>
      </c>
      <c r="U302" s="6">
        <v>0</v>
      </c>
      <c r="V302" s="77">
        <f>IF(ISERROR(VLOOKUP($S$302,'TAR FIN'!$A$1:$O$85,15,0)),0,VLOOKUP($S$302,'TAR FIN'!$A$1:$O$85,15,0))*(1-0.04)</f>
        <v>18.5472</v>
      </c>
      <c r="W302" s="77">
        <f>IF(ISERROR(VLOOKUP($T$302,'TAR FIN'!$A$1:$O$85,15,0)),0,VLOOKUP($T$302,'TAR FIN'!$A$1:$O$85,15,0))</f>
        <v>0</v>
      </c>
      <c r="X302" s="77">
        <f>IF(ISERROR(VLOOKUP($U$302,'TAR FIN'!$A$1:$O$85,15,0)),0,VLOOKUP($U$302,'TAR FIN'!$A$1:$O$85,15,0))</f>
        <v>0</v>
      </c>
      <c r="Y302" s="77">
        <f ca="1">('TUSD BE'!$AM$10+'TUSD BF'!$AM$10+'TUSD CVA'!$AM$10)*1*(1-0.02)</f>
        <v>16.346441090586261</v>
      </c>
      <c r="Z302" s="77"/>
      <c r="AA302" s="77"/>
      <c r="AB302" s="6">
        <f>$K$302*$V$302</f>
        <v>160952.60159999999</v>
      </c>
      <c r="AC302" s="6">
        <f>$M$302*$W$302</f>
        <v>0</v>
      </c>
      <c r="AD302" s="6">
        <f>$O$302*$X$302</f>
        <v>0</v>
      </c>
      <c r="AE302" s="6">
        <f ca="1">$K$302*$Y$302</f>
        <v>141854.41578410758</v>
      </c>
      <c r="AF302" s="6">
        <f>$M$302*$Z$302</f>
        <v>0</v>
      </c>
      <c r="AG302" s="6">
        <f>$O$302*$AA$302</f>
        <v>0</v>
      </c>
    </row>
    <row r="303" spans="1:33" ht="11.25" customHeight="1" x14ac:dyDescent="0.25">
      <c r="A303" s="4" t="s">
        <v>28</v>
      </c>
      <c r="B303" s="4" t="s">
        <v>33</v>
      </c>
      <c r="C303" s="4" t="s">
        <v>34</v>
      </c>
      <c r="D303" s="4" t="s">
        <v>44</v>
      </c>
      <c r="E303" s="4" t="s">
        <v>25</v>
      </c>
      <c r="F303" s="4" t="s">
        <v>25</v>
      </c>
      <c r="G303" s="4" t="s">
        <v>25</v>
      </c>
      <c r="H303" s="4" t="s">
        <v>25</v>
      </c>
      <c r="I303" s="5">
        <v>44562</v>
      </c>
      <c r="J303" s="6">
        <v>268</v>
      </c>
      <c r="K303" s="77">
        <v>268</v>
      </c>
      <c r="L303" s="6">
        <v>0</v>
      </c>
      <c r="M303" s="77">
        <v>0</v>
      </c>
      <c r="N303" s="6">
        <v>0</v>
      </c>
      <c r="O303" s="77">
        <v>0</v>
      </c>
      <c r="P303" s="6">
        <v>2</v>
      </c>
      <c r="Q303" s="4" t="s">
        <v>26</v>
      </c>
      <c r="R303" s="4">
        <v>0</v>
      </c>
      <c r="S303" s="6">
        <v>6</v>
      </c>
      <c r="T303" s="6">
        <v>0</v>
      </c>
      <c r="U303" s="6">
        <v>0</v>
      </c>
      <c r="V303" s="77">
        <f>IF(ISERROR(VLOOKUP($S$303,'TAR FIN'!$A$1:$O$85,15,0)),0,VLOOKUP($S$303,'TAR FIN'!$A$1:$O$85,15,0))*(1-0.04)</f>
        <v>18.5472</v>
      </c>
      <c r="W303" s="77">
        <f>IF(ISERROR(VLOOKUP($T$303,'TAR FIN'!$A$1:$O$85,15,0)),0,VLOOKUP($T$303,'TAR FIN'!$A$1:$O$85,15,0))</f>
        <v>0</v>
      </c>
      <c r="X303" s="77">
        <f>IF(ISERROR(VLOOKUP($U$303,'TAR FIN'!$A$1:$O$85,15,0)),0,VLOOKUP($U$303,'TAR FIN'!$A$1:$O$85,15,0))</f>
        <v>0</v>
      </c>
      <c r="Y303" s="77">
        <f ca="1">('TUSD BE'!$AM$10+'TUSD BF'!$AM$10+'TUSD CVA'!$AM$10)*1*(1-0.02)</f>
        <v>16.346441090586261</v>
      </c>
      <c r="Z303" s="77"/>
      <c r="AA303" s="77"/>
      <c r="AB303" s="6">
        <f>$K$303*$V$303</f>
        <v>4970.6495999999997</v>
      </c>
      <c r="AC303" s="6">
        <f>$M$303*$W$303</f>
        <v>0</v>
      </c>
      <c r="AD303" s="6">
        <f>$O$303*$X$303</f>
        <v>0</v>
      </c>
      <c r="AE303" s="6">
        <f ca="1">$K$303*$Y$303</f>
        <v>4380.846212277118</v>
      </c>
      <c r="AF303" s="6">
        <f>$M$303*$Z$303</f>
        <v>0</v>
      </c>
      <c r="AG303" s="6">
        <f>$O$303*$AA$303</f>
        <v>0</v>
      </c>
    </row>
    <row r="304" spans="1:33" ht="11.25" customHeight="1" x14ac:dyDescent="0.25">
      <c r="A304" s="4" t="s">
        <v>21</v>
      </c>
      <c r="B304" s="4" t="s">
        <v>33</v>
      </c>
      <c r="C304" s="4" t="s">
        <v>34</v>
      </c>
      <c r="D304" s="4" t="s">
        <v>44</v>
      </c>
      <c r="E304" s="4" t="s">
        <v>25</v>
      </c>
      <c r="F304" s="4" t="s">
        <v>25</v>
      </c>
      <c r="G304" s="4" t="s">
        <v>25</v>
      </c>
      <c r="H304" s="4" t="s">
        <v>25</v>
      </c>
      <c r="I304" s="5">
        <v>44593</v>
      </c>
      <c r="J304" s="6">
        <v>7872</v>
      </c>
      <c r="K304" s="77">
        <v>7872</v>
      </c>
      <c r="L304" s="6">
        <v>0</v>
      </c>
      <c r="M304" s="77">
        <v>0</v>
      </c>
      <c r="N304" s="6">
        <v>0</v>
      </c>
      <c r="O304" s="77">
        <v>0</v>
      </c>
      <c r="P304" s="6">
        <v>41</v>
      </c>
      <c r="Q304" s="4" t="s">
        <v>26</v>
      </c>
      <c r="R304" s="4">
        <v>0</v>
      </c>
      <c r="S304" s="6">
        <v>6</v>
      </c>
      <c r="T304" s="6">
        <v>0</v>
      </c>
      <c r="U304" s="6">
        <v>0</v>
      </c>
      <c r="V304" s="77">
        <f>IF(ISERROR(VLOOKUP($S$304,'TAR FIN'!$A$1:$O$85,15,0)),0,VLOOKUP($S$304,'TAR FIN'!$A$1:$O$85,15,0))*(1-0.04)</f>
        <v>18.5472</v>
      </c>
      <c r="W304" s="77">
        <f>IF(ISERROR(VLOOKUP($T$304,'TAR FIN'!$A$1:$O$85,15,0)),0,VLOOKUP($T$304,'TAR FIN'!$A$1:$O$85,15,0))</f>
        <v>0</v>
      </c>
      <c r="X304" s="77">
        <f>IF(ISERROR(VLOOKUP($U$304,'TAR FIN'!$A$1:$O$85,15,0)),0,VLOOKUP($U$304,'TAR FIN'!$A$1:$O$85,15,0))</f>
        <v>0</v>
      </c>
      <c r="Y304" s="77">
        <f ca="1">('TUSD BE'!$AM$10+'TUSD BF'!$AM$10+'TUSD CVA'!$AM$10)*1*(1-0.02)</f>
        <v>16.346441090586261</v>
      </c>
      <c r="Z304" s="77"/>
      <c r="AA304" s="77"/>
      <c r="AB304" s="6">
        <f>$K$304*$V$304</f>
        <v>146003.55840000001</v>
      </c>
      <c r="AC304" s="6">
        <f>$M$304*$W$304</f>
        <v>0</v>
      </c>
      <c r="AD304" s="6">
        <f>$O$304*$X$304</f>
        <v>0</v>
      </c>
      <c r="AE304" s="6">
        <f ca="1">$K$304*$Y$304</f>
        <v>128679.18426509504</v>
      </c>
      <c r="AF304" s="6">
        <f>$M$304*$Z$304</f>
        <v>0</v>
      </c>
      <c r="AG304" s="6">
        <f>$O$304*$AA$304</f>
        <v>0</v>
      </c>
    </row>
    <row r="305" spans="1:33" ht="11.25" customHeight="1" x14ac:dyDescent="0.25">
      <c r="A305" s="4" t="s">
        <v>28</v>
      </c>
      <c r="B305" s="4" t="s">
        <v>33</v>
      </c>
      <c r="C305" s="4" t="s">
        <v>34</v>
      </c>
      <c r="D305" s="4" t="s">
        <v>44</v>
      </c>
      <c r="E305" s="4" t="s">
        <v>25</v>
      </c>
      <c r="F305" s="4" t="s">
        <v>25</v>
      </c>
      <c r="G305" s="4" t="s">
        <v>25</v>
      </c>
      <c r="H305" s="4" t="s">
        <v>25</v>
      </c>
      <c r="I305" s="5">
        <v>44593</v>
      </c>
      <c r="J305" s="6">
        <v>271</v>
      </c>
      <c r="K305" s="77">
        <v>271</v>
      </c>
      <c r="L305" s="6">
        <v>0</v>
      </c>
      <c r="M305" s="77">
        <v>0</v>
      </c>
      <c r="N305" s="6">
        <v>0</v>
      </c>
      <c r="O305" s="77">
        <v>0</v>
      </c>
      <c r="P305" s="6">
        <v>2</v>
      </c>
      <c r="Q305" s="4" t="s">
        <v>26</v>
      </c>
      <c r="R305" s="4">
        <v>0</v>
      </c>
      <c r="S305" s="6">
        <v>6</v>
      </c>
      <c r="T305" s="6">
        <v>0</v>
      </c>
      <c r="U305" s="6">
        <v>0</v>
      </c>
      <c r="V305" s="77">
        <f>IF(ISERROR(VLOOKUP($S$305,'TAR FIN'!$A$1:$O$85,15,0)),0,VLOOKUP($S$305,'TAR FIN'!$A$1:$O$85,15,0))*(1-0.04)</f>
        <v>18.5472</v>
      </c>
      <c r="W305" s="77">
        <f>IF(ISERROR(VLOOKUP($T$305,'TAR FIN'!$A$1:$O$85,15,0)),0,VLOOKUP($T$305,'TAR FIN'!$A$1:$O$85,15,0))</f>
        <v>0</v>
      </c>
      <c r="X305" s="77">
        <f>IF(ISERROR(VLOOKUP($U$305,'TAR FIN'!$A$1:$O$85,15,0)),0,VLOOKUP($U$305,'TAR FIN'!$A$1:$O$85,15,0))</f>
        <v>0</v>
      </c>
      <c r="Y305" s="77">
        <f ca="1">('TUSD BE'!$AM$10+'TUSD BF'!$AM$10+'TUSD CVA'!$AM$10)*1*(1-0.02)</f>
        <v>16.346441090586261</v>
      </c>
      <c r="Z305" s="77"/>
      <c r="AA305" s="77"/>
      <c r="AB305" s="6">
        <f>$K$305*$V$305</f>
        <v>5026.2911999999997</v>
      </c>
      <c r="AC305" s="6">
        <f>$M$305*$W$305</f>
        <v>0</v>
      </c>
      <c r="AD305" s="6">
        <f>$O$305*$X$305</f>
        <v>0</v>
      </c>
      <c r="AE305" s="6">
        <f ca="1">$K$305*$Y$305</f>
        <v>4429.8855355488768</v>
      </c>
      <c r="AF305" s="6">
        <f>$M$305*$Z$305</f>
        <v>0</v>
      </c>
      <c r="AG305" s="6">
        <f>$O$305*$AA$305</f>
        <v>0</v>
      </c>
    </row>
    <row r="306" spans="1:33" ht="11.25" customHeight="1" x14ac:dyDescent="0.25">
      <c r="A306" s="4" t="s">
        <v>21</v>
      </c>
      <c r="B306" s="4" t="s">
        <v>33</v>
      </c>
      <c r="C306" s="4" t="s">
        <v>34</v>
      </c>
      <c r="D306" s="4" t="s">
        <v>44</v>
      </c>
      <c r="E306" s="4" t="s">
        <v>25</v>
      </c>
      <c r="F306" s="4" t="s">
        <v>25</v>
      </c>
      <c r="G306" s="4" t="s">
        <v>25</v>
      </c>
      <c r="H306" s="4" t="s">
        <v>25</v>
      </c>
      <c r="I306" s="5">
        <v>44621</v>
      </c>
      <c r="J306" s="6">
        <v>7637</v>
      </c>
      <c r="K306" s="77">
        <v>7637</v>
      </c>
      <c r="L306" s="6">
        <v>0</v>
      </c>
      <c r="M306" s="77">
        <v>0</v>
      </c>
      <c r="N306" s="6">
        <v>0</v>
      </c>
      <c r="O306" s="77">
        <v>0</v>
      </c>
      <c r="P306" s="6">
        <v>39</v>
      </c>
      <c r="Q306" s="4" t="s">
        <v>26</v>
      </c>
      <c r="R306" s="4">
        <v>0</v>
      </c>
      <c r="S306" s="6">
        <v>6</v>
      </c>
      <c r="T306" s="6">
        <v>0</v>
      </c>
      <c r="U306" s="6">
        <v>0</v>
      </c>
      <c r="V306" s="77">
        <f>IF(ISERROR(VLOOKUP($S$306,'TAR FIN'!$A$1:$O$85,15,0)),0,VLOOKUP($S$306,'TAR FIN'!$A$1:$O$85,15,0))*(1-0.04)</f>
        <v>18.5472</v>
      </c>
      <c r="W306" s="77">
        <f>IF(ISERROR(VLOOKUP($T$306,'TAR FIN'!$A$1:$O$85,15,0)),0,VLOOKUP($T$306,'TAR FIN'!$A$1:$O$85,15,0))</f>
        <v>0</v>
      </c>
      <c r="X306" s="77">
        <f>IF(ISERROR(VLOOKUP($U$306,'TAR FIN'!$A$1:$O$85,15,0)),0,VLOOKUP($U$306,'TAR FIN'!$A$1:$O$85,15,0))</f>
        <v>0</v>
      </c>
      <c r="Y306" s="77">
        <f ca="1">('TUSD BE'!$AM$10+'TUSD BF'!$AM$10+'TUSD CVA'!$AM$10)*1*(1-0.02)</f>
        <v>16.346441090586261</v>
      </c>
      <c r="Z306" s="77"/>
      <c r="AA306" s="77"/>
      <c r="AB306" s="6">
        <f>$K$306*$V$306</f>
        <v>141644.9664</v>
      </c>
      <c r="AC306" s="6">
        <f>$M$306*$W$306</f>
        <v>0</v>
      </c>
      <c r="AD306" s="6">
        <f>$O$306*$X$306</f>
        <v>0</v>
      </c>
      <c r="AE306" s="6">
        <f ca="1">$K$306*$Y$306</f>
        <v>124837.77060880727</v>
      </c>
      <c r="AF306" s="6">
        <f>$M$306*$Z$306</f>
        <v>0</v>
      </c>
      <c r="AG306" s="6">
        <f>$O$306*$AA$306</f>
        <v>0</v>
      </c>
    </row>
    <row r="307" spans="1:33" ht="11.25" customHeight="1" x14ac:dyDescent="0.25">
      <c r="A307" s="4" t="s">
        <v>28</v>
      </c>
      <c r="B307" s="4" t="s">
        <v>33</v>
      </c>
      <c r="C307" s="4" t="s">
        <v>34</v>
      </c>
      <c r="D307" s="4" t="s">
        <v>44</v>
      </c>
      <c r="E307" s="4" t="s">
        <v>25</v>
      </c>
      <c r="F307" s="4" t="s">
        <v>25</v>
      </c>
      <c r="G307" s="4" t="s">
        <v>25</v>
      </c>
      <c r="H307" s="4" t="s">
        <v>25</v>
      </c>
      <c r="I307" s="5">
        <v>44621</v>
      </c>
      <c r="J307" s="6">
        <v>669</v>
      </c>
      <c r="K307" s="77">
        <v>669</v>
      </c>
      <c r="L307" s="6">
        <v>0</v>
      </c>
      <c r="M307" s="77">
        <v>0</v>
      </c>
      <c r="N307" s="6">
        <v>0</v>
      </c>
      <c r="O307" s="77">
        <v>0</v>
      </c>
      <c r="P307" s="6">
        <v>4</v>
      </c>
      <c r="Q307" s="4" t="s">
        <v>26</v>
      </c>
      <c r="R307" s="4">
        <v>0</v>
      </c>
      <c r="S307" s="6">
        <v>6</v>
      </c>
      <c r="T307" s="6">
        <v>0</v>
      </c>
      <c r="U307" s="6">
        <v>0</v>
      </c>
      <c r="V307" s="77">
        <f>IF(ISERROR(VLOOKUP($S$307,'TAR FIN'!$A$1:$O$85,15,0)),0,VLOOKUP($S$307,'TAR FIN'!$A$1:$O$85,15,0))*(1-0.04)</f>
        <v>18.5472</v>
      </c>
      <c r="W307" s="77">
        <f>IF(ISERROR(VLOOKUP($T$307,'TAR FIN'!$A$1:$O$85,15,0)),0,VLOOKUP($T$307,'TAR FIN'!$A$1:$O$85,15,0))</f>
        <v>0</v>
      </c>
      <c r="X307" s="77">
        <f>IF(ISERROR(VLOOKUP($U$307,'TAR FIN'!$A$1:$O$85,15,0)),0,VLOOKUP($U$307,'TAR FIN'!$A$1:$O$85,15,0))</f>
        <v>0</v>
      </c>
      <c r="Y307" s="77">
        <f ca="1">('TUSD BE'!$AM$10+'TUSD BF'!$AM$10+'TUSD CVA'!$AM$10)*1*(1-0.02)</f>
        <v>16.346441090586261</v>
      </c>
      <c r="Z307" s="77"/>
      <c r="AA307" s="77"/>
      <c r="AB307" s="6">
        <f>$K$307*$V$307</f>
        <v>12408.076800000001</v>
      </c>
      <c r="AC307" s="6">
        <f>$M$307*$W$307</f>
        <v>0</v>
      </c>
      <c r="AD307" s="6">
        <f>$O$307*$X$307</f>
        <v>0</v>
      </c>
      <c r="AE307" s="6">
        <f ca="1">$K$307*$Y$307</f>
        <v>10935.769089602209</v>
      </c>
      <c r="AF307" s="6">
        <f>$M$307*$Z$307</f>
        <v>0</v>
      </c>
      <c r="AG307" s="6">
        <f>$O$307*$AA$307</f>
        <v>0</v>
      </c>
    </row>
    <row r="308" spans="1:33" ht="11.25" customHeight="1" x14ac:dyDescent="0.25">
      <c r="A308" s="4" t="s">
        <v>21</v>
      </c>
      <c r="B308" s="4" t="s">
        <v>33</v>
      </c>
      <c r="C308" s="4" t="s">
        <v>34</v>
      </c>
      <c r="D308" s="4" t="s">
        <v>44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44652</v>
      </c>
      <c r="J308" s="6">
        <v>7118</v>
      </c>
      <c r="K308" s="77">
        <v>7118</v>
      </c>
      <c r="L308" s="6">
        <v>0</v>
      </c>
      <c r="M308" s="77">
        <v>0</v>
      </c>
      <c r="N308" s="6">
        <v>0</v>
      </c>
      <c r="O308" s="77">
        <v>0</v>
      </c>
      <c r="P308" s="6">
        <v>39</v>
      </c>
      <c r="Q308" s="4" t="s">
        <v>26</v>
      </c>
      <c r="R308" s="4">
        <v>0</v>
      </c>
      <c r="S308" s="6">
        <v>6</v>
      </c>
      <c r="T308" s="6">
        <v>0</v>
      </c>
      <c r="U308" s="6">
        <v>0</v>
      </c>
      <c r="V308" s="77">
        <f>IF(ISERROR(VLOOKUP($S$308,'TAR FIN'!$A$1:$O$85,15,0)),0,VLOOKUP($S$308,'TAR FIN'!$A$1:$O$85,15,0))*(1-0.04)</f>
        <v>18.5472</v>
      </c>
      <c r="W308" s="77">
        <f>IF(ISERROR(VLOOKUP($T$308,'TAR FIN'!$A$1:$O$85,15,0)),0,VLOOKUP($T$308,'TAR FIN'!$A$1:$O$85,15,0))</f>
        <v>0</v>
      </c>
      <c r="X308" s="77">
        <f>IF(ISERROR(VLOOKUP($U$308,'TAR FIN'!$A$1:$O$85,15,0)),0,VLOOKUP($U$308,'TAR FIN'!$A$1:$O$85,15,0))</f>
        <v>0</v>
      </c>
      <c r="Y308" s="77">
        <f ca="1">('TUSD BE'!$AM$10+'TUSD BF'!$AM$10+'TUSD CVA'!$AM$10)*1*(1-0.02)</f>
        <v>16.346441090586261</v>
      </c>
      <c r="Z308" s="77"/>
      <c r="AA308" s="77"/>
      <c r="AB308" s="6">
        <f>$K$308*$V$308</f>
        <v>132018.96960000001</v>
      </c>
      <c r="AC308" s="6">
        <f>$M$308*$W$308</f>
        <v>0</v>
      </c>
      <c r="AD308" s="6">
        <f>$O$308*$X$308</f>
        <v>0</v>
      </c>
      <c r="AE308" s="6">
        <f ca="1">$K$308*$Y$308</f>
        <v>116353.96768279301</v>
      </c>
      <c r="AF308" s="6">
        <f>$M$308*$Z$308</f>
        <v>0</v>
      </c>
      <c r="AG308" s="6">
        <f>$O$308*$AA$308</f>
        <v>0</v>
      </c>
    </row>
    <row r="309" spans="1:33" ht="11.25" customHeight="1" x14ac:dyDescent="0.25">
      <c r="A309" s="4" t="s">
        <v>21</v>
      </c>
      <c r="B309" s="4" t="s">
        <v>33</v>
      </c>
      <c r="C309" s="4" t="s">
        <v>34</v>
      </c>
      <c r="D309" s="4" t="s">
        <v>44</v>
      </c>
      <c r="E309" s="4" t="s">
        <v>25</v>
      </c>
      <c r="F309" s="4" t="s">
        <v>25</v>
      </c>
      <c r="G309" s="4" t="s">
        <v>25</v>
      </c>
      <c r="H309" s="4" t="s">
        <v>35</v>
      </c>
      <c r="I309" s="5">
        <v>44317</v>
      </c>
      <c r="J309" s="6">
        <v>0</v>
      </c>
      <c r="K309" s="77">
        <v>0</v>
      </c>
      <c r="L309" s="6">
        <v>77.981999999999999</v>
      </c>
      <c r="M309" s="77">
        <v>77.981999999999999</v>
      </c>
      <c r="N309" s="6">
        <v>77.981999999999999</v>
      </c>
      <c r="O309" s="77">
        <v>77.981999999999999</v>
      </c>
      <c r="P309" s="6">
        <v>0</v>
      </c>
      <c r="Q309" s="4" t="s">
        <v>26</v>
      </c>
      <c r="R309" s="4">
        <v>0</v>
      </c>
      <c r="S309" s="6">
        <v>0</v>
      </c>
      <c r="T309" s="6">
        <v>7</v>
      </c>
      <c r="U309" s="6">
        <v>48</v>
      </c>
      <c r="V309" s="77">
        <f>IF(ISERROR(VLOOKUP($S$309,'TAR FIN'!$A$1:$O$85,15,0)),0,VLOOKUP($S$309,'TAR FIN'!$A$1:$O$85,15,0))</f>
        <v>0</v>
      </c>
      <c r="W309" s="77">
        <f>IF(ISERROR(VLOOKUP($T$309,'TAR FIN'!$A$1:$O$85,15,0)),0,VLOOKUP($T$309,'TAR FIN'!$A$1:$O$85,15,0))*(1-0.04)</f>
        <v>910.22399999999993</v>
      </c>
      <c r="X309" s="77">
        <f>IF(ISERROR(VLOOKUP($U$309,'TAR FIN'!$A$1:$O$85,15,0)),0,VLOOKUP($U$309,'TAR FIN'!$A$1:$O$85,15,0))*(1-0.04)</f>
        <v>252.75840000000002</v>
      </c>
      <c r="Y309" s="77"/>
      <c r="Z309" s="77">
        <f ca="1">('TUSD BE'!$AM$11+'TUSD BF'!$AM$11+'TUSD CVA'!$AM$11)*1*(1-0.02)</f>
        <v>956.89459124248037</v>
      </c>
      <c r="AA309" s="77">
        <f>('TE BE'!$AA$5+'TE BF'!$AA$5+'TE CVA'!$AA$5)*1*(1-0.02)</f>
        <v>206.43109646347523</v>
      </c>
      <c r="AB309" s="6">
        <f>$K$309*$V$309</f>
        <v>0</v>
      </c>
      <c r="AC309" s="6">
        <f>$M$309*$W$309</f>
        <v>70981.087967999993</v>
      </c>
      <c r="AD309" s="6">
        <f>$O$309*$X$309</f>
        <v>19710.605548800002</v>
      </c>
      <c r="AE309" s="6">
        <f>$K$309*$Y$309</f>
        <v>0</v>
      </c>
      <c r="AF309" s="6">
        <f ca="1">$M$309*$Z$309</f>
        <v>74620.554014271111</v>
      </c>
      <c r="AG309" s="6">
        <f>$O$309*$AA$309</f>
        <v>16097.909764414726</v>
      </c>
    </row>
    <row r="310" spans="1:33" ht="11.25" customHeight="1" x14ac:dyDescent="0.25">
      <c r="A310" s="4" t="s">
        <v>21</v>
      </c>
      <c r="B310" s="4" t="s">
        <v>33</v>
      </c>
      <c r="C310" s="4" t="s">
        <v>34</v>
      </c>
      <c r="D310" s="4" t="s">
        <v>44</v>
      </c>
      <c r="E310" s="4" t="s">
        <v>25</v>
      </c>
      <c r="F310" s="4" t="s">
        <v>25</v>
      </c>
      <c r="G310" s="4" t="s">
        <v>25</v>
      </c>
      <c r="H310" s="4" t="s">
        <v>35</v>
      </c>
      <c r="I310" s="5">
        <v>44348</v>
      </c>
      <c r="J310" s="6">
        <v>0</v>
      </c>
      <c r="K310" s="77">
        <v>0</v>
      </c>
      <c r="L310" s="6">
        <v>63.808</v>
      </c>
      <c r="M310" s="77">
        <v>63.808</v>
      </c>
      <c r="N310" s="6">
        <v>63.808</v>
      </c>
      <c r="O310" s="77">
        <v>63.808</v>
      </c>
      <c r="P310" s="6">
        <v>0</v>
      </c>
      <c r="Q310" s="4" t="s">
        <v>26</v>
      </c>
      <c r="R310" s="4">
        <v>0</v>
      </c>
      <c r="S310" s="6">
        <v>0</v>
      </c>
      <c r="T310" s="6">
        <v>7</v>
      </c>
      <c r="U310" s="6">
        <v>48</v>
      </c>
      <c r="V310" s="77">
        <f>IF(ISERROR(VLOOKUP($S$310,'TAR FIN'!$A$1:$O$85,15,0)),0,VLOOKUP($S$310,'TAR FIN'!$A$1:$O$85,15,0))</f>
        <v>0</v>
      </c>
      <c r="W310" s="77">
        <f>IF(ISERROR(VLOOKUP($T$310,'TAR FIN'!$A$1:$O$85,15,0)),0,VLOOKUP($T$310,'TAR FIN'!$A$1:$O$85,15,0))*(1-0.04)</f>
        <v>910.22399999999993</v>
      </c>
      <c r="X310" s="77">
        <f>IF(ISERROR(VLOOKUP($U$310,'TAR FIN'!$A$1:$O$85,15,0)),0,VLOOKUP($U$310,'TAR FIN'!$A$1:$O$85,15,0))*(1-0.04)</f>
        <v>252.75840000000002</v>
      </c>
      <c r="Y310" s="77"/>
      <c r="Z310" s="77">
        <f ca="1">('TUSD BE'!$AM$11+'TUSD BF'!$AM$11+'TUSD CVA'!$AM$11)*1*(1-0.02)</f>
        <v>956.89459124248037</v>
      </c>
      <c r="AA310" s="77">
        <f>('TE BE'!$AA$5+'TE BF'!$AA$5+'TE CVA'!$AA$5)*1*(1-0.02)</f>
        <v>206.43109646347523</v>
      </c>
      <c r="AB310" s="6">
        <f>$K$310*$V$310</f>
        <v>0</v>
      </c>
      <c r="AC310" s="6">
        <f>$M$310*$W$310</f>
        <v>58079.572991999994</v>
      </c>
      <c r="AD310" s="6">
        <f>$O$310*$X$310</f>
        <v>16128.007987200001</v>
      </c>
      <c r="AE310" s="6">
        <f>$K$310*$Y$310</f>
        <v>0</v>
      </c>
      <c r="AF310" s="6">
        <f ca="1">$M$310*$Z$310</f>
        <v>61057.530078000185</v>
      </c>
      <c r="AG310" s="6">
        <f>$O$310*$AA$310</f>
        <v>13171.955403141428</v>
      </c>
    </row>
    <row r="311" spans="1:33" ht="11.25" customHeight="1" x14ac:dyDescent="0.25">
      <c r="A311" s="4" t="s">
        <v>21</v>
      </c>
      <c r="B311" s="4" t="s">
        <v>33</v>
      </c>
      <c r="C311" s="4" t="s">
        <v>34</v>
      </c>
      <c r="D311" s="4" t="s">
        <v>44</v>
      </c>
      <c r="E311" s="4" t="s">
        <v>25</v>
      </c>
      <c r="F311" s="4" t="s">
        <v>25</v>
      </c>
      <c r="G311" s="4" t="s">
        <v>25</v>
      </c>
      <c r="H311" s="4" t="s">
        <v>35</v>
      </c>
      <c r="I311" s="5">
        <v>44378</v>
      </c>
      <c r="J311" s="6">
        <v>0</v>
      </c>
      <c r="K311" s="77">
        <v>0</v>
      </c>
      <c r="L311" s="6">
        <v>64.644999999999996</v>
      </c>
      <c r="M311" s="77">
        <v>64.644999999999996</v>
      </c>
      <c r="N311" s="6">
        <v>64.644999999999996</v>
      </c>
      <c r="O311" s="77">
        <v>64.644999999999996</v>
      </c>
      <c r="P311" s="6">
        <v>0</v>
      </c>
      <c r="Q311" s="4" t="s">
        <v>26</v>
      </c>
      <c r="R311" s="4">
        <v>0</v>
      </c>
      <c r="S311" s="6">
        <v>0</v>
      </c>
      <c r="T311" s="6">
        <v>7</v>
      </c>
      <c r="U311" s="6">
        <v>48</v>
      </c>
      <c r="V311" s="77">
        <f>IF(ISERROR(VLOOKUP($S$311,'TAR FIN'!$A$1:$O$85,15,0)),0,VLOOKUP($S$311,'TAR FIN'!$A$1:$O$85,15,0))</f>
        <v>0</v>
      </c>
      <c r="W311" s="77">
        <f>IF(ISERROR(VLOOKUP($T$311,'TAR FIN'!$A$1:$O$85,15,0)),0,VLOOKUP($T$311,'TAR FIN'!$A$1:$O$85,15,0))*(1-0.04)</f>
        <v>910.22399999999993</v>
      </c>
      <c r="X311" s="77">
        <f>IF(ISERROR(VLOOKUP($U$311,'TAR FIN'!$A$1:$O$85,15,0)),0,VLOOKUP($U$311,'TAR FIN'!$A$1:$O$85,15,0))*(1-0.04)</f>
        <v>252.75840000000002</v>
      </c>
      <c r="Y311" s="77"/>
      <c r="Z311" s="77">
        <f ca="1">('TUSD BE'!$AM$11+'TUSD BF'!$AM$11+'TUSD CVA'!$AM$11)*1*(1-0.02)</f>
        <v>956.89459124248037</v>
      </c>
      <c r="AA311" s="77">
        <f>('TE BE'!$AA$5+'TE BF'!$AA$5+'TE CVA'!$AA$5)*1*(1-0.02)</f>
        <v>206.43109646347523</v>
      </c>
      <c r="AB311" s="6">
        <f>$K$311*$V$311</f>
        <v>0</v>
      </c>
      <c r="AC311" s="6">
        <f>$M$311*$W$311</f>
        <v>58841.430479999995</v>
      </c>
      <c r="AD311" s="6">
        <f>$O$311*$X$311</f>
        <v>16339.566768000001</v>
      </c>
      <c r="AE311" s="6">
        <f>$K$311*$Y$311</f>
        <v>0</v>
      </c>
      <c r="AF311" s="6">
        <f ca="1">$M$311*$Z$311</f>
        <v>61858.45085087014</v>
      </c>
      <c r="AG311" s="6">
        <f>$O$311*$AA$311</f>
        <v>13344.738230881356</v>
      </c>
    </row>
    <row r="312" spans="1:33" ht="11.25" customHeight="1" x14ac:dyDescent="0.25">
      <c r="A312" s="4" t="s">
        <v>21</v>
      </c>
      <c r="B312" s="4" t="s">
        <v>33</v>
      </c>
      <c r="C312" s="4" t="s">
        <v>34</v>
      </c>
      <c r="D312" s="4" t="s">
        <v>44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44409</v>
      </c>
      <c r="J312" s="6">
        <v>0</v>
      </c>
      <c r="K312" s="77">
        <v>0</v>
      </c>
      <c r="L312" s="6">
        <v>65.417000000000002</v>
      </c>
      <c r="M312" s="77">
        <v>65.417000000000002</v>
      </c>
      <c r="N312" s="6">
        <v>65.417000000000002</v>
      </c>
      <c r="O312" s="77">
        <v>65.417000000000002</v>
      </c>
      <c r="P312" s="6">
        <v>0</v>
      </c>
      <c r="Q312" s="4" t="s">
        <v>26</v>
      </c>
      <c r="R312" s="4">
        <v>0</v>
      </c>
      <c r="S312" s="6">
        <v>0</v>
      </c>
      <c r="T312" s="6">
        <v>7</v>
      </c>
      <c r="U312" s="6">
        <v>48</v>
      </c>
      <c r="V312" s="77">
        <f>IF(ISERROR(VLOOKUP($S$312,'TAR FIN'!$A$1:$O$85,15,0)),0,VLOOKUP($S$312,'TAR FIN'!$A$1:$O$85,15,0))</f>
        <v>0</v>
      </c>
      <c r="W312" s="77">
        <f>IF(ISERROR(VLOOKUP($T$312,'TAR FIN'!$A$1:$O$85,15,0)),0,VLOOKUP($T$312,'TAR FIN'!$A$1:$O$85,15,0))*(1-0.04)</f>
        <v>910.22399999999993</v>
      </c>
      <c r="X312" s="77">
        <f>IF(ISERROR(VLOOKUP($U$312,'TAR FIN'!$A$1:$O$85,15,0)),0,VLOOKUP($U$312,'TAR FIN'!$A$1:$O$85,15,0))*(1-0.04)</f>
        <v>252.75840000000002</v>
      </c>
      <c r="Y312" s="77"/>
      <c r="Z312" s="77">
        <f ca="1">('TUSD BE'!$AM$11+'TUSD BF'!$AM$11+'TUSD CVA'!$AM$11)*1*(1-0.02)</f>
        <v>956.89459124248037</v>
      </c>
      <c r="AA312" s="77">
        <f>('TE BE'!$AA$5+'TE BF'!$AA$5+'TE CVA'!$AA$5)*1*(1-0.02)</f>
        <v>206.43109646347523</v>
      </c>
      <c r="AB312" s="6">
        <f>$K$312*$V$312</f>
        <v>0</v>
      </c>
      <c r="AC312" s="6">
        <f>$M$312*$W$312</f>
        <v>59544.123407999999</v>
      </c>
      <c r="AD312" s="6">
        <f>$O$312*$X$312</f>
        <v>16534.6962528</v>
      </c>
      <c r="AE312" s="6">
        <f>$K$312*$Y$312</f>
        <v>0</v>
      </c>
      <c r="AF312" s="6">
        <f ca="1">$M$312*$Z$312</f>
        <v>62597.173475309341</v>
      </c>
      <c r="AG312" s="6">
        <f>$O$312*$AA$312</f>
        <v>13504.103037351158</v>
      </c>
    </row>
    <row r="313" spans="1:33" ht="11.25" customHeight="1" x14ac:dyDescent="0.25">
      <c r="A313" s="4" t="s">
        <v>28</v>
      </c>
      <c r="B313" s="4" t="s">
        <v>33</v>
      </c>
      <c r="C313" s="4" t="s">
        <v>34</v>
      </c>
      <c r="D313" s="4" t="s">
        <v>44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44409</v>
      </c>
      <c r="J313" s="6">
        <v>0</v>
      </c>
      <c r="K313" s="77">
        <v>0</v>
      </c>
      <c r="L313" s="6">
        <v>0.44500000000000001</v>
      </c>
      <c r="M313" s="77">
        <v>0.44500000000000001</v>
      </c>
      <c r="N313" s="6">
        <v>0.44500000000000001</v>
      </c>
      <c r="O313" s="77">
        <v>0.44500000000000001</v>
      </c>
      <c r="P313" s="6">
        <v>0</v>
      </c>
      <c r="Q313" s="4" t="s">
        <v>26</v>
      </c>
      <c r="R313" s="4">
        <v>0</v>
      </c>
      <c r="S313" s="6">
        <v>0</v>
      </c>
      <c r="T313" s="6">
        <v>7</v>
      </c>
      <c r="U313" s="6">
        <v>48</v>
      </c>
      <c r="V313" s="77">
        <f>IF(ISERROR(VLOOKUP($S$313,'TAR FIN'!$A$1:$O$85,15,0)),0,VLOOKUP($S$313,'TAR FIN'!$A$1:$O$85,15,0))</f>
        <v>0</v>
      </c>
      <c r="W313" s="77">
        <f>IF(ISERROR(VLOOKUP($T$313,'TAR FIN'!$A$1:$O$85,15,0)),0,VLOOKUP($T$313,'TAR FIN'!$A$1:$O$85,15,0))*(1-0.04)</f>
        <v>910.22399999999993</v>
      </c>
      <c r="X313" s="77">
        <f>IF(ISERROR(VLOOKUP($U$313,'TAR FIN'!$A$1:$O$85,15,0)),0,VLOOKUP($U$313,'TAR FIN'!$A$1:$O$85,15,0))*(1-0.04)</f>
        <v>252.75840000000002</v>
      </c>
      <c r="Y313" s="77"/>
      <c r="Z313" s="77">
        <f ca="1">('TUSD BE'!$AM$11+'TUSD BF'!$AM$11+'TUSD CVA'!$AM$11)*1*(1-0.02)</f>
        <v>956.89459124248037</v>
      </c>
      <c r="AA313" s="77">
        <f>('TE BE'!$AA$5+'TE BF'!$AA$5+'TE CVA'!$AA$5)*1*(1-0.02)</f>
        <v>206.43109646347523</v>
      </c>
      <c r="AB313" s="6">
        <f>$K$313*$V$313</f>
        <v>0</v>
      </c>
      <c r="AC313" s="6">
        <f>$M$313*$W$313</f>
        <v>405.04967999999997</v>
      </c>
      <c r="AD313" s="6">
        <f>$O$313*$X$313</f>
        <v>112.47748800000001</v>
      </c>
      <c r="AE313" s="6">
        <f>$K$313*$Y$313</f>
        <v>0</v>
      </c>
      <c r="AF313" s="6">
        <f ca="1">$M$313*$Z$313</f>
        <v>425.81809310290379</v>
      </c>
      <c r="AG313" s="6">
        <f>$O$313*$AA$313</f>
        <v>91.86183792624648</v>
      </c>
    </row>
    <row r="314" spans="1:33" ht="11.25" customHeight="1" x14ac:dyDescent="0.25">
      <c r="A314" s="4" t="s">
        <v>21</v>
      </c>
      <c r="B314" s="4" t="s">
        <v>33</v>
      </c>
      <c r="C314" s="4" t="s">
        <v>34</v>
      </c>
      <c r="D314" s="4" t="s">
        <v>44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44440</v>
      </c>
      <c r="J314" s="6">
        <v>0</v>
      </c>
      <c r="K314" s="77">
        <v>0</v>
      </c>
      <c r="L314" s="6">
        <v>73.748000000000005</v>
      </c>
      <c r="M314" s="77">
        <v>73.748000000000005</v>
      </c>
      <c r="N314" s="6">
        <v>73.748000000000005</v>
      </c>
      <c r="O314" s="77">
        <v>73.748000000000005</v>
      </c>
      <c r="P314" s="6">
        <v>0</v>
      </c>
      <c r="Q314" s="4" t="s">
        <v>26</v>
      </c>
      <c r="R314" s="4">
        <v>0</v>
      </c>
      <c r="S314" s="6">
        <v>0</v>
      </c>
      <c r="T314" s="6">
        <v>7</v>
      </c>
      <c r="U314" s="6">
        <v>48</v>
      </c>
      <c r="V314" s="77">
        <f>IF(ISERROR(VLOOKUP($S$314,'TAR FIN'!$A$1:$O$85,15,0)),0,VLOOKUP($S$314,'TAR FIN'!$A$1:$O$85,15,0))</f>
        <v>0</v>
      </c>
      <c r="W314" s="77">
        <f>IF(ISERROR(VLOOKUP($T$314,'TAR FIN'!$A$1:$O$85,15,0)),0,VLOOKUP($T$314,'TAR FIN'!$A$1:$O$85,15,0))*(1-0.04)</f>
        <v>910.22399999999993</v>
      </c>
      <c r="X314" s="77">
        <f>IF(ISERROR(VLOOKUP($U$314,'TAR FIN'!$A$1:$O$85,15,0)),0,VLOOKUP($U$314,'TAR FIN'!$A$1:$O$85,15,0))*(1-0.04)</f>
        <v>252.75840000000002</v>
      </c>
      <c r="Y314" s="77"/>
      <c r="Z314" s="77">
        <f ca="1">('TUSD BE'!$AM$11+'TUSD BF'!$AM$11+'TUSD CVA'!$AM$11)*1*(1-0.02)</f>
        <v>956.89459124248037</v>
      </c>
      <c r="AA314" s="77">
        <f>('TE BE'!$AA$5+'TE BF'!$AA$5+'TE CVA'!$AA$5)*1*(1-0.02)</f>
        <v>206.43109646347523</v>
      </c>
      <c r="AB314" s="6">
        <f>$K$314*$V$314</f>
        <v>0</v>
      </c>
      <c r="AC314" s="6">
        <f>$M$314*$W$314</f>
        <v>67127.199552000005</v>
      </c>
      <c r="AD314" s="6">
        <f>$O$314*$X$314</f>
        <v>18640.426483200004</v>
      </c>
      <c r="AE314" s="6">
        <f>$K$314*$Y$314</f>
        <v>0</v>
      </c>
      <c r="AF314" s="6">
        <f ca="1">$M$314*$Z$314</f>
        <v>70569.062314950454</v>
      </c>
      <c r="AG314" s="6">
        <f>$O$314*$AA$314</f>
        <v>15223.880501988371</v>
      </c>
    </row>
    <row r="315" spans="1:33" ht="11.25" customHeight="1" x14ac:dyDescent="0.25">
      <c r="A315" s="4" t="s">
        <v>28</v>
      </c>
      <c r="B315" s="4" t="s">
        <v>33</v>
      </c>
      <c r="C315" s="4" t="s">
        <v>34</v>
      </c>
      <c r="D315" s="4" t="s">
        <v>44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44440</v>
      </c>
      <c r="J315" s="6">
        <v>0</v>
      </c>
      <c r="K315" s="77">
        <v>0</v>
      </c>
      <c r="L315" s="6">
        <v>4.085</v>
      </c>
      <c r="M315" s="77">
        <v>4.085</v>
      </c>
      <c r="N315" s="6">
        <v>4.085</v>
      </c>
      <c r="O315" s="77">
        <v>4.085</v>
      </c>
      <c r="P315" s="6">
        <v>0</v>
      </c>
      <c r="Q315" s="4" t="s">
        <v>26</v>
      </c>
      <c r="R315" s="4">
        <v>0</v>
      </c>
      <c r="S315" s="6">
        <v>0</v>
      </c>
      <c r="T315" s="6">
        <v>7</v>
      </c>
      <c r="U315" s="6">
        <v>48</v>
      </c>
      <c r="V315" s="77">
        <f>IF(ISERROR(VLOOKUP($S$315,'TAR FIN'!$A$1:$O$85,15,0)),0,VLOOKUP($S$315,'TAR FIN'!$A$1:$O$85,15,0))</f>
        <v>0</v>
      </c>
      <c r="W315" s="77">
        <f>IF(ISERROR(VLOOKUP($T$315,'TAR FIN'!$A$1:$O$85,15,0)),0,VLOOKUP($T$315,'TAR FIN'!$A$1:$O$85,15,0))*(1-0.04)</f>
        <v>910.22399999999993</v>
      </c>
      <c r="X315" s="77">
        <f>IF(ISERROR(VLOOKUP($U$315,'TAR FIN'!$A$1:$O$85,15,0)),0,VLOOKUP($U$315,'TAR FIN'!$A$1:$O$85,15,0))*(1-0.04)</f>
        <v>252.75840000000002</v>
      </c>
      <c r="Y315" s="77"/>
      <c r="Z315" s="77">
        <f ca="1">('TUSD BE'!$AM$11+'TUSD BF'!$AM$11+'TUSD CVA'!$AM$11)*1*(1-0.02)</f>
        <v>956.89459124248037</v>
      </c>
      <c r="AA315" s="77">
        <f>('TE BE'!$AA$5+'TE BF'!$AA$5+'TE CVA'!$AA$5)*1*(1-0.02)</f>
        <v>206.43109646347523</v>
      </c>
      <c r="AB315" s="6">
        <f>$K$315*$V$315</f>
        <v>0</v>
      </c>
      <c r="AC315" s="6">
        <f>$M$315*$W$315</f>
        <v>3718.2650399999998</v>
      </c>
      <c r="AD315" s="6">
        <f>$O$315*$X$315</f>
        <v>1032.5180640000001</v>
      </c>
      <c r="AE315" s="6">
        <f>$K$315*$Y$315</f>
        <v>0</v>
      </c>
      <c r="AF315" s="6">
        <f ca="1">$M$315*$Z$315</f>
        <v>3908.9144052255324</v>
      </c>
      <c r="AG315" s="6">
        <f>$O$315*$AA$315</f>
        <v>843.27102905329627</v>
      </c>
    </row>
    <row r="316" spans="1:33" ht="11.25" customHeight="1" x14ac:dyDescent="0.25">
      <c r="A316" s="4" t="s">
        <v>21</v>
      </c>
      <c r="B316" s="4" t="s">
        <v>33</v>
      </c>
      <c r="C316" s="4" t="s">
        <v>34</v>
      </c>
      <c r="D316" s="4" t="s">
        <v>44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44470</v>
      </c>
      <c r="J316" s="6">
        <v>0</v>
      </c>
      <c r="K316" s="77">
        <v>0</v>
      </c>
      <c r="L316" s="6">
        <v>69.872</v>
      </c>
      <c r="M316" s="77">
        <v>69.872</v>
      </c>
      <c r="N316" s="6">
        <v>69.872</v>
      </c>
      <c r="O316" s="77">
        <v>69.872</v>
      </c>
      <c r="P316" s="6">
        <v>0</v>
      </c>
      <c r="Q316" s="4" t="s">
        <v>26</v>
      </c>
      <c r="R316" s="4">
        <v>0</v>
      </c>
      <c r="S316" s="6">
        <v>0</v>
      </c>
      <c r="T316" s="6">
        <v>7</v>
      </c>
      <c r="U316" s="6">
        <v>48</v>
      </c>
      <c r="V316" s="77">
        <f>IF(ISERROR(VLOOKUP($S$316,'TAR FIN'!$A$1:$O$85,15,0)),0,VLOOKUP($S$316,'TAR FIN'!$A$1:$O$85,15,0))</f>
        <v>0</v>
      </c>
      <c r="W316" s="77">
        <f>IF(ISERROR(VLOOKUP($T$316,'TAR FIN'!$A$1:$O$85,15,0)),0,VLOOKUP($T$316,'TAR FIN'!$A$1:$O$85,15,0))*(1-0.04)</f>
        <v>910.22399999999993</v>
      </c>
      <c r="X316" s="77">
        <f>IF(ISERROR(VLOOKUP($U$316,'TAR FIN'!$A$1:$O$85,15,0)),0,VLOOKUP($U$316,'TAR FIN'!$A$1:$O$85,15,0))*(1-0.04)</f>
        <v>252.75840000000002</v>
      </c>
      <c r="Y316" s="77"/>
      <c r="Z316" s="77">
        <f ca="1">('TUSD BE'!$AM$11+'TUSD BF'!$AM$11+'TUSD CVA'!$AM$11)*1*(1-0.02)</f>
        <v>956.89459124248037</v>
      </c>
      <c r="AA316" s="77">
        <f>('TE BE'!$AA$5+'TE BF'!$AA$5+'TE CVA'!$AA$5)*1*(1-0.02)</f>
        <v>206.43109646347523</v>
      </c>
      <c r="AB316" s="6">
        <f>$K$316*$V$316</f>
        <v>0</v>
      </c>
      <c r="AC316" s="6">
        <f>$M$316*$W$316</f>
        <v>63599.171327999997</v>
      </c>
      <c r="AD316" s="6">
        <f>$O$316*$X$316</f>
        <v>17660.734924800003</v>
      </c>
      <c r="AE316" s="6">
        <f>$K$316*$Y$316</f>
        <v>0</v>
      </c>
      <c r="AF316" s="6">
        <f ca="1">$M$316*$Z$316</f>
        <v>66860.138879294595</v>
      </c>
      <c r="AG316" s="6">
        <f>$O$316*$AA$316</f>
        <v>14423.75357209594</v>
      </c>
    </row>
    <row r="317" spans="1:33" ht="11.25" customHeight="1" x14ac:dyDescent="0.25">
      <c r="A317" s="4" t="s">
        <v>28</v>
      </c>
      <c r="B317" s="4" t="s">
        <v>33</v>
      </c>
      <c r="C317" s="4" t="s">
        <v>34</v>
      </c>
      <c r="D317" s="4" t="s">
        <v>44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44470</v>
      </c>
      <c r="J317" s="6">
        <v>0</v>
      </c>
      <c r="K317" s="77">
        <v>0</v>
      </c>
      <c r="L317" s="6">
        <v>5.5250000000000004</v>
      </c>
      <c r="M317" s="77">
        <v>5.5250000000000004</v>
      </c>
      <c r="N317" s="6">
        <v>5.5250000000000004</v>
      </c>
      <c r="O317" s="77">
        <v>5.5250000000000004</v>
      </c>
      <c r="P317" s="6">
        <v>0</v>
      </c>
      <c r="Q317" s="4" t="s">
        <v>26</v>
      </c>
      <c r="R317" s="4">
        <v>0</v>
      </c>
      <c r="S317" s="6">
        <v>0</v>
      </c>
      <c r="T317" s="6">
        <v>7</v>
      </c>
      <c r="U317" s="6">
        <v>48</v>
      </c>
      <c r="V317" s="77">
        <f>IF(ISERROR(VLOOKUP($S$317,'TAR FIN'!$A$1:$O$85,15,0)),0,VLOOKUP($S$317,'TAR FIN'!$A$1:$O$85,15,0))</f>
        <v>0</v>
      </c>
      <c r="W317" s="77">
        <f>IF(ISERROR(VLOOKUP($T$317,'TAR FIN'!$A$1:$O$85,15,0)),0,VLOOKUP($T$317,'TAR FIN'!$A$1:$O$85,15,0))*(1-0.04)</f>
        <v>910.22399999999993</v>
      </c>
      <c r="X317" s="77">
        <f>IF(ISERROR(VLOOKUP($U$317,'TAR FIN'!$A$1:$O$85,15,0)),0,VLOOKUP($U$317,'TAR FIN'!$A$1:$O$85,15,0))*(1-0.04)</f>
        <v>252.75840000000002</v>
      </c>
      <c r="Y317" s="77"/>
      <c r="Z317" s="77">
        <f ca="1">('TUSD BE'!$AM$11+'TUSD BF'!$AM$11+'TUSD CVA'!$AM$11)*1*(1-0.02)</f>
        <v>956.89459124248037</v>
      </c>
      <c r="AA317" s="77">
        <f>('TE BE'!$AA$5+'TE BF'!$AA$5+'TE CVA'!$AA$5)*1*(1-0.02)</f>
        <v>206.43109646347523</v>
      </c>
      <c r="AB317" s="6">
        <f>$K$317*$V$317</f>
        <v>0</v>
      </c>
      <c r="AC317" s="6">
        <f>$M$317*$W$317</f>
        <v>5028.9876000000004</v>
      </c>
      <c r="AD317" s="6">
        <f>$O$317*$X$317</f>
        <v>1396.4901600000003</v>
      </c>
      <c r="AE317" s="6">
        <f>$K$317*$Y$317</f>
        <v>0</v>
      </c>
      <c r="AF317" s="6">
        <f ca="1">$M$317*$Z$317</f>
        <v>5286.8426166147046</v>
      </c>
      <c r="AG317" s="6">
        <f>$O$317*$AA$317</f>
        <v>1140.5318079607007</v>
      </c>
    </row>
    <row r="318" spans="1:33" ht="11.25" customHeight="1" x14ac:dyDescent="0.25">
      <c r="A318" s="4" t="s">
        <v>21</v>
      </c>
      <c r="B318" s="4" t="s">
        <v>33</v>
      </c>
      <c r="C318" s="4" t="s">
        <v>34</v>
      </c>
      <c r="D318" s="4" t="s">
        <v>44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44501</v>
      </c>
      <c r="J318" s="6">
        <v>0</v>
      </c>
      <c r="K318" s="77">
        <v>0</v>
      </c>
      <c r="L318" s="6">
        <v>75.876999999999995</v>
      </c>
      <c r="M318" s="77">
        <v>75.876999999999995</v>
      </c>
      <c r="N318" s="6">
        <v>75.876999999999995</v>
      </c>
      <c r="O318" s="77">
        <v>75.876999999999995</v>
      </c>
      <c r="P318" s="6">
        <v>0</v>
      </c>
      <c r="Q318" s="4" t="s">
        <v>26</v>
      </c>
      <c r="R318" s="4">
        <v>0</v>
      </c>
      <c r="S318" s="6">
        <v>0</v>
      </c>
      <c r="T318" s="6">
        <v>7</v>
      </c>
      <c r="U318" s="6">
        <v>48</v>
      </c>
      <c r="V318" s="77">
        <f>IF(ISERROR(VLOOKUP($S$318,'TAR FIN'!$A$1:$O$85,15,0)),0,VLOOKUP($S$318,'TAR FIN'!$A$1:$O$85,15,0))</f>
        <v>0</v>
      </c>
      <c r="W318" s="77">
        <f>IF(ISERROR(VLOOKUP($T$318,'TAR FIN'!$A$1:$O$85,15,0)),0,VLOOKUP($T$318,'TAR FIN'!$A$1:$O$85,15,0))*(1-0.04)</f>
        <v>910.22399999999993</v>
      </c>
      <c r="X318" s="77">
        <f>IF(ISERROR(VLOOKUP($U$318,'TAR FIN'!$A$1:$O$85,15,0)),0,VLOOKUP($U$318,'TAR FIN'!$A$1:$O$85,15,0))*(1-0.04)</f>
        <v>252.75840000000002</v>
      </c>
      <c r="Y318" s="77"/>
      <c r="Z318" s="77">
        <f ca="1">('TUSD BE'!$AM$11+'TUSD BF'!$AM$11+'TUSD CVA'!$AM$11)*1*(1-0.02)</f>
        <v>956.89459124248037</v>
      </c>
      <c r="AA318" s="77">
        <f>('TE BE'!$AA$5+'TE BF'!$AA$5+'TE CVA'!$AA$5)*1*(1-0.02)</f>
        <v>206.43109646347523</v>
      </c>
      <c r="AB318" s="6">
        <f>$K$318*$V$318</f>
        <v>0</v>
      </c>
      <c r="AC318" s="6">
        <f>$M$318*$W$318</f>
        <v>69065.066447999998</v>
      </c>
      <c r="AD318" s="6">
        <f>$O$318*$X$318</f>
        <v>19178.549116800001</v>
      </c>
      <c r="AE318" s="6">
        <f>$K$318*$Y$318</f>
        <v>0</v>
      </c>
      <c r="AF318" s="6">
        <f ca="1">$M$318*$Z$318</f>
        <v>72606.29089970568</v>
      </c>
      <c r="AG318" s="6">
        <f>$O$318*$AA$318</f>
        <v>15663.37230635911</v>
      </c>
    </row>
    <row r="319" spans="1:33" ht="11.25" customHeight="1" x14ac:dyDescent="0.25">
      <c r="A319" s="4" t="s">
        <v>28</v>
      </c>
      <c r="B319" s="4" t="s">
        <v>33</v>
      </c>
      <c r="C319" s="4" t="s">
        <v>34</v>
      </c>
      <c r="D319" s="4" t="s">
        <v>44</v>
      </c>
      <c r="E319" s="4" t="s">
        <v>25</v>
      </c>
      <c r="F319" s="4" t="s">
        <v>25</v>
      </c>
      <c r="G319" s="4" t="s">
        <v>25</v>
      </c>
      <c r="H319" s="4" t="s">
        <v>35</v>
      </c>
      <c r="I319" s="5">
        <v>44501</v>
      </c>
      <c r="J319" s="6">
        <v>0</v>
      </c>
      <c r="K319" s="77">
        <v>0</v>
      </c>
      <c r="L319" s="6">
        <v>2.8690000000000002</v>
      </c>
      <c r="M319" s="77">
        <v>2.8690000000000002</v>
      </c>
      <c r="N319" s="6">
        <v>2.8690000000000002</v>
      </c>
      <c r="O319" s="77">
        <v>2.8690000000000002</v>
      </c>
      <c r="P319" s="6">
        <v>0</v>
      </c>
      <c r="Q319" s="4" t="s">
        <v>26</v>
      </c>
      <c r="R319" s="4">
        <v>0</v>
      </c>
      <c r="S319" s="6">
        <v>0</v>
      </c>
      <c r="T319" s="6">
        <v>7</v>
      </c>
      <c r="U319" s="6">
        <v>48</v>
      </c>
      <c r="V319" s="77">
        <f>IF(ISERROR(VLOOKUP($S$319,'TAR FIN'!$A$1:$O$85,15,0)),0,VLOOKUP($S$319,'TAR FIN'!$A$1:$O$85,15,0))</f>
        <v>0</v>
      </c>
      <c r="W319" s="77">
        <f>IF(ISERROR(VLOOKUP($T$319,'TAR FIN'!$A$1:$O$85,15,0)),0,VLOOKUP($T$319,'TAR FIN'!$A$1:$O$85,15,0))*(1-0.04)</f>
        <v>910.22399999999993</v>
      </c>
      <c r="X319" s="77">
        <f>IF(ISERROR(VLOOKUP($U$319,'TAR FIN'!$A$1:$O$85,15,0)),0,VLOOKUP($U$319,'TAR FIN'!$A$1:$O$85,15,0))*(1-0.04)</f>
        <v>252.75840000000002</v>
      </c>
      <c r="Y319" s="77"/>
      <c r="Z319" s="77">
        <f ca="1">('TUSD BE'!$AM$11+'TUSD BF'!$AM$11+'TUSD CVA'!$AM$11)*1*(1-0.02)</f>
        <v>956.89459124248037</v>
      </c>
      <c r="AA319" s="77">
        <f>('TE BE'!$AA$5+'TE BF'!$AA$5+'TE CVA'!$AA$5)*1*(1-0.02)</f>
        <v>206.43109646347523</v>
      </c>
      <c r="AB319" s="6">
        <f>$K$319*$V$319</f>
        <v>0</v>
      </c>
      <c r="AC319" s="6">
        <f>$M$319*$W$319</f>
        <v>2611.432656</v>
      </c>
      <c r="AD319" s="6">
        <f>$O$319*$X$319</f>
        <v>725.16384960000016</v>
      </c>
      <c r="AE319" s="6">
        <f>$K$319*$Y$319</f>
        <v>0</v>
      </c>
      <c r="AF319" s="6">
        <f ca="1">$M$319*$Z$319</f>
        <v>2745.3305822746765</v>
      </c>
      <c r="AG319" s="6">
        <f>$O$319*$AA$319</f>
        <v>592.25081575371053</v>
      </c>
    </row>
    <row r="320" spans="1:33" ht="11.25" customHeight="1" x14ac:dyDescent="0.25">
      <c r="A320" s="4" t="s">
        <v>21</v>
      </c>
      <c r="B320" s="4" t="s">
        <v>33</v>
      </c>
      <c r="C320" s="4" t="s">
        <v>34</v>
      </c>
      <c r="D320" s="4" t="s">
        <v>44</v>
      </c>
      <c r="E320" s="4" t="s">
        <v>25</v>
      </c>
      <c r="F320" s="4" t="s">
        <v>25</v>
      </c>
      <c r="G320" s="4" t="s">
        <v>25</v>
      </c>
      <c r="H320" s="4" t="s">
        <v>35</v>
      </c>
      <c r="I320" s="5">
        <v>44531</v>
      </c>
      <c r="J320" s="6">
        <v>0</v>
      </c>
      <c r="K320" s="77">
        <v>0</v>
      </c>
      <c r="L320" s="6">
        <v>96.19</v>
      </c>
      <c r="M320" s="77">
        <v>96.19</v>
      </c>
      <c r="N320" s="6">
        <v>96.19</v>
      </c>
      <c r="O320" s="77">
        <v>96.19</v>
      </c>
      <c r="P320" s="6">
        <v>0</v>
      </c>
      <c r="Q320" s="4" t="s">
        <v>26</v>
      </c>
      <c r="R320" s="4">
        <v>0</v>
      </c>
      <c r="S320" s="6">
        <v>0</v>
      </c>
      <c r="T320" s="6">
        <v>7</v>
      </c>
      <c r="U320" s="6">
        <v>48</v>
      </c>
      <c r="V320" s="77">
        <f>IF(ISERROR(VLOOKUP($S$320,'TAR FIN'!$A$1:$O$85,15,0)),0,VLOOKUP($S$320,'TAR FIN'!$A$1:$O$85,15,0))</f>
        <v>0</v>
      </c>
      <c r="W320" s="77">
        <f>IF(ISERROR(VLOOKUP($T$320,'TAR FIN'!$A$1:$O$85,15,0)),0,VLOOKUP($T$320,'TAR FIN'!$A$1:$O$85,15,0))*(1-0.04)</f>
        <v>910.22399999999993</v>
      </c>
      <c r="X320" s="77">
        <f>IF(ISERROR(VLOOKUP($U$320,'TAR FIN'!$A$1:$O$85,15,0)),0,VLOOKUP($U$320,'TAR FIN'!$A$1:$O$85,15,0))*(1-0.04)</f>
        <v>252.75840000000002</v>
      </c>
      <c r="Y320" s="77"/>
      <c r="Z320" s="77">
        <f ca="1">('TUSD BE'!$AM$11+'TUSD BF'!$AM$11+'TUSD CVA'!$AM$11)*1*(1-0.02)</f>
        <v>956.89459124248037</v>
      </c>
      <c r="AA320" s="77">
        <f>('TE BE'!$AA$5+'TE BF'!$AA$5+'TE CVA'!$AA$5)*1*(1-0.02)</f>
        <v>206.43109646347523</v>
      </c>
      <c r="AB320" s="6">
        <f>$K$320*$V$320</f>
        <v>0</v>
      </c>
      <c r="AC320" s="6">
        <f>$M$320*$W$320</f>
        <v>87554.446559999997</v>
      </c>
      <c r="AD320" s="6">
        <f>$O$320*$X$320</f>
        <v>24312.830496000002</v>
      </c>
      <c r="AE320" s="6">
        <f>$K$320*$Y$320</f>
        <v>0</v>
      </c>
      <c r="AF320" s="6">
        <f ca="1">$M$320*$Z$320</f>
        <v>92043.690731614188</v>
      </c>
      <c r="AG320" s="6">
        <f>$O$320*$AA$320</f>
        <v>19856.607168821683</v>
      </c>
    </row>
    <row r="321" spans="1:33" ht="11.25" customHeight="1" x14ac:dyDescent="0.25">
      <c r="A321" s="4" t="s">
        <v>28</v>
      </c>
      <c r="B321" s="4" t="s">
        <v>33</v>
      </c>
      <c r="C321" s="4" t="s">
        <v>34</v>
      </c>
      <c r="D321" s="4" t="s">
        <v>44</v>
      </c>
      <c r="E321" s="4" t="s">
        <v>25</v>
      </c>
      <c r="F321" s="4" t="s">
        <v>25</v>
      </c>
      <c r="G321" s="4" t="s">
        <v>25</v>
      </c>
      <c r="H321" s="4" t="s">
        <v>35</v>
      </c>
      <c r="I321" s="5">
        <v>44531</v>
      </c>
      <c r="J321" s="6">
        <v>0</v>
      </c>
      <c r="K321" s="77">
        <v>0</v>
      </c>
      <c r="L321" s="6">
        <v>9.3789999999999996</v>
      </c>
      <c r="M321" s="77">
        <v>9.3789999999999996</v>
      </c>
      <c r="N321" s="6">
        <v>9.3789999999999996</v>
      </c>
      <c r="O321" s="77">
        <v>9.3789999999999996</v>
      </c>
      <c r="P321" s="6">
        <v>0</v>
      </c>
      <c r="Q321" s="4" t="s">
        <v>26</v>
      </c>
      <c r="R321" s="4">
        <v>0</v>
      </c>
      <c r="S321" s="6">
        <v>0</v>
      </c>
      <c r="T321" s="6">
        <v>7</v>
      </c>
      <c r="U321" s="6">
        <v>48</v>
      </c>
      <c r="V321" s="77">
        <f>IF(ISERROR(VLOOKUP($S$321,'TAR FIN'!$A$1:$O$85,15,0)),0,VLOOKUP($S$321,'TAR FIN'!$A$1:$O$85,15,0))</f>
        <v>0</v>
      </c>
      <c r="W321" s="77">
        <f>IF(ISERROR(VLOOKUP($T$321,'TAR FIN'!$A$1:$O$85,15,0)),0,VLOOKUP($T$321,'TAR FIN'!$A$1:$O$85,15,0))*(1-0.04)</f>
        <v>910.22399999999993</v>
      </c>
      <c r="X321" s="77">
        <f>IF(ISERROR(VLOOKUP($U$321,'TAR FIN'!$A$1:$O$85,15,0)),0,VLOOKUP($U$321,'TAR FIN'!$A$1:$O$85,15,0))*(1-0.04)</f>
        <v>252.75840000000002</v>
      </c>
      <c r="Y321" s="77"/>
      <c r="Z321" s="77">
        <f ca="1">('TUSD BE'!$AM$11+'TUSD BF'!$AM$11+'TUSD CVA'!$AM$11)*1*(1-0.02)</f>
        <v>956.89459124248037</v>
      </c>
      <c r="AA321" s="77">
        <f>('TE BE'!$AA$5+'TE BF'!$AA$5+'TE CVA'!$AA$5)*1*(1-0.02)</f>
        <v>206.43109646347523</v>
      </c>
      <c r="AB321" s="6">
        <f>$K$321*$V$321</f>
        <v>0</v>
      </c>
      <c r="AC321" s="6">
        <f>$M$321*$W$321</f>
        <v>8536.9908959999993</v>
      </c>
      <c r="AD321" s="6">
        <f>$O$321*$X$321</f>
        <v>2370.6210335999999</v>
      </c>
      <c r="AE321" s="6">
        <f>$K$321*$Y$321</f>
        <v>0</v>
      </c>
      <c r="AF321" s="6">
        <f ca="1">$M$321*$Z$321</f>
        <v>8974.7143712632223</v>
      </c>
      <c r="AG321" s="6">
        <f>$O$321*$AA$321</f>
        <v>1936.1172537309342</v>
      </c>
    </row>
    <row r="322" spans="1:33" ht="11.25" customHeight="1" x14ac:dyDescent="0.25">
      <c r="A322" s="4" t="s">
        <v>21</v>
      </c>
      <c r="B322" s="4" t="s">
        <v>33</v>
      </c>
      <c r="C322" s="4" t="s">
        <v>34</v>
      </c>
      <c r="D322" s="4" t="s">
        <v>44</v>
      </c>
      <c r="E322" s="4" t="s">
        <v>25</v>
      </c>
      <c r="F322" s="4" t="s">
        <v>25</v>
      </c>
      <c r="G322" s="4" t="s">
        <v>25</v>
      </c>
      <c r="H322" s="4" t="s">
        <v>35</v>
      </c>
      <c r="I322" s="5">
        <v>44562</v>
      </c>
      <c r="J322" s="6">
        <v>0</v>
      </c>
      <c r="K322" s="77">
        <v>0</v>
      </c>
      <c r="L322" s="6">
        <v>105.491</v>
      </c>
      <c r="M322" s="77">
        <v>105.491</v>
      </c>
      <c r="N322" s="6">
        <v>105.491</v>
      </c>
      <c r="O322" s="77">
        <v>105.491</v>
      </c>
      <c r="P322" s="6">
        <v>0</v>
      </c>
      <c r="Q322" s="4" t="s">
        <v>26</v>
      </c>
      <c r="R322" s="4">
        <v>0</v>
      </c>
      <c r="S322" s="6">
        <v>0</v>
      </c>
      <c r="T322" s="6">
        <v>7</v>
      </c>
      <c r="U322" s="6">
        <v>48</v>
      </c>
      <c r="V322" s="77">
        <f>IF(ISERROR(VLOOKUP($S$322,'TAR FIN'!$A$1:$O$85,15,0)),0,VLOOKUP($S$322,'TAR FIN'!$A$1:$O$85,15,0))</f>
        <v>0</v>
      </c>
      <c r="W322" s="77">
        <f>IF(ISERROR(VLOOKUP($T$322,'TAR FIN'!$A$1:$O$85,15,0)),0,VLOOKUP($T$322,'TAR FIN'!$A$1:$O$85,15,0))*(1-0.04)</f>
        <v>910.22399999999993</v>
      </c>
      <c r="X322" s="77">
        <f>IF(ISERROR(VLOOKUP($U$322,'TAR FIN'!$A$1:$O$85,15,0)),0,VLOOKUP($U$322,'TAR FIN'!$A$1:$O$85,15,0))*(1-0.04)</f>
        <v>252.75840000000002</v>
      </c>
      <c r="Y322" s="77"/>
      <c r="Z322" s="77">
        <f ca="1">('TUSD BE'!$AM$11+'TUSD BF'!$AM$11+'TUSD CVA'!$AM$11)*1*(1-0.02)</f>
        <v>956.89459124248037</v>
      </c>
      <c r="AA322" s="77">
        <f>('TE BE'!$AA$5+'TE BF'!$AA$5+'TE CVA'!$AA$5)*1*(1-0.02)</f>
        <v>206.43109646347523</v>
      </c>
      <c r="AB322" s="6">
        <f>$K$322*$V$322</f>
        <v>0</v>
      </c>
      <c r="AC322" s="6">
        <f>$M$322*$W$322</f>
        <v>96020.439983999997</v>
      </c>
      <c r="AD322" s="6">
        <f>$O$322*$X$322</f>
        <v>26663.736374400003</v>
      </c>
      <c r="AE322" s="6">
        <f>$K$322*$Y$322</f>
        <v>0</v>
      </c>
      <c r="AF322" s="6">
        <f ca="1">$M$322*$Z$322</f>
        <v>100943.7673247605</v>
      </c>
      <c r="AG322" s="6">
        <f>$O$322*$AA$322</f>
        <v>21776.622797028464</v>
      </c>
    </row>
    <row r="323" spans="1:33" ht="11.25" customHeight="1" x14ac:dyDescent="0.25">
      <c r="A323" s="4" t="s">
        <v>28</v>
      </c>
      <c r="B323" s="4" t="s">
        <v>33</v>
      </c>
      <c r="C323" s="4" t="s">
        <v>34</v>
      </c>
      <c r="D323" s="4" t="s">
        <v>44</v>
      </c>
      <c r="E323" s="4" t="s">
        <v>25</v>
      </c>
      <c r="F323" s="4" t="s">
        <v>25</v>
      </c>
      <c r="G323" s="4" t="s">
        <v>25</v>
      </c>
      <c r="H323" s="4" t="s">
        <v>35</v>
      </c>
      <c r="I323" s="5">
        <v>44562</v>
      </c>
      <c r="J323" s="6">
        <v>0</v>
      </c>
      <c r="K323" s="77">
        <v>0</v>
      </c>
      <c r="L323" s="6">
        <v>9.3650000000000002</v>
      </c>
      <c r="M323" s="77">
        <v>9.3650000000000002</v>
      </c>
      <c r="N323" s="6">
        <v>9.3650000000000002</v>
      </c>
      <c r="O323" s="77">
        <v>9.3650000000000002</v>
      </c>
      <c r="P323" s="6">
        <v>0</v>
      </c>
      <c r="Q323" s="4" t="s">
        <v>26</v>
      </c>
      <c r="R323" s="4">
        <v>0</v>
      </c>
      <c r="S323" s="6">
        <v>0</v>
      </c>
      <c r="T323" s="6">
        <v>7</v>
      </c>
      <c r="U323" s="6">
        <v>48</v>
      </c>
      <c r="V323" s="77">
        <f>IF(ISERROR(VLOOKUP($S$323,'TAR FIN'!$A$1:$O$85,15,0)),0,VLOOKUP($S$323,'TAR FIN'!$A$1:$O$85,15,0))</f>
        <v>0</v>
      </c>
      <c r="W323" s="77">
        <f>IF(ISERROR(VLOOKUP($T$323,'TAR FIN'!$A$1:$O$85,15,0)),0,VLOOKUP($T$323,'TAR FIN'!$A$1:$O$85,15,0))*(1-0.04)</f>
        <v>910.22399999999993</v>
      </c>
      <c r="X323" s="77">
        <f>IF(ISERROR(VLOOKUP($U$323,'TAR FIN'!$A$1:$O$85,15,0)),0,VLOOKUP($U$323,'TAR FIN'!$A$1:$O$85,15,0))*(1-0.04)</f>
        <v>252.75840000000002</v>
      </c>
      <c r="Y323" s="77"/>
      <c r="Z323" s="77">
        <f ca="1">('TUSD BE'!$AM$11+'TUSD BF'!$AM$11+'TUSD CVA'!$AM$11)*1*(1-0.02)</f>
        <v>956.89459124248037</v>
      </c>
      <c r="AA323" s="77">
        <f>('TE BE'!$AA$5+'TE BF'!$AA$5+'TE CVA'!$AA$5)*1*(1-0.02)</f>
        <v>206.43109646347523</v>
      </c>
      <c r="AB323" s="6">
        <f>$K$323*$V$323</f>
        <v>0</v>
      </c>
      <c r="AC323" s="6">
        <f>$M$323*$W$323</f>
        <v>8524.2477600000002</v>
      </c>
      <c r="AD323" s="6">
        <f>$O$323*$X$323</f>
        <v>2367.0824160000002</v>
      </c>
      <c r="AE323" s="6">
        <f>$K$323*$Y$323</f>
        <v>0</v>
      </c>
      <c r="AF323" s="6">
        <f ca="1">$M$323*$Z$323</f>
        <v>8961.3178469858285</v>
      </c>
      <c r="AG323" s="6">
        <f>$O$323*$AA$323</f>
        <v>1933.2272183804455</v>
      </c>
    </row>
    <row r="324" spans="1:33" ht="11.25" customHeight="1" x14ac:dyDescent="0.25">
      <c r="A324" s="4" t="s">
        <v>21</v>
      </c>
      <c r="B324" s="4" t="s">
        <v>33</v>
      </c>
      <c r="C324" s="4" t="s">
        <v>34</v>
      </c>
      <c r="D324" s="4" t="s">
        <v>44</v>
      </c>
      <c r="E324" s="4" t="s">
        <v>25</v>
      </c>
      <c r="F324" s="4" t="s">
        <v>25</v>
      </c>
      <c r="G324" s="4" t="s">
        <v>25</v>
      </c>
      <c r="H324" s="4" t="s">
        <v>35</v>
      </c>
      <c r="I324" s="5">
        <v>44593</v>
      </c>
      <c r="J324" s="6">
        <v>0</v>
      </c>
      <c r="K324" s="77">
        <v>0</v>
      </c>
      <c r="L324" s="6">
        <v>108.82</v>
      </c>
      <c r="M324" s="77">
        <v>108.82</v>
      </c>
      <c r="N324" s="6">
        <v>108.82</v>
      </c>
      <c r="O324" s="77">
        <v>108.82</v>
      </c>
      <c r="P324" s="6">
        <v>0</v>
      </c>
      <c r="Q324" s="4" t="s">
        <v>26</v>
      </c>
      <c r="R324" s="4">
        <v>0</v>
      </c>
      <c r="S324" s="6">
        <v>0</v>
      </c>
      <c r="T324" s="6">
        <v>7</v>
      </c>
      <c r="U324" s="6">
        <v>48</v>
      </c>
      <c r="V324" s="77">
        <f>IF(ISERROR(VLOOKUP($S$324,'TAR FIN'!$A$1:$O$85,15,0)),0,VLOOKUP($S$324,'TAR FIN'!$A$1:$O$85,15,0))</f>
        <v>0</v>
      </c>
      <c r="W324" s="77">
        <f>IF(ISERROR(VLOOKUP($T$324,'TAR FIN'!$A$1:$O$85,15,0)),0,VLOOKUP($T$324,'TAR FIN'!$A$1:$O$85,15,0))*(1-0.04)</f>
        <v>910.22399999999993</v>
      </c>
      <c r="X324" s="77">
        <f>IF(ISERROR(VLOOKUP($U$324,'TAR FIN'!$A$1:$O$85,15,0)),0,VLOOKUP($U$324,'TAR FIN'!$A$1:$O$85,15,0))*(1-0.04)</f>
        <v>252.75840000000002</v>
      </c>
      <c r="Y324" s="77"/>
      <c r="Z324" s="77">
        <f ca="1">('TUSD BE'!$AM$11+'TUSD BF'!$AM$11+'TUSD CVA'!$AM$11)*1*(1-0.02)</f>
        <v>956.89459124248037</v>
      </c>
      <c r="AA324" s="77">
        <f>('TE BE'!$AA$5+'TE BF'!$AA$5+'TE CVA'!$AA$5)*1*(1-0.02)</f>
        <v>206.43109646347523</v>
      </c>
      <c r="AB324" s="6">
        <f>$K$324*$V$324</f>
        <v>0</v>
      </c>
      <c r="AC324" s="6">
        <f>$M$324*$W$324</f>
        <v>99050.57567999998</v>
      </c>
      <c r="AD324" s="6">
        <f>$O$324*$X$324</f>
        <v>27505.169088000002</v>
      </c>
      <c r="AE324" s="6">
        <f>$K$324*$Y$324</f>
        <v>0</v>
      </c>
      <c r="AF324" s="6">
        <f ca="1">$M$324*$Z$324</f>
        <v>104129.26941900671</v>
      </c>
      <c r="AG324" s="6">
        <f>$O$324*$AA$324</f>
        <v>22463.831917155374</v>
      </c>
    </row>
    <row r="325" spans="1:33" ht="11.25" customHeight="1" x14ac:dyDescent="0.25">
      <c r="A325" s="4" t="s">
        <v>21</v>
      </c>
      <c r="B325" s="4" t="s">
        <v>33</v>
      </c>
      <c r="C325" s="4" t="s">
        <v>34</v>
      </c>
      <c r="D325" s="4" t="s">
        <v>44</v>
      </c>
      <c r="E325" s="4" t="s">
        <v>25</v>
      </c>
      <c r="F325" s="4" t="s">
        <v>25</v>
      </c>
      <c r="G325" s="4" t="s">
        <v>25</v>
      </c>
      <c r="H325" s="4" t="s">
        <v>35</v>
      </c>
      <c r="I325" s="5">
        <v>44621</v>
      </c>
      <c r="J325" s="6">
        <v>0</v>
      </c>
      <c r="K325" s="77">
        <v>0</v>
      </c>
      <c r="L325" s="6">
        <v>115.779</v>
      </c>
      <c r="M325" s="77">
        <v>115.779</v>
      </c>
      <c r="N325" s="6">
        <v>115.779</v>
      </c>
      <c r="O325" s="77">
        <v>115.779</v>
      </c>
      <c r="P325" s="6">
        <v>0</v>
      </c>
      <c r="Q325" s="4" t="s">
        <v>26</v>
      </c>
      <c r="R325" s="4">
        <v>0</v>
      </c>
      <c r="S325" s="6">
        <v>0</v>
      </c>
      <c r="T325" s="6">
        <v>7</v>
      </c>
      <c r="U325" s="6">
        <v>48</v>
      </c>
      <c r="V325" s="77">
        <f>IF(ISERROR(VLOOKUP($S$325,'TAR FIN'!$A$1:$O$85,15,0)),0,VLOOKUP($S$325,'TAR FIN'!$A$1:$O$85,15,0))</f>
        <v>0</v>
      </c>
      <c r="W325" s="77">
        <f>IF(ISERROR(VLOOKUP($T$325,'TAR FIN'!$A$1:$O$85,15,0)),0,VLOOKUP($T$325,'TAR FIN'!$A$1:$O$85,15,0))*(1-0.04)</f>
        <v>910.22399999999993</v>
      </c>
      <c r="X325" s="77">
        <f>IF(ISERROR(VLOOKUP($U$325,'TAR FIN'!$A$1:$O$85,15,0)),0,VLOOKUP($U$325,'TAR FIN'!$A$1:$O$85,15,0))*(1-0.04)</f>
        <v>252.75840000000002</v>
      </c>
      <c r="Y325" s="77"/>
      <c r="Z325" s="77">
        <f ca="1">('TUSD BE'!$AM$11+'TUSD BF'!$AM$11+'TUSD CVA'!$AM$11)*1*(1-0.02)</f>
        <v>956.89459124248037</v>
      </c>
      <c r="AA325" s="77">
        <f>('TE BE'!$AA$5+'TE BF'!$AA$5+'TE CVA'!$AA$5)*1*(1-0.02)</f>
        <v>206.43109646347523</v>
      </c>
      <c r="AB325" s="6">
        <f>$K$325*$V$325</f>
        <v>0</v>
      </c>
      <c r="AC325" s="6">
        <f>$M$325*$W$325</f>
        <v>105384.82449599999</v>
      </c>
      <c r="AD325" s="6">
        <f>$O$325*$X$325</f>
        <v>29264.114793600002</v>
      </c>
      <c r="AE325" s="6">
        <f>$K$325*$Y$325</f>
        <v>0</v>
      </c>
      <c r="AF325" s="6">
        <f ca="1">$M$325*$Z$325</f>
        <v>110788.29887946314</v>
      </c>
      <c r="AG325" s="6">
        <f>$O$325*$AA$325</f>
        <v>23900.385917444699</v>
      </c>
    </row>
    <row r="326" spans="1:33" ht="11.25" customHeight="1" x14ac:dyDescent="0.25">
      <c r="A326" s="4" t="s">
        <v>28</v>
      </c>
      <c r="B326" s="4" t="s">
        <v>33</v>
      </c>
      <c r="C326" s="4" t="s">
        <v>34</v>
      </c>
      <c r="D326" s="4" t="s">
        <v>44</v>
      </c>
      <c r="E326" s="4" t="s">
        <v>25</v>
      </c>
      <c r="F326" s="4" t="s">
        <v>25</v>
      </c>
      <c r="G326" s="4" t="s">
        <v>25</v>
      </c>
      <c r="H326" s="4" t="s">
        <v>35</v>
      </c>
      <c r="I326" s="5">
        <v>44621</v>
      </c>
      <c r="J326" s="6">
        <v>0</v>
      </c>
      <c r="K326" s="77">
        <v>0</v>
      </c>
      <c r="L326" s="6">
        <v>20.672000000000001</v>
      </c>
      <c r="M326" s="77">
        <v>20.672000000000001</v>
      </c>
      <c r="N326" s="6">
        <v>20.672000000000001</v>
      </c>
      <c r="O326" s="77">
        <v>20.672000000000001</v>
      </c>
      <c r="P326" s="6">
        <v>0</v>
      </c>
      <c r="Q326" s="4" t="s">
        <v>26</v>
      </c>
      <c r="R326" s="4">
        <v>0</v>
      </c>
      <c r="S326" s="6">
        <v>0</v>
      </c>
      <c r="T326" s="6">
        <v>7</v>
      </c>
      <c r="U326" s="6">
        <v>48</v>
      </c>
      <c r="V326" s="77">
        <f>IF(ISERROR(VLOOKUP($S$326,'TAR FIN'!$A$1:$O$85,15,0)),0,VLOOKUP($S$326,'TAR FIN'!$A$1:$O$85,15,0))</f>
        <v>0</v>
      </c>
      <c r="W326" s="77">
        <f>IF(ISERROR(VLOOKUP($T$326,'TAR FIN'!$A$1:$O$85,15,0)),0,VLOOKUP($T$326,'TAR FIN'!$A$1:$O$85,15,0))*(1-0.04)</f>
        <v>910.22399999999993</v>
      </c>
      <c r="X326" s="77">
        <f>IF(ISERROR(VLOOKUP($U$326,'TAR FIN'!$A$1:$O$85,15,0)),0,VLOOKUP($U$326,'TAR FIN'!$A$1:$O$85,15,0))*(1-0.04)</f>
        <v>252.75840000000002</v>
      </c>
      <c r="Y326" s="77"/>
      <c r="Z326" s="77">
        <f ca="1">('TUSD BE'!$AM$11+'TUSD BF'!$AM$11+'TUSD CVA'!$AM$11)*1*(1-0.02)</f>
        <v>956.89459124248037</v>
      </c>
      <c r="AA326" s="77">
        <f>('TE BE'!$AA$5+'TE BF'!$AA$5+'TE CVA'!$AA$5)*1*(1-0.02)</f>
        <v>206.43109646347523</v>
      </c>
      <c r="AB326" s="6">
        <f>$K$326*$V$326</f>
        <v>0</v>
      </c>
      <c r="AC326" s="6">
        <f>$M$326*$W$326</f>
        <v>18816.150527999998</v>
      </c>
      <c r="AD326" s="6">
        <f>$O$326*$X$326</f>
        <v>5225.021644800001</v>
      </c>
      <c r="AE326" s="6">
        <f>$K$326*$Y$326</f>
        <v>0</v>
      </c>
      <c r="AF326" s="6">
        <f ca="1">$M$326*$Z$326</f>
        <v>19780.924990164556</v>
      </c>
      <c r="AG326" s="6">
        <f>$O$326*$AA$326</f>
        <v>4267.3436260929602</v>
      </c>
    </row>
    <row r="327" spans="1:33" ht="11.25" customHeight="1" x14ac:dyDescent="0.25">
      <c r="A327" s="4" t="s">
        <v>21</v>
      </c>
      <c r="B327" s="4" t="s">
        <v>33</v>
      </c>
      <c r="C327" s="4" t="s">
        <v>34</v>
      </c>
      <c r="D327" s="4" t="s">
        <v>44</v>
      </c>
      <c r="E327" s="4" t="s">
        <v>25</v>
      </c>
      <c r="F327" s="4" t="s">
        <v>25</v>
      </c>
      <c r="G327" s="4" t="s">
        <v>25</v>
      </c>
      <c r="H327" s="4" t="s">
        <v>35</v>
      </c>
      <c r="I327" s="5">
        <v>44652</v>
      </c>
      <c r="J327" s="6">
        <v>0</v>
      </c>
      <c r="K327" s="77">
        <v>0</v>
      </c>
      <c r="L327" s="6">
        <v>83.061000000000007</v>
      </c>
      <c r="M327" s="77">
        <v>83.061000000000007</v>
      </c>
      <c r="N327" s="6">
        <v>83.061000000000007</v>
      </c>
      <c r="O327" s="77">
        <v>83.061000000000007</v>
      </c>
      <c r="P327" s="6">
        <v>0</v>
      </c>
      <c r="Q327" s="4" t="s">
        <v>26</v>
      </c>
      <c r="R327" s="4">
        <v>0</v>
      </c>
      <c r="S327" s="6">
        <v>0</v>
      </c>
      <c r="T327" s="6">
        <v>7</v>
      </c>
      <c r="U327" s="6">
        <v>48</v>
      </c>
      <c r="V327" s="77">
        <f>IF(ISERROR(VLOOKUP($S$327,'TAR FIN'!$A$1:$O$85,15,0)),0,VLOOKUP($S$327,'TAR FIN'!$A$1:$O$85,15,0))</f>
        <v>0</v>
      </c>
      <c r="W327" s="77">
        <f>IF(ISERROR(VLOOKUP($T$327,'TAR FIN'!$A$1:$O$85,15,0)),0,VLOOKUP($T$327,'TAR FIN'!$A$1:$O$85,15,0))*(1-0.04)</f>
        <v>910.22399999999993</v>
      </c>
      <c r="X327" s="77">
        <f>IF(ISERROR(VLOOKUP($U$327,'TAR FIN'!$A$1:$O$85,15,0)),0,VLOOKUP($U$327,'TAR FIN'!$A$1:$O$85,15,0))*(1-0.04)</f>
        <v>252.75840000000002</v>
      </c>
      <c r="Y327" s="77"/>
      <c r="Z327" s="77">
        <f ca="1">('TUSD BE'!$AM$11+'TUSD BF'!$AM$11+'TUSD CVA'!$AM$11)*1*(1-0.02)</f>
        <v>956.89459124248037</v>
      </c>
      <c r="AA327" s="77">
        <f>('TE BE'!$AA$5+'TE BF'!$AA$5+'TE CVA'!$AA$5)*1*(1-0.02)</f>
        <v>206.43109646347523</v>
      </c>
      <c r="AB327" s="6">
        <f>$K$327*$V$327</f>
        <v>0</v>
      </c>
      <c r="AC327" s="6">
        <f>$M$327*$W$327</f>
        <v>75604.115663999997</v>
      </c>
      <c r="AD327" s="6">
        <f>$O$327*$X$327</f>
        <v>20994.365462400005</v>
      </c>
      <c r="AE327" s="6">
        <f>$K$327*$Y$327</f>
        <v>0</v>
      </c>
      <c r="AF327" s="6">
        <f ca="1">$M$327*$Z$327</f>
        <v>79480.621643191669</v>
      </c>
      <c r="AG327" s="6">
        <f>$O$327*$AA$327</f>
        <v>17146.373303352717</v>
      </c>
    </row>
    <row r="328" spans="1:33" ht="11.25" customHeight="1" x14ac:dyDescent="0.25">
      <c r="A328" s="4" t="s">
        <v>21</v>
      </c>
      <c r="B328" s="4" t="s">
        <v>33</v>
      </c>
      <c r="C328" s="4" t="s">
        <v>34</v>
      </c>
      <c r="D328" s="4" t="s">
        <v>50</v>
      </c>
      <c r="E328" s="4" t="s">
        <v>51</v>
      </c>
      <c r="F328" s="4" t="s">
        <v>25</v>
      </c>
      <c r="G328" s="4" t="s">
        <v>25</v>
      </c>
      <c r="H328" s="4" t="s">
        <v>36</v>
      </c>
      <c r="I328" s="5">
        <v>44317</v>
      </c>
      <c r="J328" s="6">
        <v>0</v>
      </c>
      <c r="K328" s="77">
        <v>0</v>
      </c>
      <c r="L328" s="6">
        <v>73.616</v>
      </c>
      <c r="M328" s="77">
        <v>73.616</v>
      </c>
      <c r="N328" s="6">
        <v>73.616</v>
      </c>
      <c r="O328" s="77">
        <v>73.616</v>
      </c>
      <c r="P328" s="6">
        <v>0</v>
      </c>
      <c r="Q328" s="4" t="s">
        <v>26</v>
      </c>
      <c r="R328" s="4">
        <v>0</v>
      </c>
      <c r="S328" s="6">
        <v>0</v>
      </c>
      <c r="T328" s="6">
        <v>8</v>
      </c>
      <c r="U328" s="6">
        <v>49</v>
      </c>
      <c r="V328" s="77">
        <f>IF(ISERROR(VLOOKUP($S$328,'TAR FIN'!$A$1:$O$85,15,0)),0,VLOOKUP($S$328,'TAR FIN'!$A$1:$O$85,15,0))</f>
        <v>0</v>
      </c>
      <c r="W328" s="77">
        <f>IF(ISERROR(VLOOKUP($T$328,'TAR FIN'!$A$1:$O$85,15,0)),0,VLOOKUP($T$328,'TAR FIN'!$A$1:$O$85,15,0))*(1-0.06)</f>
        <v>61.673399999999994</v>
      </c>
      <c r="X328" s="77">
        <f>IF(ISERROR(VLOOKUP($U$328,'TAR FIN'!$A$1:$O$85,15,0)),0,VLOOKUP($U$328,'TAR FIN'!$A$1:$O$85,15,0))*(1-0.06)</f>
        <v>247.49260000000001</v>
      </c>
      <c r="Y328" s="77"/>
      <c r="Z328" s="77">
        <f ca="1">('TUSD BE'!$AM$12+'TUSD BF'!$AM$12+'TUSD CVA'!$AM$12)*1*(1-0.03)</f>
        <v>97.33606921531846</v>
      </c>
      <c r="AA328" s="77">
        <f>('TE BE'!$AA$6+'TE BF'!$AA$6+'TE CVA'!$AA$6)*1*(1-0.03)</f>
        <v>204.32465670364385</v>
      </c>
      <c r="AB328" s="6">
        <f>$K$328*$V$328</f>
        <v>0</v>
      </c>
      <c r="AC328" s="6">
        <f>$M$328*$W$328</f>
        <v>4540.1490143999999</v>
      </c>
      <c r="AD328" s="6">
        <f>$O$328*$X$328</f>
        <v>18219.4152416</v>
      </c>
      <c r="AE328" s="6">
        <f>$K$328*$Y$328</f>
        <v>0</v>
      </c>
      <c r="AF328" s="6">
        <f ca="1">$M$328*$Z$328</f>
        <v>7165.4920713548836</v>
      </c>
      <c r="AG328" s="6">
        <f>$O$328*$AA$328</f>
        <v>15041.563927895446</v>
      </c>
    </row>
    <row r="329" spans="1:33" ht="11.25" customHeight="1" x14ac:dyDescent="0.25">
      <c r="A329" s="4" t="s">
        <v>21</v>
      </c>
      <c r="B329" s="4" t="s">
        <v>33</v>
      </c>
      <c r="C329" s="4" t="s">
        <v>34</v>
      </c>
      <c r="D329" s="4" t="s">
        <v>50</v>
      </c>
      <c r="E329" s="4" t="s">
        <v>51</v>
      </c>
      <c r="F329" s="4" t="s">
        <v>25</v>
      </c>
      <c r="G329" s="4" t="s">
        <v>25</v>
      </c>
      <c r="H329" s="4" t="s">
        <v>36</v>
      </c>
      <c r="I329" s="5">
        <v>44348</v>
      </c>
      <c r="J329" s="6">
        <v>0</v>
      </c>
      <c r="K329" s="77">
        <v>0</v>
      </c>
      <c r="L329" s="6">
        <v>85.453000000000003</v>
      </c>
      <c r="M329" s="77">
        <v>85.453000000000003</v>
      </c>
      <c r="N329" s="6">
        <v>85.453000000000003</v>
      </c>
      <c r="O329" s="77">
        <v>85.453000000000003</v>
      </c>
      <c r="P329" s="6">
        <v>0</v>
      </c>
      <c r="Q329" s="4" t="s">
        <v>26</v>
      </c>
      <c r="R329" s="4">
        <v>0</v>
      </c>
      <c r="S329" s="6">
        <v>0</v>
      </c>
      <c r="T329" s="6">
        <v>8</v>
      </c>
      <c r="U329" s="6">
        <v>49</v>
      </c>
      <c r="V329" s="77">
        <f>IF(ISERROR(VLOOKUP($S$329,'TAR FIN'!$A$1:$O$85,15,0)),0,VLOOKUP($S$329,'TAR FIN'!$A$1:$O$85,15,0))</f>
        <v>0</v>
      </c>
      <c r="W329" s="77">
        <f>IF(ISERROR(VLOOKUP($T$329,'TAR FIN'!$A$1:$O$85,15,0)),0,VLOOKUP($T$329,'TAR FIN'!$A$1:$O$85,15,0))*(1-0.06)</f>
        <v>61.673399999999994</v>
      </c>
      <c r="X329" s="77">
        <f>IF(ISERROR(VLOOKUP($U$329,'TAR FIN'!$A$1:$O$85,15,0)),0,VLOOKUP($U$329,'TAR FIN'!$A$1:$O$85,15,0))*(1-0.06)</f>
        <v>247.49260000000001</v>
      </c>
      <c r="Y329" s="77"/>
      <c r="Z329" s="77">
        <f ca="1">('TUSD BE'!$AM$12+'TUSD BF'!$AM$12+'TUSD CVA'!$AM$12)*1*(1-0.03)</f>
        <v>97.33606921531846</v>
      </c>
      <c r="AA329" s="77">
        <f>('TE BE'!$AA$6+'TE BF'!$AA$6+'TE CVA'!$AA$6)*1*(1-0.03)</f>
        <v>204.32465670364385</v>
      </c>
      <c r="AB329" s="6">
        <f>$K$329*$V$329</f>
        <v>0</v>
      </c>
      <c r="AC329" s="6">
        <f>$M$329*$W$329</f>
        <v>5270.1770501999999</v>
      </c>
      <c r="AD329" s="6">
        <f>$O$329*$X$329</f>
        <v>21148.985147800002</v>
      </c>
      <c r="AE329" s="6">
        <f>$K$329*$Y$329</f>
        <v>0</v>
      </c>
      <c r="AF329" s="6">
        <f ca="1">$M$329*$Z$329</f>
        <v>8317.6591226566088</v>
      </c>
      <c r="AG329" s="6">
        <f>$O$329*$AA$329</f>
        <v>17460.154889296478</v>
      </c>
    </row>
    <row r="330" spans="1:33" ht="11.25" customHeight="1" x14ac:dyDescent="0.25">
      <c r="A330" s="4" t="s">
        <v>21</v>
      </c>
      <c r="B330" s="4" t="s">
        <v>33</v>
      </c>
      <c r="C330" s="4" t="s">
        <v>34</v>
      </c>
      <c r="D330" s="4" t="s">
        <v>50</v>
      </c>
      <c r="E330" s="4" t="s">
        <v>51</v>
      </c>
      <c r="F330" s="4" t="s">
        <v>25</v>
      </c>
      <c r="G330" s="4" t="s">
        <v>25</v>
      </c>
      <c r="H330" s="4" t="s">
        <v>36</v>
      </c>
      <c r="I330" s="5">
        <v>44378</v>
      </c>
      <c r="J330" s="6">
        <v>0</v>
      </c>
      <c r="K330" s="77">
        <v>0</v>
      </c>
      <c r="L330" s="6">
        <v>87.182000000000002</v>
      </c>
      <c r="M330" s="77">
        <v>87.182000000000002</v>
      </c>
      <c r="N330" s="6">
        <v>87.182000000000002</v>
      </c>
      <c r="O330" s="77">
        <v>87.182000000000002</v>
      </c>
      <c r="P330" s="6">
        <v>0</v>
      </c>
      <c r="Q330" s="4" t="s">
        <v>26</v>
      </c>
      <c r="R330" s="4">
        <v>0</v>
      </c>
      <c r="S330" s="6">
        <v>0</v>
      </c>
      <c r="T330" s="6">
        <v>8</v>
      </c>
      <c r="U330" s="6">
        <v>49</v>
      </c>
      <c r="V330" s="77">
        <f>IF(ISERROR(VLOOKUP($S$330,'TAR FIN'!$A$1:$O$85,15,0)),0,VLOOKUP($S$330,'TAR FIN'!$A$1:$O$85,15,0))</f>
        <v>0</v>
      </c>
      <c r="W330" s="77">
        <f>IF(ISERROR(VLOOKUP($T$330,'TAR FIN'!$A$1:$O$85,15,0)),0,VLOOKUP($T$330,'TAR FIN'!$A$1:$O$85,15,0))*(1-0.06)</f>
        <v>61.673399999999994</v>
      </c>
      <c r="X330" s="77">
        <f>IF(ISERROR(VLOOKUP($U$330,'TAR FIN'!$A$1:$O$85,15,0)),0,VLOOKUP($U$330,'TAR FIN'!$A$1:$O$85,15,0))*(1-0.06)</f>
        <v>247.49260000000001</v>
      </c>
      <c r="Y330" s="77"/>
      <c r="Z330" s="77">
        <f ca="1">('TUSD BE'!$AM$12+'TUSD BF'!$AM$12+'TUSD CVA'!$AM$12)*1*(1-0.03)</f>
        <v>97.33606921531846</v>
      </c>
      <c r="AA330" s="77">
        <f>('TE BE'!$AA$6+'TE BF'!$AA$6+'TE CVA'!$AA$6)*1*(1-0.03)</f>
        <v>204.32465670364385</v>
      </c>
      <c r="AB330" s="6">
        <f>$K$330*$V$330</f>
        <v>0</v>
      </c>
      <c r="AC330" s="6">
        <f>$M$330*$W$330</f>
        <v>5376.8103587999994</v>
      </c>
      <c r="AD330" s="6">
        <f>$O$330*$X$330</f>
        <v>21576.899853200001</v>
      </c>
      <c r="AE330" s="6">
        <f>$K$330*$Y$330</f>
        <v>0</v>
      </c>
      <c r="AF330" s="6">
        <f ca="1">$M$330*$Z$330</f>
        <v>8485.9531863298944</v>
      </c>
      <c r="AG330" s="6">
        <f>$O$330*$AA$330</f>
        <v>17813.432220737079</v>
      </c>
    </row>
    <row r="331" spans="1:33" ht="11.25" customHeight="1" x14ac:dyDescent="0.25">
      <c r="A331" s="4" t="s">
        <v>21</v>
      </c>
      <c r="B331" s="4" t="s">
        <v>33</v>
      </c>
      <c r="C331" s="4" t="s">
        <v>34</v>
      </c>
      <c r="D331" s="4" t="s">
        <v>50</v>
      </c>
      <c r="E331" s="4" t="s">
        <v>51</v>
      </c>
      <c r="F331" s="4" t="s">
        <v>25</v>
      </c>
      <c r="G331" s="4" t="s">
        <v>25</v>
      </c>
      <c r="H331" s="4" t="s">
        <v>36</v>
      </c>
      <c r="I331" s="5">
        <v>44409</v>
      </c>
      <c r="J331" s="6">
        <v>0</v>
      </c>
      <c r="K331" s="77">
        <v>0</v>
      </c>
      <c r="L331" s="6">
        <v>82.013999999999996</v>
      </c>
      <c r="M331" s="77">
        <v>82.013999999999996</v>
      </c>
      <c r="N331" s="6">
        <v>82.013999999999996</v>
      </c>
      <c r="O331" s="77">
        <v>82.013999999999996</v>
      </c>
      <c r="P331" s="6">
        <v>0</v>
      </c>
      <c r="Q331" s="4" t="s">
        <v>26</v>
      </c>
      <c r="R331" s="4">
        <v>0</v>
      </c>
      <c r="S331" s="6">
        <v>0</v>
      </c>
      <c r="T331" s="6">
        <v>8</v>
      </c>
      <c r="U331" s="6">
        <v>49</v>
      </c>
      <c r="V331" s="77">
        <f>IF(ISERROR(VLOOKUP($S$331,'TAR FIN'!$A$1:$O$85,15,0)),0,VLOOKUP($S$331,'TAR FIN'!$A$1:$O$85,15,0))</f>
        <v>0</v>
      </c>
      <c r="W331" s="77">
        <f>IF(ISERROR(VLOOKUP($T$331,'TAR FIN'!$A$1:$O$85,15,0)),0,VLOOKUP($T$331,'TAR FIN'!$A$1:$O$85,15,0))*(1-0.06)</f>
        <v>61.673399999999994</v>
      </c>
      <c r="X331" s="77">
        <f>IF(ISERROR(VLOOKUP($U$331,'TAR FIN'!$A$1:$O$85,15,0)),0,VLOOKUP($U$331,'TAR FIN'!$A$1:$O$85,15,0))*(1-0.06)</f>
        <v>247.49260000000001</v>
      </c>
      <c r="Y331" s="77"/>
      <c r="Z331" s="77">
        <f ca="1">('TUSD BE'!$AM$12+'TUSD BF'!$AM$12+'TUSD CVA'!$AM$12)*1*(1-0.03)</f>
        <v>97.33606921531846</v>
      </c>
      <c r="AA331" s="77">
        <f>('TE BE'!$AA$6+'TE BF'!$AA$6+'TE CVA'!$AA$6)*1*(1-0.03)</f>
        <v>204.32465670364385</v>
      </c>
      <c r="AB331" s="6">
        <f>$K$331*$V$331</f>
        <v>0</v>
      </c>
      <c r="AC331" s="6">
        <f>$M$331*$W$331</f>
        <v>5058.082227599999</v>
      </c>
      <c r="AD331" s="6">
        <f>$O$331*$X$331</f>
        <v>20297.858096399999</v>
      </c>
      <c r="AE331" s="6">
        <f>$K$331*$Y$331</f>
        <v>0</v>
      </c>
      <c r="AF331" s="6">
        <f ca="1">$M$331*$Z$331</f>
        <v>7982.920380625128</v>
      </c>
      <c r="AG331" s="6">
        <f>$O$331*$AA$331</f>
        <v>16757.482394892646</v>
      </c>
    </row>
    <row r="332" spans="1:33" ht="11.25" customHeight="1" x14ac:dyDescent="0.25">
      <c r="A332" s="4" t="s">
        <v>21</v>
      </c>
      <c r="B332" s="4" t="s">
        <v>33</v>
      </c>
      <c r="C332" s="4" t="s">
        <v>34</v>
      </c>
      <c r="D332" s="4" t="s">
        <v>50</v>
      </c>
      <c r="E332" s="4" t="s">
        <v>51</v>
      </c>
      <c r="F332" s="4" t="s">
        <v>25</v>
      </c>
      <c r="G332" s="4" t="s">
        <v>25</v>
      </c>
      <c r="H332" s="4" t="s">
        <v>36</v>
      </c>
      <c r="I332" s="5">
        <v>44440</v>
      </c>
      <c r="J332" s="6">
        <v>0</v>
      </c>
      <c r="K332" s="77">
        <v>0</v>
      </c>
      <c r="L332" s="6">
        <v>76.3</v>
      </c>
      <c r="M332" s="77">
        <v>76.3</v>
      </c>
      <c r="N332" s="6">
        <v>76.3</v>
      </c>
      <c r="O332" s="77">
        <v>76.3</v>
      </c>
      <c r="P332" s="6">
        <v>0</v>
      </c>
      <c r="Q332" s="4" t="s">
        <v>26</v>
      </c>
      <c r="R332" s="4">
        <v>0</v>
      </c>
      <c r="S332" s="6">
        <v>0</v>
      </c>
      <c r="T332" s="6">
        <v>8</v>
      </c>
      <c r="U332" s="6">
        <v>49</v>
      </c>
      <c r="V332" s="77">
        <f>IF(ISERROR(VLOOKUP($S$332,'TAR FIN'!$A$1:$O$85,15,0)),0,VLOOKUP($S$332,'TAR FIN'!$A$1:$O$85,15,0))</f>
        <v>0</v>
      </c>
      <c r="W332" s="77">
        <f>IF(ISERROR(VLOOKUP($T$332,'TAR FIN'!$A$1:$O$85,15,0)),0,VLOOKUP($T$332,'TAR FIN'!$A$1:$O$85,15,0))*(1-0.06)</f>
        <v>61.673399999999994</v>
      </c>
      <c r="X332" s="77">
        <f>IF(ISERROR(VLOOKUP($U$332,'TAR FIN'!$A$1:$O$85,15,0)),0,VLOOKUP($U$332,'TAR FIN'!$A$1:$O$85,15,0))*(1-0.06)</f>
        <v>247.49260000000001</v>
      </c>
      <c r="Y332" s="77"/>
      <c r="Z332" s="77">
        <f ca="1">('TUSD BE'!$AM$12+'TUSD BF'!$AM$12+'TUSD CVA'!$AM$12)*1*(1-0.03)</f>
        <v>97.33606921531846</v>
      </c>
      <c r="AA332" s="77">
        <f>('TE BE'!$AA$6+'TE BF'!$AA$6+'TE CVA'!$AA$6)*1*(1-0.03)</f>
        <v>204.32465670364385</v>
      </c>
      <c r="AB332" s="6">
        <f>$K$332*$V$332</f>
        <v>0</v>
      </c>
      <c r="AC332" s="6">
        <f>$M$332*$W$332</f>
        <v>4705.6804199999997</v>
      </c>
      <c r="AD332" s="6">
        <f>$O$332*$X$332</f>
        <v>18883.685379999999</v>
      </c>
      <c r="AE332" s="6">
        <f>$K$332*$Y$332</f>
        <v>0</v>
      </c>
      <c r="AF332" s="6">
        <f ca="1">$M$332*$Z$332</f>
        <v>7426.7420811287984</v>
      </c>
      <c r="AG332" s="6">
        <f>$O$332*$AA$332</f>
        <v>15589.971306488025</v>
      </c>
    </row>
    <row r="333" spans="1:33" ht="11.25" customHeight="1" x14ac:dyDescent="0.25">
      <c r="A333" s="4" t="s">
        <v>21</v>
      </c>
      <c r="B333" s="4" t="s">
        <v>33</v>
      </c>
      <c r="C333" s="4" t="s">
        <v>34</v>
      </c>
      <c r="D333" s="4" t="s">
        <v>50</v>
      </c>
      <c r="E333" s="4" t="s">
        <v>51</v>
      </c>
      <c r="F333" s="4" t="s">
        <v>25</v>
      </c>
      <c r="G333" s="4" t="s">
        <v>25</v>
      </c>
      <c r="H333" s="4" t="s">
        <v>36</v>
      </c>
      <c r="I333" s="5">
        <v>44470</v>
      </c>
      <c r="J333" s="6">
        <v>0</v>
      </c>
      <c r="K333" s="77">
        <v>0</v>
      </c>
      <c r="L333" s="6">
        <v>82.744</v>
      </c>
      <c r="M333" s="77">
        <v>82.744</v>
      </c>
      <c r="N333" s="6">
        <v>82.744</v>
      </c>
      <c r="O333" s="77">
        <v>82.744</v>
      </c>
      <c r="P333" s="6">
        <v>0</v>
      </c>
      <c r="Q333" s="4" t="s">
        <v>26</v>
      </c>
      <c r="R333" s="4">
        <v>0</v>
      </c>
      <c r="S333" s="6">
        <v>0</v>
      </c>
      <c r="T333" s="6">
        <v>8</v>
      </c>
      <c r="U333" s="6">
        <v>49</v>
      </c>
      <c r="V333" s="77">
        <f>IF(ISERROR(VLOOKUP($S$333,'TAR FIN'!$A$1:$O$85,15,0)),0,VLOOKUP($S$333,'TAR FIN'!$A$1:$O$85,15,0))</f>
        <v>0</v>
      </c>
      <c r="W333" s="77">
        <f>IF(ISERROR(VLOOKUP($T$333,'TAR FIN'!$A$1:$O$85,15,0)),0,VLOOKUP($T$333,'TAR FIN'!$A$1:$O$85,15,0))*(1-0.06)</f>
        <v>61.673399999999994</v>
      </c>
      <c r="X333" s="77">
        <f>IF(ISERROR(VLOOKUP($U$333,'TAR FIN'!$A$1:$O$85,15,0)),0,VLOOKUP($U$333,'TAR FIN'!$A$1:$O$85,15,0))*(1-0.06)</f>
        <v>247.49260000000001</v>
      </c>
      <c r="Y333" s="77"/>
      <c r="Z333" s="77">
        <f ca="1">('TUSD BE'!$AM$12+'TUSD BF'!$AM$12+'TUSD CVA'!$AM$12)*1*(1-0.03)</f>
        <v>97.33606921531846</v>
      </c>
      <c r="AA333" s="77">
        <f>('TE BE'!$AA$6+'TE BF'!$AA$6+'TE CVA'!$AA$6)*1*(1-0.03)</f>
        <v>204.32465670364385</v>
      </c>
      <c r="AB333" s="6">
        <f>$K$333*$V$333</f>
        <v>0</v>
      </c>
      <c r="AC333" s="6">
        <f>$M$333*$W$333</f>
        <v>5103.1038095999993</v>
      </c>
      <c r="AD333" s="6">
        <f>$O$333*$X$333</f>
        <v>20478.5276944</v>
      </c>
      <c r="AE333" s="6">
        <f>$K$333*$Y$333</f>
        <v>0</v>
      </c>
      <c r="AF333" s="6">
        <f ca="1">$M$333*$Z$333</f>
        <v>8053.9757111523104</v>
      </c>
      <c r="AG333" s="6">
        <f>$O$333*$AA$333</f>
        <v>16906.639394286307</v>
      </c>
    </row>
    <row r="334" spans="1:33" ht="11.25" customHeight="1" x14ac:dyDescent="0.25">
      <c r="A334" s="4" t="s">
        <v>21</v>
      </c>
      <c r="B334" s="4" t="s">
        <v>33</v>
      </c>
      <c r="C334" s="4" t="s">
        <v>34</v>
      </c>
      <c r="D334" s="4" t="s">
        <v>50</v>
      </c>
      <c r="E334" s="4" t="s">
        <v>51</v>
      </c>
      <c r="F334" s="4" t="s">
        <v>25</v>
      </c>
      <c r="G334" s="4" t="s">
        <v>25</v>
      </c>
      <c r="H334" s="4" t="s">
        <v>36</v>
      </c>
      <c r="I334" s="5">
        <v>44501</v>
      </c>
      <c r="J334" s="6">
        <v>0</v>
      </c>
      <c r="K334" s="77">
        <v>0</v>
      </c>
      <c r="L334" s="6">
        <v>92.778999999999996</v>
      </c>
      <c r="M334" s="77">
        <v>92.778999999999996</v>
      </c>
      <c r="N334" s="6">
        <v>92.778999999999996</v>
      </c>
      <c r="O334" s="77">
        <v>92.778999999999996</v>
      </c>
      <c r="P334" s="6">
        <v>0</v>
      </c>
      <c r="Q334" s="4" t="s">
        <v>26</v>
      </c>
      <c r="R334" s="4">
        <v>0</v>
      </c>
      <c r="S334" s="6">
        <v>0</v>
      </c>
      <c r="T334" s="6">
        <v>8</v>
      </c>
      <c r="U334" s="6">
        <v>49</v>
      </c>
      <c r="V334" s="77">
        <f>IF(ISERROR(VLOOKUP($S$334,'TAR FIN'!$A$1:$O$85,15,0)),0,VLOOKUP($S$334,'TAR FIN'!$A$1:$O$85,15,0))</f>
        <v>0</v>
      </c>
      <c r="W334" s="77">
        <f>IF(ISERROR(VLOOKUP($T$334,'TAR FIN'!$A$1:$O$85,15,0)),0,VLOOKUP($T$334,'TAR FIN'!$A$1:$O$85,15,0))*(1-0.06)</f>
        <v>61.673399999999994</v>
      </c>
      <c r="X334" s="77">
        <f>IF(ISERROR(VLOOKUP($U$334,'TAR FIN'!$A$1:$O$85,15,0)),0,VLOOKUP($U$334,'TAR FIN'!$A$1:$O$85,15,0))*(1-0.06)</f>
        <v>247.49260000000001</v>
      </c>
      <c r="Y334" s="77"/>
      <c r="Z334" s="77">
        <f ca="1">('TUSD BE'!$AM$12+'TUSD BF'!$AM$12+'TUSD CVA'!$AM$12)*1*(1-0.03)</f>
        <v>97.33606921531846</v>
      </c>
      <c r="AA334" s="77">
        <f>('TE BE'!$AA$6+'TE BF'!$AA$6+'TE CVA'!$AA$6)*1*(1-0.03)</f>
        <v>204.32465670364385</v>
      </c>
      <c r="AB334" s="6">
        <f>$K$334*$V$334</f>
        <v>0</v>
      </c>
      <c r="AC334" s="6">
        <f>$M$334*$W$334</f>
        <v>5721.9963785999989</v>
      </c>
      <c r="AD334" s="6">
        <f>$O$334*$X$334</f>
        <v>22962.115935400001</v>
      </c>
      <c r="AE334" s="6">
        <f>$K$334*$Y$334</f>
        <v>0</v>
      </c>
      <c r="AF334" s="6">
        <f ca="1">$M$334*$Z$334</f>
        <v>9030.7431657280304</v>
      </c>
      <c r="AG334" s="6">
        <f>$O$334*$AA$334</f>
        <v>18957.037324307374</v>
      </c>
    </row>
    <row r="335" spans="1:33" ht="11.25" customHeight="1" x14ac:dyDescent="0.25">
      <c r="A335" s="4" t="s">
        <v>21</v>
      </c>
      <c r="B335" s="4" t="s">
        <v>33</v>
      </c>
      <c r="C335" s="4" t="s">
        <v>34</v>
      </c>
      <c r="D335" s="4" t="s">
        <v>50</v>
      </c>
      <c r="E335" s="4" t="s">
        <v>51</v>
      </c>
      <c r="F335" s="4" t="s">
        <v>25</v>
      </c>
      <c r="G335" s="4" t="s">
        <v>25</v>
      </c>
      <c r="H335" s="4" t="s">
        <v>36</v>
      </c>
      <c r="I335" s="5">
        <v>44531</v>
      </c>
      <c r="J335" s="6">
        <v>0</v>
      </c>
      <c r="K335" s="77">
        <v>0</v>
      </c>
      <c r="L335" s="6">
        <v>96.944999999999993</v>
      </c>
      <c r="M335" s="77">
        <v>96.944999999999993</v>
      </c>
      <c r="N335" s="6">
        <v>96.944999999999993</v>
      </c>
      <c r="O335" s="77">
        <v>96.944999999999993</v>
      </c>
      <c r="P335" s="6">
        <v>0</v>
      </c>
      <c r="Q335" s="4" t="s">
        <v>26</v>
      </c>
      <c r="R335" s="4">
        <v>0</v>
      </c>
      <c r="S335" s="6">
        <v>0</v>
      </c>
      <c r="T335" s="6">
        <v>8</v>
      </c>
      <c r="U335" s="6">
        <v>49</v>
      </c>
      <c r="V335" s="77">
        <f>IF(ISERROR(VLOOKUP($S$335,'TAR FIN'!$A$1:$O$85,15,0)),0,VLOOKUP($S$335,'TAR FIN'!$A$1:$O$85,15,0))</f>
        <v>0</v>
      </c>
      <c r="W335" s="77">
        <f>IF(ISERROR(VLOOKUP($T$335,'TAR FIN'!$A$1:$O$85,15,0)),0,VLOOKUP($T$335,'TAR FIN'!$A$1:$O$85,15,0))*(1-0.06)</f>
        <v>61.673399999999994</v>
      </c>
      <c r="X335" s="77">
        <f>IF(ISERROR(VLOOKUP($U$335,'TAR FIN'!$A$1:$O$85,15,0)),0,VLOOKUP($U$335,'TAR FIN'!$A$1:$O$85,15,0))*(1-0.06)</f>
        <v>247.49260000000001</v>
      </c>
      <c r="Y335" s="77"/>
      <c r="Z335" s="77">
        <f ca="1">('TUSD BE'!$AM$12+'TUSD BF'!$AM$12+'TUSD CVA'!$AM$12)*1*(1-0.03)</f>
        <v>97.33606921531846</v>
      </c>
      <c r="AA335" s="77">
        <f>('TE BE'!$AA$6+'TE BF'!$AA$6+'TE CVA'!$AA$6)*1*(1-0.03)</f>
        <v>204.32465670364385</v>
      </c>
      <c r="AB335" s="6">
        <f>$K$335*$V$335</f>
        <v>0</v>
      </c>
      <c r="AC335" s="6">
        <f>$M$335*$W$335</f>
        <v>5978.9277629999988</v>
      </c>
      <c r="AD335" s="6">
        <f>$O$335*$X$335</f>
        <v>23993.170106999998</v>
      </c>
      <c r="AE335" s="6">
        <f>$K$335*$Y$335</f>
        <v>0</v>
      </c>
      <c r="AF335" s="6">
        <f ca="1">$M$335*$Z$335</f>
        <v>9436.2452300790483</v>
      </c>
      <c r="AG335" s="6">
        <f>$O$335*$AA$335</f>
        <v>19808.253844134753</v>
      </c>
    </row>
    <row r="336" spans="1:33" ht="11.25" customHeight="1" x14ac:dyDescent="0.25">
      <c r="A336" s="4" t="s">
        <v>21</v>
      </c>
      <c r="B336" s="4" t="s">
        <v>33</v>
      </c>
      <c r="C336" s="4" t="s">
        <v>34</v>
      </c>
      <c r="D336" s="4" t="s">
        <v>50</v>
      </c>
      <c r="E336" s="4" t="s">
        <v>51</v>
      </c>
      <c r="F336" s="4" t="s">
        <v>25</v>
      </c>
      <c r="G336" s="4" t="s">
        <v>25</v>
      </c>
      <c r="H336" s="4" t="s">
        <v>36</v>
      </c>
      <c r="I336" s="5">
        <v>44562</v>
      </c>
      <c r="J336" s="6">
        <v>0</v>
      </c>
      <c r="K336" s="77">
        <v>0</v>
      </c>
      <c r="L336" s="6">
        <v>105.916</v>
      </c>
      <c r="M336" s="77">
        <v>105.916</v>
      </c>
      <c r="N336" s="6">
        <v>105.916</v>
      </c>
      <c r="O336" s="77">
        <v>105.916</v>
      </c>
      <c r="P336" s="6">
        <v>0</v>
      </c>
      <c r="Q336" s="4" t="s">
        <v>26</v>
      </c>
      <c r="R336" s="4">
        <v>0</v>
      </c>
      <c r="S336" s="6">
        <v>0</v>
      </c>
      <c r="T336" s="6">
        <v>8</v>
      </c>
      <c r="U336" s="6">
        <v>49</v>
      </c>
      <c r="V336" s="77">
        <f>IF(ISERROR(VLOOKUP($S$336,'TAR FIN'!$A$1:$O$85,15,0)),0,VLOOKUP($S$336,'TAR FIN'!$A$1:$O$85,15,0))</f>
        <v>0</v>
      </c>
      <c r="W336" s="77">
        <f>IF(ISERROR(VLOOKUP($T$336,'TAR FIN'!$A$1:$O$85,15,0)),0,VLOOKUP($T$336,'TAR FIN'!$A$1:$O$85,15,0))*(1-0.06)</f>
        <v>61.673399999999994</v>
      </c>
      <c r="X336" s="77">
        <f>IF(ISERROR(VLOOKUP($U$336,'TAR FIN'!$A$1:$O$85,15,0)),0,VLOOKUP($U$336,'TAR FIN'!$A$1:$O$85,15,0))*(1-0.06)</f>
        <v>247.49260000000001</v>
      </c>
      <c r="Y336" s="77"/>
      <c r="Z336" s="77">
        <f ca="1">('TUSD BE'!$AM$12+'TUSD BF'!$AM$12+'TUSD CVA'!$AM$12)*1*(1-0.03)</f>
        <v>97.33606921531846</v>
      </c>
      <c r="AA336" s="77">
        <f>('TE BE'!$AA$6+'TE BF'!$AA$6+'TE CVA'!$AA$6)*1*(1-0.03)</f>
        <v>204.32465670364385</v>
      </c>
      <c r="AB336" s="6">
        <f>$K$336*$V$336</f>
        <v>0</v>
      </c>
      <c r="AC336" s="6">
        <f>$M$336*$W$336</f>
        <v>6532.1998343999994</v>
      </c>
      <c r="AD336" s="6">
        <f>$O$336*$X$336</f>
        <v>26213.426221599999</v>
      </c>
      <c r="AE336" s="6">
        <f>$K$336*$Y$336</f>
        <v>0</v>
      </c>
      <c r="AF336" s="6">
        <f ca="1">$M$336*$Z$336</f>
        <v>10309.44710700967</v>
      </c>
      <c r="AG336" s="6">
        <f>$O$336*$AA$336</f>
        <v>21641.250339423143</v>
      </c>
    </row>
    <row r="337" spans="1:33" ht="11.25" customHeight="1" x14ac:dyDescent="0.25">
      <c r="A337" s="4" t="s">
        <v>21</v>
      </c>
      <c r="B337" s="4" t="s">
        <v>33</v>
      </c>
      <c r="C337" s="4" t="s">
        <v>34</v>
      </c>
      <c r="D337" s="4" t="s">
        <v>50</v>
      </c>
      <c r="E337" s="4" t="s">
        <v>51</v>
      </c>
      <c r="F337" s="4" t="s">
        <v>25</v>
      </c>
      <c r="G337" s="4" t="s">
        <v>25</v>
      </c>
      <c r="H337" s="4" t="s">
        <v>36</v>
      </c>
      <c r="I337" s="5">
        <v>44593</v>
      </c>
      <c r="J337" s="6">
        <v>0</v>
      </c>
      <c r="K337" s="77">
        <v>0</v>
      </c>
      <c r="L337" s="6">
        <v>106.723</v>
      </c>
      <c r="M337" s="77">
        <v>106.723</v>
      </c>
      <c r="N337" s="6">
        <v>106.723</v>
      </c>
      <c r="O337" s="77">
        <v>106.723</v>
      </c>
      <c r="P337" s="6">
        <v>0</v>
      </c>
      <c r="Q337" s="4" t="s">
        <v>26</v>
      </c>
      <c r="R337" s="4">
        <v>0</v>
      </c>
      <c r="S337" s="6">
        <v>0</v>
      </c>
      <c r="T337" s="6">
        <v>8</v>
      </c>
      <c r="U337" s="6">
        <v>49</v>
      </c>
      <c r="V337" s="77">
        <f>IF(ISERROR(VLOOKUP($S$337,'TAR FIN'!$A$1:$O$85,15,0)),0,VLOOKUP($S$337,'TAR FIN'!$A$1:$O$85,15,0))</f>
        <v>0</v>
      </c>
      <c r="W337" s="77">
        <f>IF(ISERROR(VLOOKUP($T$337,'TAR FIN'!$A$1:$O$85,15,0)),0,VLOOKUP($T$337,'TAR FIN'!$A$1:$O$85,15,0))*(1-0.06)</f>
        <v>61.673399999999994</v>
      </c>
      <c r="X337" s="77">
        <f>IF(ISERROR(VLOOKUP($U$337,'TAR FIN'!$A$1:$O$85,15,0)),0,VLOOKUP($U$337,'TAR FIN'!$A$1:$O$85,15,0))*(1-0.06)</f>
        <v>247.49260000000001</v>
      </c>
      <c r="Y337" s="77"/>
      <c r="Z337" s="77">
        <f ca="1">('TUSD BE'!$AM$12+'TUSD BF'!$AM$12+'TUSD CVA'!$AM$12)*1*(1-0.03)</f>
        <v>97.33606921531846</v>
      </c>
      <c r="AA337" s="77">
        <f>('TE BE'!$AA$6+'TE BF'!$AA$6+'TE CVA'!$AA$6)*1*(1-0.03)</f>
        <v>204.32465670364385</v>
      </c>
      <c r="AB337" s="6">
        <f>$K$337*$V$337</f>
        <v>0</v>
      </c>
      <c r="AC337" s="6">
        <f>$M$337*$W$337</f>
        <v>6581.9702681999988</v>
      </c>
      <c r="AD337" s="6">
        <f>$O$337*$X$337</f>
        <v>26413.1527498</v>
      </c>
      <c r="AE337" s="6">
        <f>$K$337*$Y$337</f>
        <v>0</v>
      </c>
      <c r="AF337" s="6">
        <f ca="1">$M$337*$Z$337</f>
        <v>10387.997314866432</v>
      </c>
      <c r="AG337" s="6">
        <f>$O$337*$AA$337</f>
        <v>21806.140337382982</v>
      </c>
    </row>
    <row r="338" spans="1:33" ht="11.25" customHeight="1" x14ac:dyDescent="0.25">
      <c r="A338" s="4" t="s">
        <v>21</v>
      </c>
      <c r="B338" s="4" t="s">
        <v>33</v>
      </c>
      <c r="C338" s="4" t="s">
        <v>34</v>
      </c>
      <c r="D338" s="4" t="s">
        <v>50</v>
      </c>
      <c r="E338" s="4" t="s">
        <v>51</v>
      </c>
      <c r="F338" s="4" t="s">
        <v>25</v>
      </c>
      <c r="G338" s="4" t="s">
        <v>25</v>
      </c>
      <c r="H338" s="4" t="s">
        <v>36</v>
      </c>
      <c r="I338" s="5">
        <v>44621</v>
      </c>
      <c r="J338" s="6">
        <v>0</v>
      </c>
      <c r="K338" s="77">
        <v>0</v>
      </c>
      <c r="L338" s="6">
        <v>120.622</v>
      </c>
      <c r="M338" s="77">
        <v>120.622</v>
      </c>
      <c r="N338" s="6">
        <v>120.622</v>
      </c>
      <c r="O338" s="77">
        <v>120.622</v>
      </c>
      <c r="P338" s="6">
        <v>0</v>
      </c>
      <c r="Q338" s="4" t="s">
        <v>26</v>
      </c>
      <c r="R338" s="4">
        <v>0</v>
      </c>
      <c r="S338" s="6">
        <v>0</v>
      </c>
      <c r="T338" s="6">
        <v>8</v>
      </c>
      <c r="U338" s="6">
        <v>49</v>
      </c>
      <c r="V338" s="77">
        <f>IF(ISERROR(VLOOKUP($S$338,'TAR FIN'!$A$1:$O$85,15,0)),0,VLOOKUP($S$338,'TAR FIN'!$A$1:$O$85,15,0))</f>
        <v>0</v>
      </c>
      <c r="W338" s="77">
        <f>IF(ISERROR(VLOOKUP($T$338,'TAR FIN'!$A$1:$O$85,15,0)),0,VLOOKUP($T$338,'TAR FIN'!$A$1:$O$85,15,0))*(1-0.06)</f>
        <v>61.673399999999994</v>
      </c>
      <c r="X338" s="77">
        <f>IF(ISERROR(VLOOKUP($U$338,'TAR FIN'!$A$1:$O$85,15,0)),0,VLOOKUP($U$338,'TAR FIN'!$A$1:$O$85,15,0))*(1-0.06)</f>
        <v>247.49260000000001</v>
      </c>
      <c r="Y338" s="77"/>
      <c r="Z338" s="77">
        <f ca="1">('TUSD BE'!$AM$12+'TUSD BF'!$AM$12+'TUSD CVA'!$AM$12)*1*(1-0.03)</f>
        <v>97.33606921531846</v>
      </c>
      <c r="AA338" s="77">
        <f>('TE BE'!$AA$6+'TE BF'!$AA$6+'TE CVA'!$AA$6)*1*(1-0.03)</f>
        <v>204.32465670364385</v>
      </c>
      <c r="AB338" s="6">
        <f>$K$338*$V$338</f>
        <v>0</v>
      </c>
      <c r="AC338" s="6">
        <f>$M$338*$W$338</f>
        <v>7439.1688547999993</v>
      </c>
      <c r="AD338" s="6">
        <f>$O$338*$X$338</f>
        <v>29853.052397200001</v>
      </c>
      <c r="AE338" s="6">
        <f>$K$338*$Y$338</f>
        <v>0</v>
      </c>
      <c r="AF338" s="6">
        <f ca="1">$M$338*$Z$338</f>
        <v>11740.871340890144</v>
      </c>
      <c r="AG338" s="6">
        <f>$O$338*$AA$338</f>
        <v>24646.048740906928</v>
      </c>
    </row>
    <row r="339" spans="1:33" ht="11.25" customHeight="1" x14ac:dyDescent="0.25">
      <c r="A339" s="4" t="s">
        <v>21</v>
      </c>
      <c r="B339" s="4" t="s">
        <v>33</v>
      </c>
      <c r="C339" s="4" t="s">
        <v>34</v>
      </c>
      <c r="D339" s="4" t="s">
        <v>50</v>
      </c>
      <c r="E339" s="4" t="s">
        <v>51</v>
      </c>
      <c r="F339" s="4" t="s">
        <v>25</v>
      </c>
      <c r="G339" s="4" t="s">
        <v>25</v>
      </c>
      <c r="H339" s="4" t="s">
        <v>36</v>
      </c>
      <c r="I339" s="5">
        <v>44652</v>
      </c>
      <c r="J339" s="6">
        <v>0</v>
      </c>
      <c r="K339" s="77">
        <v>0</v>
      </c>
      <c r="L339" s="6">
        <v>110.827</v>
      </c>
      <c r="M339" s="77">
        <v>110.827</v>
      </c>
      <c r="N339" s="6">
        <v>110.827</v>
      </c>
      <c r="O339" s="77">
        <v>110.827</v>
      </c>
      <c r="P339" s="6">
        <v>0</v>
      </c>
      <c r="Q339" s="4" t="s">
        <v>26</v>
      </c>
      <c r="R339" s="4">
        <v>0</v>
      </c>
      <c r="S339" s="6">
        <v>0</v>
      </c>
      <c r="T339" s="6">
        <v>8</v>
      </c>
      <c r="U339" s="6">
        <v>49</v>
      </c>
      <c r="V339" s="77">
        <f>IF(ISERROR(VLOOKUP($S$339,'TAR FIN'!$A$1:$O$85,15,0)),0,VLOOKUP($S$339,'TAR FIN'!$A$1:$O$85,15,0))</f>
        <v>0</v>
      </c>
      <c r="W339" s="77">
        <f>IF(ISERROR(VLOOKUP($T$339,'TAR FIN'!$A$1:$O$85,15,0)),0,VLOOKUP($T$339,'TAR FIN'!$A$1:$O$85,15,0))*(1-0.06)</f>
        <v>61.673399999999994</v>
      </c>
      <c r="X339" s="77">
        <f>IF(ISERROR(VLOOKUP($U$339,'TAR FIN'!$A$1:$O$85,15,0)),0,VLOOKUP($U$339,'TAR FIN'!$A$1:$O$85,15,0))*(1-0.06)</f>
        <v>247.49260000000001</v>
      </c>
      <c r="Y339" s="77"/>
      <c r="Z339" s="77">
        <f ca="1">('TUSD BE'!$AM$12+'TUSD BF'!$AM$12+'TUSD CVA'!$AM$12)*1*(1-0.03)</f>
        <v>97.33606921531846</v>
      </c>
      <c r="AA339" s="77">
        <f>('TE BE'!$AA$6+'TE BF'!$AA$6+'TE CVA'!$AA$6)*1*(1-0.03)</f>
        <v>204.32465670364385</v>
      </c>
      <c r="AB339" s="6">
        <f>$K$339*$V$339</f>
        <v>0</v>
      </c>
      <c r="AC339" s="6">
        <f>$M$339*$W$339</f>
        <v>6835.0779017999994</v>
      </c>
      <c r="AD339" s="6">
        <f>$O$339*$X$339</f>
        <v>27428.8623802</v>
      </c>
      <c r="AE339" s="6">
        <f>$K$339*$Y$339</f>
        <v>0</v>
      </c>
      <c r="AF339" s="6">
        <f ca="1">$M$339*$Z$339</f>
        <v>10787.464542926098</v>
      </c>
      <c r="AG339" s="6">
        <f>$O$339*$AA$339</f>
        <v>22644.688728494737</v>
      </c>
    </row>
    <row r="340" spans="1:33" ht="11.25" customHeight="1" x14ac:dyDescent="0.25">
      <c r="A340" s="4" t="s">
        <v>21</v>
      </c>
      <c r="B340" s="4" t="s">
        <v>33</v>
      </c>
      <c r="C340" s="4" t="s">
        <v>34</v>
      </c>
      <c r="D340" s="4" t="s">
        <v>50</v>
      </c>
      <c r="E340" s="4" t="s">
        <v>51</v>
      </c>
      <c r="F340" s="4" t="s">
        <v>25</v>
      </c>
      <c r="G340" s="4" t="s">
        <v>25</v>
      </c>
      <c r="H340" s="4" t="s">
        <v>25</v>
      </c>
      <c r="I340" s="5">
        <v>44317</v>
      </c>
      <c r="J340" s="6">
        <v>259</v>
      </c>
      <c r="K340" s="78">
        <v>259</v>
      </c>
      <c r="L340" s="6">
        <v>0</v>
      </c>
      <c r="M340" s="77">
        <v>0</v>
      </c>
      <c r="N340" s="6">
        <v>0</v>
      </c>
      <c r="O340" s="77">
        <v>0</v>
      </c>
      <c r="P340" s="6">
        <v>3</v>
      </c>
      <c r="Q340" s="4" t="s">
        <v>26</v>
      </c>
      <c r="R340" s="4">
        <v>0</v>
      </c>
      <c r="S340" s="6">
        <v>6</v>
      </c>
      <c r="T340" s="6">
        <v>0</v>
      </c>
      <c r="U340" s="6">
        <v>0</v>
      </c>
      <c r="V340" s="77">
        <f>IF(ISERROR(VLOOKUP($S$340,'TAR FIN'!$A$1:$O$85,15,0)),0,VLOOKUP($S$340,'TAR FIN'!$A$1:$O$85,15,0))*(1-0.06)</f>
        <v>18.160799999999998</v>
      </c>
      <c r="W340" s="77">
        <f>IF(ISERROR(VLOOKUP($T$340,'TAR FIN'!$A$1:$O$85,15,0)),0,VLOOKUP($T$340,'TAR FIN'!$A$1:$O$85,15,0))</f>
        <v>0</v>
      </c>
      <c r="X340" s="77">
        <f>IF(ISERROR(VLOOKUP($U$340,'TAR FIN'!$A$1:$O$85,15,0)),0,VLOOKUP($U$340,'TAR FIN'!$A$1:$O$85,15,0))</f>
        <v>0</v>
      </c>
      <c r="Y340" s="77">
        <f ca="1">('TUSD BE'!$AM$10+'TUSD BF'!$AM$10+'TUSD CVA'!$AM$10)*1*(1-0.03)</f>
        <v>16.179640671294564</v>
      </c>
      <c r="Z340" s="77"/>
      <c r="AA340" s="77"/>
      <c r="AB340" s="6">
        <f>$K$340*$V$340</f>
        <v>4703.6471999999994</v>
      </c>
      <c r="AC340" s="6">
        <f>$M$340*$W$340</f>
        <v>0</v>
      </c>
      <c r="AD340" s="6">
        <f>$O$340*$X$340</f>
        <v>0</v>
      </c>
      <c r="AE340" s="6">
        <f ca="1">$K$340*$Y$340</f>
        <v>4190.5269338652924</v>
      </c>
      <c r="AF340" s="6">
        <f>$M$340*$Z$340</f>
        <v>0</v>
      </c>
      <c r="AG340" s="6">
        <f>$O$340*$AA$340</f>
        <v>0</v>
      </c>
    </row>
    <row r="341" spans="1:33" ht="11.25" customHeight="1" x14ac:dyDescent="0.25">
      <c r="A341" s="4" t="s">
        <v>21</v>
      </c>
      <c r="B341" s="4" t="s">
        <v>33</v>
      </c>
      <c r="C341" s="4" t="s">
        <v>34</v>
      </c>
      <c r="D341" s="4" t="s">
        <v>50</v>
      </c>
      <c r="E341" s="4" t="s">
        <v>51</v>
      </c>
      <c r="F341" s="4" t="s">
        <v>25</v>
      </c>
      <c r="G341" s="4" t="s">
        <v>25</v>
      </c>
      <c r="H341" s="4" t="s">
        <v>25</v>
      </c>
      <c r="I341" s="5">
        <v>44348</v>
      </c>
      <c r="J341" s="6">
        <v>259</v>
      </c>
      <c r="K341" s="78">
        <v>259</v>
      </c>
      <c r="L341" s="6">
        <v>0</v>
      </c>
      <c r="M341" s="77">
        <v>0</v>
      </c>
      <c r="N341" s="6">
        <v>0</v>
      </c>
      <c r="O341" s="77">
        <v>0</v>
      </c>
      <c r="P341" s="6">
        <v>3</v>
      </c>
      <c r="Q341" s="4" t="s">
        <v>26</v>
      </c>
      <c r="R341" s="4">
        <v>0</v>
      </c>
      <c r="S341" s="6">
        <v>6</v>
      </c>
      <c r="T341" s="6">
        <v>0</v>
      </c>
      <c r="U341" s="6">
        <v>0</v>
      </c>
      <c r="V341" s="77">
        <f>IF(ISERROR(VLOOKUP($S$341,'TAR FIN'!$A$1:$O$85,15,0)),0,VLOOKUP($S$341,'TAR FIN'!$A$1:$O$85,15,0))*(1-0.06)</f>
        <v>18.160799999999998</v>
      </c>
      <c r="W341" s="77">
        <f>IF(ISERROR(VLOOKUP($T$341,'TAR FIN'!$A$1:$O$85,15,0)),0,VLOOKUP($T$341,'TAR FIN'!$A$1:$O$85,15,0))</f>
        <v>0</v>
      </c>
      <c r="X341" s="77">
        <f>IF(ISERROR(VLOOKUP($U$341,'TAR FIN'!$A$1:$O$85,15,0)),0,VLOOKUP($U$341,'TAR FIN'!$A$1:$O$85,15,0))</f>
        <v>0</v>
      </c>
      <c r="Y341" s="77">
        <f ca="1">('TUSD BE'!$AM$10+'TUSD BF'!$AM$10+'TUSD CVA'!$AM$10)*1*(1-0.03)</f>
        <v>16.179640671294564</v>
      </c>
      <c r="Z341" s="77"/>
      <c r="AA341" s="77"/>
      <c r="AB341" s="6">
        <f>$K$341*$V$341</f>
        <v>4703.6471999999994</v>
      </c>
      <c r="AC341" s="6">
        <f>$M$341*$W$341</f>
        <v>0</v>
      </c>
      <c r="AD341" s="6">
        <f>$O$341*$X$341</f>
        <v>0</v>
      </c>
      <c r="AE341" s="6">
        <f ca="1">$K$341*$Y$341</f>
        <v>4190.5269338652924</v>
      </c>
      <c r="AF341" s="6">
        <f>$M$341*$Z$341</f>
        <v>0</v>
      </c>
      <c r="AG341" s="6">
        <f>$O$341*$AA$341</f>
        <v>0</v>
      </c>
    </row>
    <row r="342" spans="1:33" ht="11.25" customHeight="1" x14ac:dyDescent="0.25">
      <c r="A342" s="4" t="s">
        <v>21</v>
      </c>
      <c r="B342" s="4" t="s">
        <v>33</v>
      </c>
      <c r="C342" s="4" t="s">
        <v>34</v>
      </c>
      <c r="D342" s="4" t="s">
        <v>50</v>
      </c>
      <c r="E342" s="4" t="s">
        <v>51</v>
      </c>
      <c r="F342" s="4" t="s">
        <v>25</v>
      </c>
      <c r="G342" s="4" t="s">
        <v>25</v>
      </c>
      <c r="H342" s="4" t="s">
        <v>25</v>
      </c>
      <c r="I342" s="5">
        <v>44378</v>
      </c>
      <c r="J342" s="6">
        <v>259</v>
      </c>
      <c r="K342" s="78">
        <v>259</v>
      </c>
      <c r="L342" s="6">
        <v>0</v>
      </c>
      <c r="M342" s="77">
        <v>0</v>
      </c>
      <c r="N342" s="6">
        <v>0</v>
      </c>
      <c r="O342" s="77">
        <v>0</v>
      </c>
      <c r="P342" s="6">
        <v>3</v>
      </c>
      <c r="Q342" s="4" t="s">
        <v>26</v>
      </c>
      <c r="R342" s="4">
        <v>0</v>
      </c>
      <c r="S342" s="6">
        <v>6</v>
      </c>
      <c r="T342" s="6">
        <v>0</v>
      </c>
      <c r="U342" s="6">
        <v>0</v>
      </c>
      <c r="V342" s="77">
        <f>IF(ISERROR(VLOOKUP($S$342,'TAR FIN'!$A$1:$O$85,15,0)),0,VLOOKUP($S$342,'TAR FIN'!$A$1:$O$85,15,0))*(1-0.06)</f>
        <v>18.160799999999998</v>
      </c>
      <c r="W342" s="77">
        <f>IF(ISERROR(VLOOKUP($T$342,'TAR FIN'!$A$1:$O$85,15,0)),0,VLOOKUP($T$342,'TAR FIN'!$A$1:$O$85,15,0))</f>
        <v>0</v>
      </c>
      <c r="X342" s="77">
        <f>IF(ISERROR(VLOOKUP($U$342,'TAR FIN'!$A$1:$O$85,15,0)),0,VLOOKUP($U$342,'TAR FIN'!$A$1:$O$85,15,0))</f>
        <v>0</v>
      </c>
      <c r="Y342" s="77">
        <f ca="1">('TUSD BE'!$AM$10+'TUSD BF'!$AM$10+'TUSD CVA'!$AM$10)*1*(1-0.03)</f>
        <v>16.179640671294564</v>
      </c>
      <c r="Z342" s="77"/>
      <c r="AA342" s="77"/>
      <c r="AB342" s="6">
        <f>$K$342*$V$342</f>
        <v>4703.6471999999994</v>
      </c>
      <c r="AC342" s="6">
        <f>$M$342*$W$342</f>
        <v>0</v>
      </c>
      <c r="AD342" s="6">
        <f>$O$342*$X$342</f>
        <v>0</v>
      </c>
      <c r="AE342" s="6">
        <f ca="1">$K$342*$Y$342</f>
        <v>4190.5269338652924</v>
      </c>
      <c r="AF342" s="6">
        <f>$M$342*$Z$342</f>
        <v>0</v>
      </c>
      <c r="AG342" s="6">
        <f>$O$342*$AA$342</f>
        <v>0</v>
      </c>
    </row>
    <row r="343" spans="1:33" ht="11.25" customHeight="1" x14ac:dyDescent="0.25">
      <c r="A343" s="4" t="s">
        <v>21</v>
      </c>
      <c r="B343" s="4" t="s">
        <v>33</v>
      </c>
      <c r="C343" s="4" t="s">
        <v>34</v>
      </c>
      <c r="D343" s="4" t="s">
        <v>50</v>
      </c>
      <c r="E343" s="4" t="s">
        <v>51</v>
      </c>
      <c r="F343" s="4" t="s">
        <v>25</v>
      </c>
      <c r="G343" s="4" t="s">
        <v>25</v>
      </c>
      <c r="H343" s="4" t="s">
        <v>25</v>
      </c>
      <c r="I343" s="5">
        <v>44409</v>
      </c>
      <c r="J343" s="6">
        <v>259</v>
      </c>
      <c r="K343" s="78">
        <v>259</v>
      </c>
      <c r="L343" s="6">
        <v>0</v>
      </c>
      <c r="M343" s="77">
        <v>0</v>
      </c>
      <c r="N343" s="6">
        <v>0</v>
      </c>
      <c r="O343" s="77">
        <v>0</v>
      </c>
      <c r="P343" s="6">
        <v>3</v>
      </c>
      <c r="Q343" s="4" t="s">
        <v>26</v>
      </c>
      <c r="R343" s="4">
        <v>0</v>
      </c>
      <c r="S343" s="6">
        <v>6</v>
      </c>
      <c r="T343" s="6">
        <v>0</v>
      </c>
      <c r="U343" s="6">
        <v>0</v>
      </c>
      <c r="V343" s="77">
        <f>IF(ISERROR(VLOOKUP($S$343,'TAR FIN'!$A$1:$O$85,15,0)),0,VLOOKUP($S$343,'TAR FIN'!$A$1:$O$85,15,0))*(1-0.06)</f>
        <v>18.160799999999998</v>
      </c>
      <c r="W343" s="77">
        <f>IF(ISERROR(VLOOKUP($T$343,'TAR FIN'!$A$1:$O$85,15,0)),0,VLOOKUP($T$343,'TAR FIN'!$A$1:$O$85,15,0))</f>
        <v>0</v>
      </c>
      <c r="X343" s="77">
        <f>IF(ISERROR(VLOOKUP($U$343,'TAR FIN'!$A$1:$O$85,15,0)),0,VLOOKUP($U$343,'TAR FIN'!$A$1:$O$85,15,0))</f>
        <v>0</v>
      </c>
      <c r="Y343" s="77">
        <f ca="1">('TUSD BE'!$AM$10+'TUSD BF'!$AM$10+'TUSD CVA'!$AM$10)*1*(1-0.03)</f>
        <v>16.179640671294564</v>
      </c>
      <c r="Z343" s="77"/>
      <c r="AA343" s="77"/>
      <c r="AB343" s="6">
        <f>$K$343*$V$343</f>
        <v>4703.6471999999994</v>
      </c>
      <c r="AC343" s="6">
        <f>$M$343*$W$343</f>
        <v>0</v>
      </c>
      <c r="AD343" s="6">
        <f>$O$343*$X$343</f>
        <v>0</v>
      </c>
      <c r="AE343" s="6">
        <f ca="1">$K$343*$Y$343</f>
        <v>4190.5269338652924</v>
      </c>
      <c r="AF343" s="6">
        <f>$M$343*$Z$343</f>
        <v>0</v>
      </c>
      <c r="AG343" s="6">
        <f>$O$343*$AA$343</f>
        <v>0</v>
      </c>
    </row>
    <row r="344" spans="1:33" ht="11.25" customHeight="1" x14ac:dyDescent="0.25">
      <c r="A344" s="4" t="s">
        <v>21</v>
      </c>
      <c r="B344" s="4" t="s">
        <v>33</v>
      </c>
      <c r="C344" s="4" t="s">
        <v>34</v>
      </c>
      <c r="D344" s="4" t="s">
        <v>50</v>
      </c>
      <c r="E344" s="4" t="s">
        <v>51</v>
      </c>
      <c r="F344" s="4" t="s">
        <v>25</v>
      </c>
      <c r="G344" s="4" t="s">
        <v>25</v>
      </c>
      <c r="H344" s="4" t="s">
        <v>25</v>
      </c>
      <c r="I344" s="5">
        <v>44440</v>
      </c>
      <c r="J344" s="6">
        <v>261</v>
      </c>
      <c r="K344" s="78">
        <v>261</v>
      </c>
      <c r="L344" s="6">
        <v>0</v>
      </c>
      <c r="M344" s="77">
        <v>0</v>
      </c>
      <c r="N344" s="6">
        <v>0</v>
      </c>
      <c r="O344" s="77">
        <v>0</v>
      </c>
      <c r="P344" s="6">
        <v>3</v>
      </c>
      <c r="Q344" s="4" t="s">
        <v>26</v>
      </c>
      <c r="R344" s="4">
        <v>0</v>
      </c>
      <c r="S344" s="6">
        <v>6</v>
      </c>
      <c r="T344" s="6">
        <v>0</v>
      </c>
      <c r="U344" s="6">
        <v>0</v>
      </c>
      <c r="V344" s="77">
        <f>IF(ISERROR(VLOOKUP($S$344,'TAR FIN'!$A$1:$O$85,15,0)),0,VLOOKUP($S$344,'TAR FIN'!$A$1:$O$85,15,0))*(1-0.06)</f>
        <v>18.160799999999998</v>
      </c>
      <c r="W344" s="77">
        <f>IF(ISERROR(VLOOKUP($T$344,'TAR FIN'!$A$1:$O$85,15,0)),0,VLOOKUP($T$344,'TAR FIN'!$A$1:$O$85,15,0))</f>
        <v>0</v>
      </c>
      <c r="X344" s="77">
        <f>IF(ISERROR(VLOOKUP($U$344,'TAR FIN'!$A$1:$O$85,15,0)),0,VLOOKUP($U$344,'TAR FIN'!$A$1:$O$85,15,0))</f>
        <v>0</v>
      </c>
      <c r="Y344" s="77">
        <f ca="1">('TUSD BE'!$AM$10+'TUSD BF'!$AM$10+'TUSD CVA'!$AM$10)*1*(1-0.03)</f>
        <v>16.179640671294564</v>
      </c>
      <c r="Z344" s="77"/>
      <c r="AA344" s="77"/>
      <c r="AB344" s="6">
        <f>$K$344*$V$344</f>
        <v>4739.9687999999996</v>
      </c>
      <c r="AC344" s="6">
        <f>$M$344*$W$344</f>
        <v>0</v>
      </c>
      <c r="AD344" s="6">
        <f>$O$344*$X$344</f>
        <v>0</v>
      </c>
      <c r="AE344" s="6">
        <f ca="1">$K$344*$Y$344</f>
        <v>4222.8862152078809</v>
      </c>
      <c r="AF344" s="6">
        <f>$M$344*$Z$344</f>
        <v>0</v>
      </c>
      <c r="AG344" s="6">
        <f>$O$344*$AA$344</f>
        <v>0</v>
      </c>
    </row>
    <row r="345" spans="1:33" ht="11.25" customHeight="1" x14ac:dyDescent="0.25">
      <c r="A345" s="4" t="s">
        <v>21</v>
      </c>
      <c r="B345" s="4" t="s">
        <v>33</v>
      </c>
      <c r="C345" s="4" t="s">
        <v>34</v>
      </c>
      <c r="D345" s="4" t="s">
        <v>50</v>
      </c>
      <c r="E345" s="4" t="s">
        <v>51</v>
      </c>
      <c r="F345" s="4" t="s">
        <v>25</v>
      </c>
      <c r="G345" s="4" t="s">
        <v>25</v>
      </c>
      <c r="H345" s="4" t="s">
        <v>25</v>
      </c>
      <c r="I345" s="5">
        <v>44470</v>
      </c>
      <c r="J345" s="6">
        <v>260</v>
      </c>
      <c r="K345" s="78">
        <v>260</v>
      </c>
      <c r="L345" s="6">
        <v>0</v>
      </c>
      <c r="M345" s="77">
        <v>0</v>
      </c>
      <c r="N345" s="6">
        <v>0</v>
      </c>
      <c r="O345" s="77">
        <v>0</v>
      </c>
      <c r="P345" s="6">
        <v>3</v>
      </c>
      <c r="Q345" s="4" t="s">
        <v>26</v>
      </c>
      <c r="R345" s="4">
        <v>0</v>
      </c>
      <c r="S345" s="6">
        <v>6</v>
      </c>
      <c r="T345" s="6">
        <v>0</v>
      </c>
      <c r="U345" s="6">
        <v>0</v>
      </c>
      <c r="V345" s="77">
        <f>IF(ISERROR(VLOOKUP($S$345,'TAR FIN'!$A$1:$O$85,15,0)),0,VLOOKUP($S$345,'TAR FIN'!$A$1:$O$85,15,0))*(1-0.06)</f>
        <v>18.160799999999998</v>
      </c>
      <c r="W345" s="77">
        <f>IF(ISERROR(VLOOKUP($T$345,'TAR FIN'!$A$1:$O$85,15,0)),0,VLOOKUP($T$345,'TAR FIN'!$A$1:$O$85,15,0))</f>
        <v>0</v>
      </c>
      <c r="X345" s="77">
        <f>IF(ISERROR(VLOOKUP($U$345,'TAR FIN'!$A$1:$O$85,15,0)),0,VLOOKUP($U$345,'TAR FIN'!$A$1:$O$85,15,0))</f>
        <v>0</v>
      </c>
      <c r="Y345" s="77">
        <f ca="1">('TUSD BE'!$AM$10+'TUSD BF'!$AM$10+'TUSD CVA'!$AM$10)*1*(1-0.03)</f>
        <v>16.179640671294564</v>
      </c>
      <c r="Z345" s="77"/>
      <c r="AA345" s="77"/>
      <c r="AB345" s="6">
        <f>$K$345*$V$345</f>
        <v>4721.808</v>
      </c>
      <c r="AC345" s="6">
        <f>$M$345*$W$345</f>
        <v>0</v>
      </c>
      <c r="AD345" s="6">
        <f>$O$345*$X$345</f>
        <v>0</v>
      </c>
      <c r="AE345" s="6">
        <f ca="1">$K$345*$Y$345</f>
        <v>4206.7065745365862</v>
      </c>
      <c r="AF345" s="6">
        <f>$M$345*$Z$345</f>
        <v>0</v>
      </c>
      <c r="AG345" s="6">
        <f>$O$345*$AA$345</f>
        <v>0</v>
      </c>
    </row>
    <row r="346" spans="1:33" ht="11.25" customHeight="1" x14ac:dyDescent="0.25">
      <c r="A346" s="4" t="s">
        <v>21</v>
      </c>
      <c r="B346" s="4" t="s">
        <v>33</v>
      </c>
      <c r="C346" s="4" t="s">
        <v>34</v>
      </c>
      <c r="D346" s="4" t="s">
        <v>50</v>
      </c>
      <c r="E346" s="4" t="s">
        <v>51</v>
      </c>
      <c r="F346" s="4" t="s">
        <v>25</v>
      </c>
      <c r="G346" s="4" t="s">
        <v>25</v>
      </c>
      <c r="H346" s="4" t="s">
        <v>25</v>
      </c>
      <c r="I346" s="5">
        <v>44501</v>
      </c>
      <c r="J346" s="6">
        <v>259</v>
      </c>
      <c r="K346" s="78">
        <v>259</v>
      </c>
      <c r="L346" s="6">
        <v>0</v>
      </c>
      <c r="M346" s="77">
        <v>0</v>
      </c>
      <c r="N346" s="6">
        <v>0</v>
      </c>
      <c r="O346" s="77">
        <v>0</v>
      </c>
      <c r="P346" s="6">
        <v>3</v>
      </c>
      <c r="Q346" s="4" t="s">
        <v>26</v>
      </c>
      <c r="R346" s="4">
        <v>0</v>
      </c>
      <c r="S346" s="6">
        <v>6</v>
      </c>
      <c r="T346" s="6">
        <v>0</v>
      </c>
      <c r="U346" s="6">
        <v>0</v>
      </c>
      <c r="V346" s="77">
        <f>IF(ISERROR(VLOOKUP($S$346,'TAR FIN'!$A$1:$O$85,15,0)),0,VLOOKUP($S$346,'TAR FIN'!$A$1:$O$85,15,0))*(1-0.06)</f>
        <v>18.160799999999998</v>
      </c>
      <c r="W346" s="77">
        <f>IF(ISERROR(VLOOKUP($T$346,'TAR FIN'!$A$1:$O$85,15,0)),0,VLOOKUP($T$346,'TAR FIN'!$A$1:$O$85,15,0))</f>
        <v>0</v>
      </c>
      <c r="X346" s="77">
        <f>IF(ISERROR(VLOOKUP($U$346,'TAR FIN'!$A$1:$O$85,15,0)),0,VLOOKUP($U$346,'TAR FIN'!$A$1:$O$85,15,0))</f>
        <v>0</v>
      </c>
      <c r="Y346" s="77">
        <f ca="1">('TUSD BE'!$AM$10+'TUSD BF'!$AM$10+'TUSD CVA'!$AM$10)*1*(1-0.03)</f>
        <v>16.179640671294564</v>
      </c>
      <c r="Z346" s="77"/>
      <c r="AA346" s="77"/>
      <c r="AB346" s="6">
        <f>$K$346*$V$346</f>
        <v>4703.6471999999994</v>
      </c>
      <c r="AC346" s="6">
        <f>$M$346*$W$346</f>
        <v>0</v>
      </c>
      <c r="AD346" s="6">
        <f>$O$346*$X$346</f>
        <v>0</v>
      </c>
      <c r="AE346" s="6">
        <f ca="1">$K$346*$Y$346</f>
        <v>4190.5269338652924</v>
      </c>
      <c r="AF346" s="6">
        <f>$M$346*$Z$346</f>
        <v>0</v>
      </c>
      <c r="AG346" s="6">
        <f>$O$346*$AA$346</f>
        <v>0</v>
      </c>
    </row>
    <row r="347" spans="1:33" ht="11.25" customHeight="1" x14ac:dyDescent="0.25">
      <c r="A347" s="4" t="s">
        <v>21</v>
      </c>
      <c r="B347" s="4" t="s">
        <v>33</v>
      </c>
      <c r="C347" s="4" t="s">
        <v>34</v>
      </c>
      <c r="D347" s="4" t="s">
        <v>50</v>
      </c>
      <c r="E347" s="4" t="s">
        <v>51</v>
      </c>
      <c r="F347" s="4" t="s">
        <v>25</v>
      </c>
      <c r="G347" s="4" t="s">
        <v>25</v>
      </c>
      <c r="H347" s="4" t="s">
        <v>25</v>
      </c>
      <c r="I347" s="5">
        <v>44531</v>
      </c>
      <c r="J347" s="6">
        <v>259</v>
      </c>
      <c r="K347" s="78">
        <v>259</v>
      </c>
      <c r="L347" s="6">
        <v>0</v>
      </c>
      <c r="M347" s="77">
        <v>0</v>
      </c>
      <c r="N347" s="6">
        <v>0</v>
      </c>
      <c r="O347" s="77">
        <v>0</v>
      </c>
      <c r="P347" s="6">
        <v>3</v>
      </c>
      <c r="Q347" s="4" t="s">
        <v>26</v>
      </c>
      <c r="R347" s="4">
        <v>0</v>
      </c>
      <c r="S347" s="6">
        <v>6</v>
      </c>
      <c r="T347" s="6">
        <v>0</v>
      </c>
      <c r="U347" s="6">
        <v>0</v>
      </c>
      <c r="V347" s="77">
        <f>IF(ISERROR(VLOOKUP($S$347,'TAR FIN'!$A$1:$O$85,15,0)),0,VLOOKUP($S$347,'TAR FIN'!$A$1:$O$85,15,0))*(1-0.06)</f>
        <v>18.160799999999998</v>
      </c>
      <c r="W347" s="77">
        <f>IF(ISERROR(VLOOKUP($T$347,'TAR FIN'!$A$1:$O$85,15,0)),0,VLOOKUP($T$347,'TAR FIN'!$A$1:$O$85,15,0))</f>
        <v>0</v>
      </c>
      <c r="X347" s="77">
        <f>IF(ISERROR(VLOOKUP($U$347,'TAR FIN'!$A$1:$O$85,15,0)),0,VLOOKUP($U$347,'TAR FIN'!$A$1:$O$85,15,0))</f>
        <v>0</v>
      </c>
      <c r="Y347" s="77">
        <f ca="1">('TUSD BE'!$AM$10+'TUSD BF'!$AM$10+'TUSD CVA'!$AM$10)*1*(1-0.03)</f>
        <v>16.179640671294564</v>
      </c>
      <c r="Z347" s="77"/>
      <c r="AA347" s="77"/>
      <c r="AB347" s="6">
        <f>$K$347*$V$347</f>
        <v>4703.6471999999994</v>
      </c>
      <c r="AC347" s="6">
        <f>$M$347*$W$347</f>
        <v>0</v>
      </c>
      <c r="AD347" s="6">
        <f>$O$347*$X$347</f>
        <v>0</v>
      </c>
      <c r="AE347" s="6">
        <f ca="1">$K$347*$Y$347</f>
        <v>4190.5269338652924</v>
      </c>
      <c r="AF347" s="6">
        <f>$M$347*$Z$347</f>
        <v>0</v>
      </c>
      <c r="AG347" s="6">
        <f>$O$347*$AA$347</f>
        <v>0</v>
      </c>
    </row>
    <row r="348" spans="1:33" ht="11.25" customHeight="1" x14ac:dyDescent="0.25">
      <c r="A348" s="4" t="s">
        <v>21</v>
      </c>
      <c r="B348" s="4" t="s">
        <v>33</v>
      </c>
      <c r="C348" s="4" t="s">
        <v>34</v>
      </c>
      <c r="D348" s="4" t="s">
        <v>50</v>
      </c>
      <c r="E348" s="4" t="s">
        <v>51</v>
      </c>
      <c r="F348" s="4" t="s">
        <v>25</v>
      </c>
      <c r="G348" s="4" t="s">
        <v>25</v>
      </c>
      <c r="H348" s="4" t="s">
        <v>25</v>
      </c>
      <c r="I348" s="5">
        <v>44562</v>
      </c>
      <c r="J348" s="6">
        <v>261</v>
      </c>
      <c r="K348" s="78">
        <v>261</v>
      </c>
      <c r="L348" s="6">
        <v>0</v>
      </c>
      <c r="M348" s="77">
        <v>0</v>
      </c>
      <c r="N348" s="6">
        <v>0</v>
      </c>
      <c r="O348" s="77">
        <v>0</v>
      </c>
      <c r="P348" s="6">
        <v>3</v>
      </c>
      <c r="Q348" s="4" t="s">
        <v>26</v>
      </c>
      <c r="R348" s="4">
        <v>0</v>
      </c>
      <c r="S348" s="6">
        <v>6</v>
      </c>
      <c r="T348" s="6">
        <v>0</v>
      </c>
      <c r="U348" s="6">
        <v>0</v>
      </c>
      <c r="V348" s="77">
        <f>IF(ISERROR(VLOOKUP($S$348,'TAR FIN'!$A$1:$O$85,15,0)),0,VLOOKUP($S$348,'TAR FIN'!$A$1:$O$85,15,0))*(1-0.06)</f>
        <v>18.160799999999998</v>
      </c>
      <c r="W348" s="77">
        <f>IF(ISERROR(VLOOKUP($T$348,'TAR FIN'!$A$1:$O$85,15,0)),0,VLOOKUP($T$348,'TAR FIN'!$A$1:$O$85,15,0))</f>
        <v>0</v>
      </c>
      <c r="X348" s="77">
        <f>IF(ISERROR(VLOOKUP($U$348,'TAR FIN'!$A$1:$O$85,15,0)),0,VLOOKUP($U$348,'TAR FIN'!$A$1:$O$85,15,0))</f>
        <v>0</v>
      </c>
      <c r="Y348" s="77">
        <f ca="1">('TUSD BE'!$AM$10+'TUSD BF'!$AM$10+'TUSD CVA'!$AM$10)*1*(1-0.03)</f>
        <v>16.179640671294564</v>
      </c>
      <c r="Z348" s="77"/>
      <c r="AA348" s="77"/>
      <c r="AB348" s="6">
        <f>$K$348*$V$348</f>
        <v>4739.9687999999996</v>
      </c>
      <c r="AC348" s="6">
        <f>$M$348*$W$348</f>
        <v>0</v>
      </c>
      <c r="AD348" s="6">
        <f>$O$348*$X$348</f>
        <v>0</v>
      </c>
      <c r="AE348" s="6">
        <f ca="1">$K$348*$Y$348</f>
        <v>4222.8862152078809</v>
      </c>
      <c r="AF348" s="6">
        <f>$M$348*$Z$348</f>
        <v>0</v>
      </c>
      <c r="AG348" s="6">
        <f>$O$348*$AA$348</f>
        <v>0</v>
      </c>
    </row>
    <row r="349" spans="1:33" ht="11.25" customHeight="1" x14ac:dyDescent="0.25">
      <c r="A349" s="4" t="s">
        <v>21</v>
      </c>
      <c r="B349" s="4" t="s">
        <v>33</v>
      </c>
      <c r="C349" s="4" t="s">
        <v>34</v>
      </c>
      <c r="D349" s="4" t="s">
        <v>50</v>
      </c>
      <c r="E349" s="4" t="s">
        <v>51</v>
      </c>
      <c r="F349" s="4" t="s">
        <v>25</v>
      </c>
      <c r="G349" s="4" t="s">
        <v>25</v>
      </c>
      <c r="H349" s="4" t="s">
        <v>25</v>
      </c>
      <c r="I349" s="5">
        <v>44593</v>
      </c>
      <c r="J349" s="6">
        <v>264</v>
      </c>
      <c r="K349" s="78">
        <v>264</v>
      </c>
      <c r="L349" s="6">
        <v>0</v>
      </c>
      <c r="M349" s="77">
        <v>0</v>
      </c>
      <c r="N349" s="6">
        <v>0</v>
      </c>
      <c r="O349" s="77">
        <v>0</v>
      </c>
      <c r="P349" s="6">
        <v>3</v>
      </c>
      <c r="Q349" s="4" t="s">
        <v>26</v>
      </c>
      <c r="R349" s="4">
        <v>0</v>
      </c>
      <c r="S349" s="6">
        <v>6</v>
      </c>
      <c r="T349" s="6">
        <v>0</v>
      </c>
      <c r="U349" s="6">
        <v>0</v>
      </c>
      <c r="V349" s="77">
        <f>IF(ISERROR(VLOOKUP($S$349,'TAR FIN'!$A$1:$O$85,15,0)),0,VLOOKUP($S$349,'TAR FIN'!$A$1:$O$85,15,0))*(1-0.06)</f>
        <v>18.160799999999998</v>
      </c>
      <c r="W349" s="77">
        <f>IF(ISERROR(VLOOKUP($T$349,'TAR FIN'!$A$1:$O$85,15,0)),0,VLOOKUP($T$349,'TAR FIN'!$A$1:$O$85,15,0))</f>
        <v>0</v>
      </c>
      <c r="X349" s="77">
        <f>IF(ISERROR(VLOOKUP($U$349,'TAR FIN'!$A$1:$O$85,15,0)),0,VLOOKUP($U$349,'TAR FIN'!$A$1:$O$85,15,0))</f>
        <v>0</v>
      </c>
      <c r="Y349" s="77">
        <f ca="1">('TUSD BE'!$AM$10+'TUSD BF'!$AM$10+'TUSD CVA'!$AM$10)*1*(1-0.03)</f>
        <v>16.179640671294564</v>
      </c>
      <c r="Z349" s="77"/>
      <c r="AA349" s="77"/>
      <c r="AB349" s="6">
        <f>$K$349*$V$349</f>
        <v>4794.4511999999995</v>
      </c>
      <c r="AC349" s="6">
        <f>$M$349*$W$349</f>
        <v>0</v>
      </c>
      <c r="AD349" s="6">
        <f>$O$349*$X$349</f>
        <v>0</v>
      </c>
      <c r="AE349" s="6">
        <f ca="1">$K$349*$Y$349</f>
        <v>4271.425137221765</v>
      </c>
      <c r="AF349" s="6">
        <f>$M$349*$Z$349</f>
        <v>0</v>
      </c>
      <c r="AG349" s="6">
        <f>$O$349*$AA$349</f>
        <v>0</v>
      </c>
    </row>
    <row r="350" spans="1:33" ht="11.25" customHeight="1" x14ac:dyDescent="0.25">
      <c r="A350" s="4" t="s">
        <v>21</v>
      </c>
      <c r="B350" s="4" t="s">
        <v>33</v>
      </c>
      <c r="C350" s="4" t="s">
        <v>34</v>
      </c>
      <c r="D350" s="4" t="s">
        <v>50</v>
      </c>
      <c r="E350" s="4" t="s">
        <v>51</v>
      </c>
      <c r="F350" s="4" t="s">
        <v>25</v>
      </c>
      <c r="G350" s="4" t="s">
        <v>25</v>
      </c>
      <c r="H350" s="4" t="s">
        <v>25</v>
      </c>
      <c r="I350" s="5">
        <v>44621</v>
      </c>
      <c r="J350" s="6">
        <v>269</v>
      </c>
      <c r="K350" s="78">
        <v>269</v>
      </c>
      <c r="L350" s="6">
        <v>0</v>
      </c>
      <c r="M350" s="77">
        <v>0</v>
      </c>
      <c r="N350" s="6">
        <v>0</v>
      </c>
      <c r="O350" s="77">
        <v>0</v>
      </c>
      <c r="P350" s="6">
        <v>3</v>
      </c>
      <c r="Q350" s="4" t="s">
        <v>26</v>
      </c>
      <c r="R350" s="4">
        <v>0</v>
      </c>
      <c r="S350" s="6">
        <v>6</v>
      </c>
      <c r="T350" s="6">
        <v>0</v>
      </c>
      <c r="U350" s="6">
        <v>0</v>
      </c>
      <c r="V350" s="77">
        <f>IF(ISERROR(VLOOKUP($S$350,'TAR FIN'!$A$1:$O$85,15,0)),0,VLOOKUP($S$350,'TAR FIN'!$A$1:$O$85,15,0))*(1-0.06)</f>
        <v>18.160799999999998</v>
      </c>
      <c r="W350" s="77">
        <f>IF(ISERROR(VLOOKUP($T$350,'TAR FIN'!$A$1:$O$85,15,0)),0,VLOOKUP($T$350,'TAR FIN'!$A$1:$O$85,15,0))</f>
        <v>0</v>
      </c>
      <c r="X350" s="77">
        <f>IF(ISERROR(VLOOKUP($U$350,'TAR FIN'!$A$1:$O$85,15,0)),0,VLOOKUP($U$350,'TAR FIN'!$A$1:$O$85,15,0))</f>
        <v>0</v>
      </c>
      <c r="Y350" s="77">
        <f ca="1">('TUSD BE'!$AM$10+'TUSD BF'!$AM$10+'TUSD CVA'!$AM$10)*1*(1-0.03)</f>
        <v>16.179640671294564</v>
      </c>
      <c r="Z350" s="77"/>
      <c r="AA350" s="77"/>
      <c r="AB350" s="6">
        <f>$K$350*$V$350</f>
        <v>4885.2551999999996</v>
      </c>
      <c r="AC350" s="6">
        <f>$M$350*$W$350</f>
        <v>0</v>
      </c>
      <c r="AD350" s="6">
        <f>$O$350*$X$350</f>
        <v>0</v>
      </c>
      <c r="AE350" s="6">
        <f ca="1">$K$350*$Y$350</f>
        <v>4352.3233405782375</v>
      </c>
      <c r="AF350" s="6">
        <f>$M$350*$Z$350</f>
        <v>0</v>
      </c>
      <c r="AG350" s="6">
        <f>$O$350*$AA$350</f>
        <v>0</v>
      </c>
    </row>
    <row r="351" spans="1:33" ht="11.25" customHeight="1" x14ac:dyDescent="0.25">
      <c r="A351" s="4" t="s">
        <v>21</v>
      </c>
      <c r="B351" s="4" t="s">
        <v>33</v>
      </c>
      <c r="C351" s="4" t="s">
        <v>34</v>
      </c>
      <c r="D351" s="4" t="s">
        <v>50</v>
      </c>
      <c r="E351" s="4" t="s">
        <v>51</v>
      </c>
      <c r="F351" s="4" t="s">
        <v>25</v>
      </c>
      <c r="G351" s="4" t="s">
        <v>25</v>
      </c>
      <c r="H351" s="4" t="s">
        <v>25</v>
      </c>
      <c r="I351" s="5">
        <v>44652</v>
      </c>
      <c r="J351" s="6">
        <v>270</v>
      </c>
      <c r="K351" s="78">
        <v>270</v>
      </c>
      <c r="L351" s="6">
        <v>0</v>
      </c>
      <c r="M351" s="77">
        <v>0</v>
      </c>
      <c r="N351" s="6">
        <v>0</v>
      </c>
      <c r="O351" s="77">
        <v>0</v>
      </c>
      <c r="P351" s="6">
        <v>3</v>
      </c>
      <c r="Q351" s="4" t="s">
        <v>26</v>
      </c>
      <c r="R351" s="4">
        <v>0</v>
      </c>
      <c r="S351" s="6">
        <v>6</v>
      </c>
      <c r="T351" s="6">
        <v>0</v>
      </c>
      <c r="U351" s="6">
        <v>0</v>
      </c>
      <c r="V351" s="77">
        <f>IF(ISERROR(VLOOKUP($S$351,'TAR FIN'!$A$1:$O$85,15,0)),0,VLOOKUP($S$351,'TAR FIN'!$A$1:$O$85,15,0))*(1-0.06)</f>
        <v>18.160799999999998</v>
      </c>
      <c r="W351" s="77">
        <f>IF(ISERROR(VLOOKUP($T$351,'TAR FIN'!$A$1:$O$85,15,0)),0,VLOOKUP($T$351,'TAR FIN'!$A$1:$O$85,15,0))</f>
        <v>0</v>
      </c>
      <c r="X351" s="77">
        <f>IF(ISERROR(VLOOKUP($U$351,'TAR FIN'!$A$1:$O$85,15,0)),0,VLOOKUP($U$351,'TAR FIN'!$A$1:$O$85,15,0))</f>
        <v>0</v>
      </c>
      <c r="Y351" s="77">
        <f ca="1">('TUSD BE'!$AM$10+'TUSD BF'!$AM$10+'TUSD CVA'!$AM$10)*1*(1-0.03)</f>
        <v>16.179640671294564</v>
      </c>
      <c r="Z351" s="77"/>
      <c r="AA351" s="77"/>
      <c r="AB351" s="6">
        <f>$K$351*$V$351</f>
        <v>4903.4159999999993</v>
      </c>
      <c r="AC351" s="6">
        <f>$M$351*$W$351</f>
        <v>0</v>
      </c>
      <c r="AD351" s="6">
        <f>$O$351*$X$351</f>
        <v>0</v>
      </c>
      <c r="AE351" s="6">
        <f ca="1">$K$351*$Y$351</f>
        <v>4368.5029812495322</v>
      </c>
      <c r="AF351" s="6">
        <f>$M$351*$Z$351</f>
        <v>0</v>
      </c>
      <c r="AG351" s="6">
        <f>$O$351*$AA$351</f>
        <v>0</v>
      </c>
    </row>
    <row r="352" spans="1:33" ht="11.25" customHeight="1" x14ac:dyDescent="0.25">
      <c r="A352" s="4" t="s">
        <v>21</v>
      </c>
      <c r="B352" s="4" t="s">
        <v>33</v>
      </c>
      <c r="C352" s="4" t="s">
        <v>34</v>
      </c>
      <c r="D352" s="4" t="s">
        <v>50</v>
      </c>
      <c r="E352" s="4" t="s">
        <v>51</v>
      </c>
      <c r="F352" s="4" t="s">
        <v>25</v>
      </c>
      <c r="G352" s="4" t="s">
        <v>25</v>
      </c>
      <c r="H352" s="4" t="s">
        <v>35</v>
      </c>
      <c r="I352" s="5">
        <v>44317</v>
      </c>
      <c r="J352" s="6">
        <v>0</v>
      </c>
      <c r="K352" s="77">
        <v>0</v>
      </c>
      <c r="L352" s="6">
        <v>6.8140000000000001</v>
      </c>
      <c r="M352" s="77">
        <v>6.8140000000000001</v>
      </c>
      <c r="N352" s="6">
        <v>6.8140000000000001</v>
      </c>
      <c r="O352" s="77">
        <v>6.8140000000000001</v>
      </c>
      <c r="P352" s="6">
        <v>0</v>
      </c>
      <c r="Q352" s="4" t="s">
        <v>26</v>
      </c>
      <c r="R352" s="4">
        <v>0</v>
      </c>
      <c r="S352" s="6">
        <v>0</v>
      </c>
      <c r="T352" s="6">
        <v>7</v>
      </c>
      <c r="U352" s="6">
        <v>48</v>
      </c>
      <c r="V352" s="77">
        <f>IF(ISERROR(VLOOKUP($S$352,'TAR FIN'!$A$1:$O$85,15,0)),0,VLOOKUP($S$352,'TAR FIN'!$A$1:$O$85,15,0))</f>
        <v>0</v>
      </c>
      <c r="W352" s="77">
        <f>IF(ISERROR(VLOOKUP($T$352,'TAR FIN'!$A$1:$O$85,15,0)),0,VLOOKUP($T$352,'TAR FIN'!$A$1:$O$85,15,0))*(1-0.06)</f>
        <v>891.26099999999997</v>
      </c>
      <c r="X352" s="77">
        <f>IF(ISERROR(VLOOKUP($U$352,'TAR FIN'!$A$1:$O$85,15,0)),0,VLOOKUP($U$352,'TAR FIN'!$A$1:$O$85,15,0))*(1-0.06)</f>
        <v>247.49260000000001</v>
      </c>
      <c r="Y352" s="77"/>
      <c r="Z352" s="77">
        <f ca="1">('TUSD BE'!$AM$11+'TUSD BF'!$AM$11+'TUSD CVA'!$AM$11)*1*(1-0.03)</f>
        <v>947.130360719598</v>
      </c>
      <c r="AA352" s="77">
        <f>('TE BE'!$AA$5+'TE BF'!$AA$5+'TE CVA'!$AA$5)*1*(1-0.03)</f>
        <v>204.32465670364385</v>
      </c>
      <c r="AB352" s="6">
        <f>$K$352*$V$352</f>
        <v>0</v>
      </c>
      <c r="AC352" s="6">
        <f>$M$352*$W$352</f>
        <v>6073.0524539999997</v>
      </c>
      <c r="AD352" s="6">
        <f>$O$352*$X$352</f>
        <v>1686.4145764</v>
      </c>
      <c r="AE352" s="6">
        <f>$K$352*$Y$352</f>
        <v>0</v>
      </c>
      <c r="AF352" s="6">
        <f ca="1">$M$352*$Z$352</f>
        <v>6453.7462779433408</v>
      </c>
      <c r="AG352" s="6">
        <f>$O$352*$AA$352</f>
        <v>1392.2682107786293</v>
      </c>
    </row>
    <row r="353" spans="1:33" ht="11.25" customHeight="1" x14ac:dyDescent="0.25">
      <c r="A353" s="4" t="s">
        <v>21</v>
      </c>
      <c r="B353" s="4" t="s">
        <v>33</v>
      </c>
      <c r="C353" s="4" t="s">
        <v>34</v>
      </c>
      <c r="D353" s="4" t="s">
        <v>50</v>
      </c>
      <c r="E353" s="4" t="s">
        <v>51</v>
      </c>
      <c r="F353" s="4" t="s">
        <v>25</v>
      </c>
      <c r="G353" s="4" t="s">
        <v>25</v>
      </c>
      <c r="H353" s="4" t="s">
        <v>35</v>
      </c>
      <c r="I353" s="5">
        <v>44348</v>
      </c>
      <c r="J353" s="6">
        <v>0</v>
      </c>
      <c r="K353" s="77">
        <v>0</v>
      </c>
      <c r="L353" s="6">
        <v>7.5190000000000001</v>
      </c>
      <c r="M353" s="77">
        <v>7.5190000000000001</v>
      </c>
      <c r="N353" s="6">
        <v>7.5190000000000001</v>
      </c>
      <c r="O353" s="77">
        <v>7.5190000000000001</v>
      </c>
      <c r="P353" s="6">
        <v>0</v>
      </c>
      <c r="Q353" s="4" t="s">
        <v>26</v>
      </c>
      <c r="R353" s="4">
        <v>0</v>
      </c>
      <c r="S353" s="6">
        <v>0</v>
      </c>
      <c r="T353" s="6">
        <v>7</v>
      </c>
      <c r="U353" s="6">
        <v>48</v>
      </c>
      <c r="V353" s="77">
        <f>IF(ISERROR(VLOOKUP($S$353,'TAR FIN'!$A$1:$O$85,15,0)),0,VLOOKUP($S$353,'TAR FIN'!$A$1:$O$85,15,0))</f>
        <v>0</v>
      </c>
      <c r="W353" s="77">
        <f>IF(ISERROR(VLOOKUP($T$353,'TAR FIN'!$A$1:$O$85,15,0)),0,VLOOKUP($T$353,'TAR FIN'!$A$1:$O$85,15,0))*(1-0.06)</f>
        <v>891.26099999999997</v>
      </c>
      <c r="X353" s="77">
        <f>IF(ISERROR(VLOOKUP($U$353,'TAR FIN'!$A$1:$O$85,15,0)),0,VLOOKUP($U$353,'TAR FIN'!$A$1:$O$85,15,0))*(1-0.06)</f>
        <v>247.49260000000001</v>
      </c>
      <c r="Y353" s="77"/>
      <c r="Z353" s="77">
        <f ca="1">('TUSD BE'!$AM$11+'TUSD BF'!$AM$11+'TUSD CVA'!$AM$11)*1*(1-0.03)</f>
        <v>947.130360719598</v>
      </c>
      <c r="AA353" s="77">
        <f>('TE BE'!$AA$5+'TE BF'!$AA$5+'TE CVA'!$AA$5)*1*(1-0.03)</f>
        <v>204.32465670364385</v>
      </c>
      <c r="AB353" s="6">
        <f>$K$353*$V$353</f>
        <v>0</v>
      </c>
      <c r="AC353" s="6">
        <f>$M$353*$W$353</f>
        <v>6701.3914589999995</v>
      </c>
      <c r="AD353" s="6">
        <f>$O$353*$X$353</f>
        <v>1860.8968594</v>
      </c>
      <c r="AE353" s="6">
        <f>$K$353*$Y$353</f>
        <v>0</v>
      </c>
      <c r="AF353" s="6">
        <f ca="1">$M$353*$Z$353</f>
        <v>7121.4731822506574</v>
      </c>
      <c r="AG353" s="6">
        <f>$O$353*$AA$353</f>
        <v>1536.3170937546981</v>
      </c>
    </row>
    <row r="354" spans="1:33" ht="11.25" customHeight="1" x14ac:dyDescent="0.25">
      <c r="A354" s="4" t="s">
        <v>21</v>
      </c>
      <c r="B354" s="4" t="s">
        <v>33</v>
      </c>
      <c r="C354" s="4" t="s">
        <v>34</v>
      </c>
      <c r="D354" s="4" t="s">
        <v>50</v>
      </c>
      <c r="E354" s="4" t="s">
        <v>51</v>
      </c>
      <c r="F354" s="4" t="s">
        <v>25</v>
      </c>
      <c r="G354" s="4" t="s">
        <v>25</v>
      </c>
      <c r="H354" s="4" t="s">
        <v>35</v>
      </c>
      <c r="I354" s="5">
        <v>44378</v>
      </c>
      <c r="J354" s="6">
        <v>0</v>
      </c>
      <c r="K354" s="77">
        <v>0</v>
      </c>
      <c r="L354" s="6">
        <v>6.431</v>
      </c>
      <c r="M354" s="77">
        <v>6.431</v>
      </c>
      <c r="N354" s="6">
        <v>6.431</v>
      </c>
      <c r="O354" s="77">
        <v>6.431</v>
      </c>
      <c r="P354" s="6">
        <v>0</v>
      </c>
      <c r="Q354" s="4" t="s">
        <v>26</v>
      </c>
      <c r="R354" s="4">
        <v>0</v>
      </c>
      <c r="S354" s="6">
        <v>0</v>
      </c>
      <c r="T354" s="6">
        <v>7</v>
      </c>
      <c r="U354" s="6">
        <v>48</v>
      </c>
      <c r="V354" s="77">
        <f>IF(ISERROR(VLOOKUP($S$354,'TAR FIN'!$A$1:$O$85,15,0)),0,VLOOKUP($S$354,'TAR FIN'!$A$1:$O$85,15,0))</f>
        <v>0</v>
      </c>
      <c r="W354" s="77">
        <f>IF(ISERROR(VLOOKUP($T$354,'TAR FIN'!$A$1:$O$85,15,0)),0,VLOOKUP($T$354,'TAR FIN'!$A$1:$O$85,15,0))*(1-0.06)</f>
        <v>891.26099999999997</v>
      </c>
      <c r="X354" s="77">
        <f>IF(ISERROR(VLOOKUP($U$354,'TAR FIN'!$A$1:$O$85,15,0)),0,VLOOKUP($U$354,'TAR FIN'!$A$1:$O$85,15,0))*(1-0.06)</f>
        <v>247.49260000000001</v>
      </c>
      <c r="Y354" s="77"/>
      <c r="Z354" s="77">
        <f ca="1">('TUSD BE'!$AM$11+'TUSD BF'!$AM$11+'TUSD CVA'!$AM$11)*1*(1-0.03)</f>
        <v>947.130360719598</v>
      </c>
      <c r="AA354" s="77">
        <f>('TE BE'!$AA$5+'TE BF'!$AA$5+'TE CVA'!$AA$5)*1*(1-0.03)</f>
        <v>204.32465670364385</v>
      </c>
      <c r="AB354" s="6">
        <f>$K$354*$V$354</f>
        <v>0</v>
      </c>
      <c r="AC354" s="6">
        <f>$M$354*$W$354</f>
        <v>5731.6994909999994</v>
      </c>
      <c r="AD354" s="6">
        <f>$O$354*$X$354</f>
        <v>1591.6249106</v>
      </c>
      <c r="AE354" s="6">
        <f>$K$354*$Y$354</f>
        <v>0</v>
      </c>
      <c r="AF354" s="6">
        <f ca="1">$M$354*$Z$354</f>
        <v>6090.995349787735</v>
      </c>
      <c r="AG354" s="6">
        <f>$O$354*$AA$354</f>
        <v>1314.0118672611336</v>
      </c>
    </row>
    <row r="355" spans="1:33" ht="11.25" customHeight="1" x14ac:dyDescent="0.25">
      <c r="A355" s="4" t="s">
        <v>21</v>
      </c>
      <c r="B355" s="4" t="s">
        <v>33</v>
      </c>
      <c r="C355" s="4" t="s">
        <v>34</v>
      </c>
      <c r="D355" s="4" t="s">
        <v>50</v>
      </c>
      <c r="E355" s="4" t="s">
        <v>51</v>
      </c>
      <c r="F355" s="4" t="s">
        <v>25</v>
      </c>
      <c r="G355" s="4" t="s">
        <v>25</v>
      </c>
      <c r="H355" s="4" t="s">
        <v>35</v>
      </c>
      <c r="I355" s="5">
        <v>44409</v>
      </c>
      <c r="J355" s="6">
        <v>0</v>
      </c>
      <c r="K355" s="77">
        <v>0</v>
      </c>
      <c r="L355" s="6">
        <v>7.1349999999999998</v>
      </c>
      <c r="M355" s="77">
        <v>7.1349999999999998</v>
      </c>
      <c r="N355" s="6">
        <v>7.1349999999999998</v>
      </c>
      <c r="O355" s="77">
        <v>7.1349999999999998</v>
      </c>
      <c r="P355" s="6">
        <v>0</v>
      </c>
      <c r="Q355" s="4" t="s">
        <v>26</v>
      </c>
      <c r="R355" s="4">
        <v>0</v>
      </c>
      <c r="S355" s="6">
        <v>0</v>
      </c>
      <c r="T355" s="6">
        <v>7</v>
      </c>
      <c r="U355" s="6">
        <v>48</v>
      </c>
      <c r="V355" s="77">
        <f>IF(ISERROR(VLOOKUP($S$355,'TAR FIN'!$A$1:$O$85,15,0)),0,VLOOKUP($S$355,'TAR FIN'!$A$1:$O$85,15,0))</f>
        <v>0</v>
      </c>
      <c r="W355" s="77">
        <f>IF(ISERROR(VLOOKUP($T$355,'TAR FIN'!$A$1:$O$85,15,0)),0,VLOOKUP($T$355,'TAR FIN'!$A$1:$O$85,15,0))*(1-0.06)</f>
        <v>891.26099999999997</v>
      </c>
      <c r="X355" s="77">
        <f>IF(ISERROR(VLOOKUP($U$355,'TAR FIN'!$A$1:$O$85,15,0)),0,VLOOKUP($U$355,'TAR FIN'!$A$1:$O$85,15,0))*(1-0.06)</f>
        <v>247.49260000000001</v>
      </c>
      <c r="Y355" s="77"/>
      <c r="Z355" s="77">
        <f ca="1">('TUSD BE'!$AM$11+'TUSD BF'!$AM$11+'TUSD CVA'!$AM$11)*1*(1-0.03)</f>
        <v>947.130360719598</v>
      </c>
      <c r="AA355" s="77">
        <f>('TE BE'!$AA$5+'TE BF'!$AA$5+'TE CVA'!$AA$5)*1*(1-0.03)</f>
        <v>204.32465670364385</v>
      </c>
      <c r="AB355" s="6">
        <f>$K$355*$V$355</f>
        <v>0</v>
      </c>
      <c r="AC355" s="6">
        <f>$M$355*$W$355</f>
        <v>6359.1472349999995</v>
      </c>
      <c r="AD355" s="6">
        <f>$O$355*$X$355</f>
        <v>1765.8597010000001</v>
      </c>
      <c r="AE355" s="6">
        <f>$K$355*$Y$355</f>
        <v>0</v>
      </c>
      <c r="AF355" s="6">
        <f ca="1">$M$355*$Z$355</f>
        <v>6757.7751237343318</v>
      </c>
      <c r="AG355" s="6">
        <f>$O$355*$AA$355</f>
        <v>1457.8564255804988</v>
      </c>
    </row>
    <row r="356" spans="1:33" ht="11.25" customHeight="1" x14ac:dyDescent="0.25">
      <c r="A356" s="4" t="s">
        <v>21</v>
      </c>
      <c r="B356" s="4" t="s">
        <v>33</v>
      </c>
      <c r="C356" s="4" t="s">
        <v>34</v>
      </c>
      <c r="D356" s="4" t="s">
        <v>50</v>
      </c>
      <c r="E356" s="4" t="s">
        <v>51</v>
      </c>
      <c r="F356" s="4" t="s">
        <v>25</v>
      </c>
      <c r="G356" s="4" t="s">
        <v>25</v>
      </c>
      <c r="H356" s="4" t="s">
        <v>35</v>
      </c>
      <c r="I356" s="5">
        <v>44440</v>
      </c>
      <c r="J356" s="6">
        <v>0</v>
      </c>
      <c r="K356" s="77">
        <v>0</v>
      </c>
      <c r="L356" s="6">
        <v>8.0429999999999993</v>
      </c>
      <c r="M356" s="77">
        <v>8.0429999999999993</v>
      </c>
      <c r="N356" s="6">
        <v>8.0429999999999993</v>
      </c>
      <c r="O356" s="77">
        <v>8.0429999999999993</v>
      </c>
      <c r="P356" s="6">
        <v>0</v>
      </c>
      <c r="Q356" s="4" t="s">
        <v>26</v>
      </c>
      <c r="R356" s="4">
        <v>0</v>
      </c>
      <c r="S356" s="6">
        <v>0</v>
      </c>
      <c r="T356" s="6">
        <v>7</v>
      </c>
      <c r="U356" s="6">
        <v>48</v>
      </c>
      <c r="V356" s="77">
        <f>IF(ISERROR(VLOOKUP($S$356,'TAR FIN'!$A$1:$O$85,15,0)),0,VLOOKUP($S$356,'TAR FIN'!$A$1:$O$85,15,0))</f>
        <v>0</v>
      </c>
      <c r="W356" s="77">
        <f>IF(ISERROR(VLOOKUP($T$356,'TAR FIN'!$A$1:$O$85,15,0)),0,VLOOKUP($T$356,'TAR FIN'!$A$1:$O$85,15,0))*(1-0.06)</f>
        <v>891.26099999999997</v>
      </c>
      <c r="X356" s="77">
        <f>IF(ISERROR(VLOOKUP($U$356,'TAR FIN'!$A$1:$O$85,15,0)),0,VLOOKUP($U$356,'TAR FIN'!$A$1:$O$85,15,0))*(1-0.06)</f>
        <v>247.49260000000001</v>
      </c>
      <c r="Y356" s="77"/>
      <c r="Z356" s="77">
        <f ca="1">('TUSD BE'!$AM$11+'TUSD BF'!$AM$11+'TUSD CVA'!$AM$11)*1*(1-0.03)</f>
        <v>947.130360719598</v>
      </c>
      <c r="AA356" s="77">
        <f>('TE BE'!$AA$5+'TE BF'!$AA$5+'TE CVA'!$AA$5)*1*(1-0.03)</f>
        <v>204.32465670364385</v>
      </c>
      <c r="AB356" s="6">
        <f>$K$356*$V$356</f>
        <v>0</v>
      </c>
      <c r="AC356" s="6">
        <f>$M$356*$W$356</f>
        <v>7168.4122229999994</v>
      </c>
      <c r="AD356" s="6">
        <f>$O$356*$X$356</f>
        <v>1990.5829818</v>
      </c>
      <c r="AE356" s="6">
        <f>$K$356*$Y$356</f>
        <v>0</v>
      </c>
      <c r="AF356" s="6">
        <f ca="1">$M$356*$Z$356</f>
        <v>7617.7694912677262</v>
      </c>
      <c r="AG356" s="6">
        <f>$O$356*$AA$356</f>
        <v>1643.3832138674074</v>
      </c>
    </row>
    <row r="357" spans="1:33" ht="11.25" customHeight="1" x14ac:dyDescent="0.25">
      <c r="A357" s="4" t="s">
        <v>21</v>
      </c>
      <c r="B357" s="4" t="s">
        <v>33</v>
      </c>
      <c r="C357" s="4" t="s">
        <v>34</v>
      </c>
      <c r="D357" s="4" t="s">
        <v>50</v>
      </c>
      <c r="E357" s="4" t="s">
        <v>51</v>
      </c>
      <c r="F357" s="4" t="s">
        <v>25</v>
      </c>
      <c r="G357" s="4" t="s">
        <v>25</v>
      </c>
      <c r="H357" s="4" t="s">
        <v>35</v>
      </c>
      <c r="I357" s="5">
        <v>44470</v>
      </c>
      <c r="J357" s="6">
        <v>0</v>
      </c>
      <c r="K357" s="77">
        <v>0</v>
      </c>
      <c r="L357" s="6">
        <v>8.9540000000000006</v>
      </c>
      <c r="M357" s="77">
        <v>8.9540000000000006</v>
      </c>
      <c r="N357" s="6">
        <v>8.9540000000000006</v>
      </c>
      <c r="O357" s="77">
        <v>8.9540000000000006</v>
      </c>
      <c r="P357" s="6">
        <v>0</v>
      </c>
      <c r="Q357" s="4" t="s">
        <v>26</v>
      </c>
      <c r="R357" s="4">
        <v>0</v>
      </c>
      <c r="S357" s="6">
        <v>0</v>
      </c>
      <c r="T357" s="6">
        <v>7</v>
      </c>
      <c r="U357" s="6">
        <v>48</v>
      </c>
      <c r="V357" s="77">
        <f>IF(ISERROR(VLOOKUP($S$357,'TAR FIN'!$A$1:$O$85,15,0)),0,VLOOKUP($S$357,'TAR FIN'!$A$1:$O$85,15,0))</f>
        <v>0</v>
      </c>
      <c r="W357" s="77">
        <f>IF(ISERROR(VLOOKUP($T$357,'TAR FIN'!$A$1:$O$85,15,0)),0,VLOOKUP($T$357,'TAR FIN'!$A$1:$O$85,15,0))*(1-0.06)</f>
        <v>891.26099999999997</v>
      </c>
      <c r="X357" s="77">
        <f>IF(ISERROR(VLOOKUP($U$357,'TAR FIN'!$A$1:$O$85,15,0)),0,VLOOKUP($U$357,'TAR FIN'!$A$1:$O$85,15,0))*(1-0.06)</f>
        <v>247.49260000000001</v>
      </c>
      <c r="Y357" s="77"/>
      <c r="Z357" s="77">
        <f ca="1">('TUSD BE'!$AM$11+'TUSD BF'!$AM$11+'TUSD CVA'!$AM$11)*1*(1-0.03)</f>
        <v>947.130360719598</v>
      </c>
      <c r="AA357" s="77">
        <f>('TE BE'!$AA$5+'TE BF'!$AA$5+'TE CVA'!$AA$5)*1*(1-0.03)</f>
        <v>204.32465670364385</v>
      </c>
      <c r="AB357" s="6">
        <f>$K$357*$V$357</f>
        <v>0</v>
      </c>
      <c r="AC357" s="6">
        <f>$M$357*$W$357</f>
        <v>7980.3509940000004</v>
      </c>
      <c r="AD357" s="6">
        <f>$O$357*$X$357</f>
        <v>2216.0487404</v>
      </c>
      <c r="AE357" s="6">
        <f>$K$357*$Y$357</f>
        <v>0</v>
      </c>
      <c r="AF357" s="6">
        <f ca="1">$M$357*$Z$357</f>
        <v>8480.6052498832814</v>
      </c>
      <c r="AG357" s="6">
        <f>$O$357*$AA$357</f>
        <v>1829.5229761244273</v>
      </c>
    </row>
    <row r="358" spans="1:33" ht="11.25" customHeight="1" x14ac:dyDescent="0.25">
      <c r="A358" s="4" t="s">
        <v>21</v>
      </c>
      <c r="B358" s="4" t="s">
        <v>33</v>
      </c>
      <c r="C358" s="4" t="s">
        <v>34</v>
      </c>
      <c r="D358" s="4" t="s">
        <v>50</v>
      </c>
      <c r="E358" s="4" t="s">
        <v>51</v>
      </c>
      <c r="F358" s="4" t="s">
        <v>25</v>
      </c>
      <c r="G358" s="4" t="s">
        <v>25</v>
      </c>
      <c r="H358" s="4" t="s">
        <v>35</v>
      </c>
      <c r="I358" s="5">
        <v>44501</v>
      </c>
      <c r="J358" s="6">
        <v>0</v>
      </c>
      <c r="K358" s="77">
        <v>0</v>
      </c>
      <c r="L358" s="6">
        <v>9.6679999999999993</v>
      </c>
      <c r="M358" s="77">
        <v>9.6679999999999993</v>
      </c>
      <c r="N358" s="6">
        <v>9.6679999999999993</v>
      </c>
      <c r="O358" s="77">
        <v>9.6679999999999993</v>
      </c>
      <c r="P358" s="6">
        <v>0</v>
      </c>
      <c r="Q358" s="4" t="s">
        <v>26</v>
      </c>
      <c r="R358" s="4">
        <v>0</v>
      </c>
      <c r="S358" s="6">
        <v>0</v>
      </c>
      <c r="T358" s="6">
        <v>7</v>
      </c>
      <c r="U358" s="6">
        <v>48</v>
      </c>
      <c r="V358" s="77">
        <f>IF(ISERROR(VLOOKUP($S$358,'TAR FIN'!$A$1:$O$85,15,0)),0,VLOOKUP($S$358,'TAR FIN'!$A$1:$O$85,15,0))</f>
        <v>0</v>
      </c>
      <c r="W358" s="77">
        <f>IF(ISERROR(VLOOKUP($T$358,'TAR FIN'!$A$1:$O$85,15,0)),0,VLOOKUP($T$358,'TAR FIN'!$A$1:$O$85,15,0))*(1-0.06)</f>
        <v>891.26099999999997</v>
      </c>
      <c r="X358" s="77">
        <f>IF(ISERROR(VLOOKUP($U$358,'TAR FIN'!$A$1:$O$85,15,0)),0,VLOOKUP($U$358,'TAR FIN'!$A$1:$O$85,15,0))*(1-0.06)</f>
        <v>247.49260000000001</v>
      </c>
      <c r="Y358" s="77"/>
      <c r="Z358" s="77">
        <f ca="1">('TUSD BE'!$AM$11+'TUSD BF'!$AM$11+'TUSD CVA'!$AM$11)*1*(1-0.03)</f>
        <v>947.130360719598</v>
      </c>
      <c r="AA358" s="77">
        <f>('TE BE'!$AA$5+'TE BF'!$AA$5+'TE CVA'!$AA$5)*1*(1-0.03)</f>
        <v>204.32465670364385</v>
      </c>
      <c r="AB358" s="6">
        <f>$K$358*$V$358</f>
        <v>0</v>
      </c>
      <c r="AC358" s="6">
        <f>$M$358*$W$358</f>
        <v>8616.7113479999989</v>
      </c>
      <c r="AD358" s="6">
        <f>$O$358*$X$358</f>
        <v>2392.7584567999997</v>
      </c>
      <c r="AE358" s="6">
        <f>$K$358*$Y$358</f>
        <v>0</v>
      </c>
      <c r="AF358" s="6">
        <f ca="1">$M$358*$Z$358</f>
        <v>9156.8563274370736</v>
      </c>
      <c r="AG358" s="6">
        <f>$O$358*$AA$358</f>
        <v>1975.4107810108287</v>
      </c>
    </row>
    <row r="359" spans="1:33" ht="11.25" customHeight="1" x14ac:dyDescent="0.25">
      <c r="A359" s="4" t="s">
        <v>21</v>
      </c>
      <c r="B359" s="4" t="s">
        <v>33</v>
      </c>
      <c r="C359" s="4" t="s">
        <v>34</v>
      </c>
      <c r="D359" s="4" t="s">
        <v>50</v>
      </c>
      <c r="E359" s="4" t="s">
        <v>51</v>
      </c>
      <c r="F359" s="4" t="s">
        <v>25</v>
      </c>
      <c r="G359" s="4" t="s">
        <v>25</v>
      </c>
      <c r="H359" s="4" t="s">
        <v>35</v>
      </c>
      <c r="I359" s="5">
        <v>44531</v>
      </c>
      <c r="J359" s="6">
        <v>0</v>
      </c>
      <c r="K359" s="77">
        <v>0</v>
      </c>
      <c r="L359" s="6">
        <v>11.029</v>
      </c>
      <c r="M359" s="77">
        <v>11.029</v>
      </c>
      <c r="N359" s="6">
        <v>11.029</v>
      </c>
      <c r="O359" s="77">
        <v>11.029</v>
      </c>
      <c r="P359" s="6">
        <v>0</v>
      </c>
      <c r="Q359" s="4" t="s">
        <v>26</v>
      </c>
      <c r="R359" s="4">
        <v>0</v>
      </c>
      <c r="S359" s="6">
        <v>0</v>
      </c>
      <c r="T359" s="6">
        <v>7</v>
      </c>
      <c r="U359" s="6">
        <v>48</v>
      </c>
      <c r="V359" s="77">
        <f>IF(ISERROR(VLOOKUP($S$359,'TAR FIN'!$A$1:$O$85,15,0)),0,VLOOKUP($S$359,'TAR FIN'!$A$1:$O$85,15,0))</f>
        <v>0</v>
      </c>
      <c r="W359" s="77">
        <f>IF(ISERROR(VLOOKUP($T$359,'TAR FIN'!$A$1:$O$85,15,0)),0,VLOOKUP($T$359,'TAR FIN'!$A$1:$O$85,15,0))*(1-0.06)</f>
        <v>891.26099999999997</v>
      </c>
      <c r="X359" s="77">
        <f>IF(ISERROR(VLOOKUP($U$359,'TAR FIN'!$A$1:$O$85,15,0)),0,VLOOKUP($U$359,'TAR FIN'!$A$1:$O$85,15,0))*(1-0.06)</f>
        <v>247.49260000000001</v>
      </c>
      <c r="Y359" s="77"/>
      <c r="Z359" s="77">
        <f ca="1">('TUSD BE'!$AM$11+'TUSD BF'!$AM$11+'TUSD CVA'!$AM$11)*1*(1-0.03)</f>
        <v>947.130360719598</v>
      </c>
      <c r="AA359" s="77">
        <f>('TE BE'!$AA$5+'TE BF'!$AA$5+'TE CVA'!$AA$5)*1*(1-0.03)</f>
        <v>204.32465670364385</v>
      </c>
      <c r="AB359" s="6">
        <f>$K$359*$V$359</f>
        <v>0</v>
      </c>
      <c r="AC359" s="6">
        <f>$M$359*$W$359</f>
        <v>9829.7175690000004</v>
      </c>
      <c r="AD359" s="6">
        <f>$O$359*$X$359</f>
        <v>2729.5958854</v>
      </c>
      <c r="AE359" s="6">
        <f>$K$359*$Y$359</f>
        <v>0</v>
      </c>
      <c r="AF359" s="6">
        <f ca="1">$M$359*$Z$359</f>
        <v>10445.900748376447</v>
      </c>
      <c r="AG359" s="6">
        <f>$O$359*$AA$359</f>
        <v>2253.4966387844879</v>
      </c>
    </row>
    <row r="360" spans="1:33" ht="11.25" customHeight="1" x14ac:dyDescent="0.25">
      <c r="A360" s="4" t="s">
        <v>21</v>
      </c>
      <c r="B360" s="4" t="s">
        <v>33</v>
      </c>
      <c r="C360" s="4" t="s">
        <v>34</v>
      </c>
      <c r="D360" s="4" t="s">
        <v>50</v>
      </c>
      <c r="E360" s="4" t="s">
        <v>51</v>
      </c>
      <c r="F360" s="4" t="s">
        <v>25</v>
      </c>
      <c r="G360" s="4" t="s">
        <v>25</v>
      </c>
      <c r="H360" s="4" t="s">
        <v>35</v>
      </c>
      <c r="I360" s="5">
        <v>44562</v>
      </c>
      <c r="J360" s="6">
        <v>0</v>
      </c>
      <c r="K360" s="77">
        <v>0</v>
      </c>
      <c r="L360" s="6">
        <v>10.352</v>
      </c>
      <c r="M360" s="77">
        <v>10.352</v>
      </c>
      <c r="N360" s="6">
        <v>10.352</v>
      </c>
      <c r="O360" s="77">
        <v>10.352</v>
      </c>
      <c r="P360" s="6">
        <v>0</v>
      </c>
      <c r="Q360" s="4" t="s">
        <v>26</v>
      </c>
      <c r="R360" s="4">
        <v>0</v>
      </c>
      <c r="S360" s="6">
        <v>0</v>
      </c>
      <c r="T360" s="6">
        <v>7</v>
      </c>
      <c r="U360" s="6">
        <v>48</v>
      </c>
      <c r="V360" s="77">
        <f>IF(ISERROR(VLOOKUP($S$360,'TAR FIN'!$A$1:$O$85,15,0)),0,VLOOKUP($S$360,'TAR FIN'!$A$1:$O$85,15,0))</f>
        <v>0</v>
      </c>
      <c r="W360" s="77">
        <f>IF(ISERROR(VLOOKUP($T$360,'TAR FIN'!$A$1:$O$85,15,0)),0,VLOOKUP($T$360,'TAR FIN'!$A$1:$O$85,15,0))*(1-0.06)</f>
        <v>891.26099999999997</v>
      </c>
      <c r="X360" s="77">
        <f>IF(ISERROR(VLOOKUP($U$360,'TAR FIN'!$A$1:$O$85,15,0)),0,VLOOKUP($U$360,'TAR FIN'!$A$1:$O$85,15,0))*(1-0.06)</f>
        <v>247.49260000000001</v>
      </c>
      <c r="Y360" s="77"/>
      <c r="Z360" s="77">
        <f ca="1">('TUSD BE'!$AM$11+'TUSD BF'!$AM$11+'TUSD CVA'!$AM$11)*1*(1-0.03)</f>
        <v>947.130360719598</v>
      </c>
      <c r="AA360" s="77">
        <f>('TE BE'!$AA$5+'TE BF'!$AA$5+'TE CVA'!$AA$5)*1*(1-0.03)</f>
        <v>204.32465670364385</v>
      </c>
      <c r="AB360" s="6">
        <f>$K$360*$V$360</f>
        <v>0</v>
      </c>
      <c r="AC360" s="6">
        <f>$M$360*$W$360</f>
        <v>9226.3338719999992</v>
      </c>
      <c r="AD360" s="6">
        <f>$O$360*$X$360</f>
        <v>2562.0433952000003</v>
      </c>
      <c r="AE360" s="6">
        <f>$K$360*$Y$360</f>
        <v>0</v>
      </c>
      <c r="AF360" s="6">
        <f ca="1">$M$360*$Z$360</f>
        <v>9804.693494169278</v>
      </c>
      <c r="AG360" s="6">
        <f>$O$360*$AA$360</f>
        <v>2115.1688461961212</v>
      </c>
    </row>
    <row r="361" spans="1:33" ht="11.25" customHeight="1" x14ac:dyDescent="0.25">
      <c r="A361" s="4" t="s">
        <v>21</v>
      </c>
      <c r="B361" s="4" t="s">
        <v>33</v>
      </c>
      <c r="C361" s="4" t="s">
        <v>34</v>
      </c>
      <c r="D361" s="4" t="s">
        <v>50</v>
      </c>
      <c r="E361" s="4" t="s">
        <v>51</v>
      </c>
      <c r="F361" s="4" t="s">
        <v>25</v>
      </c>
      <c r="G361" s="4" t="s">
        <v>25</v>
      </c>
      <c r="H361" s="4" t="s">
        <v>35</v>
      </c>
      <c r="I361" s="5">
        <v>44593</v>
      </c>
      <c r="J361" s="6">
        <v>0</v>
      </c>
      <c r="K361" s="77">
        <v>0</v>
      </c>
      <c r="L361" s="6">
        <v>10.896000000000001</v>
      </c>
      <c r="M361" s="77">
        <v>10.896000000000001</v>
      </c>
      <c r="N361" s="6">
        <v>10.896000000000001</v>
      </c>
      <c r="O361" s="77">
        <v>10.896000000000001</v>
      </c>
      <c r="P361" s="6">
        <v>0</v>
      </c>
      <c r="Q361" s="4" t="s">
        <v>26</v>
      </c>
      <c r="R361" s="4">
        <v>0</v>
      </c>
      <c r="S361" s="6">
        <v>0</v>
      </c>
      <c r="T361" s="6">
        <v>7</v>
      </c>
      <c r="U361" s="6">
        <v>48</v>
      </c>
      <c r="V361" s="77">
        <f>IF(ISERROR(VLOOKUP($S$361,'TAR FIN'!$A$1:$O$85,15,0)),0,VLOOKUP($S$361,'TAR FIN'!$A$1:$O$85,15,0))</f>
        <v>0</v>
      </c>
      <c r="W361" s="77">
        <f>IF(ISERROR(VLOOKUP($T$361,'TAR FIN'!$A$1:$O$85,15,0)),0,VLOOKUP($T$361,'TAR FIN'!$A$1:$O$85,15,0))*(1-0.06)</f>
        <v>891.26099999999997</v>
      </c>
      <c r="X361" s="77">
        <f>IF(ISERROR(VLOOKUP($U$361,'TAR FIN'!$A$1:$O$85,15,0)),0,VLOOKUP($U$361,'TAR FIN'!$A$1:$O$85,15,0))*(1-0.06)</f>
        <v>247.49260000000001</v>
      </c>
      <c r="Y361" s="77"/>
      <c r="Z361" s="77">
        <f ca="1">('TUSD BE'!$AM$11+'TUSD BF'!$AM$11+'TUSD CVA'!$AM$11)*1*(1-0.03)</f>
        <v>947.130360719598</v>
      </c>
      <c r="AA361" s="77">
        <f>('TE BE'!$AA$5+'TE BF'!$AA$5+'TE CVA'!$AA$5)*1*(1-0.03)</f>
        <v>204.32465670364385</v>
      </c>
      <c r="AB361" s="6">
        <f>$K$361*$V$361</f>
        <v>0</v>
      </c>
      <c r="AC361" s="6">
        <f>$M$361*$W$361</f>
        <v>9711.1798560000007</v>
      </c>
      <c r="AD361" s="6">
        <f>$O$361*$X$361</f>
        <v>2696.6793696000004</v>
      </c>
      <c r="AE361" s="6">
        <f>$K$361*$Y$361</f>
        <v>0</v>
      </c>
      <c r="AF361" s="6">
        <f ca="1">$M$361*$Z$361</f>
        <v>10319.932410400741</v>
      </c>
      <c r="AG361" s="6">
        <f>$O$361*$AA$361</f>
        <v>2226.3214594429037</v>
      </c>
    </row>
    <row r="362" spans="1:33" ht="11.25" customHeight="1" x14ac:dyDescent="0.25">
      <c r="A362" s="4" t="s">
        <v>21</v>
      </c>
      <c r="B362" s="4" t="s">
        <v>33</v>
      </c>
      <c r="C362" s="4" t="s">
        <v>34</v>
      </c>
      <c r="D362" s="4" t="s">
        <v>50</v>
      </c>
      <c r="E362" s="4" t="s">
        <v>51</v>
      </c>
      <c r="F362" s="4" t="s">
        <v>25</v>
      </c>
      <c r="G362" s="4" t="s">
        <v>25</v>
      </c>
      <c r="H362" s="4" t="s">
        <v>35</v>
      </c>
      <c r="I362" s="5">
        <v>44621</v>
      </c>
      <c r="J362" s="6">
        <v>0</v>
      </c>
      <c r="K362" s="77">
        <v>0</v>
      </c>
      <c r="L362" s="6">
        <v>10.621</v>
      </c>
      <c r="M362" s="77">
        <v>10.621</v>
      </c>
      <c r="N362" s="6">
        <v>10.621</v>
      </c>
      <c r="O362" s="77">
        <v>10.621</v>
      </c>
      <c r="P362" s="6">
        <v>0</v>
      </c>
      <c r="Q362" s="4" t="s">
        <v>26</v>
      </c>
      <c r="R362" s="4">
        <v>0</v>
      </c>
      <c r="S362" s="6">
        <v>0</v>
      </c>
      <c r="T362" s="6">
        <v>7</v>
      </c>
      <c r="U362" s="6">
        <v>48</v>
      </c>
      <c r="V362" s="77">
        <f>IF(ISERROR(VLOOKUP($S$362,'TAR FIN'!$A$1:$O$85,15,0)),0,VLOOKUP($S$362,'TAR FIN'!$A$1:$O$85,15,0))</f>
        <v>0</v>
      </c>
      <c r="W362" s="77">
        <f>IF(ISERROR(VLOOKUP($T$362,'TAR FIN'!$A$1:$O$85,15,0)),0,VLOOKUP($T$362,'TAR FIN'!$A$1:$O$85,15,0))*(1-0.06)</f>
        <v>891.26099999999997</v>
      </c>
      <c r="X362" s="77">
        <f>IF(ISERROR(VLOOKUP($U$362,'TAR FIN'!$A$1:$O$85,15,0)),0,VLOOKUP($U$362,'TAR FIN'!$A$1:$O$85,15,0))*(1-0.06)</f>
        <v>247.49260000000001</v>
      </c>
      <c r="Y362" s="77"/>
      <c r="Z362" s="77">
        <f ca="1">('TUSD BE'!$AM$11+'TUSD BF'!$AM$11+'TUSD CVA'!$AM$11)*1*(1-0.03)</f>
        <v>947.130360719598</v>
      </c>
      <c r="AA362" s="77">
        <f>('TE BE'!$AA$5+'TE BF'!$AA$5+'TE CVA'!$AA$5)*1*(1-0.03)</f>
        <v>204.32465670364385</v>
      </c>
      <c r="AB362" s="6">
        <f>$K$362*$V$362</f>
        <v>0</v>
      </c>
      <c r="AC362" s="6">
        <f>$M$362*$W$362</f>
        <v>9466.0830810000007</v>
      </c>
      <c r="AD362" s="6">
        <f>$O$362*$X$362</f>
        <v>2628.6189046000004</v>
      </c>
      <c r="AE362" s="6">
        <f>$K$362*$Y$362</f>
        <v>0</v>
      </c>
      <c r="AF362" s="6">
        <f ca="1">$M$362*$Z$362</f>
        <v>10059.47156120285</v>
      </c>
      <c r="AG362" s="6">
        <f>$O$362*$AA$362</f>
        <v>2170.1321788494015</v>
      </c>
    </row>
    <row r="363" spans="1:33" ht="11.25" customHeight="1" x14ac:dyDescent="0.25">
      <c r="A363" s="4" t="s">
        <v>21</v>
      </c>
      <c r="B363" s="4" t="s">
        <v>33</v>
      </c>
      <c r="C363" s="4" t="s">
        <v>34</v>
      </c>
      <c r="D363" s="4" t="s">
        <v>50</v>
      </c>
      <c r="E363" s="4" t="s">
        <v>51</v>
      </c>
      <c r="F363" s="4" t="s">
        <v>25</v>
      </c>
      <c r="G363" s="4" t="s">
        <v>25</v>
      </c>
      <c r="H363" s="4" t="s">
        <v>35</v>
      </c>
      <c r="I363" s="5">
        <v>44652</v>
      </c>
      <c r="J363" s="6">
        <v>0</v>
      </c>
      <c r="K363" s="77">
        <v>0</v>
      </c>
      <c r="L363" s="6">
        <v>10.084</v>
      </c>
      <c r="M363" s="77">
        <v>10.084</v>
      </c>
      <c r="N363" s="6">
        <v>10.084</v>
      </c>
      <c r="O363" s="77">
        <v>10.084</v>
      </c>
      <c r="P363" s="6">
        <v>0</v>
      </c>
      <c r="Q363" s="4" t="s">
        <v>26</v>
      </c>
      <c r="R363" s="4">
        <v>0</v>
      </c>
      <c r="S363" s="6">
        <v>0</v>
      </c>
      <c r="T363" s="6">
        <v>7</v>
      </c>
      <c r="U363" s="6">
        <v>48</v>
      </c>
      <c r="V363" s="77">
        <f>IF(ISERROR(VLOOKUP($S$363,'TAR FIN'!$A$1:$O$85,15,0)),0,VLOOKUP($S$363,'TAR FIN'!$A$1:$O$85,15,0))</f>
        <v>0</v>
      </c>
      <c r="W363" s="77">
        <f>IF(ISERROR(VLOOKUP($T$363,'TAR FIN'!$A$1:$O$85,15,0)),0,VLOOKUP($T$363,'TAR FIN'!$A$1:$O$85,15,0))*(1-0.06)</f>
        <v>891.26099999999997</v>
      </c>
      <c r="X363" s="77">
        <f>IF(ISERROR(VLOOKUP($U$363,'TAR FIN'!$A$1:$O$85,15,0)),0,VLOOKUP($U$363,'TAR FIN'!$A$1:$O$85,15,0))*(1-0.06)</f>
        <v>247.49260000000001</v>
      </c>
      <c r="Y363" s="77"/>
      <c r="Z363" s="77">
        <f ca="1">('TUSD BE'!$AM$11+'TUSD BF'!$AM$11+'TUSD CVA'!$AM$11)*1*(1-0.03)</f>
        <v>947.130360719598</v>
      </c>
      <c r="AA363" s="77">
        <f>('TE BE'!$AA$5+'TE BF'!$AA$5+'TE CVA'!$AA$5)*1*(1-0.03)</f>
        <v>204.32465670364385</v>
      </c>
      <c r="AB363" s="6">
        <f>$K$363*$V$363</f>
        <v>0</v>
      </c>
      <c r="AC363" s="6">
        <f>$M$363*$W$363</f>
        <v>8987.4759239999985</v>
      </c>
      <c r="AD363" s="6">
        <f>$O$363*$X$363</f>
        <v>2495.7153784000002</v>
      </c>
      <c r="AE363" s="6">
        <f>$K$363*$Y$363</f>
        <v>0</v>
      </c>
      <c r="AF363" s="6">
        <f ca="1">$M$363*$Z$363</f>
        <v>9550.8625574964262</v>
      </c>
      <c r="AG363" s="6">
        <f>$O$363*$AA$363</f>
        <v>2060.4098381995445</v>
      </c>
    </row>
    <row r="364" spans="1:33" ht="11.25" customHeight="1" x14ac:dyDescent="0.25">
      <c r="A364" s="4" t="s">
        <v>21</v>
      </c>
      <c r="B364" s="4" t="s">
        <v>22</v>
      </c>
      <c r="C364" s="4" t="s">
        <v>37</v>
      </c>
      <c r="D364" s="4" t="s">
        <v>24</v>
      </c>
      <c r="E364" s="4" t="s">
        <v>24</v>
      </c>
      <c r="F364" s="4" t="s">
        <v>25</v>
      </c>
      <c r="G364" s="4" t="s">
        <v>25</v>
      </c>
      <c r="H364" s="4" t="s">
        <v>36</v>
      </c>
      <c r="I364" s="5">
        <v>44317</v>
      </c>
      <c r="J364" s="6">
        <v>0</v>
      </c>
      <c r="K364" s="6">
        <v>0</v>
      </c>
      <c r="L364" s="6">
        <v>1.794</v>
      </c>
      <c r="M364" s="6">
        <v>1.794</v>
      </c>
      <c r="N364" s="6">
        <v>1.794</v>
      </c>
      <c r="O364" s="6">
        <v>1.794</v>
      </c>
      <c r="P364" s="6">
        <v>0</v>
      </c>
      <c r="Q364" s="4" t="s">
        <v>26</v>
      </c>
      <c r="R364" s="4">
        <v>0</v>
      </c>
      <c r="S364" s="6">
        <v>0</v>
      </c>
      <c r="T364" s="6">
        <v>15</v>
      </c>
      <c r="U364" s="6">
        <v>52</v>
      </c>
      <c r="V364" s="6">
        <f>IF(ISERROR(VLOOKUP($S$364,'TAR FIN'!$A$1:$O$85,15,0)),0,VLOOKUP($S$364,'TAR FIN'!$A$1:$O$85,15,0))</f>
        <v>0</v>
      </c>
      <c r="W364" s="6">
        <f>IF(ISERROR(VLOOKUP($T$364,'TAR FIN'!$A$1:$O$85,15,0)),0,VLOOKUP($T$364,'TAR FIN'!$A$1:$O$85,15,0))</f>
        <v>177.55</v>
      </c>
      <c r="X364" s="6">
        <f>IF(ISERROR(VLOOKUP($U$364,'TAR FIN'!$A$1:$O$85,15,0)),0,VLOOKUP($U$364,'TAR FIN'!$A$1:$O$85,15,0))</f>
        <v>263.29000000000002</v>
      </c>
      <c r="Y364" s="6"/>
      <c r="Z364" s="6">
        <f ca="1">('TUSD BE'!$AM$19+'TUSD BF'!$AM$19+'TUSD CVA'!$AM$19)*1</f>
        <v>222.85358588706794</v>
      </c>
      <c r="AA364" s="6">
        <f>('TE BE'!$AA$9+'TE BF'!$AA$9+'TE CVA'!$AA$9)*1</f>
        <v>210.64397598313801</v>
      </c>
      <c r="AB364" s="6">
        <f>$K$364*$V$364</f>
        <v>0</v>
      </c>
      <c r="AC364" s="6">
        <f>$M$364*$W$364</f>
        <v>318.52470000000005</v>
      </c>
      <c r="AD364" s="6">
        <f>$O$364*$X$364</f>
        <v>472.34226000000007</v>
      </c>
      <c r="AE364" s="6">
        <f>$K$364*$Y$364</f>
        <v>0</v>
      </c>
      <c r="AF364" s="6">
        <f ca="1">$M$364*$Z$364</f>
        <v>399.79933308139988</v>
      </c>
      <c r="AG364" s="6">
        <f>$O$364*$AA$364</f>
        <v>377.89529291374959</v>
      </c>
    </row>
    <row r="365" spans="1:33" ht="11.25" customHeight="1" x14ac:dyDescent="0.25">
      <c r="A365" s="4" t="s">
        <v>21</v>
      </c>
      <c r="B365" s="4" t="s">
        <v>22</v>
      </c>
      <c r="C365" s="4" t="s">
        <v>37</v>
      </c>
      <c r="D365" s="4" t="s">
        <v>24</v>
      </c>
      <c r="E365" s="4" t="s">
        <v>24</v>
      </c>
      <c r="F365" s="4" t="s">
        <v>25</v>
      </c>
      <c r="G365" s="4" t="s">
        <v>25</v>
      </c>
      <c r="H365" s="4" t="s">
        <v>36</v>
      </c>
      <c r="I365" s="5">
        <v>44348</v>
      </c>
      <c r="J365" s="6">
        <v>0</v>
      </c>
      <c r="K365" s="6">
        <v>0</v>
      </c>
      <c r="L365" s="6">
        <v>1.857</v>
      </c>
      <c r="M365" s="6">
        <v>1.857</v>
      </c>
      <c r="N365" s="6">
        <v>1.857</v>
      </c>
      <c r="O365" s="6">
        <v>1.857</v>
      </c>
      <c r="P365" s="6">
        <v>0</v>
      </c>
      <c r="Q365" s="4" t="s">
        <v>26</v>
      </c>
      <c r="R365" s="4">
        <v>0</v>
      </c>
      <c r="S365" s="6">
        <v>0</v>
      </c>
      <c r="T365" s="6">
        <v>15</v>
      </c>
      <c r="U365" s="6">
        <v>52</v>
      </c>
      <c r="V365" s="6">
        <f>IF(ISERROR(VLOOKUP($S$365,'TAR FIN'!$A$1:$O$85,15,0)),0,VLOOKUP($S$365,'TAR FIN'!$A$1:$O$85,15,0))</f>
        <v>0</v>
      </c>
      <c r="W365" s="6">
        <f>IF(ISERROR(VLOOKUP($T$365,'TAR FIN'!$A$1:$O$85,15,0)),0,VLOOKUP($T$365,'TAR FIN'!$A$1:$O$85,15,0))</f>
        <v>177.55</v>
      </c>
      <c r="X365" s="6">
        <f>IF(ISERROR(VLOOKUP($U$365,'TAR FIN'!$A$1:$O$85,15,0)),0,VLOOKUP($U$365,'TAR FIN'!$A$1:$O$85,15,0))</f>
        <v>263.29000000000002</v>
      </c>
      <c r="Y365" s="6"/>
      <c r="Z365" s="6">
        <f ca="1">('TUSD BE'!$AM$19+'TUSD BF'!$AM$19+'TUSD CVA'!$AM$19)*1</f>
        <v>222.85358588706794</v>
      </c>
      <c r="AA365" s="6">
        <f>('TE BE'!$AA$9+'TE BF'!$AA$9+'TE CVA'!$AA$9)*1</f>
        <v>210.64397598313801</v>
      </c>
      <c r="AB365" s="6">
        <f>$K$365*$V$365</f>
        <v>0</v>
      </c>
      <c r="AC365" s="6">
        <f>$M$365*$W$365</f>
        <v>329.71035000000001</v>
      </c>
      <c r="AD365" s="6">
        <f>$O$365*$X$365</f>
        <v>488.92953000000006</v>
      </c>
      <c r="AE365" s="6">
        <f>$K$365*$Y$365</f>
        <v>0</v>
      </c>
      <c r="AF365" s="6">
        <f ca="1">$M$365*$Z$365</f>
        <v>413.83910899228516</v>
      </c>
      <c r="AG365" s="6">
        <f>$O$365*$AA$365</f>
        <v>391.16586340068727</v>
      </c>
    </row>
    <row r="366" spans="1:33" ht="11.25" customHeight="1" x14ac:dyDescent="0.25">
      <c r="A366" s="4" t="s">
        <v>21</v>
      </c>
      <c r="B366" s="4" t="s">
        <v>22</v>
      </c>
      <c r="C366" s="4" t="s">
        <v>37</v>
      </c>
      <c r="D366" s="4" t="s">
        <v>24</v>
      </c>
      <c r="E366" s="4" t="s">
        <v>24</v>
      </c>
      <c r="F366" s="4" t="s">
        <v>25</v>
      </c>
      <c r="G366" s="4" t="s">
        <v>25</v>
      </c>
      <c r="H366" s="4" t="s">
        <v>36</v>
      </c>
      <c r="I366" s="5">
        <v>44378</v>
      </c>
      <c r="J366" s="6">
        <v>0</v>
      </c>
      <c r="K366" s="6">
        <v>0</v>
      </c>
      <c r="L366" s="6">
        <v>1.9950000000000001</v>
      </c>
      <c r="M366" s="6">
        <v>1.9950000000000001</v>
      </c>
      <c r="N366" s="6">
        <v>1.9950000000000001</v>
      </c>
      <c r="O366" s="6">
        <v>1.9950000000000001</v>
      </c>
      <c r="P366" s="6">
        <v>0</v>
      </c>
      <c r="Q366" s="4" t="s">
        <v>26</v>
      </c>
      <c r="R366" s="4">
        <v>0</v>
      </c>
      <c r="S366" s="6">
        <v>0</v>
      </c>
      <c r="T366" s="6">
        <v>15</v>
      </c>
      <c r="U366" s="6">
        <v>52</v>
      </c>
      <c r="V366" s="6">
        <f>IF(ISERROR(VLOOKUP($S$366,'TAR FIN'!$A$1:$O$85,15,0)),0,VLOOKUP($S$366,'TAR FIN'!$A$1:$O$85,15,0))</f>
        <v>0</v>
      </c>
      <c r="W366" s="6">
        <f>IF(ISERROR(VLOOKUP($T$366,'TAR FIN'!$A$1:$O$85,15,0)),0,VLOOKUP($T$366,'TAR FIN'!$A$1:$O$85,15,0))</f>
        <v>177.55</v>
      </c>
      <c r="X366" s="6">
        <f>IF(ISERROR(VLOOKUP($U$366,'TAR FIN'!$A$1:$O$85,15,0)),0,VLOOKUP($U$366,'TAR FIN'!$A$1:$O$85,15,0))</f>
        <v>263.29000000000002</v>
      </c>
      <c r="Y366" s="6"/>
      <c r="Z366" s="6">
        <f ca="1">('TUSD BE'!$AM$19+'TUSD BF'!$AM$19+'TUSD CVA'!$AM$19)*1</f>
        <v>222.85358588706794</v>
      </c>
      <c r="AA366" s="6">
        <f>('TE BE'!$AA$9+'TE BF'!$AA$9+'TE CVA'!$AA$9)*1</f>
        <v>210.64397598313801</v>
      </c>
      <c r="AB366" s="6">
        <f>$K$366*$V$366</f>
        <v>0</v>
      </c>
      <c r="AC366" s="6">
        <f>$M$366*$W$366</f>
        <v>354.21225000000004</v>
      </c>
      <c r="AD366" s="6">
        <f>$O$366*$X$366</f>
        <v>525.26355000000012</v>
      </c>
      <c r="AE366" s="6">
        <f>$K$366*$Y$366</f>
        <v>0</v>
      </c>
      <c r="AF366" s="6">
        <f ca="1">$M$366*$Z$366</f>
        <v>444.59290384470057</v>
      </c>
      <c r="AG366" s="6">
        <f>$O$366*$AA$366</f>
        <v>420.23473208636034</v>
      </c>
    </row>
    <row r="367" spans="1:33" ht="11.25" customHeight="1" x14ac:dyDescent="0.25">
      <c r="A367" s="4" t="s">
        <v>21</v>
      </c>
      <c r="B367" s="4" t="s">
        <v>22</v>
      </c>
      <c r="C367" s="4" t="s">
        <v>37</v>
      </c>
      <c r="D367" s="4" t="s">
        <v>24</v>
      </c>
      <c r="E367" s="4" t="s">
        <v>24</v>
      </c>
      <c r="F367" s="4" t="s">
        <v>25</v>
      </c>
      <c r="G367" s="4" t="s">
        <v>25</v>
      </c>
      <c r="H367" s="4" t="s">
        <v>36</v>
      </c>
      <c r="I367" s="5">
        <v>44409</v>
      </c>
      <c r="J367" s="6">
        <v>0</v>
      </c>
      <c r="K367" s="6">
        <v>0</v>
      </c>
      <c r="L367" s="6">
        <v>2.456</v>
      </c>
      <c r="M367" s="6">
        <v>2.456</v>
      </c>
      <c r="N367" s="6">
        <v>2.456</v>
      </c>
      <c r="O367" s="6">
        <v>2.456</v>
      </c>
      <c r="P367" s="6">
        <v>0</v>
      </c>
      <c r="Q367" s="4" t="s">
        <v>26</v>
      </c>
      <c r="R367" s="4">
        <v>0</v>
      </c>
      <c r="S367" s="6">
        <v>0</v>
      </c>
      <c r="T367" s="6">
        <v>15</v>
      </c>
      <c r="U367" s="6">
        <v>52</v>
      </c>
      <c r="V367" s="6">
        <f>IF(ISERROR(VLOOKUP($S$367,'TAR FIN'!$A$1:$O$85,15,0)),0,VLOOKUP($S$367,'TAR FIN'!$A$1:$O$85,15,0))</f>
        <v>0</v>
      </c>
      <c r="W367" s="6">
        <f>IF(ISERROR(VLOOKUP($T$367,'TAR FIN'!$A$1:$O$85,15,0)),0,VLOOKUP($T$367,'TAR FIN'!$A$1:$O$85,15,0))</f>
        <v>177.55</v>
      </c>
      <c r="X367" s="6">
        <f>IF(ISERROR(VLOOKUP($U$367,'TAR FIN'!$A$1:$O$85,15,0)),0,VLOOKUP($U$367,'TAR FIN'!$A$1:$O$85,15,0))</f>
        <v>263.29000000000002</v>
      </c>
      <c r="Y367" s="6"/>
      <c r="Z367" s="6">
        <f ca="1">('TUSD BE'!$AM$19+'TUSD BF'!$AM$19+'TUSD CVA'!$AM$19)*1</f>
        <v>222.85358588706794</v>
      </c>
      <c r="AA367" s="6">
        <f>('TE BE'!$AA$9+'TE BF'!$AA$9+'TE CVA'!$AA$9)*1</f>
        <v>210.64397598313801</v>
      </c>
      <c r="AB367" s="6">
        <f>$K$367*$V$367</f>
        <v>0</v>
      </c>
      <c r="AC367" s="6">
        <f>$M$367*$W$367</f>
        <v>436.06280000000004</v>
      </c>
      <c r="AD367" s="6">
        <f>$O$367*$X$367</f>
        <v>646.64024000000006</v>
      </c>
      <c r="AE367" s="6">
        <f>$K$367*$Y$367</f>
        <v>0</v>
      </c>
      <c r="AF367" s="6">
        <f ca="1">$M$367*$Z$367</f>
        <v>547.32840693863886</v>
      </c>
      <c r="AG367" s="6">
        <f>$O$367*$AA$367</f>
        <v>517.34160501458689</v>
      </c>
    </row>
    <row r="368" spans="1:33" ht="11.25" customHeight="1" x14ac:dyDescent="0.25">
      <c r="A368" s="4" t="s">
        <v>21</v>
      </c>
      <c r="B368" s="4" t="s">
        <v>22</v>
      </c>
      <c r="C368" s="4" t="s">
        <v>37</v>
      </c>
      <c r="D368" s="4" t="s">
        <v>24</v>
      </c>
      <c r="E368" s="4" t="s">
        <v>24</v>
      </c>
      <c r="F368" s="4" t="s">
        <v>25</v>
      </c>
      <c r="G368" s="4" t="s">
        <v>25</v>
      </c>
      <c r="H368" s="4" t="s">
        <v>36</v>
      </c>
      <c r="I368" s="5">
        <v>44440</v>
      </c>
      <c r="J368" s="6">
        <v>0</v>
      </c>
      <c r="K368" s="6">
        <v>0</v>
      </c>
      <c r="L368" s="6">
        <v>2.7250000000000001</v>
      </c>
      <c r="M368" s="6">
        <v>2.7250000000000001</v>
      </c>
      <c r="N368" s="6">
        <v>2.7250000000000001</v>
      </c>
      <c r="O368" s="6">
        <v>2.7250000000000001</v>
      </c>
      <c r="P368" s="6">
        <v>0</v>
      </c>
      <c r="Q368" s="4" t="s">
        <v>26</v>
      </c>
      <c r="R368" s="4">
        <v>0</v>
      </c>
      <c r="S368" s="6">
        <v>0</v>
      </c>
      <c r="T368" s="6">
        <v>15</v>
      </c>
      <c r="U368" s="6">
        <v>52</v>
      </c>
      <c r="V368" s="6">
        <f>IF(ISERROR(VLOOKUP($S$368,'TAR FIN'!$A$1:$O$85,15,0)),0,VLOOKUP($S$368,'TAR FIN'!$A$1:$O$85,15,0))</f>
        <v>0</v>
      </c>
      <c r="W368" s="6">
        <f>IF(ISERROR(VLOOKUP($T$368,'TAR FIN'!$A$1:$O$85,15,0)),0,VLOOKUP($T$368,'TAR FIN'!$A$1:$O$85,15,0))</f>
        <v>177.55</v>
      </c>
      <c r="X368" s="6">
        <f>IF(ISERROR(VLOOKUP($U$368,'TAR FIN'!$A$1:$O$85,15,0)),0,VLOOKUP($U$368,'TAR FIN'!$A$1:$O$85,15,0))</f>
        <v>263.29000000000002</v>
      </c>
      <c r="Y368" s="6"/>
      <c r="Z368" s="6">
        <f ca="1">('TUSD BE'!$AM$19+'TUSD BF'!$AM$19+'TUSD CVA'!$AM$19)*1</f>
        <v>222.85358588706794</v>
      </c>
      <c r="AA368" s="6">
        <f>('TE BE'!$AA$9+'TE BF'!$AA$9+'TE CVA'!$AA$9)*1</f>
        <v>210.64397598313801</v>
      </c>
      <c r="AB368" s="6">
        <f>$K$368*$V$368</f>
        <v>0</v>
      </c>
      <c r="AC368" s="6">
        <f>$M$368*$W$368</f>
        <v>483.82375000000008</v>
      </c>
      <c r="AD368" s="6">
        <f>$O$368*$X$368</f>
        <v>717.46525000000008</v>
      </c>
      <c r="AE368" s="6">
        <f>$K$368*$Y$368</f>
        <v>0</v>
      </c>
      <c r="AF368" s="6">
        <f ca="1">$M$368*$Z$368</f>
        <v>607.2760215422602</v>
      </c>
      <c r="AG368" s="6">
        <f>$O$368*$AA$368</f>
        <v>574.00483455405106</v>
      </c>
    </row>
    <row r="369" spans="1:33" ht="11.25" customHeight="1" x14ac:dyDescent="0.25">
      <c r="A369" s="4" t="s">
        <v>21</v>
      </c>
      <c r="B369" s="4" t="s">
        <v>22</v>
      </c>
      <c r="C369" s="4" t="s">
        <v>37</v>
      </c>
      <c r="D369" s="4" t="s">
        <v>24</v>
      </c>
      <c r="E369" s="4" t="s">
        <v>24</v>
      </c>
      <c r="F369" s="4" t="s">
        <v>25</v>
      </c>
      <c r="G369" s="4" t="s">
        <v>25</v>
      </c>
      <c r="H369" s="4" t="s">
        <v>36</v>
      </c>
      <c r="I369" s="5">
        <v>44470</v>
      </c>
      <c r="J369" s="6">
        <v>0</v>
      </c>
      <c r="K369" s="6">
        <v>0</v>
      </c>
      <c r="L369" s="6">
        <v>2.3330000000000002</v>
      </c>
      <c r="M369" s="6">
        <v>2.3330000000000002</v>
      </c>
      <c r="N369" s="6">
        <v>2.3330000000000002</v>
      </c>
      <c r="O369" s="6">
        <v>2.3330000000000002</v>
      </c>
      <c r="P369" s="6">
        <v>0</v>
      </c>
      <c r="Q369" s="4" t="s">
        <v>26</v>
      </c>
      <c r="R369" s="4">
        <v>0</v>
      </c>
      <c r="S369" s="6">
        <v>0</v>
      </c>
      <c r="T369" s="6">
        <v>15</v>
      </c>
      <c r="U369" s="6">
        <v>52</v>
      </c>
      <c r="V369" s="6">
        <f>IF(ISERROR(VLOOKUP($S$369,'TAR FIN'!$A$1:$O$85,15,0)),0,VLOOKUP($S$369,'TAR FIN'!$A$1:$O$85,15,0))</f>
        <v>0</v>
      </c>
      <c r="W369" s="6">
        <f>IF(ISERROR(VLOOKUP($T$369,'TAR FIN'!$A$1:$O$85,15,0)),0,VLOOKUP($T$369,'TAR FIN'!$A$1:$O$85,15,0))</f>
        <v>177.55</v>
      </c>
      <c r="X369" s="6">
        <f>IF(ISERROR(VLOOKUP($U$369,'TAR FIN'!$A$1:$O$85,15,0)),0,VLOOKUP($U$369,'TAR FIN'!$A$1:$O$85,15,0))</f>
        <v>263.29000000000002</v>
      </c>
      <c r="Y369" s="6"/>
      <c r="Z369" s="6">
        <f ca="1">('TUSD BE'!$AM$19+'TUSD BF'!$AM$19+'TUSD CVA'!$AM$19)*1</f>
        <v>222.85358588706794</v>
      </c>
      <c r="AA369" s="6">
        <f>('TE BE'!$AA$9+'TE BF'!$AA$9+'TE CVA'!$AA$9)*1</f>
        <v>210.64397598313801</v>
      </c>
      <c r="AB369" s="6">
        <f>$K$369*$V$369</f>
        <v>0</v>
      </c>
      <c r="AC369" s="6">
        <f>$M$369*$W$369</f>
        <v>414.22415000000007</v>
      </c>
      <c r="AD369" s="6">
        <f>$O$369*$X$369</f>
        <v>614.25557000000015</v>
      </c>
      <c r="AE369" s="6">
        <f>$K$369*$Y$369</f>
        <v>0</v>
      </c>
      <c r="AF369" s="6">
        <f ca="1">$M$369*$Z$369</f>
        <v>519.91741587452952</v>
      </c>
      <c r="AG369" s="6">
        <f>$O$369*$AA$369</f>
        <v>491.43239596866101</v>
      </c>
    </row>
    <row r="370" spans="1:33" ht="11.25" customHeight="1" x14ac:dyDescent="0.25">
      <c r="A370" s="4" t="s">
        <v>21</v>
      </c>
      <c r="B370" s="4" t="s">
        <v>22</v>
      </c>
      <c r="C370" s="4" t="s">
        <v>37</v>
      </c>
      <c r="D370" s="4" t="s">
        <v>24</v>
      </c>
      <c r="E370" s="4" t="s">
        <v>24</v>
      </c>
      <c r="F370" s="4" t="s">
        <v>25</v>
      </c>
      <c r="G370" s="4" t="s">
        <v>25</v>
      </c>
      <c r="H370" s="4" t="s">
        <v>36</v>
      </c>
      <c r="I370" s="5">
        <v>44501</v>
      </c>
      <c r="J370" s="6">
        <v>0</v>
      </c>
      <c r="K370" s="6">
        <v>0</v>
      </c>
      <c r="L370" s="6">
        <v>2.3420000000000001</v>
      </c>
      <c r="M370" s="6">
        <v>2.3420000000000001</v>
      </c>
      <c r="N370" s="6">
        <v>2.3420000000000001</v>
      </c>
      <c r="O370" s="6">
        <v>2.3420000000000001</v>
      </c>
      <c r="P370" s="6">
        <v>0</v>
      </c>
      <c r="Q370" s="4" t="s">
        <v>26</v>
      </c>
      <c r="R370" s="4">
        <v>0</v>
      </c>
      <c r="S370" s="6">
        <v>0</v>
      </c>
      <c r="T370" s="6">
        <v>15</v>
      </c>
      <c r="U370" s="6">
        <v>52</v>
      </c>
      <c r="V370" s="6">
        <f>IF(ISERROR(VLOOKUP($S$370,'TAR FIN'!$A$1:$O$85,15,0)),0,VLOOKUP($S$370,'TAR FIN'!$A$1:$O$85,15,0))</f>
        <v>0</v>
      </c>
      <c r="W370" s="6">
        <f>IF(ISERROR(VLOOKUP($T$370,'TAR FIN'!$A$1:$O$85,15,0)),0,VLOOKUP($T$370,'TAR FIN'!$A$1:$O$85,15,0))</f>
        <v>177.55</v>
      </c>
      <c r="X370" s="6">
        <f>IF(ISERROR(VLOOKUP($U$370,'TAR FIN'!$A$1:$O$85,15,0)),0,VLOOKUP($U$370,'TAR FIN'!$A$1:$O$85,15,0))</f>
        <v>263.29000000000002</v>
      </c>
      <c r="Y370" s="6"/>
      <c r="Z370" s="6">
        <f ca="1">('TUSD BE'!$AM$19+'TUSD BF'!$AM$19+'TUSD CVA'!$AM$19)*1</f>
        <v>222.85358588706794</v>
      </c>
      <c r="AA370" s="6">
        <f>('TE BE'!$AA$9+'TE BF'!$AA$9+'TE CVA'!$AA$9)*1</f>
        <v>210.64397598313801</v>
      </c>
      <c r="AB370" s="6">
        <f>$K$370*$V$370</f>
        <v>0</v>
      </c>
      <c r="AC370" s="6">
        <f>$M$370*$W$370</f>
        <v>415.82210000000003</v>
      </c>
      <c r="AD370" s="6">
        <f>$O$370*$X$370</f>
        <v>616.62518000000011</v>
      </c>
      <c r="AE370" s="6">
        <f>$K$370*$Y$370</f>
        <v>0</v>
      </c>
      <c r="AF370" s="6">
        <f ca="1">$M$370*$Z$370</f>
        <v>521.92309814751309</v>
      </c>
      <c r="AG370" s="6">
        <f>$O$370*$AA$370</f>
        <v>493.32819175250921</v>
      </c>
    </row>
    <row r="371" spans="1:33" ht="11.25" customHeight="1" x14ac:dyDescent="0.25">
      <c r="A371" s="4" t="s">
        <v>21</v>
      </c>
      <c r="B371" s="4" t="s">
        <v>22</v>
      </c>
      <c r="C371" s="4" t="s">
        <v>37</v>
      </c>
      <c r="D371" s="4" t="s">
        <v>24</v>
      </c>
      <c r="E371" s="4" t="s">
        <v>24</v>
      </c>
      <c r="F371" s="4" t="s">
        <v>25</v>
      </c>
      <c r="G371" s="4" t="s">
        <v>25</v>
      </c>
      <c r="H371" s="4" t="s">
        <v>36</v>
      </c>
      <c r="I371" s="5">
        <v>44531</v>
      </c>
      <c r="J371" s="6">
        <v>0</v>
      </c>
      <c r="K371" s="6">
        <v>0</v>
      </c>
      <c r="L371" s="6">
        <v>2.4870000000000001</v>
      </c>
      <c r="M371" s="6">
        <v>2.4870000000000001</v>
      </c>
      <c r="N371" s="6">
        <v>2.4870000000000001</v>
      </c>
      <c r="O371" s="6">
        <v>2.4870000000000001</v>
      </c>
      <c r="P371" s="6">
        <v>0</v>
      </c>
      <c r="Q371" s="4" t="s">
        <v>26</v>
      </c>
      <c r="R371" s="4">
        <v>0</v>
      </c>
      <c r="S371" s="6">
        <v>0</v>
      </c>
      <c r="T371" s="6">
        <v>15</v>
      </c>
      <c r="U371" s="6">
        <v>52</v>
      </c>
      <c r="V371" s="6">
        <f>IF(ISERROR(VLOOKUP($S$371,'TAR FIN'!$A$1:$O$85,15,0)),0,VLOOKUP($S$371,'TAR FIN'!$A$1:$O$85,15,0))</f>
        <v>0</v>
      </c>
      <c r="W371" s="6">
        <f>IF(ISERROR(VLOOKUP($T$371,'TAR FIN'!$A$1:$O$85,15,0)),0,VLOOKUP($T$371,'TAR FIN'!$A$1:$O$85,15,0))</f>
        <v>177.55</v>
      </c>
      <c r="X371" s="6">
        <f>IF(ISERROR(VLOOKUP($U$371,'TAR FIN'!$A$1:$O$85,15,0)),0,VLOOKUP($U$371,'TAR FIN'!$A$1:$O$85,15,0))</f>
        <v>263.29000000000002</v>
      </c>
      <c r="Y371" s="6"/>
      <c r="Z371" s="6">
        <f ca="1">('TUSD BE'!$AM$19+'TUSD BF'!$AM$19+'TUSD CVA'!$AM$19)*1</f>
        <v>222.85358588706794</v>
      </c>
      <c r="AA371" s="6">
        <f>('TE BE'!$AA$9+'TE BF'!$AA$9+'TE CVA'!$AA$9)*1</f>
        <v>210.64397598313801</v>
      </c>
      <c r="AB371" s="6">
        <f>$K$371*$V$371</f>
        <v>0</v>
      </c>
      <c r="AC371" s="6">
        <f>$M$371*$W$371</f>
        <v>441.56685000000004</v>
      </c>
      <c r="AD371" s="6">
        <f>$O$371*$X$371</f>
        <v>654.80223000000012</v>
      </c>
      <c r="AE371" s="6">
        <f>$K$371*$Y$371</f>
        <v>0</v>
      </c>
      <c r="AF371" s="6">
        <f ca="1">$M$371*$Z$371</f>
        <v>554.23686810113793</v>
      </c>
      <c r="AG371" s="6">
        <f>$O$371*$AA$371</f>
        <v>523.87156827006424</v>
      </c>
    </row>
    <row r="372" spans="1:33" ht="11.25" customHeight="1" x14ac:dyDescent="0.25">
      <c r="A372" s="4" t="s">
        <v>21</v>
      </c>
      <c r="B372" s="4" t="s">
        <v>22</v>
      </c>
      <c r="C372" s="4" t="s">
        <v>37</v>
      </c>
      <c r="D372" s="4" t="s">
        <v>24</v>
      </c>
      <c r="E372" s="4" t="s">
        <v>24</v>
      </c>
      <c r="F372" s="4" t="s">
        <v>25</v>
      </c>
      <c r="G372" s="4" t="s">
        <v>25</v>
      </c>
      <c r="H372" s="4" t="s">
        <v>36</v>
      </c>
      <c r="I372" s="5">
        <v>44562</v>
      </c>
      <c r="J372" s="6">
        <v>0</v>
      </c>
      <c r="K372" s="6">
        <v>0</v>
      </c>
      <c r="L372" s="6">
        <v>2.78</v>
      </c>
      <c r="M372" s="6">
        <v>2.78</v>
      </c>
      <c r="N372" s="6">
        <v>2.78</v>
      </c>
      <c r="O372" s="6">
        <v>2.78</v>
      </c>
      <c r="P372" s="6">
        <v>0</v>
      </c>
      <c r="Q372" s="4" t="s">
        <v>26</v>
      </c>
      <c r="R372" s="4">
        <v>0</v>
      </c>
      <c r="S372" s="6">
        <v>0</v>
      </c>
      <c r="T372" s="6">
        <v>15</v>
      </c>
      <c r="U372" s="6">
        <v>52</v>
      </c>
      <c r="V372" s="6">
        <f>IF(ISERROR(VLOOKUP($S$372,'TAR FIN'!$A$1:$O$85,15,0)),0,VLOOKUP($S$372,'TAR FIN'!$A$1:$O$85,15,0))</f>
        <v>0</v>
      </c>
      <c r="W372" s="6">
        <f>IF(ISERROR(VLOOKUP($T$372,'TAR FIN'!$A$1:$O$85,15,0)),0,VLOOKUP($T$372,'TAR FIN'!$A$1:$O$85,15,0))</f>
        <v>177.55</v>
      </c>
      <c r="X372" s="6">
        <f>IF(ISERROR(VLOOKUP($U$372,'TAR FIN'!$A$1:$O$85,15,0)),0,VLOOKUP($U$372,'TAR FIN'!$A$1:$O$85,15,0))</f>
        <v>263.29000000000002</v>
      </c>
      <c r="Y372" s="6"/>
      <c r="Z372" s="6">
        <f ca="1">('TUSD BE'!$AM$19+'TUSD BF'!$AM$19+'TUSD CVA'!$AM$19)*1</f>
        <v>222.85358588706794</v>
      </c>
      <c r="AA372" s="6">
        <f>('TE BE'!$AA$9+'TE BF'!$AA$9+'TE CVA'!$AA$9)*1</f>
        <v>210.64397598313801</v>
      </c>
      <c r="AB372" s="6">
        <f>$K$372*$V$372</f>
        <v>0</v>
      </c>
      <c r="AC372" s="6">
        <f>$M$372*$W$372</f>
        <v>493.589</v>
      </c>
      <c r="AD372" s="6">
        <f>$O$372*$X$372</f>
        <v>731.94619999999998</v>
      </c>
      <c r="AE372" s="6">
        <f>$K$372*$Y$372</f>
        <v>0</v>
      </c>
      <c r="AF372" s="6">
        <f ca="1">$M$372*$Z$372</f>
        <v>619.53296876604884</v>
      </c>
      <c r="AG372" s="6">
        <f>$O$372*$AA$372</f>
        <v>585.59025323312358</v>
      </c>
    </row>
    <row r="373" spans="1:33" ht="11.25" customHeight="1" x14ac:dyDescent="0.25">
      <c r="A373" s="4" t="s">
        <v>21</v>
      </c>
      <c r="B373" s="4" t="s">
        <v>22</v>
      </c>
      <c r="C373" s="4" t="s">
        <v>37</v>
      </c>
      <c r="D373" s="4" t="s">
        <v>24</v>
      </c>
      <c r="E373" s="4" t="s">
        <v>24</v>
      </c>
      <c r="F373" s="4" t="s">
        <v>25</v>
      </c>
      <c r="G373" s="4" t="s">
        <v>25</v>
      </c>
      <c r="H373" s="4" t="s">
        <v>36</v>
      </c>
      <c r="I373" s="5">
        <v>44593</v>
      </c>
      <c r="J373" s="6">
        <v>0</v>
      </c>
      <c r="K373" s="6">
        <v>0</v>
      </c>
      <c r="L373" s="6">
        <v>2.7229999999999999</v>
      </c>
      <c r="M373" s="6">
        <v>2.7229999999999999</v>
      </c>
      <c r="N373" s="6">
        <v>2.7229999999999999</v>
      </c>
      <c r="O373" s="6">
        <v>2.7229999999999999</v>
      </c>
      <c r="P373" s="6">
        <v>0</v>
      </c>
      <c r="Q373" s="4" t="s">
        <v>26</v>
      </c>
      <c r="R373" s="4">
        <v>0</v>
      </c>
      <c r="S373" s="6">
        <v>0</v>
      </c>
      <c r="T373" s="6">
        <v>15</v>
      </c>
      <c r="U373" s="6">
        <v>52</v>
      </c>
      <c r="V373" s="6">
        <f>IF(ISERROR(VLOOKUP($S$373,'TAR FIN'!$A$1:$O$85,15,0)),0,VLOOKUP($S$373,'TAR FIN'!$A$1:$O$85,15,0))</f>
        <v>0</v>
      </c>
      <c r="W373" s="6">
        <f>IF(ISERROR(VLOOKUP($T$373,'TAR FIN'!$A$1:$O$85,15,0)),0,VLOOKUP($T$373,'TAR FIN'!$A$1:$O$85,15,0))</f>
        <v>177.55</v>
      </c>
      <c r="X373" s="6">
        <f>IF(ISERROR(VLOOKUP($U$373,'TAR FIN'!$A$1:$O$85,15,0)),0,VLOOKUP($U$373,'TAR FIN'!$A$1:$O$85,15,0))</f>
        <v>263.29000000000002</v>
      </c>
      <c r="Y373" s="6"/>
      <c r="Z373" s="6">
        <f ca="1">('TUSD BE'!$AM$19+'TUSD BF'!$AM$19+'TUSD CVA'!$AM$19)*1</f>
        <v>222.85358588706794</v>
      </c>
      <c r="AA373" s="6">
        <f>('TE BE'!$AA$9+'TE BF'!$AA$9+'TE CVA'!$AA$9)*1</f>
        <v>210.64397598313801</v>
      </c>
      <c r="AB373" s="6">
        <f>$K$373*$V$373</f>
        <v>0</v>
      </c>
      <c r="AC373" s="6">
        <f>$M$373*$W$373</f>
        <v>483.46865000000003</v>
      </c>
      <c r="AD373" s="6">
        <f>$O$373*$X$373</f>
        <v>716.93867</v>
      </c>
      <c r="AE373" s="6">
        <f>$K$373*$Y$373</f>
        <v>0</v>
      </c>
      <c r="AF373" s="6">
        <f ca="1">$M$373*$Z$373</f>
        <v>606.83031437048601</v>
      </c>
      <c r="AG373" s="6">
        <f>$O$373*$AA$373</f>
        <v>573.58354660208477</v>
      </c>
    </row>
    <row r="374" spans="1:33" ht="11.25" customHeight="1" x14ac:dyDescent="0.25">
      <c r="A374" s="4" t="s">
        <v>21</v>
      </c>
      <c r="B374" s="4" t="s">
        <v>22</v>
      </c>
      <c r="C374" s="4" t="s">
        <v>37</v>
      </c>
      <c r="D374" s="4" t="s">
        <v>24</v>
      </c>
      <c r="E374" s="4" t="s">
        <v>24</v>
      </c>
      <c r="F374" s="4" t="s">
        <v>25</v>
      </c>
      <c r="G374" s="4" t="s">
        <v>25</v>
      </c>
      <c r="H374" s="4" t="s">
        <v>36</v>
      </c>
      <c r="I374" s="5">
        <v>44621</v>
      </c>
      <c r="J374" s="6">
        <v>0</v>
      </c>
      <c r="K374" s="6">
        <v>0</v>
      </c>
      <c r="L374" s="6">
        <v>3.5790000000000002</v>
      </c>
      <c r="M374" s="6">
        <v>3.5790000000000002</v>
      </c>
      <c r="N374" s="6">
        <v>3.5790000000000002</v>
      </c>
      <c r="O374" s="6">
        <v>3.5790000000000002</v>
      </c>
      <c r="P374" s="6">
        <v>0</v>
      </c>
      <c r="Q374" s="4" t="s">
        <v>26</v>
      </c>
      <c r="R374" s="4">
        <v>0</v>
      </c>
      <c r="S374" s="6">
        <v>0</v>
      </c>
      <c r="T374" s="6">
        <v>15</v>
      </c>
      <c r="U374" s="6">
        <v>52</v>
      </c>
      <c r="V374" s="6">
        <f>IF(ISERROR(VLOOKUP($S$374,'TAR FIN'!$A$1:$O$85,15,0)),0,VLOOKUP($S$374,'TAR FIN'!$A$1:$O$85,15,0))</f>
        <v>0</v>
      </c>
      <c r="W374" s="6">
        <f>IF(ISERROR(VLOOKUP($T$374,'TAR FIN'!$A$1:$O$85,15,0)),0,VLOOKUP($T$374,'TAR FIN'!$A$1:$O$85,15,0))</f>
        <v>177.55</v>
      </c>
      <c r="X374" s="6">
        <f>IF(ISERROR(VLOOKUP($U$374,'TAR FIN'!$A$1:$O$85,15,0)),0,VLOOKUP($U$374,'TAR FIN'!$A$1:$O$85,15,0))</f>
        <v>263.29000000000002</v>
      </c>
      <c r="Y374" s="6"/>
      <c r="Z374" s="6">
        <f ca="1">('TUSD BE'!$AM$19+'TUSD BF'!$AM$19+'TUSD CVA'!$AM$19)*1</f>
        <v>222.85358588706794</v>
      </c>
      <c r="AA374" s="6">
        <f>('TE BE'!$AA$9+'TE BF'!$AA$9+'TE CVA'!$AA$9)*1</f>
        <v>210.64397598313801</v>
      </c>
      <c r="AB374" s="6">
        <f>$K$374*$V$374</f>
        <v>0</v>
      </c>
      <c r="AC374" s="6">
        <f>$M$374*$W$374</f>
        <v>635.45145000000002</v>
      </c>
      <c r="AD374" s="6">
        <f>$O$374*$X$374</f>
        <v>942.31491000000017</v>
      </c>
      <c r="AE374" s="6">
        <f>$K$374*$Y$374</f>
        <v>0</v>
      </c>
      <c r="AF374" s="6">
        <f ca="1">$M$374*$Z$374</f>
        <v>797.5929838898162</v>
      </c>
      <c r="AG374" s="6">
        <f>$O$374*$AA$374</f>
        <v>753.89479004365091</v>
      </c>
    </row>
    <row r="375" spans="1:33" ht="11.25" customHeight="1" x14ac:dyDescent="0.25">
      <c r="A375" s="4" t="s">
        <v>21</v>
      </c>
      <c r="B375" s="4" t="s">
        <v>22</v>
      </c>
      <c r="C375" s="4" t="s">
        <v>37</v>
      </c>
      <c r="D375" s="4" t="s">
        <v>24</v>
      </c>
      <c r="E375" s="4" t="s">
        <v>24</v>
      </c>
      <c r="F375" s="4" t="s">
        <v>25</v>
      </c>
      <c r="G375" s="4" t="s">
        <v>25</v>
      </c>
      <c r="H375" s="4" t="s">
        <v>36</v>
      </c>
      <c r="I375" s="5">
        <v>44652</v>
      </c>
      <c r="J375" s="6">
        <v>0</v>
      </c>
      <c r="K375" s="6">
        <v>0</v>
      </c>
      <c r="L375" s="6">
        <v>2.8010000000000002</v>
      </c>
      <c r="M375" s="6">
        <v>2.8010000000000002</v>
      </c>
      <c r="N375" s="6">
        <v>2.8010000000000002</v>
      </c>
      <c r="O375" s="6">
        <v>2.8010000000000002</v>
      </c>
      <c r="P375" s="6">
        <v>0</v>
      </c>
      <c r="Q375" s="4" t="s">
        <v>26</v>
      </c>
      <c r="R375" s="4">
        <v>0</v>
      </c>
      <c r="S375" s="6">
        <v>0</v>
      </c>
      <c r="T375" s="6">
        <v>15</v>
      </c>
      <c r="U375" s="6">
        <v>52</v>
      </c>
      <c r="V375" s="6">
        <f>IF(ISERROR(VLOOKUP($S$375,'TAR FIN'!$A$1:$O$85,15,0)),0,VLOOKUP($S$375,'TAR FIN'!$A$1:$O$85,15,0))</f>
        <v>0</v>
      </c>
      <c r="W375" s="6">
        <f>IF(ISERROR(VLOOKUP($T$375,'TAR FIN'!$A$1:$O$85,15,0)),0,VLOOKUP($T$375,'TAR FIN'!$A$1:$O$85,15,0))</f>
        <v>177.55</v>
      </c>
      <c r="X375" s="6">
        <f>IF(ISERROR(VLOOKUP($U$375,'TAR FIN'!$A$1:$O$85,15,0)),0,VLOOKUP($U$375,'TAR FIN'!$A$1:$O$85,15,0))</f>
        <v>263.29000000000002</v>
      </c>
      <c r="Y375" s="6"/>
      <c r="Z375" s="6">
        <f ca="1">('TUSD BE'!$AM$19+'TUSD BF'!$AM$19+'TUSD CVA'!$AM$19)*1</f>
        <v>222.85358588706794</v>
      </c>
      <c r="AA375" s="6">
        <f>('TE BE'!$AA$9+'TE BF'!$AA$9+'TE CVA'!$AA$9)*1</f>
        <v>210.64397598313801</v>
      </c>
      <c r="AB375" s="6">
        <f>$K$375*$V$375</f>
        <v>0</v>
      </c>
      <c r="AC375" s="6">
        <f>$M$375*$W$375</f>
        <v>497.31755000000004</v>
      </c>
      <c r="AD375" s="6">
        <f>$O$375*$X$375</f>
        <v>737.47529000000009</v>
      </c>
      <c r="AE375" s="6">
        <f>$K$375*$Y$375</f>
        <v>0</v>
      </c>
      <c r="AF375" s="6">
        <f ca="1">$M$375*$Z$375</f>
        <v>624.2128940696773</v>
      </c>
      <c r="AG375" s="6">
        <f>$O$375*$AA$375</f>
        <v>590.01377672876959</v>
      </c>
    </row>
    <row r="376" spans="1:33" ht="11.25" customHeight="1" x14ac:dyDescent="0.25">
      <c r="A376" s="4" t="s">
        <v>21</v>
      </c>
      <c r="B376" s="4" t="s">
        <v>22</v>
      </c>
      <c r="C376" s="4" t="s">
        <v>37</v>
      </c>
      <c r="D376" s="4" t="s">
        <v>24</v>
      </c>
      <c r="E376" s="4" t="s">
        <v>24</v>
      </c>
      <c r="F376" s="4" t="s">
        <v>25</v>
      </c>
      <c r="G376" s="4" t="s">
        <v>25</v>
      </c>
      <c r="H376" s="4" t="s">
        <v>38</v>
      </c>
      <c r="I376" s="5">
        <v>44317</v>
      </c>
      <c r="J376" s="6">
        <v>0</v>
      </c>
      <c r="K376" s="6">
        <v>0</v>
      </c>
      <c r="L376" s="6">
        <v>0.18</v>
      </c>
      <c r="M376" s="6">
        <v>0.18</v>
      </c>
      <c r="N376" s="6">
        <v>0.18</v>
      </c>
      <c r="O376" s="6">
        <v>0.18</v>
      </c>
      <c r="P376" s="6">
        <v>0</v>
      </c>
      <c r="Q376" s="4" t="s">
        <v>26</v>
      </c>
      <c r="R376" s="4">
        <v>0</v>
      </c>
      <c r="S376" s="6">
        <v>0</v>
      </c>
      <c r="T376" s="6">
        <v>14</v>
      </c>
      <c r="U376" s="6">
        <v>51</v>
      </c>
      <c r="V376" s="6">
        <f>IF(ISERROR(VLOOKUP($S$376,'TAR FIN'!$A$1:$O$85,15,0)),0,VLOOKUP($S$376,'TAR FIN'!$A$1:$O$85,15,0))</f>
        <v>0</v>
      </c>
      <c r="W376" s="6">
        <f>IF(ISERROR(VLOOKUP($T$376,'TAR FIN'!$A$1:$O$85,15,0)),0,VLOOKUP($T$376,'TAR FIN'!$A$1:$O$85,15,0))</f>
        <v>369.83</v>
      </c>
      <c r="X376" s="6">
        <f>IF(ISERROR(VLOOKUP($U$376,'TAR FIN'!$A$1:$O$85,15,0)),0,VLOOKUP($U$376,'TAR FIN'!$A$1:$O$85,15,0))</f>
        <v>263.29000000000002</v>
      </c>
      <c r="Y376" s="6"/>
      <c r="Z376" s="6">
        <f ca="1">('TUSD BE'!$AM$18+'TUSD BF'!$AM$18+'TUSD CVA'!$AM$18)*1</f>
        <v>417.35749474811553</v>
      </c>
      <c r="AA376" s="6">
        <f>('TE BE'!$AA$8+'TE BF'!$AA$8+'TE CVA'!$AA$8)*1</f>
        <v>210.64397598313801</v>
      </c>
      <c r="AB376" s="6">
        <f>$K$376*$V$376</f>
        <v>0</v>
      </c>
      <c r="AC376" s="6">
        <f>$M$376*$W$376</f>
        <v>66.569400000000002</v>
      </c>
      <c r="AD376" s="6">
        <f>$O$376*$X$376</f>
        <v>47.392200000000003</v>
      </c>
      <c r="AE376" s="6">
        <f>$K$376*$Y$376</f>
        <v>0</v>
      </c>
      <c r="AF376" s="6">
        <f ca="1">$M$376*$Z$376</f>
        <v>75.124349054660797</v>
      </c>
      <c r="AG376" s="6">
        <f>$O$376*$AA$376</f>
        <v>37.915915676964836</v>
      </c>
    </row>
    <row r="377" spans="1:33" ht="11.25" customHeight="1" x14ac:dyDescent="0.25">
      <c r="A377" s="4" t="s">
        <v>21</v>
      </c>
      <c r="B377" s="4" t="s">
        <v>22</v>
      </c>
      <c r="C377" s="4" t="s">
        <v>37</v>
      </c>
      <c r="D377" s="4" t="s">
        <v>24</v>
      </c>
      <c r="E377" s="4" t="s">
        <v>24</v>
      </c>
      <c r="F377" s="4" t="s">
        <v>25</v>
      </c>
      <c r="G377" s="4" t="s">
        <v>25</v>
      </c>
      <c r="H377" s="4" t="s">
        <v>38</v>
      </c>
      <c r="I377" s="5">
        <v>44348</v>
      </c>
      <c r="J377" s="6">
        <v>0</v>
      </c>
      <c r="K377" s="6">
        <v>0</v>
      </c>
      <c r="L377" s="6">
        <v>0.21</v>
      </c>
      <c r="M377" s="6">
        <v>0.21</v>
      </c>
      <c r="N377" s="6">
        <v>0.21</v>
      </c>
      <c r="O377" s="6">
        <v>0.21</v>
      </c>
      <c r="P377" s="6">
        <v>0</v>
      </c>
      <c r="Q377" s="4" t="s">
        <v>26</v>
      </c>
      <c r="R377" s="4">
        <v>0</v>
      </c>
      <c r="S377" s="6">
        <v>0</v>
      </c>
      <c r="T377" s="6">
        <v>14</v>
      </c>
      <c r="U377" s="6">
        <v>51</v>
      </c>
      <c r="V377" s="6">
        <f>IF(ISERROR(VLOOKUP($S$377,'TAR FIN'!$A$1:$O$85,15,0)),0,VLOOKUP($S$377,'TAR FIN'!$A$1:$O$85,15,0))</f>
        <v>0</v>
      </c>
      <c r="W377" s="6">
        <f>IF(ISERROR(VLOOKUP($T$377,'TAR FIN'!$A$1:$O$85,15,0)),0,VLOOKUP($T$377,'TAR FIN'!$A$1:$O$85,15,0))</f>
        <v>369.83</v>
      </c>
      <c r="X377" s="6">
        <f>IF(ISERROR(VLOOKUP($U$377,'TAR FIN'!$A$1:$O$85,15,0)),0,VLOOKUP($U$377,'TAR FIN'!$A$1:$O$85,15,0))</f>
        <v>263.29000000000002</v>
      </c>
      <c r="Y377" s="6"/>
      <c r="Z377" s="6">
        <f ca="1">('TUSD BE'!$AM$18+'TUSD BF'!$AM$18+'TUSD CVA'!$AM$18)*1</f>
        <v>417.35749474811553</v>
      </c>
      <c r="AA377" s="6">
        <f>('TE BE'!$AA$8+'TE BF'!$AA$8+'TE CVA'!$AA$8)*1</f>
        <v>210.64397598313801</v>
      </c>
      <c r="AB377" s="6">
        <f>$K$377*$V$377</f>
        <v>0</v>
      </c>
      <c r="AC377" s="6">
        <f>$M$377*$W$377</f>
        <v>77.664299999999997</v>
      </c>
      <c r="AD377" s="6">
        <f>$O$377*$X$377</f>
        <v>55.290900000000001</v>
      </c>
      <c r="AE377" s="6">
        <f>$K$377*$Y$377</f>
        <v>0</v>
      </c>
      <c r="AF377" s="6">
        <f ca="1">$M$377*$Z$377</f>
        <v>87.645073897104254</v>
      </c>
      <c r="AG377" s="6">
        <f>$O$377*$AA$377</f>
        <v>44.235234956458982</v>
      </c>
    </row>
    <row r="378" spans="1:33" ht="11.25" customHeight="1" x14ac:dyDescent="0.25">
      <c r="A378" s="4" t="s">
        <v>21</v>
      </c>
      <c r="B378" s="4" t="s">
        <v>22</v>
      </c>
      <c r="C378" s="4" t="s">
        <v>37</v>
      </c>
      <c r="D378" s="4" t="s">
        <v>24</v>
      </c>
      <c r="E378" s="4" t="s">
        <v>24</v>
      </c>
      <c r="F378" s="4" t="s">
        <v>25</v>
      </c>
      <c r="G378" s="4" t="s">
        <v>25</v>
      </c>
      <c r="H378" s="4" t="s">
        <v>38</v>
      </c>
      <c r="I378" s="5">
        <v>44378</v>
      </c>
      <c r="J378" s="6">
        <v>0</v>
      </c>
      <c r="K378" s="6">
        <v>0</v>
      </c>
      <c r="L378" s="6">
        <v>0.20200000000000001</v>
      </c>
      <c r="M378" s="6">
        <v>0.20200000000000001</v>
      </c>
      <c r="N378" s="6">
        <v>0.20200000000000001</v>
      </c>
      <c r="O378" s="6">
        <v>0.20200000000000001</v>
      </c>
      <c r="P378" s="6">
        <v>0</v>
      </c>
      <c r="Q378" s="4" t="s">
        <v>26</v>
      </c>
      <c r="R378" s="4">
        <v>0</v>
      </c>
      <c r="S378" s="6">
        <v>0</v>
      </c>
      <c r="T378" s="6">
        <v>14</v>
      </c>
      <c r="U378" s="6">
        <v>51</v>
      </c>
      <c r="V378" s="6">
        <f>IF(ISERROR(VLOOKUP($S$378,'TAR FIN'!$A$1:$O$85,15,0)),0,VLOOKUP($S$378,'TAR FIN'!$A$1:$O$85,15,0))</f>
        <v>0</v>
      </c>
      <c r="W378" s="6">
        <f>IF(ISERROR(VLOOKUP($T$378,'TAR FIN'!$A$1:$O$85,15,0)),0,VLOOKUP($T$378,'TAR FIN'!$A$1:$O$85,15,0))</f>
        <v>369.83</v>
      </c>
      <c r="X378" s="6">
        <f>IF(ISERROR(VLOOKUP($U$378,'TAR FIN'!$A$1:$O$85,15,0)),0,VLOOKUP($U$378,'TAR FIN'!$A$1:$O$85,15,0))</f>
        <v>263.29000000000002</v>
      </c>
      <c r="Y378" s="6"/>
      <c r="Z378" s="6">
        <f ca="1">('TUSD BE'!$AM$18+'TUSD BF'!$AM$18+'TUSD CVA'!$AM$18)*1</f>
        <v>417.35749474811553</v>
      </c>
      <c r="AA378" s="6">
        <f>('TE BE'!$AA$8+'TE BF'!$AA$8+'TE CVA'!$AA$8)*1</f>
        <v>210.64397598313801</v>
      </c>
      <c r="AB378" s="6">
        <f>$K$378*$V$378</f>
        <v>0</v>
      </c>
      <c r="AC378" s="6">
        <f>$M$378*$W$378</f>
        <v>74.705659999999995</v>
      </c>
      <c r="AD378" s="6">
        <f>$O$378*$X$378</f>
        <v>53.184580000000011</v>
      </c>
      <c r="AE378" s="6">
        <f>$K$378*$Y$378</f>
        <v>0</v>
      </c>
      <c r="AF378" s="6">
        <f ca="1">$M$378*$Z$378</f>
        <v>84.306213939119345</v>
      </c>
      <c r="AG378" s="6">
        <f>$O$378*$AA$378</f>
        <v>42.550083148593878</v>
      </c>
    </row>
    <row r="379" spans="1:33" ht="11.25" customHeight="1" x14ac:dyDescent="0.25">
      <c r="A379" s="4" t="s">
        <v>21</v>
      </c>
      <c r="B379" s="4" t="s">
        <v>22</v>
      </c>
      <c r="C379" s="4" t="s">
        <v>37</v>
      </c>
      <c r="D379" s="4" t="s">
        <v>24</v>
      </c>
      <c r="E379" s="4" t="s">
        <v>24</v>
      </c>
      <c r="F379" s="4" t="s">
        <v>25</v>
      </c>
      <c r="G379" s="4" t="s">
        <v>25</v>
      </c>
      <c r="H379" s="4" t="s">
        <v>38</v>
      </c>
      <c r="I379" s="5">
        <v>44409</v>
      </c>
      <c r="J379" s="6">
        <v>0</v>
      </c>
      <c r="K379" s="6">
        <v>0</v>
      </c>
      <c r="L379" s="6">
        <v>0.63500000000000001</v>
      </c>
      <c r="M379" s="6">
        <v>0.63500000000000001</v>
      </c>
      <c r="N379" s="6">
        <v>0.63500000000000001</v>
      </c>
      <c r="O379" s="6">
        <v>0.63500000000000001</v>
      </c>
      <c r="P379" s="6">
        <v>0</v>
      </c>
      <c r="Q379" s="4" t="s">
        <v>26</v>
      </c>
      <c r="R379" s="4">
        <v>0</v>
      </c>
      <c r="S379" s="6">
        <v>0</v>
      </c>
      <c r="T379" s="6">
        <v>14</v>
      </c>
      <c r="U379" s="6">
        <v>51</v>
      </c>
      <c r="V379" s="6">
        <f>IF(ISERROR(VLOOKUP($S$379,'TAR FIN'!$A$1:$O$85,15,0)),0,VLOOKUP($S$379,'TAR FIN'!$A$1:$O$85,15,0))</f>
        <v>0</v>
      </c>
      <c r="W379" s="6">
        <f>IF(ISERROR(VLOOKUP($T$379,'TAR FIN'!$A$1:$O$85,15,0)),0,VLOOKUP($T$379,'TAR FIN'!$A$1:$O$85,15,0))</f>
        <v>369.83</v>
      </c>
      <c r="X379" s="6">
        <f>IF(ISERROR(VLOOKUP($U$379,'TAR FIN'!$A$1:$O$85,15,0)),0,VLOOKUP($U$379,'TAR FIN'!$A$1:$O$85,15,0))</f>
        <v>263.29000000000002</v>
      </c>
      <c r="Y379" s="6"/>
      <c r="Z379" s="6">
        <f ca="1">('TUSD BE'!$AM$18+'TUSD BF'!$AM$18+'TUSD CVA'!$AM$18)*1</f>
        <v>417.35749474811553</v>
      </c>
      <c r="AA379" s="6">
        <f>('TE BE'!$AA$8+'TE BF'!$AA$8+'TE CVA'!$AA$8)*1</f>
        <v>210.64397598313801</v>
      </c>
      <c r="AB379" s="6">
        <f>$K$379*$V$379</f>
        <v>0</v>
      </c>
      <c r="AC379" s="6">
        <f>$M$379*$W$379</f>
        <v>234.84205</v>
      </c>
      <c r="AD379" s="6">
        <f>$O$379*$X$379</f>
        <v>167.18915000000001</v>
      </c>
      <c r="AE379" s="6">
        <f>$K$379*$Y$379</f>
        <v>0</v>
      </c>
      <c r="AF379" s="6">
        <f ca="1">$M$379*$Z$379</f>
        <v>265.02200916505336</v>
      </c>
      <c r="AG379" s="6">
        <f>$O$379*$AA$379</f>
        <v>133.75892474929265</v>
      </c>
    </row>
    <row r="380" spans="1:33" ht="11.25" customHeight="1" x14ac:dyDescent="0.25">
      <c r="A380" s="4" t="s">
        <v>21</v>
      </c>
      <c r="B380" s="4" t="s">
        <v>22</v>
      </c>
      <c r="C380" s="4" t="s">
        <v>37</v>
      </c>
      <c r="D380" s="4" t="s">
        <v>24</v>
      </c>
      <c r="E380" s="4" t="s">
        <v>24</v>
      </c>
      <c r="F380" s="4" t="s">
        <v>25</v>
      </c>
      <c r="G380" s="4" t="s">
        <v>25</v>
      </c>
      <c r="H380" s="4" t="s">
        <v>38</v>
      </c>
      <c r="I380" s="5">
        <v>44440</v>
      </c>
      <c r="J380" s="6">
        <v>0</v>
      </c>
      <c r="K380" s="6">
        <v>0</v>
      </c>
      <c r="L380" s="6">
        <v>0.60299999999999998</v>
      </c>
      <c r="M380" s="6">
        <v>0.60299999999999998</v>
      </c>
      <c r="N380" s="6">
        <v>0.60299999999999998</v>
      </c>
      <c r="O380" s="6">
        <v>0.60299999999999998</v>
      </c>
      <c r="P380" s="6">
        <v>0</v>
      </c>
      <c r="Q380" s="4" t="s">
        <v>26</v>
      </c>
      <c r="R380" s="4">
        <v>0</v>
      </c>
      <c r="S380" s="6">
        <v>0</v>
      </c>
      <c r="T380" s="6">
        <v>14</v>
      </c>
      <c r="U380" s="6">
        <v>51</v>
      </c>
      <c r="V380" s="6">
        <f>IF(ISERROR(VLOOKUP($S$380,'TAR FIN'!$A$1:$O$85,15,0)),0,VLOOKUP($S$380,'TAR FIN'!$A$1:$O$85,15,0))</f>
        <v>0</v>
      </c>
      <c r="W380" s="6">
        <f>IF(ISERROR(VLOOKUP($T$380,'TAR FIN'!$A$1:$O$85,15,0)),0,VLOOKUP($T$380,'TAR FIN'!$A$1:$O$85,15,0))</f>
        <v>369.83</v>
      </c>
      <c r="X380" s="6">
        <f>IF(ISERROR(VLOOKUP($U$380,'TAR FIN'!$A$1:$O$85,15,0)),0,VLOOKUP($U$380,'TAR FIN'!$A$1:$O$85,15,0))</f>
        <v>263.29000000000002</v>
      </c>
      <c r="Y380" s="6"/>
      <c r="Z380" s="6">
        <f ca="1">('TUSD BE'!$AM$18+'TUSD BF'!$AM$18+'TUSD CVA'!$AM$18)*1</f>
        <v>417.35749474811553</v>
      </c>
      <c r="AA380" s="6">
        <f>('TE BE'!$AA$8+'TE BF'!$AA$8+'TE CVA'!$AA$8)*1</f>
        <v>210.64397598313801</v>
      </c>
      <c r="AB380" s="6">
        <f>$K$380*$V$380</f>
        <v>0</v>
      </c>
      <c r="AC380" s="6">
        <f>$M$380*$W$380</f>
        <v>223.00748999999999</v>
      </c>
      <c r="AD380" s="6">
        <f>$O$380*$X$380</f>
        <v>158.76387</v>
      </c>
      <c r="AE380" s="6">
        <f>$K$380*$Y$380</f>
        <v>0</v>
      </c>
      <c r="AF380" s="6">
        <f ca="1">$M$380*$Z$380</f>
        <v>251.66656933311364</v>
      </c>
      <c r="AG380" s="6">
        <f>$O$380*$AA$380</f>
        <v>127.01831751783222</v>
      </c>
    </row>
    <row r="381" spans="1:33" ht="11.25" customHeight="1" x14ac:dyDescent="0.25">
      <c r="A381" s="4" t="s">
        <v>21</v>
      </c>
      <c r="B381" s="4" t="s">
        <v>22</v>
      </c>
      <c r="C381" s="4" t="s">
        <v>37</v>
      </c>
      <c r="D381" s="4" t="s">
        <v>24</v>
      </c>
      <c r="E381" s="4" t="s">
        <v>24</v>
      </c>
      <c r="F381" s="4" t="s">
        <v>25</v>
      </c>
      <c r="G381" s="4" t="s">
        <v>25</v>
      </c>
      <c r="H381" s="4" t="s">
        <v>38</v>
      </c>
      <c r="I381" s="5">
        <v>44470</v>
      </c>
      <c r="J381" s="6">
        <v>0</v>
      </c>
      <c r="K381" s="6">
        <v>0</v>
      </c>
      <c r="L381" s="6">
        <v>0.56299999999999994</v>
      </c>
      <c r="M381" s="6">
        <v>0.56299999999999994</v>
      </c>
      <c r="N381" s="6">
        <v>0.56299999999999994</v>
      </c>
      <c r="O381" s="6">
        <v>0.56299999999999994</v>
      </c>
      <c r="P381" s="6">
        <v>0</v>
      </c>
      <c r="Q381" s="4" t="s">
        <v>26</v>
      </c>
      <c r="R381" s="4">
        <v>0</v>
      </c>
      <c r="S381" s="6">
        <v>0</v>
      </c>
      <c r="T381" s="6">
        <v>14</v>
      </c>
      <c r="U381" s="6">
        <v>51</v>
      </c>
      <c r="V381" s="6">
        <f>IF(ISERROR(VLOOKUP($S$381,'TAR FIN'!$A$1:$O$85,15,0)),0,VLOOKUP($S$381,'TAR FIN'!$A$1:$O$85,15,0))</f>
        <v>0</v>
      </c>
      <c r="W381" s="6">
        <f>IF(ISERROR(VLOOKUP($T$381,'TAR FIN'!$A$1:$O$85,15,0)),0,VLOOKUP($T$381,'TAR FIN'!$A$1:$O$85,15,0))</f>
        <v>369.83</v>
      </c>
      <c r="X381" s="6">
        <f>IF(ISERROR(VLOOKUP($U$381,'TAR FIN'!$A$1:$O$85,15,0)),0,VLOOKUP($U$381,'TAR FIN'!$A$1:$O$85,15,0))</f>
        <v>263.29000000000002</v>
      </c>
      <c r="Y381" s="6"/>
      <c r="Z381" s="6">
        <f ca="1">('TUSD BE'!$AM$18+'TUSD BF'!$AM$18+'TUSD CVA'!$AM$18)*1</f>
        <v>417.35749474811553</v>
      </c>
      <c r="AA381" s="6">
        <f>('TE BE'!$AA$8+'TE BF'!$AA$8+'TE CVA'!$AA$8)*1</f>
        <v>210.64397598313801</v>
      </c>
      <c r="AB381" s="6">
        <f>$K$381*$V$381</f>
        <v>0</v>
      </c>
      <c r="AC381" s="6">
        <f>$M$381*$W$381</f>
        <v>208.21428999999998</v>
      </c>
      <c r="AD381" s="6">
        <f>$O$381*$X$381</f>
        <v>148.23227</v>
      </c>
      <c r="AE381" s="6">
        <f>$K$381*$Y$381</f>
        <v>0</v>
      </c>
      <c r="AF381" s="6">
        <f ca="1">$M$381*$Z$381</f>
        <v>234.97226954318901</v>
      </c>
      <c r="AG381" s="6">
        <f>$O$381*$AA$381</f>
        <v>118.59255847850669</v>
      </c>
    </row>
    <row r="382" spans="1:33" ht="11.25" customHeight="1" x14ac:dyDescent="0.25">
      <c r="A382" s="4" t="s">
        <v>21</v>
      </c>
      <c r="B382" s="4" t="s">
        <v>22</v>
      </c>
      <c r="C382" s="4" t="s">
        <v>37</v>
      </c>
      <c r="D382" s="4" t="s">
        <v>24</v>
      </c>
      <c r="E382" s="4" t="s">
        <v>24</v>
      </c>
      <c r="F382" s="4" t="s">
        <v>25</v>
      </c>
      <c r="G382" s="4" t="s">
        <v>25</v>
      </c>
      <c r="H382" s="4" t="s">
        <v>38</v>
      </c>
      <c r="I382" s="5">
        <v>44501</v>
      </c>
      <c r="J382" s="6">
        <v>0</v>
      </c>
      <c r="K382" s="6">
        <v>0</v>
      </c>
      <c r="L382" s="6">
        <v>0.48599999999999999</v>
      </c>
      <c r="M382" s="6">
        <v>0.48599999999999999</v>
      </c>
      <c r="N382" s="6">
        <v>0.48599999999999999</v>
      </c>
      <c r="O382" s="6">
        <v>0.48599999999999999</v>
      </c>
      <c r="P382" s="6">
        <v>0</v>
      </c>
      <c r="Q382" s="4" t="s">
        <v>26</v>
      </c>
      <c r="R382" s="4">
        <v>0</v>
      </c>
      <c r="S382" s="6">
        <v>0</v>
      </c>
      <c r="T382" s="6">
        <v>14</v>
      </c>
      <c r="U382" s="6">
        <v>51</v>
      </c>
      <c r="V382" s="6">
        <f>IF(ISERROR(VLOOKUP($S$382,'TAR FIN'!$A$1:$O$85,15,0)),0,VLOOKUP($S$382,'TAR FIN'!$A$1:$O$85,15,0))</f>
        <v>0</v>
      </c>
      <c r="W382" s="6">
        <f>IF(ISERROR(VLOOKUP($T$382,'TAR FIN'!$A$1:$O$85,15,0)),0,VLOOKUP($T$382,'TAR FIN'!$A$1:$O$85,15,0))</f>
        <v>369.83</v>
      </c>
      <c r="X382" s="6">
        <f>IF(ISERROR(VLOOKUP($U$382,'TAR FIN'!$A$1:$O$85,15,0)),0,VLOOKUP($U$382,'TAR FIN'!$A$1:$O$85,15,0))</f>
        <v>263.29000000000002</v>
      </c>
      <c r="Y382" s="6"/>
      <c r="Z382" s="6">
        <f ca="1">('TUSD BE'!$AM$18+'TUSD BF'!$AM$18+'TUSD CVA'!$AM$18)*1</f>
        <v>417.35749474811553</v>
      </c>
      <c r="AA382" s="6">
        <f>('TE BE'!$AA$8+'TE BF'!$AA$8+'TE CVA'!$AA$8)*1</f>
        <v>210.64397598313801</v>
      </c>
      <c r="AB382" s="6">
        <f>$K$382*$V$382</f>
        <v>0</v>
      </c>
      <c r="AC382" s="6">
        <f>$M$382*$W$382</f>
        <v>179.73738</v>
      </c>
      <c r="AD382" s="6">
        <f>$O$382*$X$382</f>
        <v>127.95894000000001</v>
      </c>
      <c r="AE382" s="6">
        <f>$K$382*$Y$382</f>
        <v>0</v>
      </c>
      <c r="AF382" s="6">
        <f ca="1">$M$382*$Z$382</f>
        <v>202.83574244758415</v>
      </c>
      <c r="AG382" s="6">
        <f>$O$382*$AA$382</f>
        <v>102.37297232780507</v>
      </c>
    </row>
    <row r="383" spans="1:33" ht="11.25" customHeight="1" x14ac:dyDescent="0.25">
      <c r="A383" s="4" t="s">
        <v>21</v>
      </c>
      <c r="B383" s="4" t="s">
        <v>22</v>
      </c>
      <c r="C383" s="4" t="s">
        <v>37</v>
      </c>
      <c r="D383" s="4" t="s">
        <v>24</v>
      </c>
      <c r="E383" s="4" t="s">
        <v>24</v>
      </c>
      <c r="F383" s="4" t="s">
        <v>25</v>
      </c>
      <c r="G383" s="4" t="s">
        <v>25</v>
      </c>
      <c r="H383" s="4" t="s">
        <v>38</v>
      </c>
      <c r="I383" s="5">
        <v>44531</v>
      </c>
      <c r="J383" s="6">
        <v>0</v>
      </c>
      <c r="K383" s="6">
        <v>0</v>
      </c>
      <c r="L383" s="6">
        <v>0.69</v>
      </c>
      <c r="M383" s="6">
        <v>0.69</v>
      </c>
      <c r="N383" s="6">
        <v>0.69</v>
      </c>
      <c r="O383" s="6">
        <v>0.69</v>
      </c>
      <c r="P383" s="6">
        <v>0</v>
      </c>
      <c r="Q383" s="4" t="s">
        <v>26</v>
      </c>
      <c r="R383" s="4">
        <v>0</v>
      </c>
      <c r="S383" s="6">
        <v>0</v>
      </c>
      <c r="T383" s="6">
        <v>14</v>
      </c>
      <c r="U383" s="6">
        <v>51</v>
      </c>
      <c r="V383" s="6">
        <f>IF(ISERROR(VLOOKUP($S$383,'TAR FIN'!$A$1:$O$85,15,0)),0,VLOOKUP($S$383,'TAR FIN'!$A$1:$O$85,15,0))</f>
        <v>0</v>
      </c>
      <c r="W383" s="6">
        <f>IF(ISERROR(VLOOKUP($T$383,'TAR FIN'!$A$1:$O$85,15,0)),0,VLOOKUP($T$383,'TAR FIN'!$A$1:$O$85,15,0))</f>
        <v>369.83</v>
      </c>
      <c r="X383" s="6">
        <f>IF(ISERROR(VLOOKUP($U$383,'TAR FIN'!$A$1:$O$85,15,0)),0,VLOOKUP($U$383,'TAR FIN'!$A$1:$O$85,15,0))</f>
        <v>263.29000000000002</v>
      </c>
      <c r="Y383" s="6"/>
      <c r="Z383" s="6">
        <f ca="1">('TUSD BE'!$AM$18+'TUSD BF'!$AM$18+'TUSD CVA'!$AM$18)*1</f>
        <v>417.35749474811553</v>
      </c>
      <c r="AA383" s="6">
        <f>('TE BE'!$AA$8+'TE BF'!$AA$8+'TE CVA'!$AA$8)*1</f>
        <v>210.64397598313801</v>
      </c>
      <c r="AB383" s="6">
        <f>$K$383*$V$383</f>
        <v>0</v>
      </c>
      <c r="AC383" s="6">
        <f>$M$383*$W$383</f>
        <v>255.18269999999998</v>
      </c>
      <c r="AD383" s="6">
        <f>$O$383*$X$383</f>
        <v>181.67009999999999</v>
      </c>
      <c r="AE383" s="6">
        <f>$K$383*$Y$383</f>
        <v>0</v>
      </c>
      <c r="AF383" s="6">
        <f ca="1">$M$383*$Z$383</f>
        <v>287.9766713761997</v>
      </c>
      <c r="AG383" s="6">
        <f>$O$383*$AA$383</f>
        <v>145.34434342836522</v>
      </c>
    </row>
    <row r="384" spans="1:33" ht="11.25" customHeight="1" x14ac:dyDescent="0.25">
      <c r="A384" s="4" t="s">
        <v>21</v>
      </c>
      <c r="B384" s="4" t="s">
        <v>22</v>
      </c>
      <c r="C384" s="4" t="s">
        <v>37</v>
      </c>
      <c r="D384" s="4" t="s">
        <v>24</v>
      </c>
      <c r="E384" s="4" t="s">
        <v>24</v>
      </c>
      <c r="F384" s="4" t="s">
        <v>25</v>
      </c>
      <c r="G384" s="4" t="s">
        <v>25</v>
      </c>
      <c r="H384" s="4" t="s">
        <v>38</v>
      </c>
      <c r="I384" s="5">
        <v>44562</v>
      </c>
      <c r="J384" s="6">
        <v>0</v>
      </c>
      <c r="K384" s="6">
        <v>0</v>
      </c>
      <c r="L384" s="6">
        <v>0.81699999999999995</v>
      </c>
      <c r="M384" s="6">
        <v>0.81699999999999995</v>
      </c>
      <c r="N384" s="6">
        <v>0.81699999999999995</v>
      </c>
      <c r="O384" s="6">
        <v>0.81699999999999995</v>
      </c>
      <c r="P384" s="6">
        <v>0</v>
      </c>
      <c r="Q384" s="4" t="s">
        <v>26</v>
      </c>
      <c r="R384" s="4">
        <v>0</v>
      </c>
      <c r="S384" s="6">
        <v>0</v>
      </c>
      <c r="T384" s="6">
        <v>14</v>
      </c>
      <c r="U384" s="6">
        <v>51</v>
      </c>
      <c r="V384" s="6">
        <f>IF(ISERROR(VLOOKUP($S$384,'TAR FIN'!$A$1:$O$85,15,0)),0,VLOOKUP($S$384,'TAR FIN'!$A$1:$O$85,15,0))</f>
        <v>0</v>
      </c>
      <c r="W384" s="6">
        <f>IF(ISERROR(VLOOKUP($T$384,'TAR FIN'!$A$1:$O$85,15,0)),0,VLOOKUP($T$384,'TAR FIN'!$A$1:$O$85,15,0))</f>
        <v>369.83</v>
      </c>
      <c r="X384" s="6">
        <f>IF(ISERROR(VLOOKUP($U$384,'TAR FIN'!$A$1:$O$85,15,0)),0,VLOOKUP($U$384,'TAR FIN'!$A$1:$O$85,15,0))</f>
        <v>263.29000000000002</v>
      </c>
      <c r="Y384" s="6"/>
      <c r="Z384" s="6">
        <f ca="1">('TUSD BE'!$AM$18+'TUSD BF'!$AM$18+'TUSD CVA'!$AM$18)*1</f>
        <v>417.35749474811553</v>
      </c>
      <c r="AA384" s="6">
        <f>('TE BE'!$AA$8+'TE BF'!$AA$8+'TE CVA'!$AA$8)*1</f>
        <v>210.64397598313801</v>
      </c>
      <c r="AB384" s="6">
        <f>$K$384*$V$384</f>
        <v>0</v>
      </c>
      <c r="AC384" s="6">
        <f>$M$384*$W$384</f>
        <v>302.15110999999996</v>
      </c>
      <c r="AD384" s="6">
        <f>$O$384*$X$384</f>
        <v>215.10793000000001</v>
      </c>
      <c r="AE384" s="6">
        <f>$K$384*$Y$384</f>
        <v>0</v>
      </c>
      <c r="AF384" s="6">
        <f ca="1">$M$384*$Z$384</f>
        <v>340.98107320921036</v>
      </c>
      <c r="AG384" s="6">
        <f>$O$384*$AA$384</f>
        <v>172.09612837822374</v>
      </c>
    </row>
    <row r="385" spans="1:33" ht="11.25" customHeight="1" x14ac:dyDescent="0.25">
      <c r="A385" s="4" t="s">
        <v>21</v>
      </c>
      <c r="B385" s="4" t="s">
        <v>22</v>
      </c>
      <c r="C385" s="4" t="s">
        <v>37</v>
      </c>
      <c r="D385" s="4" t="s">
        <v>24</v>
      </c>
      <c r="E385" s="4" t="s">
        <v>24</v>
      </c>
      <c r="F385" s="4" t="s">
        <v>25</v>
      </c>
      <c r="G385" s="4" t="s">
        <v>25</v>
      </c>
      <c r="H385" s="4" t="s">
        <v>38</v>
      </c>
      <c r="I385" s="5">
        <v>44593</v>
      </c>
      <c r="J385" s="6">
        <v>0</v>
      </c>
      <c r="K385" s="6">
        <v>0</v>
      </c>
      <c r="L385" s="6">
        <v>0.78</v>
      </c>
      <c r="M385" s="6">
        <v>0.78</v>
      </c>
      <c r="N385" s="6">
        <v>0.78</v>
      </c>
      <c r="O385" s="6">
        <v>0.78</v>
      </c>
      <c r="P385" s="6">
        <v>0</v>
      </c>
      <c r="Q385" s="4" t="s">
        <v>26</v>
      </c>
      <c r="R385" s="4">
        <v>0</v>
      </c>
      <c r="S385" s="6">
        <v>0</v>
      </c>
      <c r="T385" s="6">
        <v>14</v>
      </c>
      <c r="U385" s="6">
        <v>51</v>
      </c>
      <c r="V385" s="6">
        <f>IF(ISERROR(VLOOKUP($S$385,'TAR FIN'!$A$1:$O$85,15,0)),0,VLOOKUP($S$385,'TAR FIN'!$A$1:$O$85,15,0))</f>
        <v>0</v>
      </c>
      <c r="W385" s="6">
        <f>IF(ISERROR(VLOOKUP($T$385,'TAR FIN'!$A$1:$O$85,15,0)),0,VLOOKUP($T$385,'TAR FIN'!$A$1:$O$85,15,0))</f>
        <v>369.83</v>
      </c>
      <c r="X385" s="6">
        <f>IF(ISERROR(VLOOKUP($U$385,'TAR FIN'!$A$1:$O$85,15,0)),0,VLOOKUP($U$385,'TAR FIN'!$A$1:$O$85,15,0))</f>
        <v>263.29000000000002</v>
      </c>
      <c r="Y385" s="6"/>
      <c r="Z385" s="6">
        <f ca="1">('TUSD BE'!$AM$18+'TUSD BF'!$AM$18+'TUSD CVA'!$AM$18)*1</f>
        <v>417.35749474811553</v>
      </c>
      <c r="AA385" s="6">
        <f>('TE BE'!$AA$8+'TE BF'!$AA$8+'TE CVA'!$AA$8)*1</f>
        <v>210.64397598313801</v>
      </c>
      <c r="AB385" s="6">
        <f>$K$385*$V$385</f>
        <v>0</v>
      </c>
      <c r="AC385" s="6">
        <f>$M$385*$W$385</f>
        <v>288.4674</v>
      </c>
      <c r="AD385" s="6">
        <f>$O$385*$X$385</f>
        <v>205.36620000000002</v>
      </c>
      <c r="AE385" s="6">
        <f>$K$385*$Y$385</f>
        <v>0</v>
      </c>
      <c r="AF385" s="6">
        <f ca="1">$M$385*$Z$385</f>
        <v>325.5388459035301</v>
      </c>
      <c r="AG385" s="6">
        <f>$O$385*$AA$385</f>
        <v>164.30230126684765</v>
      </c>
    </row>
    <row r="386" spans="1:33" ht="11.25" customHeight="1" x14ac:dyDescent="0.25">
      <c r="A386" s="4" t="s">
        <v>21</v>
      </c>
      <c r="B386" s="4" t="s">
        <v>22</v>
      </c>
      <c r="C386" s="4" t="s">
        <v>37</v>
      </c>
      <c r="D386" s="4" t="s">
        <v>24</v>
      </c>
      <c r="E386" s="4" t="s">
        <v>24</v>
      </c>
      <c r="F386" s="4" t="s">
        <v>25</v>
      </c>
      <c r="G386" s="4" t="s">
        <v>25</v>
      </c>
      <c r="H386" s="4" t="s">
        <v>38</v>
      </c>
      <c r="I386" s="5">
        <v>44621</v>
      </c>
      <c r="J386" s="6">
        <v>0</v>
      </c>
      <c r="K386" s="6">
        <v>0</v>
      </c>
      <c r="L386" s="6">
        <v>1.012</v>
      </c>
      <c r="M386" s="6">
        <v>1.012</v>
      </c>
      <c r="N386" s="6">
        <v>1.012</v>
      </c>
      <c r="O386" s="6">
        <v>1.012</v>
      </c>
      <c r="P386" s="6">
        <v>0</v>
      </c>
      <c r="Q386" s="4" t="s">
        <v>26</v>
      </c>
      <c r="R386" s="4">
        <v>0</v>
      </c>
      <c r="S386" s="6">
        <v>0</v>
      </c>
      <c r="T386" s="6">
        <v>14</v>
      </c>
      <c r="U386" s="6">
        <v>51</v>
      </c>
      <c r="V386" s="6">
        <f>IF(ISERROR(VLOOKUP($S$386,'TAR FIN'!$A$1:$O$85,15,0)),0,VLOOKUP($S$386,'TAR FIN'!$A$1:$O$85,15,0))</f>
        <v>0</v>
      </c>
      <c r="W386" s="6">
        <f>IF(ISERROR(VLOOKUP($T$386,'TAR FIN'!$A$1:$O$85,15,0)),0,VLOOKUP($T$386,'TAR FIN'!$A$1:$O$85,15,0))</f>
        <v>369.83</v>
      </c>
      <c r="X386" s="6">
        <f>IF(ISERROR(VLOOKUP($U$386,'TAR FIN'!$A$1:$O$85,15,0)),0,VLOOKUP($U$386,'TAR FIN'!$A$1:$O$85,15,0))</f>
        <v>263.29000000000002</v>
      </c>
      <c r="Y386" s="6"/>
      <c r="Z386" s="6">
        <f ca="1">('TUSD BE'!$AM$18+'TUSD BF'!$AM$18+'TUSD CVA'!$AM$18)*1</f>
        <v>417.35749474811553</v>
      </c>
      <c r="AA386" s="6">
        <f>('TE BE'!$AA$8+'TE BF'!$AA$8+'TE CVA'!$AA$8)*1</f>
        <v>210.64397598313801</v>
      </c>
      <c r="AB386" s="6">
        <f>$K$386*$V$386</f>
        <v>0</v>
      </c>
      <c r="AC386" s="6">
        <f>$M$386*$W$386</f>
        <v>374.26795999999996</v>
      </c>
      <c r="AD386" s="6">
        <f>$O$386*$X$386</f>
        <v>266.44948000000005</v>
      </c>
      <c r="AE386" s="6">
        <f>$K$386*$Y$386</f>
        <v>0</v>
      </c>
      <c r="AF386" s="6">
        <f ca="1">$M$386*$Z$386</f>
        <v>422.36578468509293</v>
      </c>
      <c r="AG386" s="6">
        <f>$O$386*$AA$386</f>
        <v>213.17170369493567</v>
      </c>
    </row>
    <row r="387" spans="1:33" ht="11.25" customHeight="1" x14ac:dyDescent="0.25">
      <c r="A387" s="4" t="s">
        <v>21</v>
      </c>
      <c r="B387" s="4" t="s">
        <v>22</v>
      </c>
      <c r="C387" s="4" t="s">
        <v>37</v>
      </c>
      <c r="D387" s="4" t="s">
        <v>24</v>
      </c>
      <c r="E387" s="4" t="s">
        <v>24</v>
      </c>
      <c r="F387" s="4" t="s">
        <v>25</v>
      </c>
      <c r="G387" s="4" t="s">
        <v>25</v>
      </c>
      <c r="H387" s="4" t="s">
        <v>38</v>
      </c>
      <c r="I387" s="5">
        <v>44652</v>
      </c>
      <c r="J387" s="6">
        <v>0</v>
      </c>
      <c r="K387" s="6">
        <v>0</v>
      </c>
      <c r="L387" s="6">
        <v>0.84099999999999997</v>
      </c>
      <c r="M387" s="6">
        <v>0.84099999999999997</v>
      </c>
      <c r="N387" s="6">
        <v>0.84099999999999997</v>
      </c>
      <c r="O387" s="6">
        <v>0.84099999999999997</v>
      </c>
      <c r="P387" s="6">
        <v>0</v>
      </c>
      <c r="Q387" s="4" t="s">
        <v>26</v>
      </c>
      <c r="R387" s="4">
        <v>0</v>
      </c>
      <c r="S387" s="6">
        <v>0</v>
      </c>
      <c r="T387" s="6">
        <v>14</v>
      </c>
      <c r="U387" s="6">
        <v>51</v>
      </c>
      <c r="V387" s="6">
        <f>IF(ISERROR(VLOOKUP($S$387,'TAR FIN'!$A$1:$O$85,15,0)),0,VLOOKUP($S$387,'TAR FIN'!$A$1:$O$85,15,0))</f>
        <v>0</v>
      </c>
      <c r="W387" s="6">
        <f>IF(ISERROR(VLOOKUP($T$387,'TAR FIN'!$A$1:$O$85,15,0)),0,VLOOKUP($T$387,'TAR FIN'!$A$1:$O$85,15,0))</f>
        <v>369.83</v>
      </c>
      <c r="X387" s="6">
        <f>IF(ISERROR(VLOOKUP($U$387,'TAR FIN'!$A$1:$O$85,15,0)),0,VLOOKUP($U$387,'TAR FIN'!$A$1:$O$85,15,0))</f>
        <v>263.29000000000002</v>
      </c>
      <c r="Y387" s="6"/>
      <c r="Z387" s="6">
        <f ca="1">('TUSD BE'!$AM$18+'TUSD BF'!$AM$18+'TUSD CVA'!$AM$18)*1</f>
        <v>417.35749474811553</v>
      </c>
      <c r="AA387" s="6">
        <f>('TE BE'!$AA$8+'TE BF'!$AA$8+'TE CVA'!$AA$8)*1</f>
        <v>210.64397598313801</v>
      </c>
      <c r="AB387" s="6">
        <f>$K$387*$V$387</f>
        <v>0</v>
      </c>
      <c r="AC387" s="6">
        <f>$M$387*$W$387</f>
        <v>311.02702999999997</v>
      </c>
      <c r="AD387" s="6">
        <f>$O$387*$X$387</f>
        <v>221.42689000000001</v>
      </c>
      <c r="AE387" s="6">
        <f>$K$387*$Y$387</f>
        <v>0</v>
      </c>
      <c r="AF387" s="6">
        <f ca="1">$M$387*$Z$387</f>
        <v>350.99765308316512</v>
      </c>
      <c r="AG387" s="6">
        <f>$O$387*$AA$387</f>
        <v>177.15158380181904</v>
      </c>
    </row>
    <row r="388" spans="1:33" ht="11.25" customHeight="1" x14ac:dyDescent="0.25">
      <c r="A388" s="4" t="s">
        <v>21</v>
      </c>
      <c r="B388" s="4" t="s">
        <v>22</v>
      </c>
      <c r="C388" s="4" t="s">
        <v>37</v>
      </c>
      <c r="D388" s="4" t="s">
        <v>24</v>
      </c>
      <c r="E388" s="4" t="s">
        <v>24</v>
      </c>
      <c r="F388" s="4" t="s">
        <v>25</v>
      </c>
      <c r="G388" s="4" t="s">
        <v>25</v>
      </c>
      <c r="H388" s="4" t="s">
        <v>35</v>
      </c>
      <c r="I388" s="5">
        <v>44317</v>
      </c>
      <c r="J388" s="6">
        <v>0</v>
      </c>
      <c r="K388" s="6">
        <v>0</v>
      </c>
      <c r="L388" s="6">
        <v>0.28999999999999998</v>
      </c>
      <c r="M388" s="6">
        <v>0.28999999999999998</v>
      </c>
      <c r="N388" s="6">
        <v>0.28999999999999998</v>
      </c>
      <c r="O388" s="6">
        <v>0.28999999999999998</v>
      </c>
      <c r="P388" s="6">
        <v>0</v>
      </c>
      <c r="Q388" s="4" t="s">
        <v>26</v>
      </c>
      <c r="R388" s="4">
        <v>0</v>
      </c>
      <c r="S388" s="6">
        <v>0</v>
      </c>
      <c r="T388" s="6">
        <v>13</v>
      </c>
      <c r="U388" s="6">
        <v>50</v>
      </c>
      <c r="V388" s="6">
        <f>IF(ISERROR(VLOOKUP($S$388,'TAR FIN'!$A$1:$O$85,15,0)),0,VLOOKUP($S$388,'TAR FIN'!$A$1:$O$85,15,0))</f>
        <v>0</v>
      </c>
      <c r="W388" s="6">
        <f>IF(ISERROR(VLOOKUP($T$388,'TAR FIN'!$A$1:$O$85,15,0)),0,VLOOKUP($T$388,'TAR FIN'!$A$1:$O$85,15,0))</f>
        <v>562.1</v>
      </c>
      <c r="X388" s="6">
        <f>IF(ISERROR(VLOOKUP($U$388,'TAR FIN'!$A$1:$O$85,15,0)),0,VLOOKUP($U$388,'TAR FIN'!$A$1:$O$85,15,0))</f>
        <v>263.29000000000002</v>
      </c>
      <c r="Y388" s="6"/>
      <c r="Z388" s="6">
        <f ca="1">('TUSD BE'!$AM$17+'TUSD BF'!$AM$17+'TUSD CVA'!$AM$17)*1</f>
        <v>611.86054847069954</v>
      </c>
      <c r="AA388" s="6">
        <f>('TE BE'!$AA$7+'TE BF'!$AA$7+'TE CVA'!$AA$7)*1</f>
        <v>210.64397598313801</v>
      </c>
      <c r="AB388" s="6">
        <f>$K$388*$V$388</f>
        <v>0</v>
      </c>
      <c r="AC388" s="6">
        <f>$M$388*$W$388</f>
        <v>163.00899999999999</v>
      </c>
      <c r="AD388" s="6">
        <f>$O$388*$X$388</f>
        <v>76.354100000000003</v>
      </c>
      <c r="AE388" s="6">
        <f>$K$388*$Y$388</f>
        <v>0</v>
      </c>
      <c r="AF388" s="6">
        <f ca="1">$M$388*$Z$388</f>
        <v>177.43955905650284</v>
      </c>
      <c r="AG388" s="6">
        <f>$O$388*$AA$388</f>
        <v>61.086753035110014</v>
      </c>
    </row>
    <row r="389" spans="1:33" ht="11.25" customHeight="1" x14ac:dyDescent="0.25">
      <c r="A389" s="4" t="s">
        <v>21</v>
      </c>
      <c r="B389" s="4" t="s">
        <v>22</v>
      </c>
      <c r="C389" s="4" t="s">
        <v>37</v>
      </c>
      <c r="D389" s="4" t="s">
        <v>24</v>
      </c>
      <c r="E389" s="4" t="s">
        <v>24</v>
      </c>
      <c r="F389" s="4" t="s">
        <v>25</v>
      </c>
      <c r="G389" s="4" t="s">
        <v>25</v>
      </c>
      <c r="H389" s="4" t="s">
        <v>35</v>
      </c>
      <c r="I389" s="5">
        <v>44348</v>
      </c>
      <c r="J389" s="6">
        <v>0</v>
      </c>
      <c r="K389" s="6">
        <v>0</v>
      </c>
      <c r="L389" s="6">
        <v>0.33700000000000002</v>
      </c>
      <c r="M389" s="6">
        <v>0.33700000000000002</v>
      </c>
      <c r="N389" s="6">
        <v>0.33700000000000002</v>
      </c>
      <c r="O389" s="6">
        <v>0.33700000000000002</v>
      </c>
      <c r="P389" s="6">
        <v>0</v>
      </c>
      <c r="Q389" s="4" t="s">
        <v>26</v>
      </c>
      <c r="R389" s="4">
        <v>0</v>
      </c>
      <c r="S389" s="6">
        <v>0</v>
      </c>
      <c r="T389" s="6">
        <v>13</v>
      </c>
      <c r="U389" s="6">
        <v>50</v>
      </c>
      <c r="V389" s="6">
        <f>IF(ISERROR(VLOOKUP($S$389,'TAR FIN'!$A$1:$O$85,15,0)),0,VLOOKUP($S$389,'TAR FIN'!$A$1:$O$85,15,0))</f>
        <v>0</v>
      </c>
      <c r="W389" s="6">
        <f>IF(ISERROR(VLOOKUP($T$389,'TAR FIN'!$A$1:$O$85,15,0)),0,VLOOKUP($T$389,'TAR FIN'!$A$1:$O$85,15,0))</f>
        <v>562.1</v>
      </c>
      <c r="X389" s="6">
        <f>IF(ISERROR(VLOOKUP($U$389,'TAR FIN'!$A$1:$O$85,15,0)),0,VLOOKUP($U$389,'TAR FIN'!$A$1:$O$85,15,0))</f>
        <v>263.29000000000002</v>
      </c>
      <c r="Y389" s="6"/>
      <c r="Z389" s="6">
        <f ca="1">('TUSD BE'!$AM$17+'TUSD BF'!$AM$17+'TUSD CVA'!$AM$17)*1</f>
        <v>611.86054847069954</v>
      </c>
      <c r="AA389" s="6">
        <f>('TE BE'!$AA$7+'TE BF'!$AA$7+'TE CVA'!$AA$7)*1</f>
        <v>210.64397598313801</v>
      </c>
      <c r="AB389" s="6">
        <f>$K$389*$V$389</f>
        <v>0</v>
      </c>
      <c r="AC389" s="6">
        <f>$M$389*$W$389</f>
        <v>189.42770000000002</v>
      </c>
      <c r="AD389" s="6">
        <f>$O$389*$X$389</f>
        <v>88.728730000000013</v>
      </c>
      <c r="AE389" s="6">
        <f>$K$389*$Y$389</f>
        <v>0</v>
      </c>
      <c r="AF389" s="6">
        <f ca="1">$M$389*$Z$389</f>
        <v>206.19700483462577</v>
      </c>
      <c r="AG389" s="6">
        <f>$O$389*$AA$389</f>
        <v>70.987019906317514</v>
      </c>
    </row>
    <row r="390" spans="1:33" ht="11.25" customHeight="1" x14ac:dyDescent="0.25">
      <c r="A390" s="4" t="s">
        <v>21</v>
      </c>
      <c r="B390" s="4" t="s">
        <v>22</v>
      </c>
      <c r="C390" s="4" t="s">
        <v>37</v>
      </c>
      <c r="D390" s="4" t="s">
        <v>24</v>
      </c>
      <c r="E390" s="4" t="s">
        <v>24</v>
      </c>
      <c r="F390" s="4" t="s">
        <v>25</v>
      </c>
      <c r="G390" s="4" t="s">
        <v>25</v>
      </c>
      <c r="H390" s="4" t="s">
        <v>35</v>
      </c>
      <c r="I390" s="5">
        <v>44378</v>
      </c>
      <c r="J390" s="6">
        <v>0</v>
      </c>
      <c r="K390" s="6">
        <v>0</v>
      </c>
      <c r="L390" s="6">
        <v>0.36299999999999999</v>
      </c>
      <c r="M390" s="6">
        <v>0.36299999999999999</v>
      </c>
      <c r="N390" s="6">
        <v>0.36299999999999999</v>
      </c>
      <c r="O390" s="6">
        <v>0.36299999999999999</v>
      </c>
      <c r="P390" s="6">
        <v>0</v>
      </c>
      <c r="Q390" s="4" t="s">
        <v>26</v>
      </c>
      <c r="R390" s="4">
        <v>0</v>
      </c>
      <c r="S390" s="6">
        <v>0</v>
      </c>
      <c r="T390" s="6">
        <v>13</v>
      </c>
      <c r="U390" s="6">
        <v>50</v>
      </c>
      <c r="V390" s="6">
        <f>IF(ISERROR(VLOOKUP($S$390,'TAR FIN'!$A$1:$O$85,15,0)),0,VLOOKUP($S$390,'TAR FIN'!$A$1:$O$85,15,0))</f>
        <v>0</v>
      </c>
      <c r="W390" s="6">
        <f>IF(ISERROR(VLOOKUP($T$390,'TAR FIN'!$A$1:$O$85,15,0)),0,VLOOKUP($T$390,'TAR FIN'!$A$1:$O$85,15,0))</f>
        <v>562.1</v>
      </c>
      <c r="X390" s="6">
        <f>IF(ISERROR(VLOOKUP($U$390,'TAR FIN'!$A$1:$O$85,15,0)),0,VLOOKUP($U$390,'TAR FIN'!$A$1:$O$85,15,0))</f>
        <v>263.29000000000002</v>
      </c>
      <c r="Y390" s="6"/>
      <c r="Z390" s="6">
        <f ca="1">('TUSD BE'!$AM$17+'TUSD BF'!$AM$17+'TUSD CVA'!$AM$17)*1</f>
        <v>611.86054847069954</v>
      </c>
      <c r="AA390" s="6">
        <f>('TE BE'!$AA$7+'TE BF'!$AA$7+'TE CVA'!$AA$7)*1</f>
        <v>210.64397598313801</v>
      </c>
      <c r="AB390" s="6">
        <f>$K$390*$V$390</f>
        <v>0</v>
      </c>
      <c r="AC390" s="6">
        <f>$M$390*$W$390</f>
        <v>204.04230000000001</v>
      </c>
      <c r="AD390" s="6">
        <f>$O$390*$X$390</f>
        <v>95.574269999999999</v>
      </c>
      <c r="AE390" s="6">
        <f>$K$390*$Y$390</f>
        <v>0</v>
      </c>
      <c r="AF390" s="6">
        <f ca="1">$M$390*$Z$390</f>
        <v>222.10537909486393</v>
      </c>
      <c r="AG390" s="6">
        <f>$O$390*$AA$390</f>
        <v>76.463763281879096</v>
      </c>
    </row>
    <row r="391" spans="1:33" ht="11.25" customHeight="1" x14ac:dyDescent="0.25">
      <c r="A391" s="4" t="s">
        <v>21</v>
      </c>
      <c r="B391" s="4" t="s">
        <v>22</v>
      </c>
      <c r="C391" s="4" t="s">
        <v>37</v>
      </c>
      <c r="D391" s="4" t="s">
        <v>24</v>
      </c>
      <c r="E391" s="4" t="s">
        <v>24</v>
      </c>
      <c r="F391" s="4" t="s">
        <v>25</v>
      </c>
      <c r="G391" s="4" t="s">
        <v>25</v>
      </c>
      <c r="H391" s="4" t="s">
        <v>35</v>
      </c>
      <c r="I391" s="5">
        <v>44409</v>
      </c>
      <c r="J391" s="6">
        <v>0</v>
      </c>
      <c r="K391" s="6">
        <v>0</v>
      </c>
      <c r="L391" s="6">
        <v>0.42799999999999999</v>
      </c>
      <c r="M391" s="6">
        <v>0.42799999999999999</v>
      </c>
      <c r="N391" s="6">
        <v>0.42799999999999999</v>
      </c>
      <c r="O391" s="6">
        <v>0.42799999999999999</v>
      </c>
      <c r="P391" s="6">
        <v>0</v>
      </c>
      <c r="Q391" s="4" t="s">
        <v>26</v>
      </c>
      <c r="R391" s="4">
        <v>0</v>
      </c>
      <c r="S391" s="6">
        <v>0</v>
      </c>
      <c r="T391" s="6">
        <v>13</v>
      </c>
      <c r="U391" s="6">
        <v>50</v>
      </c>
      <c r="V391" s="6">
        <f>IF(ISERROR(VLOOKUP($S$391,'TAR FIN'!$A$1:$O$85,15,0)),0,VLOOKUP($S$391,'TAR FIN'!$A$1:$O$85,15,0))</f>
        <v>0</v>
      </c>
      <c r="W391" s="6">
        <f>IF(ISERROR(VLOOKUP($T$391,'TAR FIN'!$A$1:$O$85,15,0)),0,VLOOKUP($T$391,'TAR FIN'!$A$1:$O$85,15,0))</f>
        <v>562.1</v>
      </c>
      <c r="X391" s="6">
        <f>IF(ISERROR(VLOOKUP($U$391,'TAR FIN'!$A$1:$O$85,15,0)),0,VLOOKUP($U$391,'TAR FIN'!$A$1:$O$85,15,0))</f>
        <v>263.29000000000002</v>
      </c>
      <c r="Y391" s="6"/>
      <c r="Z391" s="6">
        <f ca="1">('TUSD BE'!$AM$17+'TUSD BF'!$AM$17+'TUSD CVA'!$AM$17)*1</f>
        <v>611.86054847069954</v>
      </c>
      <c r="AA391" s="6">
        <f>('TE BE'!$AA$7+'TE BF'!$AA$7+'TE CVA'!$AA$7)*1</f>
        <v>210.64397598313801</v>
      </c>
      <c r="AB391" s="6">
        <f>$K$391*$V$391</f>
        <v>0</v>
      </c>
      <c r="AC391" s="6">
        <f>$M$391*$W$391</f>
        <v>240.5788</v>
      </c>
      <c r="AD391" s="6">
        <f>$O$391*$X$391</f>
        <v>112.68812000000001</v>
      </c>
      <c r="AE391" s="6">
        <f>$K$391*$Y$391</f>
        <v>0</v>
      </c>
      <c r="AF391" s="6">
        <f ca="1">$M$391*$Z$391</f>
        <v>261.87631474545941</v>
      </c>
      <c r="AG391" s="6">
        <f>$O$391*$AA$391</f>
        <v>90.15562172078306</v>
      </c>
    </row>
    <row r="392" spans="1:33" ht="11.25" customHeight="1" x14ac:dyDescent="0.25">
      <c r="A392" s="4" t="s">
        <v>21</v>
      </c>
      <c r="B392" s="4" t="s">
        <v>22</v>
      </c>
      <c r="C392" s="4" t="s">
        <v>37</v>
      </c>
      <c r="D392" s="4" t="s">
        <v>24</v>
      </c>
      <c r="E392" s="4" t="s">
        <v>24</v>
      </c>
      <c r="F392" s="4" t="s">
        <v>25</v>
      </c>
      <c r="G392" s="4" t="s">
        <v>25</v>
      </c>
      <c r="H392" s="4" t="s">
        <v>35</v>
      </c>
      <c r="I392" s="5">
        <v>44440</v>
      </c>
      <c r="J392" s="6">
        <v>0</v>
      </c>
      <c r="K392" s="6">
        <v>0</v>
      </c>
      <c r="L392" s="6">
        <v>0.36099999999999999</v>
      </c>
      <c r="M392" s="6">
        <v>0.36099999999999999</v>
      </c>
      <c r="N392" s="6">
        <v>0.36099999999999999</v>
      </c>
      <c r="O392" s="6">
        <v>0.36099999999999999</v>
      </c>
      <c r="P392" s="6">
        <v>0</v>
      </c>
      <c r="Q392" s="4" t="s">
        <v>26</v>
      </c>
      <c r="R392" s="4">
        <v>0</v>
      </c>
      <c r="S392" s="6">
        <v>0</v>
      </c>
      <c r="T392" s="6">
        <v>13</v>
      </c>
      <c r="U392" s="6">
        <v>50</v>
      </c>
      <c r="V392" s="6">
        <f>IF(ISERROR(VLOOKUP($S$392,'TAR FIN'!$A$1:$O$85,15,0)),0,VLOOKUP($S$392,'TAR FIN'!$A$1:$O$85,15,0))</f>
        <v>0</v>
      </c>
      <c r="W392" s="6">
        <f>IF(ISERROR(VLOOKUP($T$392,'TAR FIN'!$A$1:$O$85,15,0)),0,VLOOKUP($T$392,'TAR FIN'!$A$1:$O$85,15,0))</f>
        <v>562.1</v>
      </c>
      <c r="X392" s="6">
        <f>IF(ISERROR(VLOOKUP($U$392,'TAR FIN'!$A$1:$O$85,15,0)),0,VLOOKUP($U$392,'TAR FIN'!$A$1:$O$85,15,0))</f>
        <v>263.29000000000002</v>
      </c>
      <c r="Y392" s="6"/>
      <c r="Z392" s="6">
        <f ca="1">('TUSD BE'!$AM$17+'TUSD BF'!$AM$17+'TUSD CVA'!$AM$17)*1</f>
        <v>611.86054847069954</v>
      </c>
      <c r="AA392" s="6">
        <f>('TE BE'!$AA$7+'TE BF'!$AA$7+'TE CVA'!$AA$7)*1</f>
        <v>210.64397598313801</v>
      </c>
      <c r="AB392" s="6">
        <f>$K$392*$V$392</f>
        <v>0</v>
      </c>
      <c r="AC392" s="6">
        <f>$M$392*$W$392</f>
        <v>202.91810000000001</v>
      </c>
      <c r="AD392" s="6">
        <f>$O$392*$X$392</f>
        <v>95.047690000000003</v>
      </c>
      <c r="AE392" s="6">
        <f>$K$392*$Y$392</f>
        <v>0</v>
      </c>
      <c r="AF392" s="6">
        <f ca="1">$M$392*$Z$392</f>
        <v>220.88165799792253</v>
      </c>
      <c r="AG392" s="6">
        <f>$O$392*$AA$392</f>
        <v>76.042475329912818</v>
      </c>
    </row>
    <row r="393" spans="1:33" ht="11.25" customHeight="1" x14ac:dyDescent="0.25">
      <c r="A393" s="4" t="s">
        <v>21</v>
      </c>
      <c r="B393" s="4" t="s">
        <v>22</v>
      </c>
      <c r="C393" s="4" t="s">
        <v>37</v>
      </c>
      <c r="D393" s="4" t="s">
        <v>24</v>
      </c>
      <c r="E393" s="4" t="s">
        <v>24</v>
      </c>
      <c r="F393" s="4" t="s">
        <v>25</v>
      </c>
      <c r="G393" s="4" t="s">
        <v>25</v>
      </c>
      <c r="H393" s="4" t="s">
        <v>35</v>
      </c>
      <c r="I393" s="5">
        <v>44470</v>
      </c>
      <c r="J393" s="6">
        <v>0</v>
      </c>
      <c r="K393" s="6">
        <v>0</v>
      </c>
      <c r="L393" s="6">
        <v>0.36499999999999999</v>
      </c>
      <c r="M393" s="6">
        <v>0.36499999999999999</v>
      </c>
      <c r="N393" s="6">
        <v>0.36499999999999999</v>
      </c>
      <c r="O393" s="6">
        <v>0.36499999999999999</v>
      </c>
      <c r="P393" s="6">
        <v>0</v>
      </c>
      <c r="Q393" s="4" t="s">
        <v>26</v>
      </c>
      <c r="R393" s="4">
        <v>0</v>
      </c>
      <c r="S393" s="6">
        <v>0</v>
      </c>
      <c r="T393" s="6">
        <v>13</v>
      </c>
      <c r="U393" s="6">
        <v>50</v>
      </c>
      <c r="V393" s="6">
        <f>IF(ISERROR(VLOOKUP($S$393,'TAR FIN'!$A$1:$O$85,15,0)),0,VLOOKUP($S$393,'TAR FIN'!$A$1:$O$85,15,0))</f>
        <v>0</v>
      </c>
      <c r="W393" s="6">
        <f>IF(ISERROR(VLOOKUP($T$393,'TAR FIN'!$A$1:$O$85,15,0)),0,VLOOKUP($T$393,'TAR FIN'!$A$1:$O$85,15,0))</f>
        <v>562.1</v>
      </c>
      <c r="X393" s="6">
        <f>IF(ISERROR(VLOOKUP($U$393,'TAR FIN'!$A$1:$O$85,15,0)),0,VLOOKUP($U$393,'TAR FIN'!$A$1:$O$85,15,0))</f>
        <v>263.29000000000002</v>
      </c>
      <c r="Y393" s="6"/>
      <c r="Z393" s="6">
        <f ca="1">('TUSD BE'!$AM$17+'TUSD BF'!$AM$17+'TUSD CVA'!$AM$17)*1</f>
        <v>611.86054847069954</v>
      </c>
      <c r="AA393" s="6">
        <f>('TE BE'!$AA$7+'TE BF'!$AA$7+'TE CVA'!$AA$7)*1</f>
        <v>210.64397598313801</v>
      </c>
      <c r="AB393" s="6">
        <f>$K$393*$V$393</f>
        <v>0</v>
      </c>
      <c r="AC393" s="6">
        <f>$M$393*$W$393</f>
        <v>205.16650000000001</v>
      </c>
      <c r="AD393" s="6">
        <f>$O$393*$X$393</f>
        <v>96.100850000000008</v>
      </c>
      <c r="AE393" s="6">
        <f>$K$393*$Y$393</f>
        <v>0</v>
      </c>
      <c r="AF393" s="6">
        <f ca="1">$M$393*$Z$393</f>
        <v>223.32910019180534</v>
      </c>
      <c r="AG393" s="6">
        <f>$O$393*$AA$393</f>
        <v>76.885051233845374</v>
      </c>
    </row>
    <row r="394" spans="1:33" ht="11.25" customHeight="1" x14ac:dyDescent="0.25">
      <c r="A394" s="4" t="s">
        <v>21</v>
      </c>
      <c r="B394" s="4" t="s">
        <v>22</v>
      </c>
      <c r="C394" s="4" t="s">
        <v>37</v>
      </c>
      <c r="D394" s="4" t="s">
        <v>24</v>
      </c>
      <c r="E394" s="4" t="s">
        <v>24</v>
      </c>
      <c r="F394" s="4" t="s">
        <v>25</v>
      </c>
      <c r="G394" s="4" t="s">
        <v>25</v>
      </c>
      <c r="H394" s="4" t="s">
        <v>35</v>
      </c>
      <c r="I394" s="5">
        <v>44501</v>
      </c>
      <c r="J394" s="6">
        <v>0</v>
      </c>
      <c r="K394" s="6">
        <v>0</v>
      </c>
      <c r="L394" s="6">
        <v>0.36299999999999999</v>
      </c>
      <c r="M394" s="6">
        <v>0.36299999999999999</v>
      </c>
      <c r="N394" s="6">
        <v>0.36299999999999999</v>
      </c>
      <c r="O394" s="6">
        <v>0.36299999999999999</v>
      </c>
      <c r="P394" s="6">
        <v>0</v>
      </c>
      <c r="Q394" s="4" t="s">
        <v>26</v>
      </c>
      <c r="R394" s="4">
        <v>0</v>
      </c>
      <c r="S394" s="6">
        <v>0</v>
      </c>
      <c r="T394" s="6">
        <v>13</v>
      </c>
      <c r="U394" s="6">
        <v>50</v>
      </c>
      <c r="V394" s="6">
        <f>IF(ISERROR(VLOOKUP($S$394,'TAR FIN'!$A$1:$O$85,15,0)),0,VLOOKUP($S$394,'TAR FIN'!$A$1:$O$85,15,0))</f>
        <v>0</v>
      </c>
      <c r="W394" s="6">
        <f>IF(ISERROR(VLOOKUP($T$394,'TAR FIN'!$A$1:$O$85,15,0)),0,VLOOKUP($T$394,'TAR FIN'!$A$1:$O$85,15,0))</f>
        <v>562.1</v>
      </c>
      <c r="X394" s="6">
        <f>IF(ISERROR(VLOOKUP($U$394,'TAR FIN'!$A$1:$O$85,15,0)),0,VLOOKUP($U$394,'TAR FIN'!$A$1:$O$85,15,0))</f>
        <v>263.29000000000002</v>
      </c>
      <c r="Y394" s="6"/>
      <c r="Z394" s="6">
        <f ca="1">('TUSD BE'!$AM$17+'TUSD BF'!$AM$17+'TUSD CVA'!$AM$17)*1</f>
        <v>611.86054847069954</v>
      </c>
      <c r="AA394" s="6">
        <f>('TE BE'!$AA$7+'TE BF'!$AA$7+'TE CVA'!$AA$7)*1</f>
        <v>210.64397598313801</v>
      </c>
      <c r="AB394" s="6">
        <f>$K$394*$V$394</f>
        <v>0</v>
      </c>
      <c r="AC394" s="6">
        <f>$M$394*$W$394</f>
        <v>204.04230000000001</v>
      </c>
      <c r="AD394" s="6">
        <f>$O$394*$X$394</f>
        <v>95.574269999999999</v>
      </c>
      <c r="AE394" s="6">
        <f>$K$394*$Y$394</f>
        <v>0</v>
      </c>
      <c r="AF394" s="6">
        <f ca="1">$M$394*$Z$394</f>
        <v>222.10537909486393</v>
      </c>
      <c r="AG394" s="6">
        <f>$O$394*$AA$394</f>
        <v>76.463763281879096</v>
      </c>
    </row>
    <row r="395" spans="1:33" ht="11.25" customHeight="1" x14ac:dyDescent="0.25">
      <c r="A395" s="4" t="s">
        <v>21</v>
      </c>
      <c r="B395" s="4" t="s">
        <v>22</v>
      </c>
      <c r="C395" s="4" t="s">
        <v>37</v>
      </c>
      <c r="D395" s="4" t="s">
        <v>24</v>
      </c>
      <c r="E395" s="4" t="s">
        <v>24</v>
      </c>
      <c r="F395" s="4" t="s">
        <v>25</v>
      </c>
      <c r="G395" s="4" t="s">
        <v>25</v>
      </c>
      <c r="H395" s="4" t="s">
        <v>35</v>
      </c>
      <c r="I395" s="5">
        <v>44531</v>
      </c>
      <c r="J395" s="6">
        <v>0</v>
      </c>
      <c r="K395" s="6">
        <v>0</v>
      </c>
      <c r="L395" s="6">
        <v>0.36199999999999999</v>
      </c>
      <c r="M395" s="6">
        <v>0.36199999999999999</v>
      </c>
      <c r="N395" s="6">
        <v>0.36199999999999999</v>
      </c>
      <c r="O395" s="6">
        <v>0.36199999999999999</v>
      </c>
      <c r="P395" s="6">
        <v>0</v>
      </c>
      <c r="Q395" s="4" t="s">
        <v>26</v>
      </c>
      <c r="R395" s="4">
        <v>0</v>
      </c>
      <c r="S395" s="6">
        <v>0</v>
      </c>
      <c r="T395" s="6">
        <v>13</v>
      </c>
      <c r="U395" s="6">
        <v>50</v>
      </c>
      <c r="V395" s="6">
        <f>IF(ISERROR(VLOOKUP($S$395,'TAR FIN'!$A$1:$O$85,15,0)),0,VLOOKUP($S$395,'TAR FIN'!$A$1:$O$85,15,0))</f>
        <v>0</v>
      </c>
      <c r="W395" s="6">
        <f>IF(ISERROR(VLOOKUP($T$395,'TAR FIN'!$A$1:$O$85,15,0)),0,VLOOKUP($T$395,'TAR FIN'!$A$1:$O$85,15,0))</f>
        <v>562.1</v>
      </c>
      <c r="X395" s="6">
        <f>IF(ISERROR(VLOOKUP($U$395,'TAR FIN'!$A$1:$O$85,15,0)),0,VLOOKUP($U$395,'TAR FIN'!$A$1:$O$85,15,0))</f>
        <v>263.29000000000002</v>
      </c>
      <c r="Y395" s="6"/>
      <c r="Z395" s="6">
        <f ca="1">('TUSD BE'!$AM$17+'TUSD BF'!$AM$17+'TUSD CVA'!$AM$17)*1</f>
        <v>611.86054847069954</v>
      </c>
      <c r="AA395" s="6">
        <f>('TE BE'!$AA$7+'TE BF'!$AA$7+'TE CVA'!$AA$7)*1</f>
        <v>210.64397598313801</v>
      </c>
      <c r="AB395" s="6">
        <f>$K$395*$V$395</f>
        <v>0</v>
      </c>
      <c r="AC395" s="6">
        <f>$M$395*$W$395</f>
        <v>203.4802</v>
      </c>
      <c r="AD395" s="6">
        <f>$O$395*$X$395</f>
        <v>95.310980000000001</v>
      </c>
      <c r="AE395" s="6">
        <f>$K$395*$Y$395</f>
        <v>0</v>
      </c>
      <c r="AF395" s="6">
        <f ca="1">$M$395*$Z$395</f>
        <v>221.49351854639323</v>
      </c>
      <c r="AG395" s="6">
        <f>$O$395*$AA$395</f>
        <v>76.25311930589595</v>
      </c>
    </row>
    <row r="396" spans="1:33" ht="11.25" customHeight="1" x14ac:dyDescent="0.25">
      <c r="A396" s="4" t="s">
        <v>21</v>
      </c>
      <c r="B396" s="4" t="s">
        <v>22</v>
      </c>
      <c r="C396" s="4" t="s">
        <v>37</v>
      </c>
      <c r="D396" s="4" t="s">
        <v>24</v>
      </c>
      <c r="E396" s="4" t="s">
        <v>24</v>
      </c>
      <c r="F396" s="4" t="s">
        <v>25</v>
      </c>
      <c r="G396" s="4" t="s">
        <v>25</v>
      </c>
      <c r="H396" s="4" t="s">
        <v>35</v>
      </c>
      <c r="I396" s="5">
        <v>44562</v>
      </c>
      <c r="J396" s="6">
        <v>0</v>
      </c>
      <c r="K396" s="6">
        <v>0</v>
      </c>
      <c r="L396" s="6">
        <v>0.40300000000000002</v>
      </c>
      <c r="M396" s="6">
        <v>0.40300000000000002</v>
      </c>
      <c r="N396" s="6">
        <v>0.40300000000000002</v>
      </c>
      <c r="O396" s="6">
        <v>0.40300000000000002</v>
      </c>
      <c r="P396" s="6">
        <v>0</v>
      </c>
      <c r="Q396" s="4" t="s">
        <v>26</v>
      </c>
      <c r="R396" s="4">
        <v>0</v>
      </c>
      <c r="S396" s="6">
        <v>0</v>
      </c>
      <c r="T396" s="6">
        <v>13</v>
      </c>
      <c r="U396" s="6">
        <v>50</v>
      </c>
      <c r="V396" s="6">
        <f>IF(ISERROR(VLOOKUP($S$396,'TAR FIN'!$A$1:$O$85,15,0)),0,VLOOKUP($S$396,'TAR FIN'!$A$1:$O$85,15,0))</f>
        <v>0</v>
      </c>
      <c r="W396" s="6">
        <f>IF(ISERROR(VLOOKUP($T$396,'TAR FIN'!$A$1:$O$85,15,0)),0,VLOOKUP($T$396,'TAR FIN'!$A$1:$O$85,15,0))</f>
        <v>562.1</v>
      </c>
      <c r="X396" s="6">
        <f>IF(ISERROR(VLOOKUP($U$396,'TAR FIN'!$A$1:$O$85,15,0)),0,VLOOKUP($U$396,'TAR FIN'!$A$1:$O$85,15,0))</f>
        <v>263.29000000000002</v>
      </c>
      <c r="Y396" s="6"/>
      <c r="Z396" s="6">
        <f ca="1">('TUSD BE'!$AM$17+'TUSD BF'!$AM$17+'TUSD CVA'!$AM$17)*1</f>
        <v>611.86054847069954</v>
      </c>
      <c r="AA396" s="6">
        <f>('TE BE'!$AA$7+'TE BF'!$AA$7+'TE CVA'!$AA$7)*1</f>
        <v>210.64397598313801</v>
      </c>
      <c r="AB396" s="6">
        <f>$K$396*$V$396</f>
        <v>0</v>
      </c>
      <c r="AC396" s="6">
        <f>$M$396*$W$396</f>
        <v>226.52630000000002</v>
      </c>
      <c r="AD396" s="6">
        <f>$O$396*$X$396</f>
        <v>106.10587000000001</v>
      </c>
      <c r="AE396" s="6">
        <f>$K$396*$Y$396</f>
        <v>0</v>
      </c>
      <c r="AF396" s="6">
        <f ca="1">$M$396*$Z$396</f>
        <v>246.57980103369192</v>
      </c>
      <c r="AG396" s="6">
        <f>$O$396*$AA$396</f>
        <v>84.889522321204623</v>
      </c>
    </row>
    <row r="397" spans="1:33" ht="11.25" customHeight="1" x14ac:dyDescent="0.25">
      <c r="A397" s="4" t="s">
        <v>21</v>
      </c>
      <c r="B397" s="4" t="s">
        <v>22</v>
      </c>
      <c r="C397" s="4" t="s">
        <v>37</v>
      </c>
      <c r="D397" s="4" t="s">
        <v>24</v>
      </c>
      <c r="E397" s="4" t="s">
        <v>24</v>
      </c>
      <c r="F397" s="4" t="s">
        <v>25</v>
      </c>
      <c r="G397" s="4" t="s">
        <v>25</v>
      </c>
      <c r="H397" s="4" t="s">
        <v>35</v>
      </c>
      <c r="I397" s="5">
        <v>44593</v>
      </c>
      <c r="J397" s="6">
        <v>0</v>
      </c>
      <c r="K397" s="6">
        <v>0</v>
      </c>
      <c r="L397" s="6">
        <v>0.41199999999999998</v>
      </c>
      <c r="M397" s="6">
        <v>0.41199999999999998</v>
      </c>
      <c r="N397" s="6">
        <v>0.41199999999999998</v>
      </c>
      <c r="O397" s="6">
        <v>0.41199999999999998</v>
      </c>
      <c r="P397" s="6">
        <v>0</v>
      </c>
      <c r="Q397" s="4" t="s">
        <v>26</v>
      </c>
      <c r="R397" s="4">
        <v>0</v>
      </c>
      <c r="S397" s="6">
        <v>0</v>
      </c>
      <c r="T397" s="6">
        <v>13</v>
      </c>
      <c r="U397" s="6">
        <v>50</v>
      </c>
      <c r="V397" s="6">
        <f>IF(ISERROR(VLOOKUP($S$397,'TAR FIN'!$A$1:$O$85,15,0)),0,VLOOKUP($S$397,'TAR FIN'!$A$1:$O$85,15,0))</f>
        <v>0</v>
      </c>
      <c r="W397" s="6">
        <f>IF(ISERROR(VLOOKUP($T$397,'TAR FIN'!$A$1:$O$85,15,0)),0,VLOOKUP($T$397,'TAR FIN'!$A$1:$O$85,15,0))</f>
        <v>562.1</v>
      </c>
      <c r="X397" s="6">
        <f>IF(ISERROR(VLOOKUP($U$397,'TAR FIN'!$A$1:$O$85,15,0)),0,VLOOKUP($U$397,'TAR FIN'!$A$1:$O$85,15,0))</f>
        <v>263.29000000000002</v>
      </c>
      <c r="Y397" s="6"/>
      <c r="Z397" s="6">
        <f ca="1">('TUSD BE'!$AM$17+'TUSD BF'!$AM$17+'TUSD CVA'!$AM$17)*1</f>
        <v>611.86054847069954</v>
      </c>
      <c r="AA397" s="6">
        <f>('TE BE'!$AA$7+'TE BF'!$AA$7+'TE CVA'!$AA$7)*1</f>
        <v>210.64397598313801</v>
      </c>
      <c r="AB397" s="6">
        <f>$K$397*$V$397</f>
        <v>0</v>
      </c>
      <c r="AC397" s="6">
        <f>$M$397*$W$397</f>
        <v>231.58519999999999</v>
      </c>
      <c r="AD397" s="6">
        <f>$O$397*$X$397</f>
        <v>108.47548</v>
      </c>
      <c r="AE397" s="6">
        <f>$K$397*$Y$397</f>
        <v>0</v>
      </c>
      <c r="AF397" s="6">
        <f ca="1">$M$397*$Z$397</f>
        <v>252.08654596992821</v>
      </c>
      <c r="AG397" s="6">
        <f>$O$397*$AA$397</f>
        <v>86.785318105052852</v>
      </c>
    </row>
    <row r="398" spans="1:33" ht="11.25" customHeight="1" x14ac:dyDescent="0.25">
      <c r="A398" s="4" t="s">
        <v>21</v>
      </c>
      <c r="B398" s="4" t="s">
        <v>22</v>
      </c>
      <c r="C398" s="4" t="s">
        <v>37</v>
      </c>
      <c r="D398" s="4" t="s">
        <v>24</v>
      </c>
      <c r="E398" s="4" t="s">
        <v>24</v>
      </c>
      <c r="F398" s="4" t="s">
        <v>25</v>
      </c>
      <c r="G398" s="4" t="s">
        <v>25</v>
      </c>
      <c r="H398" s="4" t="s">
        <v>35</v>
      </c>
      <c r="I398" s="5">
        <v>44621</v>
      </c>
      <c r="J398" s="6">
        <v>0</v>
      </c>
      <c r="K398" s="6">
        <v>0</v>
      </c>
      <c r="L398" s="6">
        <v>0.503</v>
      </c>
      <c r="M398" s="6">
        <v>0.503</v>
      </c>
      <c r="N398" s="6">
        <v>0.503</v>
      </c>
      <c r="O398" s="6">
        <v>0.503</v>
      </c>
      <c r="P398" s="6">
        <v>0</v>
      </c>
      <c r="Q398" s="4" t="s">
        <v>26</v>
      </c>
      <c r="R398" s="4">
        <v>0</v>
      </c>
      <c r="S398" s="6">
        <v>0</v>
      </c>
      <c r="T398" s="6">
        <v>13</v>
      </c>
      <c r="U398" s="6">
        <v>50</v>
      </c>
      <c r="V398" s="6">
        <f>IF(ISERROR(VLOOKUP($S$398,'TAR FIN'!$A$1:$O$85,15,0)),0,VLOOKUP($S$398,'TAR FIN'!$A$1:$O$85,15,0))</f>
        <v>0</v>
      </c>
      <c r="W398" s="6">
        <f>IF(ISERROR(VLOOKUP($T$398,'TAR FIN'!$A$1:$O$85,15,0)),0,VLOOKUP($T$398,'TAR FIN'!$A$1:$O$85,15,0))</f>
        <v>562.1</v>
      </c>
      <c r="X398" s="6">
        <f>IF(ISERROR(VLOOKUP($U$398,'TAR FIN'!$A$1:$O$85,15,0)),0,VLOOKUP($U$398,'TAR FIN'!$A$1:$O$85,15,0))</f>
        <v>263.29000000000002</v>
      </c>
      <c r="Y398" s="6"/>
      <c r="Z398" s="6">
        <f ca="1">('TUSD BE'!$AM$17+'TUSD BF'!$AM$17+'TUSD CVA'!$AM$17)*1</f>
        <v>611.86054847069954</v>
      </c>
      <c r="AA398" s="6">
        <f>('TE BE'!$AA$7+'TE BF'!$AA$7+'TE CVA'!$AA$7)*1</f>
        <v>210.64397598313801</v>
      </c>
      <c r="AB398" s="6">
        <f>$K$398*$V$398</f>
        <v>0</v>
      </c>
      <c r="AC398" s="6">
        <f>$M$398*$W$398</f>
        <v>282.73630000000003</v>
      </c>
      <c r="AD398" s="6">
        <f>$O$398*$X$398</f>
        <v>132.43487000000002</v>
      </c>
      <c r="AE398" s="6">
        <f>$K$398*$Y$398</f>
        <v>0</v>
      </c>
      <c r="AF398" s="6">
        <f ca="1">$M$398*$Z$398</f>
        <v>307.76585588076188</v>
      </c>
      <c r="AG398" s="6">
        <f>$O$398*$AA$398</f>
        <v>105.95391991951841</v>
      </c>
    </row>
    <row r="399" spans="1:33" ht="11.25" customHeight="1" x14ac:dyDescent="0.25">
      <c r="A399" s="4" t="s">
        <v>21</v>
      </c>
      <c r="B399" s="4" t="s">
        <v>22</v>
      </c>
      <c r="C399" s="4" t="s">
        <v>37</v>
      </c>
      <c r="D399" s="4" t="s">
        <v>24</v>
      </c>
      <c r="E399" s="4" t="s">
        <v>24</v>
      </c>
      <c r="F399" s="4" t="s">
        <v>25</v>
      </c>
      <c r="G399" s="4" t="s">
        <v>25</v>
      </c>
      <c r="H399" s="4" t="s">
        <v>35</v>
      </c>
      <c r="I399" s="5">
        <v>44652</v>
      </c>
      <c r="J399" s="6">
        <v>0</v>
      </c>
      <c r="K399" s="6">
        <v>0</v>
      </c>
      <c r="L399" s="6">
        <v>0.42699999999999999</v>
      </c>
      <c r="M399" s="6">
        <v>0.42699999999999999</v>
      </c>
      <c r="N399" s="6">
        <v>0.42699999999999999</v>
      </c>
      <c r="O399" s="6">
        <v>0.42699999999999999</v>
      </c>
      <c r="P399" s="6">
        <v>0</v>
      </c>
      <c r="Q399" s="4" t="s">
        <v>26</v>
      </c>
      <c r="R399" s="4">
        <v>0</v>
      </c>
      <c r="S399" s="6">
        <v>0</v>
      </c>
      <c r="T399" s="6">
        <v>13</v>
      </c>
      <c r="U399" s="6">
        <v>50</v>
      </c>
      <c r="V399" s="6">
        <f>IF(ISERROR(VLOOKUP($S$399,'TAR FIN'!$A$1:$O$85,15,0)),0,VLOOKUP($S$399,'TAR FIN'!$A$1:$O$85,15,0))</f>
        <v>0</v>
      </c>
      <c r="W399" s="6">
        <f>IF(ISERROR(VLOOKUP($T$399,'TAR FIN'!$A$1:$O$85,15,0)),0,VLOOKUP($T$399,'TAR FIN'!$A$1:$O$85,15,0))</f>
        <v>562.1</v>
      </c>
      <c r="X399" s="6">
        <f>IF(ISERROR(VLOOKUP($U$399,'TAR FIN'!$A$1:$O$85,15,0)),0,VLOOKUP($U$399,'TAR FIN'!$A$1:$O$85,15,0))</f>
        <v>263.29000000000002</v>
      </c>
      <c r="Y399" s="6"/>
      <c r="Z399" s="6">
        <f ca="1">('TUSD BE'!$AM$17+'TUSD BF'!$AM$17+'TUSD CVA'!$AM$17)*1</f>
        <v>611.86054847069954</v>
      </c>
      <c r="AA399" s="6">
        <f>('TE BE'!$AA$7+'TE BF'!$AA$7+'TE CVA'!$AA$7)*1</f>
        <v>210.64397598313801</v>
      </c>
      <c r="AB399" s="6">
        <f>$K$399*$V$399</f>
        <v>0</v>
      </c>
      <c r="AC399" s="6">
        <f>$M$399*$W$399</f>
        <v>240.01670000000001</v>
      </c>
      <c r="AD399" s="6">
        <f>$O$399*$X$399</f>
        <v>112.42483</v>
      </c>
      <c r="AE399" s="6">
        <f>$K$399*$Y$399</f>
        <v>0</v>
      </c>
      <c r="AF399" s="6">
        <f ca="1">$M$399*$Z$399</f>
        <v>261.26445419698871</v>
      </c>
      <c r="AG399" s="6">
        <f>$O$399*$AA$399</f>
        <v>89.944977744799928</v>
      </c>
    </row>
    <row r="400" spans="1:33" ht="11.25" customHeight="1" x14ac:dyDescent="0.25">
      <c r="A400" s="4" t="s">
        <v>21</v>
      </c>
      <c r="B400" s="4" t="s">
        <v>22</v>
      </c>
      <c r="C400" s="4" t="s">
        <v>23</v>
      </c>
      <c r="D400" s="4" t="s">
        <v>24</v>
      </c>
      <c r="E400" s="4" t="s">
        <v>24</v>
      </c>
      <c r="F400" s="4" t="s">
        <v>25</v>
      </c>
      <c r="G400" s="4" t="s">
        <v>25</v>
      </c>
      <c r="H400" s="4" t="s">
        <v>25</v>
      </c>
      <c r="I400" s="5">
        <v>44317</v>
      </c>
      <c r="J400" s="6">
        <v>0</v>
      </c>
      <c r="K400" s="6">
        <v>0</v>
      </c>
      <c r="L400" s="6">
        <v>1855.4870000000001</v>
      </c>
      <c r="M400" s="6">
        <v>1855.4870000000001</v>
      </c>
      <c r="N400" s="6">
        <v>1855.4870000000001</v>
      </c>
      <c r="O400" s="6">
        <v>1855.4870000000001</v>
      </c>
      <c r="P400" s="6">
        <v>10624</v>
      </c>
      <c r="Q400" s="4" t="s">
        <v>26</v>
      </c>
      <c r="R400" s="4">
        <v>0</v>
      </c>
      <c r="S400" s="6">
        <v>0</v>
      </c>
      <c r="T400" s="6">
        <v>16</v>
      </c>
      <c r="U400" s="6">
        <v>53</v>
      </c>
      <c r="V400" s="6">
        <f>IF(ISERROR(VLOOKUP($S$400,'TAR FIN'!$A$1:$O$85,15,0)),0,VLOOKUP($S$400,'TAR FIN'!$A$1:$O$85,15,0))</f>
        <v>0</v>
      </c>
      <c r="W400" s="6">
        <f>IF(ISERROR(VLOOKUP($T$400,'TAR FIN'!$A$1:$O$85,15,0)),0,VLOOKUP($T$400,'TAR FIN'!$A$1:$O$85,15,0))</f>
        <v>273.69</v>
      </c>
      <c r="X400" s="6">
        <f>IF(ISERROR(VLOOKUP($U$400,'TAR FIN'!$A$1:$O$85,15,0)),0,VLOOKUP($U$400,'TAR FIN'!$A$1:$O$85,15,0))</f>
        <v>263.29000000000002</v>
      </c>
      <c r="Y400" s="6"/>
      <c r="Z400" s="6">
        <f ca="1">('TUSD BE'!$AM$20+'TUSD BF'!$AM$20+'TUSD CVA'!$AM$20)*1</f>
        <v>320.1054038964063</v>
      </c>
      <c r="AA400" s="6">
        <f>('TE BE'!$AA$10+'TE BF'!$AA$10+'TE CVA'!$AA$10)*1</f>
        <v>210.64397598313801</v>
      </c>
      <c r="AB400" s="6">
        <f>$K$400*$V$400</f>
        <v>0</v>
      </c>
      <c r="AC400" s="6">
        <f>$M$400*$W$400</f>
        <v>507828.23703000002</v>
      </c>
      <c r="AD400" s="6">
        <f>$O$400*$X$400</f>
        <v>488531.17223000008</v>
      </c>
      <c r="AE400" s="6">
        <f>$K$400*$Y$400</f>
        <v>0</v>
      </c>
      <c r="AF400" s="6">
        <f ca="1">$M$400*$Z$400</f>
        <v>593951.41555953131</v>
      </c>
      <c r="AG400" s="6">
        <f>$O$400*$AA$400</f>
        <v>390847.15906502481</v>
      </c>
    </row>
    <row r="401" spans="1:33" ht="11.25" customHeight="1" x14ac:dyDescent="0.25">
      <c r="A401" s="4" t="s">
        <v>27</v>
      </c>
      <c r="B401" s="4" t="s">
        <v>22</v>
      </c>
      <c r="C401" s="4" t="s">
        <v>23</v>
      </c>
      <c r="D401" s="4" t="s">
        <v>24</v>
      </c>
      <c r="E401" s="4" t="s">
        <v>24</v>
      </c>
      <c r="F401" s="4" t="s">
        <v>25</v>
      </c>
      <c r="G401" s="4" t="s">
        <v>25</v>
      </c>
      <c r="H401" s="4" t="s">
        <v>25</v>
      </c>
      <c r="I401" s="5">
        <v>44317</v>
      </c>
      <c r="J401" s="6">
        <v>0</v>
      </c>
      <c r="K401" s="6">
        <v>0</v>
      </c>
      <c r="L401" s="6">
        <v>-1.3089999999999999</v>
      </c>
      <c r="M401" s="6">
        <v>-1.3089999999999999</v>
      </c>
      <c r="N401" s="6">
        <v>-1.3089999999999999</v>
      </c>
      <c r="O401" s="6">
        <v>-1.3089999999999999</v>
      </c>
      <c r="P401" s="6">
        <v>0</v>
      </c>
      <c r="Q401" s="4" t="s">
        <v>26</v>
      </c>
      <c r="R401" s="4">
        <v>0</v>
      </c>
      <c r="S401" s="6">
        <v>0</v>
      </c>
      <c r="T401" s="6">
        <v>16</v>
      </c>
      <c r="U401" s="6">
        <v>53</v>
      </c>
      <c r="V401" s="6">
        <f>IF(ISERROR(VLOOKUP($S$401,'TAR FIN'!$A$1:$O$85,15,0)),0,VLOOKUP($S$401,'TAR FIN'!$A$1:$O$85,15,0))</f>
        <v>0</v>
      </c>
      <c r="W401" s="6">
        <f>IF(ISERROR(VLOOKUP($T$401,'TAR FIN'!$A$1:$O$85,15,0)),0,VLOOKUP($T$401,'TAR FIN'!$A$1:$O$85,15,0))</f>
        <v>273.69</v>
      </c>
      <c r="X401" s="6">
        <f>IF(ISERROR(VLOOKUP($U$401,'TAR FIN'!$A$1:$O$85,15,0)),0,VLOOKUP($U$401,'TAR FIN'!$A$1:$O$85,15,0))</f>
        <v>263.29000000000002</v>
      </c>
      <c r="Y401" s="6"/>
      <c r="Z401" s="6">
        <f ca="1">('TUSD BE'!$AM$20+'TUSD BF'!$AM$20+'TUSD CVA'!$AM$20)*1</f>
        <v>320.1054038964063</v>
      </c>
      <c r="AA401" s="6">
        <f>('TE BE'!$AA$10+'TE BF'!$AA$10+'TE CVA'!$AA$10)*1</f>
        <v>210.64397598313801</v>
      </c>
      <c r="AB401" s="6">
        <f>$K$401*$V$401</f>
        <v>0</v>
      </c>
      <c r="AC401" s="6">
        <f>$M$401*$W$401</f>
        <v>-358.26020999999997</v>
      </c>
      <c r="AD401" s="6">
        <f>$O$401*$X$401</f>
        <v>-344.64661000000001</v>
      </c>
      <c r="AE401" s="6">
        <f>$K$401*$Y$401</f>
        <v>0</v>
      </c>
      <c r="AF401" s="6">
        <f ca="1">$M$401*$Z$401</f>
        <v>-419.01797370039583</v>
      </c>
      <c r="AG401" s="6">
        <f>$O$401*$AA$401</f>
        <v>-275.73296456192764</v>
      </c>
    </row>
    <row r="402" spans="1:33" ht="11.25" customHeight="1" x14ac:dyDescent="0.25">
      <c r="A402" s="4" t="s">
        <v>28</v>
      </c>
      <c r="B402" s="4" t="s">
        <v>22</v>
      </c>
      <c r="C402" s="4" t="s">
        <v>23</v>
      </c>
      <c r="D402" s="4" t="s">
        <v>24</v>
      </c>
      <c r="E402" s="4" t="s">
        <v>24</v>
      </c>
      <c r="F402" s="4" t="s">
        <v>25</v>
      </c>
      <c r="G402" s="4" t="s">
        <v>25</v>
      </c>
      <c r="H402" s="4" t="s">
        <v>25</v>
      </c>
      <c r="I402" s="5">
        <v>44317</v>
      </c>
      <c r="J402" s="6">
        <v>0</v>
      </c>
      <c r="K402" s="6">
        <v>0</v>
      </c>
      <c r="L402" s="6">
        <v>19.227</v>
      </c>
      <c r="M402" s="6">
        <v>19.227</v>
      </c>
      <c r="N402" s="6">
        <v>19.227</v>
      </c>
      <c r="O402" s="6">
        <v>19.227</v>
      </c>
      <c r="P402" s="6">
        <v>133</v>
      </c>
      <c r="Q402" s="4" t="s">
        <v>26</v>
      </c>
      <c r="R402" s="4">
        <v>0</v>
      </c>
      <c r="S402" s="6">
        <v>0</v>
      </c>
      <c r="T402" s="6">
        <v>16</v>
      </c>
      <c r="U402" s="6">
        <v>53</v>
      </c>
      <c r="V402" s="6">
        <f>IF(ISERROR(VLOOKUP($S$402,'TAR FIN'!$A$1:$O$85,15,0)),0,VLOOKUP($S$402,'TAR FIN'!$A$1:$O$85,15,0))</f>
        <v>0</v>
      </c>
      <c r="W402" s="6">
        <f>IF(ISERROR(VLOOKUP($T$402,'TAR FIN'!$A$1:$O$85,15,0)),0,VLOOKUP($T$402,'TAR FIN'!$A$1:$O$85,15,0))</f>
        <v>273.69</v>
      </c>
      <c r="X402" s="6">
        <f>IF(ISERROR(VLOOKUP($U$402,'TAR FIN'!$A$1:$O$85,15,0)),0,VLOOKUP($U$402,'TAR FIN'!$A$1:$O$85,15,0))</f>
        <v>263.29000000000002</v>
      </c>
      <c r="Y402" s="6"/>
      <c r="Z402" s="6">
        <f ca="1">('TUSD BE'!$AM$20+'TUSD BF'!$AM$20+'TUSD CVA'!$AM$20)*1</f>
        <v>320.1054038964063</v>
      </c>
      <c r="AA402" s="6">
        <f>('TE BE'!$AA$10+'TE BF'!$AA$10+'TE CVA'!$AA$10)*1</f>
        <v>210.64397598313801</v>
      </c>
      <c r="AB402" s="6">
        <f>$K$402*$V$402</f>
        <v>0</v>
      </c>
      <c r="AC402" s="6">
        <f>$M$402*$W$402</f>
        <v>5262.2376299999996</v>
      </c>
      <c r="AD402" s="6">
        <f>$O$402*$X$402</f>
        <v>5062.2768300000007</v>
      </c>
      <c r="AE402" s="6">
        <f>$K$402*$Y$402</f>
        <v>0</v>
      </c>
      <c r="AF402" s="6">
        <f ca="1">$M$402*$Z$402</f>
        <v>6154.6666007162039</v>
      </c>
      <c r="AG402" s="6">
        <f>$O$402*$AA$402</f>
        <v>4050.0517262277945</v>
      </c>
    </row>
    <row r="403" spans="1:33" ht="11.25" customHeight="1" x14ac:dyDescent="0.25">
      <c r="A403" s="4" t="s">
        <v>21</v>
      </c>
      <c r="B403" s="4" t="s">
        <v>22</v>
      </c>
      <c r="C403" s="4" t="s">
        <v>23</v>
      </c>
      <c r="D403" s="4" t="s">
        <v>24</v>
      </c>
      <c r="E403" s="4" t="s">
        <v>24</v>
      </c>
      <c r="F403" s="4" t="s">
        <v>25</v>
      </c>
      <c r="G403" s="4" t="s">
        <v>25</v>
      </c>
      <c r="H403" s="4" t="s">
        <v>25</v>
      </c>
      <c r="I403" s="5">
        <v>44348</v>
      </c>
      <c r="J403" s="6">
        <v>0</v>
      </c>
      <c r="K403" s="6">
        <v>0</v>
      </c>
      <c r="L403" s="6">
        <v>1958.2639999999999</v>
      </c>
      <c r="M403" s="6">
        <v>1958.2639999999999</v>
      </c>
      <c r="N403" s="6">
        <v>1958.2639999999999</v>
      </c>
      <c r="O403" s="6">
        <v>1958.2639999999999</v>
      </c>
      <c r="P403" s="6">
        <v>10661</v>
      </c>
      <c r="Q403" s="4" t="s">
        <v>26</v>
      </c>
      <c r="R403" s="4">
        <v>0</v>
      </c>
      <c r="S403" s="6">
        <v>0</v>
      </c>
      <c r="T403" s="6">
        <v>16</v>
      </c>
      <c r="U403" s="6">
        <v>53</v>
      </c>
      <c r="V403" s="6">
        <f>IF(ISERROR(VLOOKUP($S$403,'TAR FIN'!$A$1:$O$85,15,0)),0,VLOOKUP($S$403,'TAR FIN'!$A$1:$O$85,15,0))</f>
        <v>0</v>
      </c>
      <c r="W403" s="6">
        <f>IF(ISERROR(VLOOKUP($T$403,'TAR FIN'!$A$1:$O$85,15,0)),0,VLOOKUP($T$403,'TAR FIN'!$A$1:$O$85,15,0))</f>
        <v>273.69</v>
      </c>
      <c r="X403" s="6">
        <f>IF(ISERROR(VLOOKUP($U$403,'TAR FIN'!$A$1:$O$85,15,0)),0,VLOOKUP($U$403,'TAR FIN'!$A$1:$O$85,15,0))</f>
        <v>263.29000000000002</v>
      </c>
      <c r="Y403" s="6"/>
      <c r="Z403" s="6">
        <f ca="1">('TUSD BE'!$AM$20+'TUSD BF'!$AM$20+'TUSD CVA'!$AM$20)*1</f>
        <v>320.1054038964063</v>
      </c>
      <c r="AA403" s="6">
        <f>('TE BE'!$AA$10+'TE BF'!$AA$10+'TE CVA'!$AA$10)*1</f>
        <v>210.64397598313801</v>
      </c>
      <c r="AB403" s="6">
        <f>$K$403*$V$403</f>
        <v>0</v>
      </c>
      <c r="AC403" s="6">
        <f>$M$403*$W$403</f>
        <v>535957.27415999991</v>
      </c>
      <c r="AD403" s="6">
        <f>$O$403*$X$403</f>
        <v>515591.32855999999</v>
      </c>
      <c r="AE403" s="6">
        <f>$K$403*$Y$403</f>
        <v>0</v>
      </c>
      <c r="AF403" s="6">
        <f ca="1">$M$403*$Z$403</f>
        <v>626850.88865579211</v>
      </c>
      <c r="AG403" s="6">
        <f>$O$403*$AA$403</f>
        <v>412496.51498464373</v>
      </c>
    </row>
    <row r="404" spans="1:33" ht="11.25" customHeight="1" x14ac:dyDescent="0.25">
      <c r="A404" s="4" t="s">
        <v>27</v>
      </c>
      <c r="B404" s="4" t="s">
        <v>22</v>
      </c>
      <c r="C404" s="4" t="s">
        <v>23</v>
      </c>
      <c r="D404" s="4" t="s">
        <v>24</v>
      </c>
      <c r="E404" s="4" t="s">
        <v>24</v>
      </c>
      <c r="F404" s="4" t="s">
        <v>25</v>
      </c>
      <c r="G404" s="4" t="s">
        <v>25</v>
      </c>
      <c r="H404" s="4" t="s">
        <v>25</v>
      </c>
      <c r="I404" s="5">
        <v>44348</v>
      </c>
      <c r="J404" s="6">
        <v>0</v>
      </c>
      <c r="K404" s="6">
        <v>0</v>
      </c>
      <c r="L404" s="6">
        <v>-2.7160000000000002</v>
      </c>
      <c r="M404" s="6">
        <v>-2.7160000000000002</v>
      </c>
      <c r="N404" s="6">
        <v>-2.7160000000000002</v>
      </c>
      <c r="O404" s="6">
        <v>-2.7160000000000002</v>
      </c>
      <c r="P404" s="6">
        <v>0</v>
      </c>
      <c r="Q404" s="4" t="s">
        <v>26</v>
      </c>
      <c r="R404" s="4">
        <v>0</v>
      </c>
      <c r="S404" s="6">
        <v>0</v>
      </c>
      <c r="T404" s="6">
        <v>16</v>
      </c>
      <c r="U404" s="6">
        <v>53</v>
      </c>
      <c r="V404" s="6">
        <f>IF(ISERROR(VLOOKUP($S$404,'TAR FIN'!$A$1:$O$85,15,0)),0,VLOOKUP($S$404,'TAR FIN'!$A$1:$O$85,15,0))</f>
        <v>0</v>
      </c>
      <c r="W404" s="6">
        <f>IF(ISERROR(VLOOKUP($T$404,'TAR FIN'!$A$1:$O$85,15,0)),0,VLOOKUP($T$404,'TAR FIN'!$A$1:$O$85,15,0))</f>
        <v>273.69</v>
      </c>
      <c r="X404" s="6">
        <f>IF(ISERROR(VLOOKUP($U$404,'TAR FIN'!$A$1:$O$85,15,0)),0,VLOOKUP($U$404,'TAR FIN'!$A$1:$O$85,15,0))</f>
        <v>263.29000000000002</v>
      </c>
      <c r="Y404" s="6"/>
      <c r="Z404" s="6">
        <f ca="1">('TUSD BE'!$AM$20+'TUSD BF'!$AM$20+'TUSD CVA'!$AM$20)*1</f>
        <v>320.1054038964063</v>
      </c>
      <c r="AA404" s="6">
        <f>('TE BE'!$AA$10+'TE BF'!$AA$10+'TE CVA'!$AA$10)*1</f>
        <v>210.64397598313801</v>
      </c>
      <c r="AB404" s="6">
        <f>$K$404*$V$404</f>
        <v>0</v>
      </c>
      <c r="AC404" s="6">
        <f>$M$404*$W$404</f>
        <v>-743.34204</v>
      </c>
      <c r="AD404" s="6">
        <f>$O$404*$X$404</f>
        <v>-715.09564000000012</v>
      </c>
      <c r="AE404" s="6">
        <f>$K$404*$Y$404</f>
        <v>0</v>
      </c>
      <c r="AF404" s="6">
        <f ca="1">$M$404*$Z$404</f>
        <v>-869.40627698263961</v>
      </c>
      <c r="AG404" s="6">
        <f>$O$404*$AA$404</f>
        <v>-572.10903877020291</v>
      </c>
    </row>
    <row r="405" spans="1:33" ht="11.25" customHeight="1" x14ac:dyDescent="0.25">
      <c r="A405" s="4" t="s">
        <v>28</v>
      </c>
      <c r="B405" s="4" t="s">
        <v>22</v>
      </c>
      <c r="C405" s="4" t="s">
        <v>23</v>
      </c>
      <c r="D405" s="4" t="s">
        <v>24</v>
      </c>
      <c r="E405" s="4" t="s">
        <v>24</v>
      </c>
      <c r="F405" s="4" t="s">
        <v>25</v>
      </c>
      <c r="G405" s="4" t="s">
        <v>25</v>
      </c>
      <c r="H405" s="4" t="s">
        <v>25</v>
      </c>
      <c r="I405" s="5">
        <v>44348</v>
      </c>
      <c r="J405" s="6">
        <v>0</v>
      </c>
      <c r="K405" s="6">
        <v>0</v>
      </c>
      <c r="L405" s="6">
        <v>22.452000000000002</v>
      </c>
      <c r="M405" s="6">
        <v>22.452000000000002</v>
      </c>
      <c r="N405" s="6">
        <v>22.452000000000002</v>
      </c>
      <c r="O405" s="6">
        <v>22.452000000000002</v>
      </c>
      <c r="P405" s="6">
        <v>140</v>
      </c>
      <c r="Q405" s="4" t="s">
        <v>26</v>
      </c>
      <c r="R405" s="4">
        <v>0</v>
      </c>
      <c r="S405" s="6">
        <v>0</v>
      </c>
      <c r="T405" s="6">
        <v>16</v>
      </c>
      <c r="U405" s="6">
        <v>53</v>
      </c>
      <c r="V405" s="6">
        <f>IF(ISERROR(VLOOKUP($S$405,'TAR FIN'!$A$1:$O$85,15,0)),0,VLOOKUP($S$405,'TAR FIN'!$A$1:$O$85,15,0))</f>
        <v>0</v>
      </c>
      <c r="W405" s="6">
        <f>IF(ISERROR(VLOOKUP($T$405,'TAR FIN'!$A$1:$O$85,15,0)),0,VLOOKUP($T$405,'TAR FIN'!$A$1:$O$85,15,0))</f>
        <v>273.69</v>
      </c>
      <c r="X405" s="6">
        <f>IF(ISERROR(VLOOKUP($U$405,'TAR FIN'!$A$1:$O$85,15,0)),0,VLOOKUP($U$405,'TAR FIN'!$A$1:$O$85,15,0))</f>
        <v>263.29000000000002</v>
      </c>
      <c r="Y405" s="6"/>
      <c r="Z405" s="6">
        <f ca="1">('TUSD BE'!$AM$20+'TUSD BF'!$AM$20+'TUSD CVA'!$AM$20)*1</f>
        <v>320.1054038964063</v>
      </c>
      <c r="AA405" s="6">
        <f>('TE BE'!$AA$10+'TE BF'!$AA$10+'TE CVA'!$AA$10)*1</f>
        <v>210.64397598313801</v>
      </c>
      <c r="AB405" s="6">
        <f>$K$405*$V$405</f>
        <v>0</v>
      </c>
      <c r="AC405" s="6">
        <f>$M$405*$W$405</f>
        <v>6144.8878800000002</v>
      </c>
      <c r="AD405" s="6">
        <f>$O$405*$X$405</f>
        <v>5911.3870800000013</v>
      </c>
      <c r="AE405" s="6">
        <f>$K$405*$Y$405</f>
        <v>0</v>
      </c>
      <c r="AF405" s="6">
        <f ca="1">$M$405*$Z$405</f>
        <v>7187.0065282821151</v>
      </c>
      <c r="AG405" s="6">
        <f>$O$405*$AA$405</f>
        <v>4729.3785487734149</v>
      </c>
    </row>
    <row r="406" spans="1:33" ht="11.25" customHeight="1" x14ac:dyDescent="0.25">
      <c r="A406" s="4" t="s">
        <v>28</v>
      </c>
      <c r="B406" s="4" t="s">
        <v>22</v>
      </c>
      <c r="C406" s="4" t="s">
        <v>23</v>
      </c>
      <c r="D406" s="4" t="s">
        <v>24</v>
      </c>
      <c r="E406" s="4" t="s">
        <v>24</v>
      </c>
      <c r="F406" s="4" t="s">
        <v>25</v>
      </c>
      <c r="G406" s="4" t="s">
        <v>25</v>
      </c>
      <c r="H406" s="4" t="s">
        <v>25</v>
      </c>
      <c r="I406" s="5">
        <v>44348</v>
      </c>
      <c r="J406" s="6">
        <v>0</v>
      </c>
      <c r="K406" s="6">
        <v>0</v>
      </c>
      <c r="L406" s="6">
        <v>-0.14299999999999999</v>
      </c>
      <c r="M406" s="6">
        <v>-0.14299999999999999</v>
      </c>
      <c r="N406" s="6">
        <v>-0.14299999999999999</v>
      </c>
      <c r="O406" s="6">
        <v>-0.14299999999999999</v>
      </c>
      <c r="P406" s="6">
        <v>1</v>
      </c>
      <c r="Q406" s="4" t="s">
        <v>26</v>
      </c>
      <c r="R406" s="4">
        <v>0</v>
      </c>
      <c r="S406" s="6">
        <v>0</v>
      </c>
      <c r="T406" s="6">
        <v>16</v>
      </c>
      <c r="U406" s="6">
        <v>53</v>
      </c>
      <c r="V406" s="6">
        <f>IF(ISERROR(VLOOKUP($S$406,'TAR FIN'!$A$1:$O$85,15,0)),0,VLOOKUP($S$406,'TAR FIN'!$A$1:$O$85,15,0))</f>
        <v>0</v>
      </c>
      <c r="W406" s="6">
        <f>IF(ISERROR(VLOOKUP($T$406,'TAR FIN'!$A$1:$O$85,15,0)),0,VLOOKUP($T$406,'TAR FIN'!$A$1:$O$85,15,0))</f>
        <v>273.69</v>
      </c>
      <c r="X406" s="6">
        <f>IF(ISERROR(VLOOKUP($U$406,'TAR FIN'!$A$1:$O$85,15,0)),0,VLOOKUP($U$406,'TAR FIN'!$A$1:$O$85,15,0))</f>
        <v>263.29000000000002</v>
      </c>
      <c r="Y406" s="6"/>
      <c r="Z406" s="6">
        <f ca="1">('TUSD BE'!$AM$20+'TUSD BF'!$AM$20+'TUSD CVA'!$AM$20)*1</f>
        <v>320.1054038964063</v>
      </c>
      <c r="AA406" s="6">
        <f>('TE BE'!$AA$10+'TE BF'!$AA$10+'TE CVA'!$AA$10)*1</f>
        <v>210.64397598313801</v>
      </c>
      <c r="AB406" s="6">
        <f>$K$406*$V$406</f>
        <v>0</v>
      </c>
      <c r="AC406" s="6">
        <f>$M$406*$W$406</f>
        <v>-39.13767</v>
      </c>
      <c r="AD406" s="6">
        <f>$O$406*$X$406</f>
        <v>-37.650469999999999</v>
      </c>
      <c r="AE406" s="6">
        <f>$K$406*$Y$406</f>
        <v>0</v>
      </c>
      <c r="AF406" s="6">
        <f ca="1">$M$406*$Z$406</f>
        <v>-45.775072757186095</v>
      </c>
      <c r="AG406" s="6">
        <f>$O$406*$AA$406</f>
        <v>-30.122088565588733</v>
      </c>
    </row>
    <row r="407" spans="1:33" ht="11.25" customHeight="1" x14ac:dyDescent="0.25">
      <c r="A407" s="4" t="s">
        <v>21</v>
      </c>
      <c r="B407" s="4" t="s">
        <v>22</v>
      </c>
      <c r="C407" s="4" t="s">
        <v>23</v>
      </c>
      <c r="D407" s="4" t="s">
        <v>24</v>
      </c>
      <c r="E407" s="4" t="s">
        <v>24</v>
      </c>
      <c r="F407" s="4" t="s">
        <v>25</v>
      </c>
      <c r="G407" s="4" t="s">
        <v>25</v>
      </c>
      <c r="H407" s="4" t="s">
        <v>25</v>
      </c>
      <c r="I407" s="5">
        <v>44378</v>
      </c>
      <c r="J407" s="6">
        <v>0</v>
      </c>
      <c r="K407" s="6">
        <v>0</v>
      </c>
      <c r="L407" s="6">
        <v>1909.954</v>
      </c>
      <c r="M407" s="6">
        <v>1909.954</v>
      </c>
      <c r="N407" s="6">
        <v>1909.954</v>
      </c>
      <c r="O407" s="6">
        <v>1909.954</v>
      </c>
      <c r="P407" s="6">
        <v>10723</v>
      </c>
      <c r="Q407" s="4" t="s">
        <v>26</v>
      </c>
      <c r="R407" s="4">
        <v>0</v>
      </c>
      <c r="S407" s="6">
        <v>0</v>
      </c>
      <c r="T407" s="6">
        <v>16</v>
      </c>
      <c r="U407" s="6">
        <v>53</v>
      </c>
      <c r="V407" s="6">
        <f>IF(ISERROR(VLOOKUP($S$407,'TAR FIN'!$A$1:$O$85,15,0)),0,VLOOKUP($S$407,'TAR FIN'!$A$1:$O$85,15,0))</f>
        <v>0</v>
      </c>
      <c r="W407" s="6">
        <f>IF(ISERROR(VLOOKUP($T$407,'TAR FIN'!$A$1:$O$85,15,0)),0,VLOOKUP($T$407,'TAR FIN'!$A$1:$O$85,15,0))</f>
        <v>273.69</v>
      </c>
      <c r="X407" s="6">
        <f>IF(ISERROR(VLOOKUP($U$407,'TAR FIN'!$A$1:$O$85,15,0)),0,VLOOKUP($U$407,'TAR FIN'!$A$1:$O$85,15,0))</f>
        <v>263.29000000000002</v>
      </c>
      <c r="Y407" s="6"/>
      <c r="Z407" s="6">
        <f ca="1">('TUSD BE'!$AM$20+'TUSD BF'!$AM$20+'TUSD CVA'!$AM$20)*1</f>
        <v>320.1054038964063</v>
      </c>
      <c r="AA407" s="6">
        <f>('TE BE'!$AA$10+'TE BF'!$AA$10+'TE CVA'!$AA$10)*1</f>
        <v>210.64397598313801</v>
      </c>
      <c r="AB407" s="6">
        <f>$K$407*$V$407</f>
        <v>0</v>
      </c>
      <c r="AC407" s="6">
        <f>$M$407*$W$407</f>
        <v>522735.31026</v>
      </c>
      <c r="AD407" s="6">
        <f>$O$407*$X$407</f>
        <v>502871.78866000002</v>
      </c>
      <c r="AE407" s="6">
        <f>$K$407*$Y$407</f>
        <v>0</v>
      </c>
      <c r="AF407" s="6">
        <f ca="1">$M$407*$Z$407</f>
        <v>611386.59659355681</v>
      </c>
      <c r="AG407" s="6">
        <f>$O$407*$AA$407</f>
        <v>402320.30450489838</v>
      </c>
    </row>
    <row r="408" spans="1:33" ht="11.25" customHeight="1" x14ac:dyDescent="0.25">
      <c r="A408" s="4" t="s">
        <v>27</v>
      </c>
      <c r="B408" s="4" t="s">
        <v>22</v>
      </c>
      <c r="C408" s="4" t="s">
        <v>23</v>
      </c>
      <c r="D408" s="4" t="s">
        <v>24</v>
      </c>
      <c r="E408" s="4" t="s">
        <v>24</v>
      </c>
      <c r="F408" s="4" t="s">
        <v>25</v>
      </c>
      <c r="G408" s="4" t="s">
        <v>25</v>
      </c>
      <c r="H408" s="4" t="s">
        <v>25</v>
      </c>
      <c r="I408" s="5">
        <v>44378</v>
      </c>
      <c r="J408" s="6">
        <v>0</v>
      </c>
      <c r="K408" s="6">
        <v>0</v>
      </c>
      <c r="L408" s="6">
        <v>-2.3650000000000002</v>
      </c>
      <c r="M408" s="6">
        <v>-2.3650000000000002</v>
      </c>
      <c r="N408" s="6">
        <v>-2.3650000000000002</v>
      </c>
      <c r="O408" s="6">
        <v>-2.3650000000000002</v>
      </c>
      <c r="P408" s="6">
        <v>0</v>
      </c>
      <c r="Q408" s="4" t="s">
        <v>26</v>
      </c>
      <c r="R408" s="4">
        <v>0</v>
      </c>
      <c r="S408" s="6">
        <v>0</v>
      </c>
      <c r="T408" s="6">
        <v>16</v>
      </c>
      <c r="U408" s="6">
        <v>53</v>
      </c>
      <c r="V408" s="6">
        <f>IF(ISERROR(VLOOKUP($S$408,'TAR FIN'!$A$1:$O$85,15,0)),0,VLOOKUP($S$408,'TAR FIN'!$A$1:$O$85,15,0))</f>
        <v>0</v>
      </c>
      <c r="W408" s="6">
        <f>IF(ISERROR(VLOOKUP($T$408,'TAR FIN'!$A$1:$O$85,15,0)),0,VLOOKUP($T$408,'TAR FIN'!$A$1:$O$85,15,0))</f>
        <v>273.69</v>
      </c>
      <c r="X408" s="6">
        <f>IF(ISERROR(VLOOKUP($U$408,'TAR FIN'!$A$1:$O$85,15,0)),0,VLOOKUP($U$408,'TAR FIN'!$A$1:$O$85,15,0))</f>
        <v>263.29000000000002</v>
      </c>
      <c r="Y408" s="6"/>
      <c r="Z408" s="6">
        <f ca="1">('TUSD BE'!$AM$20+'TUSD BF'!$AM$20+'TUSD CVA'!$AM$20)*1</f>
        <v>320.1054038964063</v>
      </c>
      <c r="AA408" s="6">
        <f>('TE BE'!$AA$10+'TE BF'!$AA$10+'TE CVA'!$AA$10)*1</f>
        <v>210.64397598313801</v>
      </c>
      <c r="AB408" s="6">
        <f>$K$408*$V$408</f>
        <v>0</v>
      </c>
      <c r="AC408" s="6">
        <f>$M$408*$W$408</f>
        <v>-647.27685000000008</v>
      </c>
      <c r="AD408" s="6">
        <f>$O$408*$X$408</f>
        <v>-622.68085000000008</v>
      </c>
      <c r="AE408" s="6">
        <f>$K$408*$Y$408</f>
        <v>0</v>
      </c>
      <c r="AF408" s="6">
        <f ca="1">$M$408*$Z$408</f>
        <v>-757.04928021500098</v>
      </c>
      <c r="AG408" s="6">
        <f>$O$408*$AA$408</f>
        <v>-498.17300320012146</v>
      </c>
    </row>
    <row r="409" spans="1:33" ht="11.25" customHeight="1" x14ac:dyDescent="0.25">
      <c r="A409" s="4" t="s">
        <v>28</v>
      </c>
      <c r="B409" s="4" t="s">
        <v>22</v>
      </c>
      <c r="C409" s="4" t="s">
        <v>23</v>
      </c>
      <c r="D409" s="4" t="s">
        <v>24</v>
      </c>
      <c r="E409" s="4" t="s">
        <v>24</v>
      </c>
      <c r="F409" s="4" t="s">
        <v>25</v>
      </c>
      <c r="G409" s="4" t="s">
        <v>25</v>
      </c>
      <c r="H409" s="4" t="s">
        <v>25</v>
      </c>
      <c r="I409" s="5">
        <v>44378</v>
      </c>
      <c r="J409" s="6">
        <v>0</v>
      </c>
      <c r="K409" s="6">
        <v>0</v>
      </c>
      <c r="L409" s="6">
        <v>22.797999999999998</v>
      </c>
      <c r="M409" s="6">
        <v>22.797999999999998</v>
      </c>
      <c r="N409" s="6">
        <v>22.797999999999998</v>
      </c>
      <c r="O409" s="6">
        <v>22.797999999999998</v>
      </c>
      <c r="P409" s="6">
        <v>143</v>
      </c>
      <c r="Q409" s="4" t="s">
        <v>26</v>
      </c>
      <c r="R409" s="4">
        <v>0</v>
      </c>
      <c r="S409" s="6">
        <v>0</v>
      </c>
      <c r="T409" s="6">
        <v>16</v>
      </c>
      <c r="U409" s="6">
        <v>53</v>
      </c>
      <c r="V409" s="6">
        <f>IF(ISERROR(VLOOKUP($S$409,'TAR FIN'!$A$1:$O$85,15,0)),0,VLOOKUP($S$409,'TAR FIN'!$A$1:$O$85,15,0))</f>
        <v>0</v>
      </c>
      <c r="W409" s="6">
        <f>IF(ISERROR(VLOOKUP($T$409,'TAR FIN'!$A$1:$O$85,15,0)),0,VLOOKUP($T$409,'TAR FIN'!$A$1:$O$85,15,0))</f>
        <v>273.69</v>
      </c>
      <c r="X409" s="6">
        <f>IF(ISERROR(VLOOKUP($U$409,'TAR FIN'!$A$1:$O$85,15,0)),0,VLOOKUP($U$409,'TAR FIN'!$A$1:$O$85,15,0))</f>
        <v>263.29000000000002</v>
      </c>
      <c r="Y409" s="6"/>
      <c r="Z409" s="6">
        <f ca="1">('TUSD BE'!$AM$20+'TUSD BF'!$AM$20+'TUSD CVA'!$AM$20)*1</f>
        <v>320.1054038964063</v>
      </c>
      <c r="AA409" s="6">
        <f>('TE BE'!$AA$10+'TE BF'!$AA$10+'TE CVA'!$AA$10)*1</f>
        <v>210.64397598313801</v>
      </c>
      <c r="AB409" s="6">
        <f>$K$409*$V$409</f>
        <v>0</v>
      </c>
      <c r="AC409" s="6">
        <f>$M$409*$W$409</f>
        <v>6239.5846199999996</v>
      </c>
      <c r="AD409" s="6">
        <f>$O$409*$X$409</f>
        <v>6002.48542</v>
      </c>
      <c r="AE409" s="6">
        <f>$K$409*$Y$409</f>
        <v>0</v>
      </c>
      <c r="AF409" s="6">
        <f ca="1">$M$409*$Z$409</f>
        <v>7297.76299803027</v>
      </c>
      <c r="AG409" s="6">
        <f>$O$409*$AA$409</f>
        <v>4802.2613644635803</v>
      </c>
    </row>
    <row r="410" spans="1:33" ht="11.25" customHeight="1" x14ac:dyDescent="0.25">
      <c r="A410" s="4" t="s">
        <v>21</v>
      </c>
      <c r="B410" s="4" t="s">
        <v>22</v>
      </c>
      <c r="C410" s="4" t="s">
        <v>23</v>
      </c>
      <c r="D410" s="4" t="s">
        <v>24</v>
      </c>
      <c r="E410" s="4" t="s">
        <v>24</v>
      </c>
      <c r="F410" s="4" t="s">
        <v>25</v>
      </c>
      <c r="G410" s="4" t="s">
        <v>25</v>
      </c>
      <c r="H410" s="4" t="s">
        <v>25</v>
      </c>
      <c r="I410" s="5">
        <v>44409</v>
      </c>
      <c r="J410" s="6">
        <v>0</v>
      </c>
      <c r="K410" s="6">
        <v>0</v>
      </c>
      <c r="L410" s="6">
        <v>1987.383</v>
      </c>
      <c r="M410" s="6">
        <v>1987.383</v>
      </c>
      <c r="N410" s="6">
        <v>1987.383</v>
      </c>
      <c r="O410" s="6">
        <v>1987.383</v>
      </c>
      <c r="P410" s="6">
        <v>10766</v>
      </c>
      <c r="Q410" s="4" t="s">
        <v>26</v>
      </c>
      <c r="R410" s="4">
        <v>0</v>
      </c>
      <c r="S410" s="6">
        <v>0</v>
      </c>
      <c r="T410" s="6">
        <v>16</v>
      </c>
      <c r="U410" s="6">
        <v>53</v>
      </c>
      <c r="V410" s="6">
        <f>IF(ISERROR(VLOOKUP($S$410,'TAR FIN'!$A$1:$O$85,15,0)),0,VLOOKUP($S$410,'TAR FIN'!$A$1:$O$85,15,0))</f>
        <v>0</v>
      </c>
      <c r="W410" s="6">
        <f>IF(ISERROR(VLOOKUP($T$410,'TAR FIN'!$A$1:$O$85,15,0)),0,VLOOKUP($T$410,'TAR FIN'!$A$1:$O$85,15,0))</f>
        <v>273.69</v>
      </c>
      <c r="X410" s="6">
        <f>IF(ISERROR(VLOOKUP($U$410,'TAR FIN'!$A$1:$O$85,15,0)),0,VLOOKUP($U$410,'TAR FIN'!$A$1:$O$85,15,0))</f>
        <v>263.29000000000002</v>
      </c>
      <c r="Y410" s="6"/>
      <c r="Z410" s="6">
        <f ca="1">('TUSD BE'!$AM$20+'TUSD BF'!$AM$20+'TUSD CVA'!$AM$20)*1</f>
        <v>320.1054038964063</v>
      </c>
      <c r="AA410" s="6">
        <f>('TE BE'!$AA$10+'TE BF'!$AA$10+'TE CVA'!$AA$10)*1</f>
        <v>210.64397598313801</v>
      </c>
      <c r="AB410" s="6">
        <f>$K$410*$V$410</f>
        <v>0</v>
      </c>
      <c r="AC410" s="6">
        <f>$M$410*$W$410</f>
        <v>543926.85326999996</v>
      </c>
      <c r="AD410" s="6">
        <f>$O$410*$X$410</f>
        <v>523258.07007000007</v>
      </c>
      <c r="AE410" s="6">
        <f>$K$410*$Y$410</f>
        <v>0</v>
      </c>
      <c r="AF410" s="6">
        <f ca="1">$M$410*$Z$410</f>
        <v>636172.03791185166</v>
      </c>
      <c r="AG410" s="6">
        <f>$O$410*$AA$410</f>
        <v>418630.25692129676</v>
      </c>
    </row>
    <row r="411" spans="1:33" ht="11.25" customHeight="1" x14ac:dyDescent="0.25">
      <c r="A411" s="4" t="s">
        <v>27</v>
      </c>
      <c r="B411" s="4" t="s">
        <v>22</v>
      </c>
      <c r="C411" s="4" t="s">
        <v>23</v>
      </c>
      <c r="D411" s="4" t="s">
        <v>24</v>
      </c>
      <c r="E411" s="4" t="s">
        <v>24</v>
      </c>
      <c r="F411" s="4" t="s">
        <v>25</v>
      </c>
      <c r="G411" s="4" t="s">
        <v>25</v>
      </c>
      <c r="H411" s="4" t="s">
        <v>25</v>
      </c>
      <c r="I411" s="5">
        <v>44409</v>
      </c>
      <c r="J411" s="6">
        <v>0</v>
      </c>
      <c r="K411" s="6">
        <v>0</v>
      </c>
      <c r="L411" s="6">
        <v>-5.2480000000000002</v>
      </c>
      <c r="M411" s="6">
        <v>-5.2480000000000002</v>
      </c>
      <c r="N411" s="6">
        <v>-5.2480000000000002</v>
      </c>
      <c r="O411" s="6">
        <v>-5.2480000000000002</v>
      </c>
      <c r="P411" s="6">
        <v>0</v>
      </c>
      <c r="Q411" s="4" t="s">
        <v>26</v>
      </c>
      <c r="R411" s="4">
        <v>0</v>
      </c>
      <c r="S411" s="6">
        <v>0</v>
      </c>
      <c r="T411" s="6">
        <v>16</v>
      </c>
      <c r="U411" s="6">
        <v>53</v>
      </c>
      <c r="V411" s="6">
        <f>IF(ISERROR(VLOOKUP($S$411,'TAR FIN'!$A$1:$O$85,15,0)),0,VLOOKUP($S$411,'TAR FIN'!$A$1:$O$85,15,0))</f>
        <v>0</v>
      </c>
      <c r="W411" s="6">
        <f>IF(ISERROR(VLOOKUP($T$411,'TAR FIN'!$A$1:$O$85,15,0)),0,VLOOKUP($T$411,'TAR FIN'!$A$1:$O$85,15,0))</f>
        <v>273.69</v>
      </c>
      <c r="X411" s="6">
        <f>IF(ISERROR(VLOOKUP($U$411,'TAR FIN'!$A$1:$O$85,15,0)),0,VLOOKUP($U$411,'TAR FIN'!$A$1:$O$85,15,0))</f>
        <v>263.29000000000002</v>
      </c>
      <c r="Y411" s="6"/>
      <c r="Z411" s="6">
        <f ca="1">('TUSD BE'!$AM$20+'TUSD BF'!$AM$20+'TUSD CVA'!$AM$20)*1</f>
        <v>320.1054038964063</v>
      </c>
      <c r="AA411" s="6">
        <f>('TE BE'!$AA$10+'TE BF'!$AA$10+'TE CVA'!$AA$10)*1</f>
        <v>210.64397598313801</v>
      </c>
      <c r="AB411" s="6">
        <f>$K$411*$V$411</f>
        <v>0</v>
      </c>
      <c r="AC411" s="6">
        <f>$M$411*$W$411</f>
        <v>-1436.32512</v>
      </c>
      <c r="AD411" s="6">
        <f>$O$411*$X$411</f>
        <v>-1381.7459200000001</v>
      </c>
      <c r="AE411" s="6">
        <f>$K$411*$Y$411</f>
        <v>0</v>
      </c>
      <c r="AF411" s="6">
        <f ca="1">$M$411*$Z$411</f>
        <v>-1679.9131596483403</v>
      </c>
      <c r="AG411" s="6">
        <f>$O$411*$AA$411</f>
        <v>-1105.4595859595083</v>
      </c>
    </row>
    <row r="412" spans="1:33" ht="11.25" customHeight="1" x14ac:dyDescent="0.25">
      <c r="A412" s="4" t="s">
        <v>28</v>
      </c>
      <c r="B412" s="4" t="s">
        <v>22</v>
      </c>
      <c r="C412" s="4" t="s">
        <v>23</v>
      </c>
      <c r="D412" s="4" t="s">
        <v>24</v>
      </c>
      <c r="E412" s="4" t="s">
        <v>24</v>
      </c>
      <c r="F412" s="4" t="s">
        <v>25</v>
      </c>
      <c r="G412" s="4" t="s">
        <v>25</v>
      </c>
      <c r="H412" s="4" t="s">
        <v>25</v>
      </c>
      <c r="I412" s="5">
        <v>44409</v>
      </c>
      <c r="J412" s="6">
        <v>0</v>
      </c>
      <c r="K412" s="6">
        <v>0</v>
      </c>
      <c r="L412" s="6">
        <v>22.396999999999998</v>
      </c>
      <c r="M412" s="6">
        <v>22.396999999999998</v>
      </c>
      <c r="N412" s="6">
        <v>22.396999999999998</v>
      </c>
      <c r="O412" s="6">
        <v>22.396999999999998</v>
      </c>
      <c r="P412" s="6">
        <v>146</v>
      </c>
      <c r="Q412" s="4" t="s">
        <v>26</v>
      </c>
      <c r="R412" s="4">
        <v>0</v>
      </c>
      <c r="S412" s="6">
        <v>0</v>
      </c>
      <c r="T412" s="6">
        <v>16</v>
      </c>
      <c r="U412" s="6">
        <v>53</v>
      </c>
      <c r="V412" s="6">
        <f>IF(ISERROR(VLOOKUP($S$412,'TAR FIN'!$A$1:$O$85,15,0)),0,VLOOKUP($S$412,'TAR FIN'!$A$1:$O$85,15,0))</f>
        <v>0</v>
      </c>
      <c r="W412" s="6">
        <f>IF(ISERROR(VLOOKUP($T$412,'TAR FIN'!$A$1:$O$85,15,0)),0,VLOOKUP($T$412,'TAR FIN'!$A$1:$O$85,15,0))</f>
        <v>273.69</v>
      </c>
      <c r="X412" s="6">
        <f>IF(ISERROR(VLOOKUP($U$412,'TAR FIN'!$A$1:$O$85,15,0)),0,VLOOKUP($U$412,'TAR FIN'!$A$1:$O$85,15,0))</f>
        <v>263.29000000000002</v>
      </c>
      <c r="Y412" s="6"/>
      <c r="Z412" s="6">
        <f ca="1">('TUSD BE'!$AM$20+'TUSD BF'!$AM$20+'TUSD CVA'!$AM$20)*1</f>
        <v>320.1054038964063</v>
      </c>
      <c r="AA412" s="6">
        <f>('TE BE'!$AA$10+'TE BF'!$AA$10+'TE CVA'!$AA$10)*1</f>
        <v>210.64397598313801</v>
      </c>
      <c r="AB412" s="6">
        <f>$K$412*$V$412</f>
        <v>0</v>
      </c>
      <c r="AC412" s="6">
        <f>$M$412*$W$412</f>
        <v>6129.8349299999991</v>
      </c>
      <c r="AD412" s="6">
        <f>$O$412*$X$412</f>
        <v>5896.9061300000003</v>
      </c>
      <c r="AE412" s="6">
        <f>$K$412*$Y$412</f>
        <v>0</v>
      </c>
      <c r="AF412" s="6">
        <f ca="1">$M$412*$Z$412</f>
        <v>7169.4007310678116</v>
      </c>
      <c r="AG412" s="6">
        <f>$O$412*$AA$412</f>
        <v>4717.7931300943419</v>
      </c>
    </row>
    <row r="413" spans="1:33" ht="11.25" customHeight="1" x14ac:dyDescent="0.25">
      <c r="A413" s="4" t="s">
        <v>21</v>
      </c>
      <c r="B413" s="4" t="s">
        <v>22</v>
      </c>
      <c r="C413" s="4" t="s">
        <v>23</v>
      </c>
      <c r="D413" s="4" t="s">
        <v>24</v>
      </c>
      <c r="E413" s="4" t="s">
        <v>24</v>
      </c>
      <c r="F413" s="4" t="s">
        <v>25</v>
      </c>
      <c r="G413" s="4" t="s">
        <v>25</v>
      </c>
      <c r="H413" s="4" t="s">
        <v>25</v>
      </c>
      <c r="I413" s="5">
        <v>44440</v>
      </c>
      <c r="J413" s="6">
        <v>0</v>
      </c>
      <c r="K413" s="6">
        <v>0</v>
      </c>
      <c r="L413" s="6">
        <v>2160.2640000000001</v>
      </c>
      <c r="M413" s="6">
        <v>2160.2640000000001</v>
      </c>
      <c r="N413" s="6">
        <v>2160.2640000000001</v>
      </c>
      <c r="O413" s="6">
        <v>2160.2640000000001</v>
      </c>
      <c r="P413" s="6">
        <v>10857</v>
      </c>
      <c r="Q413" s="4" t="s">
        <v>26</v>
      </c>
      <c r="R413" s="4">
        <v>0</v>
      </c>
      <c r="S413" s="6">
        <v>0</v>
      </c>
      <c r="T413" s="6">
        <v>16</v>
      </c>
      <c r="U413" s="6">
        <v>53</v>
      </c>
      <c r="V413" s="6">
        <f>IF(ISERROR(VLOOKUP($S$413,'TAR FIN'!$A$1:$O$85,15,0)),0,VLOOKUP($S$413,'TAR FIN'!$A$1:$O$85,15,0))</f>
        <v>0</v>
      </c>
      <c r="W413" s="6">
        <f>IF(ISERROR(VLOOKUP($T$413,'TAR FIN'!$A$1:$O$85,15,0)),0,VLOOKUP($T$413,'TAR FIN'!$A$1:$O$85,15,0))</f>
        <v>273.69</v>
      </c>
      <c r="X413" s="6">
        <f>IF(ISERROR(VLOOKUP($U$413,'TAR FIN'!$A$1:$O$85,15,0)),0,VLOOKUP($U$413,'TAR FIN'!$A$1:$O$85,15,0))</f>
        <v>263.29000000000002</v>
      </c>
      <c r="Y413" s="6"/>
      <c r="Z413" s="6">
        <f ca="1">('TUSD BE'!$AM$20+'TUSD BF'!$AM$20+'TUSD CVA'!$AM$20)*1</f>
        <v>320.1054038964063</v>
      </c>
      <c r="AA413" s="6">
        <f>('TE BE'!$AA$10+'TE BF'!$AA$10+'TE CVA'!$AA$10)*1</f>
        <v>210.64397598313801</v>
      </c>
      <c r="AB413" s="6">
        <f>$K$413*$V$413</f>
        <v>0</v>
      </c>
      <c r="AC413" s="6">
        <f>$M$413*$W$413</f>
        <v>591242.65416000003</v>
      </c>
      <c r="AD413" s="6">
        <f>$O$413*$X$413</f>
        <v>568775.90856000013</v>
      </c>
      <c r="AE413" s="6">
        <f>$K$413*$Y$413</f>
        <v>0</v>
      </c>
      <c r="AF413" s="6">
        <f ca="1">$M$413*$Z$413</f>
        <v>691512.18024286628</v>
      </c>
      <c r="AG413" s="6">
        <f>$O$413*$AA$413</f>
        <v>455046.59813323768</v>
      </c>
    </row>
    <row r="414" spans="1:33" ht="11.25" customHeight="1" x14ac:dyDescent="0.25">
      <c r="A414" s="4" t="s">
        <v>27</v>
      </c>
      <c r="B414" s="4" t="s">
        <v>22</v>
      </c>
      <c r="C414" s="4" t="s">
        <v>23</v>
      </c>
      <c r="D414" s="4" t="s">
        <v>24</v>
      </c>
      <c r="E414" s="4" t="s">
        <v>24</v>
      </c>
      <c r="F414" s="4" t="s">
        <v>25</v>
      </c>
      <c r="G414" s="4" t="s">
        <v>25</v>
      </c>
      <c r="H414" s="4" t="s">
        <v>25</v>
      </c>
      <c r="I414" s="5">
        <v>44440</v>
      </c>
      <c r="J414" s="6">
        <v>0</v>
      </c>
      <c r="K414" s="6">
        <v>0</v>
      </c>
      <c r="L414" s="6">
        <v>-9.6820000000000004</v>
      </c>
      <c r="M414" s="6">
        <v>-9.6820000000000004</v>
      </c>
      <c r="N414" s="6">
        <v>-9.6820000000000004</v>
      </c>
      <c r="O414" s="6">
        <v>-9.6820000000000004</v>
      </c>
      <c r="P414" s="6">
        <v>0</v>
      </c>
      <c r="Q414" s="4" t="s">
        <v>26</v>
      </c>
      <c r="R414" s="4">
        <v>0</v>
      </c>
      <c r="S414" s="6">
        <v>0</v>
      </c>
      <c r="T414" s="6">
        <v>16</v>
      </c>
      <c r="U414" s="6">
        <v>53</v>
      </c>
      <c r="V414" s="6">
        <f>IF(ISERROR(VLOOKUP($S$414,'TAR FIN'!$A$1:$O$85,15,0)),0,VLOOKUP($S$414,'TAR FIN'!$A$1:$O$85,15,0))</f>
        <v>0</v>
      </c>
      <c r="W414" s="6">
        <f>IF(ISERROR(VLOOKUP($T$414,'TAR FIN'!$A$1:$O$85,15,0)),0,VLOOKUP($T$414,'TAR FIN'!$A$1:$O$85,15,0))</f>
        <v>273.69</v>
      </c>
      <c r="X414" s="6">
        <f>IF(ISERROR(VLOOKUP($U$414,'TAR FIN'!$A$1:$O$85,15,0)),0,VLOOKUP($U$414,'TAR FIN'!$A$1:$O$85,15,0))</f>
        <v>263.29000000000002</v>
      </c>
      <c r="Y414" s="6"/>
      <c r="Z414" s="6">
        <f ca="1">('TUSD BE'!$AM$20+'TUSD BF'!$AM$20+'TUSD CVA'!$AM$20)*1</f>
        <v>320.1054038964063</v>
      </c>
      <c r="AA414" s="6">
        <f>('TE BE'!$AA$10+'TE BF'!$AA$10+'TE CVA'!$AA$10)*1</f>
        <v>210.64397598313801</v>
      </c>
      <c r="AB414" s="6">
        <f>$K$414*$V$414</f>
        <v>0</v>
      </c>
      <c r="AC414" s="6">
        <f>$M$414*$W$414</f>
        <v>-2649.8665799999999</v>
      </c>
      <c r="AD414" s="6">
        <f>$O$414*$X$414</f>
        <v>-2549.1737800000001</v>
      </c>
      <c r="AE414" s="6">
        <f>$K$414*$Y$414</f>
        <v>0</v>
      </c>
      <c r="AF414" s="6">
        <f ca="1">$M$414*$Z$414</f>
        <v>-3099.2605205250061</v>
      </c>
      <c r="AG414" s="6">
        <f>$O$414*$AA$414</f>
        <v>-2039.4549754687423</v>
      </c>
    </row>
    <row r="415" spans="1:33" ht="11.25" customHeight="1" x14ac:dyDescent="0.25">
      <c r="A415" s="4" t="s">
        <v>28</v>
      </c>
      <c r="B415" s="4" t="s">
        <v>22</v>
      </c>
      <c r="C415" s="4" t="s">
        <v>23</v>
      </c>
      <c r="D415" s="4" t="s">
        <v>24</v>
      </c>
      <c r="E415" s="4" t="s">
        <v>24</v>
      </c>
      <c r="F415" s="4" t="s">
        <v>25</v>
      </c>
      <c r="G415" s="4" t="s">
        <v>25</v>
      </c>
      <c r="H415" s="4" t="s">
        <v>25</v>
      </c>
      <c r="I415" s="5">
        <v>44440</v>
      </c>
      <c r="J415" s="6">
        <v>0</v>
      </c>
      <c r="K415" s="6">
        <v>0</v>
      </c>
      <c r="L415" s="6">
        <v>20.276</v>
      </c>
      <c r="M415" s="6">
        <v>20.276</v>
      </c>
      <c r="N415" s="6">
        <v>20.276</v>
      </c>
      <c r="O415" s="6">
        <v>20.276</v>
      </c>
      <c r="P415" s="6">
        <v>155</v>
      </c>
      <c r="Q415" s="4" t="s">
        <v>26</v>
      </c>
      <c r="R415" s="4">
        <v>0</v>
      </c>
      <c r="S415" s="6">
        <v>0</v>
      </c>
      <c r="T415" s="6">
        <v>16</v>
      </c>
      <c r="U415" s="6">
        <v>53</v>
      </c>
      <c r="V415" s="6">
        <f>IF(ISERROR(VLOOKUP($S$415,'TAR FIN'!$A$1:$O$85,15,0)),0,VLOOKUP($S$415,'TAR FIN'!$A$1:$O$85,15,0))</f>
        <v>0</v>
      </c>
      <c r="W415" s="6">
        <f>IF(ISERROR(VLOOKUP($T$415,'TAR FIN'!$A$1:$O$85,15,0)),0,VLOOKUP($T$415,'TAR FIN'!$A$1:$O$85,15,0))</f>
        <v>273.69</v>
      </c>
      <c r="X415" s="6">
        <f>IF(ISERROR(VLOOKUP($U$415,'TAR FIN'!$A$1:$O$85,15,0)),0,VLOOKUP($U$415,'TAR FIN'!$A$1:$O$85,15,0))</f>
        <v>263.29000000000002</v>
      </c>
      <c r="Y415" s="6"/>
      <c r="Z415" s="6">
        <f ca="1">('TUSD BE'!$AM$20+'TUSD BF'!$AM$20+'TUSD CVA'!$AM$20)*1</f>
        <v>320.1054038964063</v>
      </c>
      <c r="AA415" s="6">
        <f>('TE BE'!$AA$10+'TE BF'!$AA$10+'TE CVA'!$AA$10)*1</f>
        <v>210.64397598313801</v>
      </c>
      <c r="AB415" s="6">
        <f>$K$415*$V$415</f>
        <v>0</v>
      </c>
      <c r="AC415" s="6">
        <f>$M$415*$W$415</f>
        <v>5549.3384399999995</v>
      </c>
      <c r="AD415" s="6">
        <f>$O$415*$X$415</f>
        <v>5338.4680400000007</v>
      </c>
      <c r="AE415" s="6">
        <f>$K$415*$Y$415</f>
        <v>0</v>
      </c>
      <c r="AF415" s="6">
        <f ca="1">$M$415*$Z$415</f>
        <v>6490.457169403534</v>
      </c>
      <c r="AG415" s="6">
        <f>$O$415*$AA$415</f>
        <v>4271.0172570341065</v>
      </c>
    </row>
    <row r="416" spans="1:33" ht="11.25" customHeight="1" x14ac:dyDescent="0.25">
      <c r="A416" s="4" t="s">
        <v>28</v>
      </c>
      <c r="B416" s="4" t="s">
        <v>22</v>
      </c>
      <c r="C416" s="4" t="s">
        <v>23</v>
      </c>
      <c r="D416" s="4" t="s">
        <v>24</v>
      </c>
      <c r="E416" s="4" t="s">
        <v>24</v>
      </c>
      <c r="F416" s="4" t="s">
        <v>25</v>
      </c>
      <c r="G416" s="4" t="s">
        <v>25</v>
      </c>
      <c r="H416" s="4" t="s">
        <v>25</v>
      </c>
      <c r="I416" s="5">
        <v>44440</v>
      </c>
      <c r="J416" s="6">
        <v>0</v>
      </c>
      <c r="K416" s="6">
        <v>0</v>
      </c>
      <c r="L416" s="6">
        <v>0.4</v>
      </c>
      <c r="M416" s="6">
        <v>0.4</v>
      </c>
      <c r="N416" s="6">
        <v>0.4</v>
      </c>
      <c r="O416" s="6">
        <v>0.4</v>
      </c>
      <c r="P416" s="6">
        <v>8</v>
      </c>
      <c r="Q416" s="4" t="s">
        <v>26</v>
      </c>
      <c r="R416" s="4">
        <v>0</v>
      </c>
      <c r="S416" s="6">
        <v>0</v>
      </c>
      <c r="T416" s="6">
        <v>16</v>
      </c>
      <c r="U416" s="6">
        <v>53</v>
      </c>
      <c r="V416" s="6">
        <f>IF(ISERROR(VLOOKUP($S$416,'TAR FIN'!$A$1:$O$85,15,0)),0,VLOOKUP($S$416,'TAR FIN'!$A$1:$O$85,15,0))</f>
        <v>0</v>
      </c>
      <c r="W416" s="6">
        <f>IF(ISERROR(VLOOKUP($T$416,'TAR FIN'!$A$1:$O$85,15,0)),0,VLOOKUP($T$416,'TAR FIN'!$A$1:$O$85,15,0))</f>
        <v>273.69</v>
      </c>
      <c r="X416" s="6">
        <f>IF(ISERROR(VLOOKUP($U$416,'TAR FIN'!$A$1:$O$85,15,0)),0,VLOOKUP($U$416,'TAR FIN'!$A$1:$O$85,15,0))</f>
        <v>263.29000000000002</v>
      </c>
      <c r="Y416" s="6"/>
      <c r="Z416" s="6">
        <f ca="1">('TUSD BE'!$AM$20+'TUSD BF'!$AM$20+'TUSD CVA'!$AM$20)*1</f>
        <v>320.1054038964063</v>
      </c>
      <c r="AA416" s="6">
        <f>('TE BE'!$AA$10+'TE BF'!$AA$10+'TE CVA'!$AA$10)*1</f>
        <v>210.64397598313801</v>
      </c>
      <c r="AB416" s="6">
        <f>$K$416*$V$416</f>
        <v>0</v>
      </c>
      <c r="AC416" s="6">
        <f>$M$416*$W$416</f>
        <v>109.476</v>
      </c>
      <c r="AD416" s="6">
        <f>$O$416*$X$416</f>
        <v>105.31600000000002</v>
      </c>
      <c r="AE416" s="6">
        <f>$K$416*$Y$416</f>
        <v>0</v>
      </c>
      <c r="AF416" s="6">
        <f ca="1">$M$416*$Z$416</f>
        <v>128.04216155856253</v>
      </c>
      <c r="AG416" s="6">
        <f>$O$416*$AA$416</f>
        <v>84.257590393255214</v>
      </c>
    </row>
    <row r="417" spans="1:33" ht="11.25" customHeight="1" x14ac:dyDescent="0.25">
      <c r="A417" s="4" t="s">
        <v>21</v>
      </c>
      <c r="B417" s="4" t="s">
        <v>22</v>
      </c>
      <c r="C417" s="4" t="s">
        <v>23</v>
      </c>
      <c r="D417" s="4" t="s">
        <v>24</v>
      </c>
      <c r="E417" s="4" t="s">
        <v>24</v>
      </c>
      <c r="F417" s="4" t="s">
        <v>25</v>
      </c>
      <c r="G417" s="4" t="s">
        <v>25</v>
      </c>
      <c r="H417" s="4" t="s">
        <v>25</v>
      </c>
      <c r="I417" s="5">
        <v>44470</v>
      </c>
      <c r="J417" s="6">
        <v>0</v>
      </c>
      <c r="K417" s="6">
        <v>0</v>
      </c>
      <c r="L417" s="6">
        <v>2287.4720000000002</v>
      </c>
      <c r="M417" s="6">
        <v>2287.4720000000002</v>
      </c>
      <c r="N417" s="6">
        <v>2287.4720000000002</v>
      </c>
      <c r="O417" s="6">
        <v>2287.4720000000002</v>
      </c>
      <c r="P417" s="6">
        <v>10927</v>
      </c>
      <c r="Q417" s="4" t="s">
        <v>26</v>
      </c>
      <c r="R417" s="4">
        <v>0</v>
      </c>
      <c r="S417" s="6">
        <v>0</v>
      </c>
      <c r="T417" s="6">
        <v>16</v>
      </c>
      <c r="U417" s="6">
        <v>53</v>
      </c>
      <c r="V417" s="6">
        <f>IF(ISERROR(VLOOKUP($S$417,'TAR FIN'!$A$1:$O$85,15,0)),0,VLOOKUP($S$417,'TAR FIN'!$A$1:$O$85,15,0))</f>
        <v>0</v>
      </c>
      <c r="W417" s="6">
        <f>IF(ISERROR(VLOOKUP($T$417,'TAR FIN'!$A$1:$O$85,15,0)),0,VLOOKUP($T$417,'TAR FIN'!$A$1:$O$85,15,0))</f>
        <v>273.69</v>
      </c>
      <c r="X417" s="6">
        <f>IF(ISERROR(VLOOKUP($U$417,'TAR FIN'!$A$1:$O$85,15,0)),0,VLOOKUP($U$417,'TAR FIN'!$A$1:$O$85,15,0))</f>
        <v>263.29000000000002</v>
      </c>
      <c r="Y417" s="6"/>
      <c r="Z417" s="6">
        <f ca="1">('TUSD BE'!$AM$20+'TUSD BF'!$AM$20+'TUSD CVA'!$AM$20)*1</f>
        <v>320.1054038964063</v>
      </c>
      <c r="AA417" s="6">
        <f>('TE BE'!$AA$10+'TE BF'!$AA$10+'TE CVA'!$AA$10)*1</f>
        <v>210.64397598313801</v>
      </c>
      <c r="AB417" s="6">
        <f>$K$417*$V$417</f>
        <v>0</v>
      </c>
      <c r="AC417" s="6">
        <f>$M$417*$W$417</f>
        <v>626058.21168000007</v>
      </c>
      <c r="AD417" s="6">
        <f>$O$417*$X$417</f>
        <v>602268.50288000004</v>
      </c>
      <c r="AE417" s="6">
        <f>$K$417*$Y$417</f>
        <v>0</v>
      </c>
      <c r="AF417" s="6">
        <f ca="1">$M$417*$Z$417</f>
        <v>732232.14846172032</v>
      </c>
      <c r="AG417" s="6">
        <f>$O$417*$AA$417</f>
        <v>481842.19703010068</v>
      </c>
    </row>
    <row r="418" spans="1:33" ht="11.25" customHeight="1" x14ac:dyDescent="0.25">
      <c r="A418" s="4" t="s">
        <v>27</v>
      </c>
      <c r="B418" s="4" t="s">
        <v>22</v>
      </c>
      <c r="C418" s="4" t="s">
        <v>23</v>
      </c>
      <c r="D418" s="4" t="s">
        <v>24</v>
      </c>
      <c r="E418" s="4" t="s">
        <v>24</v>
      </c>
      <c r="F418" s="4" t="s">
        <v>25</v>
      </c>
      <c r="G418" s="4" t="s">
        <v>25</v>
      </c>
      <c r="H418" s="4" t="s">
        <v>25</v>
      </c>
      <c r="I418" s="5">
        <v>44470</v>
      </c>
      <c r="J418" s="6">
        <v>0</v>
      </c>
      <c r="K418" s="6">
        <v>0</v>
      </c>
      <c r="L418" s="6">
        <v>-71.149000000000001</v>
      </c>
      <c r="M418" s="6">
        <v>-71.149000000000001</v>
      </c>
      <c r="N418" s="6">
        <v>-71.149000000000001</v>
      </c>
      <c r="O418" s="6">
        <v>-71.149000000000001</v>
      </c>
      <c r="P418" s="6">
        <v>0</v>
      </c>
      <c r="Q418" s="4" t="s">
        <v>26</v>
      </c>
      <c r="R418" s="4">
        <v>0</v>
      </c>
      <c r="S418" s="6">
        <v>0</v>
      </c>
      <c r="T418" s="6">
        <v>16</v>
      </c>
      <c r="U418" s="6">
        <v>53</v>
      </c>
      <c r="V418" s="6">
        <f>IF(ISERROR(VLOOKUP($S$418,'TAR FIN'!$A$1:$O$85,15,0)),0,VLOOKUP($S$418,'TAR FIN'!$A$1:$O$85,15,0))</f>
        <v>0</v>
      </c>
      <c r="W418" s="6">
        <f>IF(ISERROR(VLOOKUP($T$418,'TAR FIN'!$A$1:$O$85,15,0)),0,VLOOKUP($T$418,'TAR FIN'!$A$1:$O$85,15,0))</f>
        <v>273.69</v>
      </c>
      <c r="X418" s="6">
        <f>IF(ISERROR(VLOOKUP($U$418,'TAR FIN'!$A$1:$O$85,15,0)),0,VLOOKUP($U$418,'TAR FIN'!$A$1:$O$85,15,0))</f>
        <v>263.29000000000002</v>
      </c>
      <c r="Y418" s="6"/>
      <c r="Z418" s="6">
        <f ca="1">('TUSD BE'!$AM$20+'TUSD BF'!$AM$20+'TUSD CVA'!$AM$20)*1</f>
        <v>320.1054038964063</v>
      </c>
      <c r="AA418" s="6">
        <f>('TE BE'!$AA$10+'TE BF'!$AA$10+'TE CVA'!$AA$10)*1</f>
        <v>210.64397598313801</v>
      </c>
      <c r="AB418" s="6">
        <f>$K$418*$V$418</f>
        <v>0</v>
      </c>
      <c r="AC418" s="6">
        <f>$M$418*$W$418</f>
        <v>-19472.769810000002</v>
      </c>
      <c r="AD418" s="6">
        <f>$O$418*$X$418</f>
        <v>-18732.820210000002</v>
      </c>
      <c r="AE418" s="6">
        <f>$K$418*$Y$418</f>
        <v>0</v>
      </c>
      <c r="AF418" s="6">
        <f ca="1">$M$418*$Z$418</f>
        <v>-22775.179381825412</v>
      </c>
      <c r="AG418" s="6">
        <f>$O$418*$AA$418</f>
        <v>-14987.108247224287</v>
      </c>
    </row>
    <row r="419" spans="1:33" ht="11.25" customHeight="1" x14ac:dyDescent="0.25">
      <c r="A419" s="4" t="s">
        <v>28</v>
      </c>
      <c r="B419" s="4" t="s">
        <v>22</v>
      </c>
      <c r="C419" s="4" t="s">
        <v>23</v>
      </c>
      <c r="D419" s="4" t="s">
        <v>24</v>
      </c>
      <c r="E419" s="4" t="s">
        <v>24</v>
      </c>
      <c r="F419" s="4" t="s">
        <v>25</v>
      </c>
      <c r="G419" s="4" t="s">
        <v>25</v>
      </c>
      <c r="H419" s="4" t="s">
        <v>25</v>
      </c>
      <c r="I419" s="5">
        <v>44470</v>
      </c>
      <c r="J419" s="6">
        <v>0</v>
      </c>
      <c r="K419" s="6">
        <v>0</v>
      </c>
      <c r="L419" s="6">
        <v>21.625</v>
      </c>
      <c r="M419" s="6">
        <v>21.625</v>
      </c>
      <c r="N419" s="6">
        <v>21.625</v>
      </c>
      <c r="O419" s="6">
        <v>21.625</v>
      </c>
      <c r="P419" s="6">
        <v>160</v>
      </c>
      <c r="Q419" s="4" t="s">
        <v>26</v>
      </c>
      <c r="R419" s="4">
        <v>0</v>
      </c>
      <c r="S419" s="6">
        <v>0</v>
      </c>
      <c r="T419" s="6">
        <v>16</v>
      </c>
      <c r="U419" s="6">
        <v>53</v>
      </c>
      <c r="V419" s="6">
        <f>IF(ISERROR(VLOOKUP($S$419,'TAR FIN'!$A$1:$O$85,15,0)),0,VLOOKUP($S$419,'TAR FIN'!$A$1:$O$85,15,0))</f>
        <v>0</v>
      </c>
      <c r="W419" s="6">
        <f>IF(ISERROR(VLOOKUP($T$419,'TAR FIN'!$A$1:$O$85,15,0)),0,VLOOKUP($T$419,'TAR FIN'!$A$1:$O$85,15,0))</f>
        <v>273.69</v>
      </c>
      <c r="X419" s="6">
        <f>IF(ISERROR(VLOOKUP($U$419,'TAR FIN'!$A$1:$O$85,15,0)),0,VLOOKUP($U$419,'TAR FIN'!$A$1:$O$85,15,0))</f>
        <v>263.29000000000002</v>
      </c>
      <c r="Y419" s="6"/>
      <c r="Z419" s="6">
        <f ca="1">('TUSD BE'!$AM$20+'TUSD BF'!$AM$20+'TUSD CVA'!$AM$20)*1</f>
        <v>320.1054038964063</v>
      </c>
      <c r="AA419" s="6">
        <f>('TE BE'!$AA$10+'TE BF'!$AA$10+'TE CVA'!$AA$10)*1</f>
        <v>210.64397598313801</v>
      </c>
      <c r="AB419" s="6">
        <f>$K$419*$V$419</f>
        <v>0</v>
      </c>
      <c r="AC419" s="6">
        <f>$M$419*$W$419</f>
        <v>5918.5462500000003</v>
      </c>
      <c r="AD419" s="6">
        <f>$O$419*$X$419</f>
        <v>5693.6462500000007</v>
      </c>
      <c r="AE419" s="6">
        <f>$K$419*$Y$419</f>
        <v>0</v>
      </c>
      <c r="AF419" s="6">
        <f ca="1">$M$419*$Z$419</f>
        <v>6922.2793592597864</v>
      </c>
      <c r="AG419" s="6">
        <f>$O$419*$AA$419</f>
        <v>4555.1759806353593</v>
      </c>
    </row>
    <row r="420" spans="1:33" ht="11.25" customHeight="1" x14ac:dyDescent="0.25">
      <c r="A420" s="4" t="s">
        <v>21</v>
      </c>
      <c r="B420" s="4" t="s">
        <v>22</v>
      </c>
      <c r="C420" s="4" t="s">
        <v>23</v>
      </c>
      <c r="D420" s="4" t="s">
        <v>24</v>
      </c>
      <c r="E420" s="4" t="s">
        <v>24</v>
      </c>
      <c r="F420" s="4" t="s">
        <v>25</v>
      </c>
      <c r="G420" s="4" t="s">
        <v>25</v>
      </c>
      <c r="H420" s="4" t="s">
        <v>25</v>
      </c>
      <c r="I420" s="5">
        <v>44501</v>
      </c>
      <c r="J420" s="6">
        <v>0</v>
      </c>
      <c r="K420" s="6">
        <v>0</v>
      </c>
      <c r="L420" s="6">
        <v>2171.8649999999998</v>
      </c>
      <c r="M420" s="6">
        <v>2171.8649999999998</v>
      </c>
      <c r="N420" s="6">
        <v>2171.8649999999998</v>
      </c>
      <c r="O420" s="6">
        <v>2171.8649999999998</v>
      </c>
      <c r="P420" s="6">
        <v>10969</v>
      </c>
      <c r="Q420" s="4" t="s">
        <v>26</v>
      </c>
      <c r="R420" s="4">
        <v>0</v>
      </c>
      <c r="S420" s="6">
        <v>0</v>
      </c>
      <c r="T420" s="6">
        <v>16</v>
      </c>
      <c r="U420" s="6">
        <v>53</v>
      </c>
      <c r="V420" s="6">
        <f>IF(ISERROR(VLOOKUP($S$420,'TAR FIN'!$A$1:$O$85,15,0)),0,VLOOKUP($S$420,'TAR FIN'!$A$1:$O$85,15,0))</f>
        <v>0</v>
      </c>
      <c r="W420" s="6">
        <f>IF(ISERROR(VLOOKUP($T$420,'TAR FIN'!$A$1:$O$85,15,0)),0,VLOOKUP($T$420,'TAR FIN'!$A$1:$O$85,15,0))</f>
        <v>273.69</v>
      </c>
      <c r="X420" s="6">
        <f>IF(ISERROR(VLOOKUP($U$420,'TAR FIN'!$A$1:$O$85,15,0)),0,VLOOKUP($U$420,'TAR FIN'!$A$1:$O$85,15,0))</f>
        <v>263.29000000000002</v>
      </c>
      <c r="Y420" s="6"/>
      <c r="Z420" s="6">
        <f ca="1">('TUSD BE'!$AM$20+'TUSD BF'!$AM$20+'TUSD CVA'!$AM$20)*1</f>
        <v>320.1054038964063</v>
      </c>
      <c r="AA420" s="6">
        <f>('TE BE'!$AA$10+'TE BF'!$AA$10+'TE CVA'!$AA$10)*1</f>
        <v>210.64397598313801</v>
      </c>
      <c r="AB420" s="6">
        <f>$K$420*$V$420</f>
        <v>0</v>
      </c>
      <c r="AC420" s="6">
        <f>$M$420*$W$420</f>
        <v>594417.73184999998</v>
      </c>
      <c r="AD420" s="6">
        <f>$O$420*$X$420</f>
        <v>571830.33585000003</v>
      </c>
      <c r="AE420" s="6">
        <f>$K$420*$Y$420</f>
        <v>0</v>
      </c>
      <c r="AF420" s="6">
        <f ca="1">$M$420*$Z$420</f>
        <v>695225.72303346836</v>
      </c>
      <c r="AG420" s="6">
        <f>$O$420*$AA$420</f>
        <v>457490.27889861795</v>
      </c>
    </row>
    <row r="421" spans="1:33" ht="11.25" customHeight="1" x14ac:dyDescent="0.25">
      <c r="A421" s="4" t="s">
        <v>27</v>
      </c>
      <c r="B421" s="4" t="s">
        <v>22</v>
      </c>
      <c r="C421" s="4" t="s">
        <v>23</v>
      </c>
      <c r="D421" s="4" t="s">
        <v>24</v>
      </c>
      <c r="E421" s="4" t="s">
        <v>24</v>
      </c>
      <c r="F421" s="4" t="s">
        <v>25</v>
      </c>
      <c r="G421" s="4" t="s">
        <v>25</v>
      </c>
      <c r="H421" s="4" t="s">
        <v>25</v>
      </c>
      <c r="I421" s="5">
        <v>44501</v>
      </c>
      <c r="J421" s="6">
        <v>0</v>
      </c>
      <c r="K421" s="6">
        <v>0</v>
      </c>
      <c r="L421" s="6">
        <v>-0.49099999999999999</v>
      </c>
      <c r="M421" s="6">
        <v>-0.49099999999999999</v>
      </c>
      <c r="N421" s="6">
        <v>-0.49099999999999999</v>
      </c>
      <c r="O421" s="6">
        <v>-0.49099999999999999</v>
      </c>
      <c r="P421" s="6">
        <v>0</v>
      </c>
      <c r="Q421" s="4" t="s">
        <v>26</v>
      </c>
      <c r="R421" s="4">
        <v>0</v>
      </c>
      <c r="S421" s="6">
        <v>0</v>
      </c>
      <c r="T421" s="6">
        <v>16</v>
      </c>
      <c r="U421" s="6">
        <v>53</v>
      </c>
      <c r="V421" s="6">
        <f>IF(ISERROR(VLOOKUP($S$421,'TAR FIN'!$A$1:$O$85,15,0)),0,VLOOKUP($S$421,'TAR FIN'!$A$1:$O$85,15,0))</f>
        <v>0</v>
      </c>
      <c r="W421" s="6">
        <f>IF(ISERROR(VLOOKUP($T$421,'TAR FIN'!$A$1:$O$85,15,0)),0,VLOOKUP($T$421,'TAR FIN'!$A$1:$O$85,15,0))</f>
        <v>273.69</v>
      </c>
      <c r="X421" s="6">
        <f>IF(ISERROR(VLOOKUP($U$421,'TAR FIN'!$A$1:$O$85,15,0)),0,VLOOKUP($U$421,'TAR FIN'!$A$1:$O$85,15,0))</f>
        <v>263.29000000000002</v>
      </c>
      <c r="Y421" s="6"/>
      <c r="Z421" s="6">
        <f ca="1">('TUSD BE'!$AM$20+'TUSD BF'!$AM$20+'TUSD CVA'!$AM$20)*1</f>
        <v>320.1054038964063</v>
      </c>
      <c r="AA421" s="6">
        <f>('TE BE'!$AA$10+'TE BF'!$AA$10+'TE CVA'!$AA$10)*1</f>
        <v>210.64397598313801</v>
      </c>
      <c r="AB421" s="6">
        <f>$K$421*$V$421</f>
        <v>0</v>
      </c>
      <c r="AC421" s="6">
        <f>$M$421*$W$421</f>
        <v>-134.38179</v>
      </c>
      <c r="AD421" s="6">
        <f>$O$421*$X$421</f>
        <v>-129.27539000000002</v>
      </c>
      <c r="AE421" s="6">
        <f>$K$421*$Y$421</f>
        <v>0</v>
      </c>
      <c r="AF421" s="6">
        <f ca="1">$M$421*$Z$421</f>
        <v>-157.1717533131355</v>
      </c>
      <c r="AG421" s="6">
        <f>$O$421*$AA$421</f>
        <v>-103.42619220772076</v>
      </c>
    </row>
    <row r="422" spans="1:33" ht="11.25" customHeight="1" x14ac:dyDescent="0.25">
      <c r="A422" s="4" t="s">
        <v>28</v>
      </c>
      <c r="B422" s="4" t="s">
        <v>22</v>
      </c>
      <c r="C422" s="4" t="s">
        <v>23</v>
      </c>
      <c r="D422" s="4" t="s">
        <v>24</v>
      </c>
      <c r="E422" s="4" t="s">
        <v>24</v>
      </c>
      <c r="F422" s="4" t="s">
        <v>25</v>
      </c>
      <c r="G422" s="4" t="s">
        <v>25</v>
      </c>
      <c r="H422" s="4" t="s">
        <v>25</v>
      </c>
      <c r="I422" s="5">
        <v>44501</v>
      </c>
      <c r="J422" s="6">
        <v>0</v>
      </c>
      <c r="K422" s="6">
        <v>0</v>
      </c>
      <c r="L422" s="6">
        <v>19.73</v>
      </c>
      <c r="M422" s="6">
        <v>19.73</v>
      </c>
      <c r="N422" s="6">
        <v>19.73</v>
      </c>
      <c r="O422" s="6">
        <v>19.73</v>
      </c>
      <c r="P422" s="6">
        <v>171</v>
      </c>
      <c r="Q422" s="4" t="s">
        <v>26</v>
      </c>
      <c r="R422" s="4">
        <v>0</v>
      </c>
      <c r="S422" s="6">
        <v>0</v>
      </c>
      <c r="T422" s="6">
        <v>16</v>
      </c>
      <c r="U422" s="6">
        <v>53</v>
      </c>
      <c r="V422" s="6">
        <f>IF(ISERROR(VLOOKUP($S$422,'TAR FIN'!$A$1:$O$85,15,0)),0,VLOOKUP($S$422,'TAR FIN'!$A$1:$O$85,15,0))</f>
        <v>0</v>
      </c>
      <c r="W422" s="6">
        <f>IF(ISERROR(VLOOKUP($T$422,'TAR FIN'!$A$1:$O$85,15,0)),0,VLOOKUP($T$422,'TAR FIN'!$A$1:$O$85,15,0))</f>
        <v>273.69</v>
      </c>
      <c r="X422" s="6">
        <f>IF(ISERROR(VLOOKUP($U$422,'TAR FIN'!$A$1:$O$85,15,0)),0,VLOOKUP($U$422,'TAR FIN'!$A$1:$O$85,15,0))</f>
        <v>263.29000000000002</v>
      </c>
      <c r="Y422" s="6"/>
      <c r="Z422" s="6">
        <f ca="1">('TUSD BE'!$AM$20+'TUSD BF'!$AM$20+'TUSD CVA'!$AM$20)*1</f>
        <v>320.1054038964063</v>
      </c>
      <c r="AA422" s="6">
        <f>('TE BE'!$AA$10+'TE BF'!$AA$10+'TE CVA'!$AA$10)*1</f>
        <v>210.64397598313801</v>
      </c>
      <c r="AB422" s="6">
        <f>$K$422*$V$422</f>
        <v>0</v>
      </c>
      <c r="AC422" s="6">
        <f>$M$422*$W$422</f>
        <v>5399.9036999999998</v>
      </c>
      <c r="AD422" s="6">
        <f>$O$422*$X$422</f>
        <v>5194.7117000000007</v>
      </c>
      <c r="AE422" s="6">
        <f>$K$422*$Y$422</f>
        <v>0</v>
      </c>
      <c r="AF422" s="6">
        <f ca="1">$M$422*$Z$422</f>
        <v>6315.6796188760964</v>
      </c>
      <c r="AG422" s="6">
        <f>$O$422*$AA$422</f>
        <v>4156.0056461473132</v>
      </c>
    </row>
    <row r="423" spans="1:33" ht="11.25" customHeight="1" x14ac:dyDescent="0.25">
      <c r="A423" s="4" t="s">
        <v>21</v>
      </c>
      <c r="B423" s="4" t="s">
        <v>22</v>
      </c>
      <c r="C423" s="4" t="s">
        <v>23</v>
      </c>
      <c r="D423" s="4" t="s">
        <v>24</v>
      </c>
      <c r="E423" s="4" t="s">
        <v>24</v>
      </c>
      <c r="F423" s="4" t="s">
        <v>25</v>
      </c>
      <c r="G423" s="4" t="s">
        <v>25</v>
      </c>
      <c r="H423" s="4" t="s">
        <v>25</v>
      </c>
      <c r="I423" s="5">
        <v>44531</v>
      </c>
      <c r="J423" s="6">
        <v>0</v>
      </c>
      <c r="K423" s="6">
        <v>0</v>
      </c>
      <c r="L423" s="6">
        <v>2116.02</v>
      </c>
      <c r="M423" s="6">
        <v>2116.02</v>
      </c>
      <c r="N423" s="6">
        <v>2116.02</v>
      </c>
      <c r="O423" s="6">
        <v>2116.02</v>
      </c>
      <c r="P423" s="6">
        <v>11011</v>
      </c>
      <c r="Q423" s="4" t="s">
        <v>26</v>
      </c>
      <c r="R423" s="4">
        <v>0</v>
      </c>
      <c r="S423" s="6">
        <v>0</v>
      </c>
      <c r="T423" s="6">
        <v>16</v>
      </c>
      <c r="U423" s="6">
        <v>53</v>
      </c>
      <c r="V423" s="6">
        <f>IF(ISERROR(VLOOKUP($S$423,'TAR FIN'!$A$1:$O$85,15,0)),0,VLOOKUP($S$423,'TAR FIN'!$A$1:$O$85,15,0))</f>
        <v>0</v>
      </c>
      <c r="W423" s="6">
        <f>IF(ISERROR(VLOOKUP($T$423,'TAR FIN'!$A$1:$O$85,15,0)),0,VLOOKUP($T$423,'TAR FIN'!$A$1:$O$85,15,0))</f>
        <v>273.69</v>
      </c>
      <c r="X423" s="6">
        <f>IF(ISERROR(VLOOKUP($U$423,'TAR FIN'!$A$1:$O$85,15,0)),0,VLOOKUP($U$423,'TAR FIN'!$A$1:$O$85,15,0))</f>
        <v>263.29000000000002</v>
      </c>
      <c r="Y423" s="6"/>
      <c r="Z423" s="6">
        <f ca="1">('TUSD BE'!$AM$20+'TUSD BF'!$AM$20+'TUSD CVA'!$AM$20)*1</f>
        <v>320.1054038964063</v>
      </c>
      <c r="AA423" s="6">
        <f>('TE BE'!$AA$10+'TE BF'!$AA$10+'TE CVA'!$AA$10)*1</f>
        <v>210.64397598313801</v>
      </c>
      <c r="AB423" s="6">
        <f>$K$423*$V$423</f>
        <v>0</v>
      </c>
      <c r="AC423" s="6">
        <f>$M$423*$W$423</f>
        <v>579133.51379999996</v>
      </c>
      <c r="AD423" s="6">
        <f>$O$423*$X$423</f>
        <v>557126.90580000007</v>
      </c>
      <c r="AE423" s="6">
        <f>$K$423*$Y$423</f>
        <v>0</v>
      </c>
      <c r="AF423" s="6">
        <f ca="1">$M$423*$Z$423</f>
        <v>677349.43675287371</v>
      </c>
      <c r="AG423" s="6">
        <f>$O$423*$AA$423</f>
        <v>445726.86605983967</v>
      </c>
    </row>
    <row r="424" spans="1:33" ht="11.25" customHeight="1" x14ac:dyDescent="0.25">
      <c r="A424" s="4" t="s">
        <v>27</v>
      </c>
      <c r="B424" s="4" t="s">
        <v>22</v>
      </c>
      <c r="C424" s="4" t="s">
        <v>23</v>
      </c>
      <c r="D424" s="4" t="s">
        <v>24</v>
      </c>
      <c r="E424" s="4" t="s">
        <v>24</v>
      </c>
      <c r="F424" s="4" t="s">
        <v>25</v>
      </c>
      <c r="G424" s="4" t="s">
        <v>25</v>
      </c>
      <c r="H424" s="4" t="s">
        <v>25</v>
      </c>
      <c r="I424" s="5">
        <v>44531</v>
      </c>
      <c r="J424" s="6">
        <v>0</v>
      </c>
      <c r="K424" s="6">
        <v>0</v>
      </c>
      <c r="L424" s="6">
        <v>-1.9370000000000001</v>
      </c>
      <c r="M424" s="6">
        <v>-1.9370000000000001</v>
      </c>
      <c r="N424" s="6">
        <v>-1.9370000000000001</v>
      </c>
      <c r="O424" s="6">
        <v>-1.9370000000000001</v>
      </c>
      <c r="P424" s="6">
        <v>0</v>
      </c>
      <c r="Q424" s="4" t="s">
        <v>26</v>
      </c>
      <c r="R424" s="4">
        <v>0</v>
      </c>
      <c r="S424" s="6">
        <v>0</v>
      </c>
      <c r="T424" s="6">
        <v>16</v>
      </c>
      <c r="U424" s="6">
        <v>53</v>
      </c>
      <c r="V424" s="6">
        <f>IF(ISERROR(VLOOKUP($S$424,'TAR FIN'!$A$1:$O$85,15,0)),0,VLOOKUP($S$424,'TAR FIN'!$A$1:$O$85,15,0))</f>
        <v>0</v>
      </c>
      <c r="W424" s="6">
        <f>IF(ISERROR(VLOOKUP($T$424,'TAR FIN'!$A$1:$O$85,15,0)),0,VLOOKUP($T$424,'TAR FIN'!$A$1:$O$85,15,0))</f>
        <v>273.69</v>
      </c>
      <c r="X424" s="6">
        <f>IF(ISERROR(VLOOKUP($U$424,'TAR FIN'!$A$1:$O$85,15,0)),0,VLOOKUP($U$424,'TAR FIN'!$A$1:$O$85,15,0))</f>
        <v>263.29000000000002</v>
      </c>
      <c r="Y424" s="6"/>
      <c r="Z424" s="6">
        <f ca="1">('TUSD BE'!$AM$20+'TUSD BF'!$AM$20+'TUSD CVA'!$AM$20)*1</f>
        <v>320.1054038964063</v>
      </c>
      <c r="AA424" s="6">
        <f>('TE BE'!$AA$10+'TE BF'!$AA$10+'TE CVA'!$AA$10)*1</f>
        <v>210.64397598313801</v>
      </c>
      <c r="AB424" s="6">
        <f>$K$424*$V$424</f>
        <v>0</v>
      </c>
      <c r="AC424" s="6">
        <f>$M$424*$W$424</f>
        <v>-530.13752999999997</v>
      </c>
      <c r="AD424" s="6">
        <f>$O$424*$X$424</f>
        <v>-509.99273000000005</v>
      </c>
      <c r="AE424" s="6">
        <f>$K$424*$Y$424</f>
        <v>0</v>
      </c>
      <c r="AF424" s="6">
        <f ca="1">$M$424*$Z$424</f>
        <v>-620.044167347339</v>
      </c>
      <c r="AG424" s="6">
        <f>$O$424*$AA$424</f>
        <v>-408.01738147933833</v>
      </c>
    </row>
    <row r="425" spans="1:33" ht="11.25" customHeight="1" x14ac:dyDescent="0.25">
      <c r="A425" s="4" t="s">
        <v>28</v>
      </c>
      <c r="B425" s="4" t="s">
        <v>22</v>
      </c>
      <c r="C425" s="4" t="s">
        <v>23</v>
      </c>
      <c r="D425" s="4" t="s">
        <v>24</v>
      </c>
      <c r="E425" s="4" t="s">
        <v>24</v>
      </c>
      <c r="F425" s="4" t="s">
        <v>25</v>
      </c>
      <c r="G425" s="4" t="s">
        <v>25</v>
      </c>
      <c r="H425" s="4" t="s">
        <v>25</v>
      </c>
      <c r="I425" s="5">
        <v>44531</v>
      </c>
      <c r="J425" s="6">
        <v>0</v>
      </c>
      <c r="K425" s="6">
        <v>0</v>
      </c>
      <c r="L425" s="6">
        <v>22.012</v>
      </c>
      <c r="M425" s="6">
        <v>22.012</v>
      </c>
      <c r="N425" s="6">
        <v>22.012</v>
      </c>
      <c r="O425" s="6">
        <v>22.012</v>
      </c>
      <c r="P425" s="6">
        <v>179</v>
      </c>
      <c r="Q425" s="4" t="s">
        <v>26</v>
      </c>
      <c r="R425" s="4">
        <v>0</v>
      </c>
      <c r="S425" s="6">
        <v>0</v>
      </c>
      <c r="T425" s="6">
        <v>16</v>
      </c>
      <c r="U425" s="6">
        <v>53</v>
      </c>
      <c r="V425" s="6">
        <f>IF(ISERROR(VLOOKUP($S$425,'TAR FIN'!$A$1:$O$85,15,0)),0,VLOOKUP($S$425,'TAR FIN'!$A$1:$O$85,15,0))</f>
        <v>0</v>
      </c>
      <c r="W425" s="6">
        <f>IF(ISERROR(VLOOKUP($T$425,'TAR FIN'!$A$1:$O$85,15,0)),0,VLOOKUP($T$425,'TAR FIN'!$A$1:$O$85,15,0))</f>
        <v>273.69</v>
      </c>
      <c r="X425" s="6">
        <f>IF(ISERROR(VLOOKUP($U$425,'TAR FIN'!$A$1:$O$85,15,0)),0,VLOOKUP($U$425,'TAR FIN'!$A$1:$O$85,15,0))</f>
        <v>263.29000000000002</v>
      </c>
      <c r="Y425" s="6"/>
      <c r="Z425" s="6">
        <f ca="1">('TUSD BE'!$AM$20+'TUSD BF'!$AM$20+'TUSD CVA'!$AM$20)*1</f>
        <v>320.1054038964063</v>
      </c>
      <c r="AA425" s="6">
        <f>('TE BE'!$AA$10+'TE BF'!$AA$10+'TE CVA'!$AA$10)*1</f>
        <v>210.64397598313801</v>
      </c>
      <c r="AB425" s="6">
        <f>$K$425*$V$425</f>
        <v>0</v>
      </c>
      <c r="AC425" s="6">
        <f>$M$425*$W$425</f>
        <v>6024.4642800000001</v>
      </c>
      <c r="AD425" s="6">
        <f>$O$425*$X$425</f>
        <v>5795.5394800000004</v>
      </c>
      <c r="AE425" s="6">
        <f>$K$425*$Y$425</f>
        <v>0</v>
      </c>
      <c r="AF425" s="6">
        <f ca="1">$M$425*$Z$425</f>
        <v>7046.1601505676954</v>
      </c>
      <c r="AG425" s="6">
        <f>$O$425*$AA$425</f>
        <v>4636.6951993408338</v>
      </c>
    </row>
    <row r="426" spans="1:33" ht="11.25" customHeight="1" x14ac:dyDescent="0.25">
      <c r="A426" s="4" t="s">
        <v>21</v>
      </c>
      <c r="B426" s="4" t="s">
        <v>22</v>
      </c>
      <c r="C426" s="4" t="s">
        <v>23</v>
      </c>
      <c r="D426" s="4" t="s">
        <v>24</v>
      </c>
      <c r="E426" s="4" t="s">
        <v>24</v>
      </c>
      <c r="F426" s="4" t="s">
        <v>25</v>
      </c>
      <c r="G426" s="4" t="s">
        <v>25</v>
      </c>
      <c r="H426" s="4" t="s">
        <v>25</v>
      </c>
      <c r="I426" s="5">
        <v>44562</v>
      </c>
      <c r="J426" s="6">
        <v>0</v>
      </c>
      <c r="K426" s="6">
        <v>0</v>
      </c>
      <c r="L426" s="6">
        <v>2267.7260000000001</v>
      </c>
      <c r="M426" s="6">
        <v>2267.7260000000001</v>
      </c>
      <c r="N426" s="6">
        <v>2267.7260000000001</v>
      </c>
      <c r="O426" s="6">
        <v>2267.7260000000001</v>
      </c>
      <c r="P426" s="6">
        <v>11041</v>
      </c>
      <c r="Q426" s="4" t="s">
        <v>26</v>
      </c>
      <c r="R426" s="4">
        <v>0</v>
      </c>
      <c r="S426" s="6">
        <v>0</v>
      </c>
      <c r="T426" s="6">
        <v>16</v>
      </c>
      <c r="U426" s="6">
        <v>53</v>
      </c>
      <c r="V426" s="6">
        <f>IF(ISERROR(VLOOKUP($S$426,'TAR FIN'!$A$1:$O$85,15,0)),0,VLOOKUP($S$426,'TAR FIN'!$A$1:$O$85,15,0))</f>
        <v>0</v>
      </c>
      <c r="W426" s="6">
        <f>IF(ISERROR(VLOOKUP($T$426,'TAR FIN'!$A$1:$O$85,15,0)),0,VLOOKUP($T$426,'TAR FIN'!$A$1:$O$85,15,0))</f>
        <v>273.69</v>
      </c>
      <c r="X426" s="6">
        <f>IF(ISERROR(VLOOKUP($U$426,'TAR FIN'!$A$1:$O$85,15,0)),0,VLOOKUP($U$426,'TAR FIN'!$A$1:$O$85,15,0))</f>
        <v>263.29000000000002</v>
      </c>
      <c r="Y426" s="6"/>
      <c r="Z426" s="6">
        <f ca="1">('TUSD BE'!$AM$20+'TUSD BF'!$AM$20+'TUSD CVA'!$AM$20)*1</f>
        <v>320.1054038964063</v>
      </c>
      <c r="AA426" s="6">
        <f>('TE BE'!$AA$10+'TE BF'!$AA$10+'TE CVA'!$AA$10)*1</f>
        <v>210.64397598313801</v>
      </c>
      <c r="AB426" s="6">
        <f>$K$426*$V$426</f>
        <v>0</v>
      </c>
      <c r="AC426" s="6">
        <f>$M$426*$W$426</f>
        <v>620653.92894000001</v>
      </c>
      <c r="AD426" s="6">
        <f>$O$426*$X$426</f>
        <v>597069.57854000013</v>
      </c>
      <c r="AE426" s="6">
        <f>$K$426*$Y$426</f>
        <v>0</v>
      </c>
      <c r="AF426" s="6">
        <f ca="1">$M$426*$Z$426</f>
        <v>725911.34715638193</v>
      </c>
      <c r="AG426" s="6">
        <f>$O$426*$AA$426</f>
        <v>477682.82108033763</v>
      </c>
    </row>
    <row r="427" spans="1:33" ht="11.25" customHeight="1" x14ac:dyDescent="0.25">
      <c r="A427" s="4" t="s">
        <v>27</v>
      </c>
      <c r="B427" s="4" t="s">
        <v>22</v>
      </c>
      <c r="C427" s="4" t="s">
        <v>23</v>
      </c>
      <c r="D427" s="4" t="s">
        <v>24</v>
      </c>
      <c r="E427" s="4" t="s">
        <v>24</v>
      </c>
      <c r="F427" s="4" t="s">
        <v>25</v>
      </c>
      <c r="G427" s="4" t="s">
        <v>25</v>
      </c>
      <c r="H427" s="4" t="s">
        <v>25</v>
      </c>
      <c r="I427" s="5">
        <v>44562</v>
      </c>
      <c r="J427" s="6">
        <v>0</v>
      </c>
      <c r="K427" s="6">
        <v>0</v>
      </c>
      <c r="L427" s="6">
        <v>-0.98899999999999999</v>
      </c>
      <c r="M427" s="6">
        <v>-0.98899999999999999</v>
      </c>
      <c r="N427" s="6">
        <v>-0.98899999999999999</v>
      </c>
      <c r="O427" s="6">
        <v>-0.98899999999999999</v>
      </c>
      <c r="P427" s="6">
        <v>0</v>
      </c>
      <c r="Q427" s="4" t="s">
        <v>26</v>
      </c>
      <c r="R427" s="4">
        <v>0</v>
      </c>
      <c r="S427" s="6">
        <v>0</v>
      </c>
      <c r="T427" s="6">
        <v>16</v>
      </c>
      <c r="U427" s="6">
        <v>53</v>
      </c>
      <c r="V427" s="6">
        <f>IF(ISERROR(VLOOKUP($S$427,'TAR FIN'!$A$1:$O$85,15,0)),0,VLOOKUP($S$427,'TAR FIN'!$A$1:$O$85,15,0))</f>
        <v>0</v>
      </c>
      <c r="W427" s="6">
        <f>IF(ISERROR(VLOOKUP($T$427,'TAR FIN'!$A$1:$O$85,15,0)),0,VLOOKUP($T$427,'TAR FIN'!$A$1:$O$85,15,0))</f>
        <v>273.69</v>
      </c>
      <c r="X427" s="6">
        <f>IF(ISERROR(VLOOKUP($U$427,'TAR FIN'!$A$1:$O$85,15,0)),0,VLOOKUP($U$427,'TAR FIN'!$A$1:$O$85,15,0))</f>
        <v>263.29000000000002</v>
      </c>
      <c r="Y427" s="6"/>
      <c r="Z427" s="6">
        <f ca="1">('TUSD BE'!$AM$20+'TUSD BF'!$AM$20+'TUSD CVA'!$AM$20)*1</f>
        <v>320.1054038964063</v>
      </c>
      <c r="AA427" s="6">
        <f>('TE BE'!$AA$10+'TE BF'!$AA$10+'TE CVA'!$AA$10)*1</f>
        <v>210.64397598313801</v>
      </c>
      <c r="AB427" s="6">
        <f>$K$427*$V$427</f>
        <v>0</v>
      </c>
      <c r="AC427" s="6">
        <f>$M$427*$W$427</f>
        <v>-270.67941000000002</v>
      </c>
      <c r="AD427" s="6">
        <f>$O$427*$X$427</f>
        <v>-260.39381000000003</v>
      </c>
      <c r="AE427" s="6">
        <f>$K$427*$Y$427</f>
        <v>0</v>
      </c>
      <c r="AF427" s="6">
        <f ca="1">$M$427*$Z$427</f>
        <v>-316.58424445354581</v>
      </c>
      <c r="AG427" s="6">
        <f>$O$427*$AA$427</f>
        <v>-208.32689224732349</v>
      </c>
    </row>
    <row r="428" spans="1:33" ht="11.25" customHeight="1" x14ac:dyDescent="0.25">
      <c r="A428" s="4" t="s">
        <v>28</v>
      </c>
      <c r="B428" s="4" t="s">
        <v>22</v>
      </c>
      <c r="C428" s="4" t="s">
        <v>23</v>
      </c>
      <c r="D428" s="4" t="s">
        <v>24</v>
      </c>
      <c r="E428" s="4" t="s">
        <v>24</v>
      </c>
      <c r="F428" s="4" t="s">
        <v>25</v>
      </c>
      <c r="G428" s="4" t="s">
        <v>25</v>
      </c>
      <c r="H428" s="4" t="s">
        <v>25</v>
      </c>
      <c r="I428" s="5">
        <v>44562</v>
      </c>
      <c r="J428" s="6">
        <v>0</v>
      </c>
      <c r="K428" s="6">
        <v>0</v>
      </c>
      <c r="L428" s="6">
        <v>26.532</v>
      </c>
      <c r="M428" s="6">
        <v>26.532</v>
      </c>
      <c r="N428" s="6">
        <v>26.532</v>
      </c>
      <c r="O428" s="6">
        <v>26.532</v>
      </c>
      <c r="P428" s="6">
        <v>188</v>
      </c>
      <c r="Q428" s="4" t="s">
        <v>26</v>
      </c>
      <c r="R428" s="4">
        <v>0</v>
      </c>
      <c r="S428" s="6">
        <v>0</v>
      </c>
      <c r="T428" s="6">
        <v>16</v>
      </c>
      <c r="U428" s="6">
        <v>53</v>
      </c>
      <c r="V428" s="6">
        <f>IF(ISERROR(VLOOKUP($S$428,'TAR FIN'!$A$1:$O$85,15,0)),0,VLOOKUP($S$428,'TAR FIN'!$A$1:$O$85,15,0))</f>
        <v>0</v>
      </c>
      <c r="W428" s="6">
        <f>IF(ISERROR(VLOOKUP($T$428,'TAR FIN'!$A$1:$O$85,15,0)),0,VLOOKUP($T$428,'TAR FIN'!$A$1:$O$85,15,0))</f>
        <v>273.69</v>
      </c>
      <c r="X428" s="6">
        <f>IF(ISERROR(VLOOKUP($U$428,'TAR FIN'!$A$1:$O$85,15,0)),0,VLOOKUP($U$428,'TAR FIN'!$A$1:$O$85,15,0))</f>
        <v>263.29000000000002</v>
      </c>
      <c r="Y428" s="6"/>
      <c r="Z428" s="6">
        <f ca="1">('TUSD BE'!$AM$20+'TUSD BF'!$AM$20+'TUSD CVA'!$AM$20)*1</f>
        <v>320.1054038964063</v>
      </c>
      <c r="AA428" s="6">
        <f>('TE BE'!$AA$10+'TE BF'!$AA$10+'TE CVA'!$AA$10)*1</f>
        <v>210.64397598313801</v>
      </c>
      <c r="AB428" s="6">
        <f>$K$428*$V$428</f>
        <v>0</v>
      </c>
      <c r="AC428" s="6">
        <f>$M$428*$W$428</f>
        <v>7261.5430800000004</v>
      </c>
      <c r="AD428" s="6">
        <f>$O$428*$X$428</f>
        <v>6985.6102800000008</v>
      </c>
      <c r="AE428" s="6">
        <f>$K$428*$Y$428</f>
        <v>0</v>
      </c>
      <c r="AF428" s="6">
        <f ca="1">$M$428*$Z$428</f>
        <v>8493.0365761794528</v>
      </c>
      <c r="AG428" s="6">
        <f>$O$428*$AA$428</f>
        <v>5588.8059707846178</v>
      </c>
    </row>
    <row r="429" spans="1:33" ht="11.25" customHeight="1" x14ac:dyDescent="0.25">
      <c r="A429" s="4" t="s">
        <v>21</v>
      </c>
      <c r="B429" s="4" t="s">
        <v>22</v>
      </c>
      <c r="C429" s="4" t="s">
        <v>23</v>
      </c>
      <c r="D429" s="4" t="s">
        <v>24</v>
      </c>
      <c r="E429" s="4" t="s">
        <v>24</v>
      </c>
      <c r="F429" s="4" t="s">
        <v>25</v>
      </c>
      <c r="G429" s="4" t="s">
        <v>25</v>
      </c>
      <c r="H429" s="4" t="s">
        <v>25</v>
      </c>
      <c r="I429" s="5">
        <v>44593</v>
      </c>
      <c r="J429" s="6">
        <v>0</v>
      </c>
      <c r="K429" s="6">
        <v>0</v>
      </c>
      <c r="L429" s="6">
        <v>2150.9079999999999</v>
      </c>
      <c r="M429" s="6">
        <v>2150.9079999999999</v>
      </c>
      <c r="N429" s="6">
        <v>2150.9079999999999</v>
      </c>
      <c r="O429" s="6">
        <v>2150.9079999999999</v>
      </c>
      <c r="P429" s="6">
        <v>11020</v>
      </c>
      <c r="Q429" s="4" t="s">
        <v>26</v>
      </c>
      <c r="R429" s="4">
        <v>0</v>
      </c>
      <c r="S429" s="6">
        <v>0</v>
      </c>
      <c r="T429" s="6">
        <v>16</v>
      </c>
      <c r="U429" s="6">
        <v>53</v>
      </c>
      <c r="V429" s="6">
        <f>IF(ISERROR(VLOOKUP($S$429,'TAR FIN'!$A$1:$O$85,15,0)),0,VLOOKUP($S$429,'TAR FIN'!$A$1:$O$85,15,0))</f>
        <v>0</v>
      </c>
      <c r="W429" s="6">
        <f>IF(ISERROR(VLOOKUP($T$429,'TAR FIN'!$A$1:$O$85,15,0)),0,VLOOKUP($T$429,'TAR FIN'!$A$1:$O$85,15,0))</f>
        <v>273.69</v>
      </c>
      <c r="X429" s="6">
        <f>IF(ISERROR(VLOOKUP($U$429,'TAR FIN'!$A$1:$O$85,15,0)),0,VLOOKUP($U$429,'TAR FIN'!$A$1:$O$85,15,0))</f>
        <v>263.29000000000002</v>
      </c>
      <c r="Y429" s="6"/>
      <c r="Z429" s="6">
        <f ca="1">('TUSD BE'!$AM$20+'TUSD BF'!$AM$20+'TUSD CVA'!$AM$20)*1</f>
        <v>320.1054038964063</v>
      </c>
      <c r="AA429" s="6">
        <f>('TE BE'!$AA$10+'TE BF'!$AA$10+'TE CVA'!$AA$10)*1</f>
        <v>210.64397598313801</v>
      </c>
      <c r="AB429" s="6">
        <f>$K$429*$V$429</f>
        <v>0</v>
      </c>
      <c r="AC429" s="6">
        <f>$M$429*$W$429</f>
        <v>588682.01052000001</v>
      </c>
      <c r="AD429" s="6">
        <f>$O$429*$X$429</f>
        <v>566312.56732000003</v>
      </c>
      <c r="AE429" s="6">
        <f>$K$429*$Y$429</f>
        <v>0</v>
      </c>
      <c r="AF429" s="6">
        <f ca="1">$M$429*$Z$429</f>
        <v>688517.27408401144</v>
      </c>
      <c r="AG429" s="6">
        <f>$O$429*$AA$429</f>
        <v>453075.81309393939</v>
      </c>
    </row>
    <row r="430" spans="1:33" ht="11.25" customHeight="1" x14ac:dyDescent="0.25">
      <c r="A430" s="4" t="s">
        <v>27</v>
      </c>
      <c r="B430" s="4" t="s">
        <v>22</v>
      </c>
      <c r="C430" s="4" t="s">
        <v>23</v>
      </c>
      <c r="D430" s="4" t="s">
        <v>24</v>
      </c>
      <c r="E430" s="4" t="s">
        <v>24</v>
      </c>
      <c r="F430" s="4" t="s">
        <v>25</v>
      </c>
      <c r="G430" s="4" t="s">
        <v>25</v>
      </c>
      <c r="H430" s="4" t="s">
        <v>25</v>
      </c>
      <c r="I430" s="5">
        <v>44593</v>
      </c>
      <c r="J430" s="6">
        <v>0</v>
      </c>
      <c r="K430" s="6">
        <v>0</v>
      </c>
      <c r="L430" s="6">
        <v>-0.69299999999999995</v>
      </c>
      <c r="M430" s="6">
        <v>-0.69299999999999995</v>
      </c>
      <c r="N430" s="6">
        <v>-0.69299999999999995</v>
      </c>
      <c r="O430" s="6">
        <v>-0.69299999999999995</v>
      </c>
      <c r="P430" s="6">
        <v>0</v>
      </c>
      <c r="Q430" s="4" t="s">
        <v>26</v>
      </c>
      <c r="R430" s="4">
        <v>0</v>
      </c>
      <c r="S430" s="6">
        <v>0</v>
      </c>
      <c r="T430" s="6">
        <v>16</v>
      </c>
      <c r="U430" s="6">
        <v>53</v>
      </c>
      <c r="V430" s="6">
        <f>IF(ISERROR(VLOOKUP($S$430,'TAR FIN'!$A$1:$O$85,15,0)),0,VLOOKUP($S$430,'TAR FIN'!$A$1:$O$85,15,0))</f>
        <v>0</v>
      </c>
      <c r="W430" s="6">
        <f>IF(ISERROR(VLOOKUP($T$430,'TAR FIN'!$A$1:$O$85,15,0)),0,VLOOKUP($T$430,'TAR FIN'!$A$1:$O$85,15,0))</f>
        <v>273.69</v>
      </c>
      <c r="X430" s="6">
        <f>IF(ISERROR(VLOOKUP($U$430,'TAR FIN'!$A$1:$O$85,15,0)),0,VLOOKUP($U$430,'TAR FIN'!$A$1:$O$85,15,0))</f>
        <v>263.29000000000002</v>
      </c>
      <c r="Y430" s="6"/>
      <c r="Z430" s="6">
        <f ca="1">('TUSD BE'!$AM$20+'TUSD BF'!$AM$20+'TUSD CVA'!$AM$20)*1</f>
        <v>320.1054038964063</v>
      </c>
      <c r="AA430" s="6">
        <f>('TE BE'!$AA$10+'TE BF'!$AA$10+'TE CVA'!$AA$10)*1</f>
        <v>210.64397598313801</v>
      </c>
      <c r="AB430" s="6">
        <f>$K$430*$V$430</f>
        <v>0</v>
      </c>
      <c r="AC430" s="6">
        <f>$M$430*$W$430</f>
        <v>-189.66717</v>
      </c>
      <c r="AD430" s="6">
        <f>$O$430*$X$430</f>
        <v>-182.45997</v>
      </c>
      <c r="AE430" s="6">
        <f>$K$430*$Y$430</f>
        <v>0</v>
      </c>
      <c r="AF430" s="6">
        <f ca="1">$M$430*$Z$430</f>
        <v>-221.83304490020956</v>
      </c>
      <c r="AG430" s="6">
        <f>$O$430*$AA$430</f>
        <v>-145.97627535631463</v>
      </c>
    </row>
    <row r="431" spans="1:33" ht="11.25" customHeight="1" x14ac:dyDescent="0.25">
      <c r="A431" s="4" t="s">
        <v>28</v>
      </c>
      <c r="B431" s="4" t="s">
        <v>22</v>
      </c>
      <c r="C431" s="4" t="s">
        <v>23</v>
      </c>
      <c r="D431" s="4" t="s">
        <v>24</v>
      </c>
      <c r="E431" s="4" t="s">
        <v>24</v>
      </c>
      <c r="F431" s="4" t="s">
        <v>25</v>
      </c>
      <c r="G431" s="4" t="s">
        <v>25</v>
      </c>
      <c r="H431" s="4" t="s">
        <v>25</v>
      </c>
      <c r="I431" s="5">
        <v>44593</v>
      </c>
      <c r="J431" s="6">
        <v>0</v>
      </c>
      <c r="K431" s="6">
        <v>0</v>
      </c>
      <c r="L431" s="6">
        <v>28.321999999999999</v>
      </c>
      <c r="M431" s="6">
        <v>28.321999999999999</v>
      </c>
      <c r="N431" s="6">
        <v>28.321999999999999</v>
      </c>
      <c r="O431" s="6">
        <v>28.321999999999999</v>
      </c>
      <c r="P431" s="6">
        <v>199</v>
      </c>
      <c r="Q431" s="4" t="s">
        <v>26</v>
      </c>
      <c r="R431" s="4">
        <v>0</v>
      </c>
      <c r="S431" s="6">
        <v>0</v>
      </c>
      <c r="T431" s="6">
        <v>16</v>
      </c>
      <c r="U431" s="6">
        <v>53</v>
      </c>
      <c r="V431" s="6">
        <f>IF(ISERROR(VLOOKUP($S$431,'TAR FIN'!$A$1:$O$85,15,0)),0,VLOOKUP($S$431,'TAR FIN'!$A$1:$O$85,15,0))</f>
        <v>0</v>
      </c>
      <c r="W431" s="6">
        <f>IF(ISERROR(VLOOKUP($T$431,'TAR FIN'!$A$1:$O$85,15,0)),0,VLOOKUP($T$431,'TAR FIN'!$A$1:$O$85,15,0))</f>
        <v>273.69</v>
      </c>
      <c r="X431" s="6">
        <f>IF(ISERROR(VLOOKUP($U$431,'TAR FIN'!$A$1:$O$85,15,0)),0,VLOOKUP($U$431,'TAR FIN'!$A$1:$O$85,15,0))</f>
        <v>263.29000000000002</v>
      </c>
      <c r="Y431" s="6"/>
      <c r="Z431" s="6">
        <f ca="1">('TUSD BE'!$AM$20+'TUSD BF'!$AM$20+'TUSD CVA'!$AM$20)*1</f>
        <v>320.1054038964063</v>
      </c>
      <c r="AA431" s="6">
        <f>('TE BE'!$AA$10+'TE BF'!$AA$10+'TE CVA'!$AA$10)*1</f>
        <v>210.64397598313801</v>
      </c>
      <c r="AB431" s="6">
        <f>$K$431*$V$431</f>
        <v>0</v>
      </c>
      <c r="AC431" s="6">
        <f>$M$431*$W$431</f>
        <v>7751.4481799999994</v>
      </c>
      <c r="AD431" s="6">
        <f>$O$431*$X$431</f>
        <v>7456.8993800000007</v>
      </c>
      <c r="AE431" s="6">
        <f>$K$431*$Y$431</f>
        <v>0</v>
      </c>
      <c r="AF431" s="6">
        <f ca="1">$M$431*$Z$431</f>
        <v>9066.0252491540195</v>
      </c>
      <c r="AG431" s="6">
        <f>$O$431*$AA$431</f>
        <v>5965.8586877944344</v>
      </c>
    </row>
    <row r="432" spans="1:33" ht="11.25" customHeight="1" x14ac:dyDescent="0.25">
      <c r="A432" s="4" t="s">
        <v>21</v>
      </c>
      <c r="B432" s="4" t="s">
        <v>22</v>
      </c>
      <c r="C432" s="4" t="s">
        <v>23</v>
      </c>
      <c r="D432" s="4" t="s">
        <v>24</v>
      </c>
      <c r="E432" s="4" t="s">
        <v>24</v>
      </c>
      <c r="F432" s="4" t="s">
        <v>25</v>
      </c>
      <c r="G432" s="4" t="s">
        <v>25</v>
      </c>
      <c r="H432" s="4" t="s">
        <v>25</v>
      </c>
      <c r="I432" s="5">
        <v>44621</v>
      </c>
      <c r="J432" s="6">
        <v>0</v>
      </c>
      <c r="K432" s="6">
        <v>0</v>
      </c>
      <c r="L432" s="6">
        <v>2389.2820000000002</v>
      </c>
      <c r="M432" s="6">
        <v>2389.2820000000002</v>
      </c>
      <c r="N432" s="6">
        <v>2389.2820000000002</v>
      </c>
      <c r="O432" s="6">
        <v>2389.2820000000002</v>
      </c>
      <c r="P432" s="6">
        <v>10795</v>
      </c>
      <c r="Q432" s="4" t="s">
        <v>26</v>
      </c>
      <c r="R432" s="4">
        <v>0</v>
      </c>
      <c r="S432" s="6">
        <v>0</v>
      </c>
      <c r="T432" s="6">
        <v>16</v>
      </c>
      <c r="U432" s="6">
        <v>53</v>
      </c>
      <c r="V432" s="6">
        <f>IF(ISERROR(VLOOKUP($S$432,'TAR FIN'!$A$1:$O$85,15,0)),0,VLOOKUP($S$432,'TAR FIN'!$A$1:$O$85,15,0))</f>
        <v>0</v>
      </c>
      <c r="W432" s="6">
        <f>IF(ISERROR(VLOOKUP($T$432,'TAR FIN'!$A$1:$O$85,15,0)),0,VLOOKUP($T$432,'TAR FIN'!$A$1:$O$85,15,0))</f>
        <v>273.69</v>
      </c>
      <c r="X432" s="6">
        <f>IF(ISERROR(VLOOKUP($U$432,'TAR FIN'!$A$1:$O$85,15,0)),0,VLOOKUP($U$432,'TAR FIN'!$A$1:$O$85,15,0))</f>
        <v>263.29000000000002</v>
      </c>
      <c r="Y432" s="6"/>
      <c r="Z432" s="6">
        <f ca="1">('TUSD BE'!$AM$20+'TUSD BF'!$AM$20+'TUSD CVA'!$AM$20)*1</f>
        <v>320.1054038964063</v>
      </c>
      <c r="AA432" s="6">
        <f>('TE BE'!$AA$10+'TE BF'!$AA$10+'TE CVA'!$AA$10)*1</f>
        <v>210.64397598313801</v>
      </c>
      <c r="AB432" s="6">
        <f>$K$432*$V$432</f>
        <v>0</v>
      </c>
      <c r="AC432" s="6">
        <f>$M$432*$W$432</f>
        <v>653922.59058000008</v>
      </c>
      <c r="AD432" s="6">
        <f>$O$432*$X$432</f>
        <v>629074.05778000003</v>
      </c>
      <c r="AE432" s="6">
        <f>$K$432*$Y$432</f>
        <v>0</v>
      </c>
      <c r="AF432" s="6">
        <f ca="1">$M$432*$Z$432</f>
        <v>764822.07963241346</v>
      </c>
      <c r="AG432" s="6">
        <f>$O$432*$AA$432</f>
        <v>503287.86022494396</v>
      </c>
    </row>
    <row r="433" spans="1:33" ht="11.25" customHeight="1" x14ac:dyDescent="0.25">
      <c r="A433" s="4" t="s">
        <v>27</v>
      </c>
      <c r="B433" s="4" t="s">
        <v>22</v>
      </c>
      <c r="C433" s="4" t="s">
        <v>23</v>
      </c>
      <c r="D433" s="4" t="s">
        <v>24</v>
      </c>
      <c r="E433" s="4" t="s">
        <v>24</v>
      </c>
      <c r="F433" s="4" t="s">
        <v>25</v>
      </c>
      <c r="G433" s="4" t="s">
        <v>25</v>
      </c>
      <c r="H433" s="4" t="s">
        <v>25</v>
      </c>
      <c r="I433" s="5">
        <v>44621</v>
      </c>
      <c r="J433" s="6">
        <v>0</v>
      </c>
      <c r="K433" s="6">
        <v>0</v>
      </c>
      <c r="L433" s="6">
        <v>-9.0220000000000002</v>
      </c>
      <c r="M433" s="6">
        <v>-9.0220000000000002</v>
      </c>
      <c r="N433" s="6">
        <v>-9.0220000000000002</v>
      </c>
      <c r="O433" s="6">
        <v>-9.0220000000000002</v>
      </c>
      <c r="P433" s="6">
        <v>0</v>
      </c>
      <c r="Q433" s="4" t="s">
        <v>26</v>
      </c>
      <c r="R433" s="4">
        <v>0</v>
      </c>
      <c r="S433" s="6">
        <v>0</v>
      </c>
      <c r="T433" s="6">
        <v>16</v>
      </c>
      <c r="U433" s="6">
        <v>53</v>
      </c>
      <c r="V433" s="6">
        <f>IF(ISERROR(VLOOKUP($S$433,'TAR FIN'!$A$1:$O$85,15,0)),0,VLOOKUP($S$433,'TAR FIN'!$A$1:$O$85,15,0))</f>
        <v>0</v>
      </c>
      <c r="W433" s="6">
        <f>IF(ISERROR(VLOOKUP($T$433,'TAR FIN'!$A$1:$O$85,15,0)),0,VLOOKUP($T$433,'TAR FIN'!$A$1:$O$85,15,0))</f>
        <v>273.69</v>
      </c>
      <c r="X433" s="6">
        <f>IF(ISERROR(VLOOKUP($U$433,'TAR FIN'!$A$1:$O$85,15,0)),0,VLOOKUP($U$433,'TAR FIN'!$A$1:$O$85,15,0))</f>
        <v>263.29000000000002</v>
      </c>
      <c r="Y433" s="6"/>
      <c r="Z433" s="6">
        <f ca="1">('TUSD BE'!$AM$20+'TUSD BF'!$AM$20+'TUSD CVA'!$AM$20)*1</f>
        <v>320.1054038964063</v>
      </c>
      <c r="AA433" s="6">
        <f>('TE BE'!$AA$10+'TE BF'!$AA$10+'TE CVA'!$AA$10)*1</f>
        <v>210.64397598313801</v>
      </c>
      <c r="AB433" s="6">
        <f>$K$433*$V$433</f>
        <v>0</v>
      </c>
      <c r="AC433" s="6">
        <f>$M$433*$W$433</f>
        <v>-2469.2311800000002</v>
      </c>
      <c r="AD433" s="6">
        <f>$O$433*$X$433</f>
        <v>-2375.4023800000004</v>
      </c>
      <c r="AE433" s="6">
        <f>$K$433*$Y$433</f>
        <v>0</v>
      </c>
      <c r="AF433" s="6">
        <f ca="1">$M$433*$Z$433</f>
        <v>-2887.9909539533778</v>
      </c>
      <c r="AG433" s="6">
        <f>$O$433*$AA$433</f>
        <v>-1900.4299513198712</v>
      </c>
    </row>
    <row r="434" spans="1:33" ht="11.25" customHeight="1" x14ac:dyDescent="0.25">
      <c r="A434" s="4" t="s">
        <v>28</v>
      </c>
      <c r="B434" s="4" t="s">
        <v>22</v>
      </c>
      <c r="C434" s="4" t="s">
        <v>23</v>
      </c>
      <c r="D434" s="4" t="s">
        <v>24</v>
      </c>
      <c r="E434" s="4" t="s">
        <v>24</v>
      </c>
      <c r="F434" s="4" t="s">
        <v>25</v>
      </c>
      <c r="G434" s="4" t="s">
        <v>25</v>
      </c>
      <c r="H434" s="4" t="s">
        <v>25</v>
      </c>
      <c r="I434" s="5">
        <v>44621</v>
      </c>
      <c r="J434" s="6">
        <v>0</v>
      </c>
      <c r="K434" s="6">
        <v>0</v>
      </c>
      <c r="L434" s="6">
        <v>38.92</v>
      </c>
      <c r="M434" s="6">
        <v>38.92</v>
      </c>
      <c r="N434" s="6">
        <v>38.92</v>
      </c>
      <c r="O434" s="6">
        <v>38.92</v>
      </c>
      <c r="P434" s="6">
        <v>213</v>
      </c>
      <c r="Q434" s="4" t="s">
        <v>26</v>
      </c>
      <c r="R434" s="4">
        <v>0</v>
      </c>
      <c r="S434" s="6">
        <v>0</v>
      </c>
      <c r="T434" s="6">
        <v>16</v>
      </c>
      <c r="U434" s="6">
        <v>53</v>
      </c>
      <c r="V434" s="6">
        <f>IF(ISERROR(VLOOKUP($S$434,'TAR FIN'!$A$1:$O$85,15,0)),0,VLOOKUP($S$434,'TAR FIN'!$A$1:$O$85,15,0))</f>
        <v>0</v>
      </c>
      <c r="W434" s="6">
        <f>IF(ISERROR(VLOOKUP($T$434,'TAR FIN'!$A$1:$O$85,15,0)),0,VLOOKUP($T$434,'TAR FIN'!$A$1:$O$85,15,0))</f>
        <v>273.69</v>
      </c>
      <c r="X434" s="6">
        <f>IF(ISERROR(VLOOKUP($U$434,'TAR FIN'!$A$1:$O$85,15,0)),0,VLOOKUP($U$434,'TAR FIN'!$A$1:$O$85,15,0))</f>
        <v>263.29000000000002</v>
      </c>
      <c r="Y434" s="6"/>
      <c r="Z434" s="6">
        <f ca="1">('TUSD BE'!$AM$20+'TUSD BF'!$AM$20+'TUSD CVA'!$AM$20)*1</f>
        <v>320.1054038964063</v>
      </c>
      <c r="AA434" s="6">
        <f>('TE BE'!$AA$10+'TE BF'!$AA$10+'TE CVA'!$AA$10)*1</f>
        <v>210.64397598313801</v>
      </c>
      <c r="AB434" s="6">
        <f>$K$434*$V$434</f>
        <v>0</v>
      </c>
      <c r="AC434" s="6">
        <f>$M$434*$W$434</f>
        <v>10652.014800000001</v>
      </c>
      <c r="AD434" s="6">
        <f>$O$434*$X$434</f>
        <v>10247.246800000001</v>
      </c>
      <c r="AE434" s="6">
        <f>$K$434*$Y$434</f>
        <v>0</v>
      </c>
      <c r="AF434" s="6">
        <f ca="1">$M$434*$Z$434</f>
        <v>12458.502319648134</v>
      </c>
      <c r="AG434" s="6">
        <f>$O$434*$AA$434</f>
        <v>8198.2635452637314</v>
      </c>
    </row>
    <row r="435" spans="1:33" ht="11.25" customHeight="1" x14ac:dyDescent="0.25">
      <c r="A435" s="4" t="s">
        <v>21</v>
      </c>
      <c r="B435" s="4" t="s">
        <v>22</v>
      </c>
      <c r="C435" s="4" t="s">
        <v>23</v>
      </c>
      <c r="D435" s="4" t="s">
        <v>24</v>
      </c>
      <c r="E435" s="4" t="s">
        <v>24</v>
      </c>
      <c r="F435" s="4" t="s">
        <v>25</v>
      </c>
      <c r="G435" s="4" t="s">
        <v>25</v>
      </c>
      <c r="H435" s="4" t="s">
        <v>25</v>
      </c>
      <c r="I435" s="5">
        <v>44652</v>
      </c>
      <c r="J435" s="6">
        <v>0</v>
      </c>
      <c r="K435" s="6">
        <v>0</v>
      </c>
      <c r="L435" s="6">
        <v>2235.0160000000001</v>
      </c>
      <c r="M435" s="6">
        <v>2235.0160000000001</v>
      </c>
      <c r="N435" s="6">
        <v>2235.0160000000001</v>
      </c>
      <c r="O435" s="6">
        <v>2235.0160000000001</v>
      </c>
      <c r="P435" s="6">
        <v>10827</v>
      </c>
      <c r="Q435" s="4" t="s">
        <v>26</v>
      </c>
      <c r="R435" s="4">
        <v>0</v>
      </c>
      <c r="S435" s="6">
        <v>0</v>
      </c>
      <c r="T435" s="6">
        <v>16</v>
      </c>
      <c r="U435" s="6">
        <v>53</v>
      </c>
      <c r="V435" s="6">
        <f>IF(ISERROR(VLOOKUP($S$435,'TAR FIN'!$A$1:$O$85,15,0)),0,VLOOKUP($S$435,'TAR FIN'!$A$1:$O$85,15,0))</f>
        <v>0</v>
      </c>
      <c r="W435" s="6">
        <f>IF(ISERROR(VLOOKUP($T$435,'TAR FIN'!$A$1:$O$85,15,0)),0,VLOOKUP($T$435,'TAR FIN'!$A$1:$O$85,15,0))</f>
        <v>273.69</v>
      </c>
      <c r="X435" s="6">
        <f>IF(ISERROR(VLOOKUP($U$435,'TAR FIN'!$A$1:$O$85,15,0)),0,VLOOKUP($U$435,'TAR FIN'!$A$1:$O$85,15,0))</f>
        <v>263.29000000000002</v>
      </c>
      <c r="Y435" s="6"/>
      <c r="Z435" s="6">
        <f ca="1">('TUSD BE'!$AM$20+'TUSD BF'!$AM$20+'TUSD CVA'!$AM$20)*1</f>
        <v>320.1054038964063</v>
      </c>
      <c r="AA435" s="6">
        <f>('TE BE'!$AA$10+'TE BF'!$AA$10+'TE CVA'!$AA$10)*1</f>
        <v>210.64397598313801</v>
      </c>
      <c r="AB435" s="6">
        <f>$K$435*$V$435</f>
        <v>0</v>
      </c>
      <c r="AC435" s="6">
        <f>$M$435*$W$435</f>
        <v>611701.52904000005</v>
      </c>
      <c r="AD435" s="6">
        <f>$O$435*$X$435</f>
        <v>588457.36264000006</v>
      </c>
      <c r="AE435" s="6">
        <f>$K$435*$Y$435</f>
        <v>0</v>
      </c>
      <c r="AF435" s="6">
        <f ca="1">$M$435*$Z$435</f>
        <v>715440.6993949305</v>
      </c>
      <c r="AG435" s="6">
        <f>$O$435*$AA$435</f>
        <v>470792.65662592917</v>
      </c>
    </row>
    <row r="436" spans="1:33" ht="11.25" customHeight="1" x14ac:dyDescent="0.25">
      <c r="A436" s="4" t="s">
        <v>21</v>
      </c>
      <c r="B436" s="4" t="s">
        <v>22</v>
      </c>
      <c r="C436" s="4" t="s">
        <v>23</v>
      </c>
      <c r="D436" s="4" t="s">
        <v>24</v>
      </c>
      <c r="E436" s="4" t="s">
        <v>29</v>
      </c>
      <c r="F436" s="4" t="s">
        <v>25</v>
      </c>
      <c r="G436" s="4" t="s">
        <v>25</v>
      </c>
      <c r="H436" s="4" t="s">
        <v>25</v>
      </c>
      <c r="I436" s="5">
        <v>44317</v>
      </c>
      <c r="J436" s="6">
        <v>0</v>
      </c>
      <c r="K436" s="6">
        <v>0</v>
      </c>
      <c r="L436" s="6">
        <v>14.34</v>
      </c>
      <c r="M436" s="6">
        <v>14.34</v>
      </c>
      <c r="N436" s="6">
        <v>14.34</v>
      </c>
      <c r="O436" s="6">
        <v>14.34</v>
      </c>
      <c r="P436" s="6">
        <v>0</v>
      </c>
      <c r="Q436" s="4" t="s">
        <v>26</v>
      </c>
      <c r="R436" s="4">
        <v>0</v>
      </c>
      <c r="S436" s="6">
        <v>0</v>
      </c>
      <c r="T436" s="6">
        <v>17</v>
      </c>
      <c r="U436" s="6">
        <v>54</v>
      </c>
      <c r="V436" s="6">
        <f>IF(ISERROR(VLOOKUP($S$436,'TAR FIN'!$A$1:$O$85,15,0)),0,VLOOKUP($S$436,'TAR FIN'!$A$1:$O$85,15,0))</f>
        <v>0</v>
      </c>
      <c r="W436" s="6">
        <f>IF(ISERROR(VLOOKUP($T$436,'TAR FIN'!$A$1:$O$85,15,0)),0,VLOOKUP($T$436,'TAR FIN'!$A$1:$O$85,15,0))</f>
        <v>72.489999999999995</v>
      </c>
      <c r="X436" s="6">
        <f>IF(ISERROR(VLOOKUP($U$436,'TAR FIN'!$A$1:$O$85,15,0)),0,VLOOKUP($U$436,'TAR FIN'!$A$1:$O$85,15,0))</f>
        <v>92.15</v>
      </c>
      <c r="Y436" s="6"/>
      <c r="Z436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436" s="6">
        <f>('TE BE'!$AA$11+'TE BF'!$AA$11+'TE CVA'!$AA$11)*(1-CUSTOS!$M$34)</f>
        <v>73.725391594098298</v>
      </c>
      <c r="AB436" s="6">
        <f>$K$436*$V$436</f>
        <v>0</v>
      </c>
      <c r="AC436" s="6">
        <f>$M$436*$W$436</f>
        <v>1039.5065999999999</v>
      </c>
      <c r="AD436" s="6">
        <f>$O$436*$X$436</f>
        <v>1321.431</v>
      </c>
      <c r="AE436" s="6">
        <f>$K$436*$Y$436</f>
        <v>0</v>
      </c>
      <c r="AF436" s="6">
        <f ca="1">$M$436*$Z$436</f>
        <v>1070.3535014824706</v>
      </c>
      <c r="AG436" s="6">
        <f>$O$436*$AA$436</f>
        <v>1057.2221154593697</v>
      </c>
    </row>
    <row r="437" spans="1:33" ht="11.25" customHeight="1" x14ac:dyDescent="0.25">
      <c r="A437" s="4" t="s">
        <v>21</v>
      </c>
      <c r="B437" s="4" t="s">
        <v>22</v>
      </c>
      <c r="C437" s="4" t="s">
        <v>23</v>
      </c>
      <c r="D437" s="4" t="s">
        <v>24</v>
      </c>
      <c r="E437" s="4" t="s">
        <v>29</v>
      </c>
      <c r="F437" s="4" t="s">
        <v>25</v>
      </c>
      <c r="G437" s="4" t="s">
        <v>25</v>
      </c>
      <c r="H437" s="4" t="s">
        <v>25</v>
      </c>
      <c r="I437" s="5">
        <v>44348</v>
      </c>
      <c r="J437" s="6">
        <v>0</v>
      </c>
      <c r="K437" s="6">
        <v>0</v>
      </c>
      <c r="L437" s="6">
        <v>14.58</v>
      </c>
      <c r="M437" s="6">
        <v>14.58</v>
      </c>
      <c r="N437" s="6">
        <v>14.58</v>
      </c>
      <c r="O437" s="6">
        <v>14.58</v>
      </c>
      <c r="P437" s="6">
        <v>0</v>
      </c>
      <c r="Q437" s="4" t="s">
        <v>26</v>
      </c>
      <c r="R437" s="4">
        <v>0</v>
      </c>
      <c r="S437" s="6">
        <v>0</v>
      </c>
      <c r="T437" s="6">
        <v>17</v>
      </c>
      <c r="U437" s="6">
        <v>54</v>
      </c>
      <c r="V437" s="6">
        <f>IF(ISERROR(VLOOKUP($S$437,'TAR FIN'!$A$1:$O$85,15,0)),0,VLOOKUP($S$437,'TAR FIN'!$A$1:$O$85,15,0))</f>
        <v>0</v>
      </c>
      <c r="W437" s="6">
        <f>IF(ISERROR(VLOOKUP($T$437,'TAR FIN'!$A$1:$O$85,15,0)),0,VLOOKUP($T$437,'TAR FIN'!$A$1:$O$85,15,0))</f>
        <v>72.489999999999995</v>
      </c>
      <c r="X437" s="6">
        <f>IF(ISERROR(VLOOKUP($U$437,'TAR FIN'!$A$1:$O$85,15,0)),0,VLOOKUP($U$437,'TAR FIN'!$A$1:$O$85,15,0))</f>
        <v>92.15</v>
      </c>
      <c r="Y437" s="6"/>
      <c r="Z437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437" s="6">
        <f>('TE BE'!$AA$11+'TE BF'!$AA$11+'TE CVA'!$AA$11)*(1-CUSTOS!$M$34)</f>
        <v>73.725391594098298</v>
      </c>
      <c r="AB437" s="6">
        <f>$K$437*$V$437</f>
        <v>0</v>
      </c>
      <c r="AC437" s="6">
        <f>$M$437*$W$437</f>
        <v>1056.9041999999999</v>
      </c>
      <c r="AD437" s="6">
        <f>$O$437*$X$437</f>
        <v>1343.547</v>
      </c>
      <c r="AE437" s="6">
        <f>$K$437*$Y$437</f>
        <v>0</v>
      </c>
      <c r="AF437" s="6">
        <f ca="1">$M$437*$Z$437</f>
        <v>1088.2673676160684</v>
      </c>
      <c r="AG437" s="6">
        <f>$O$437*$AA$437</f>
        <v>1074.9162094419532</v>
      </c>
    </row>
    <row r="438" spans="1:33" ht="11.25" customHeight="1" x14ac:dyDescent="0.25">
      <c r="A438" s="4" t="s">
        <v>21</v>
      </c>
      <c r="B438" s="4" t="s">
        <v>22</v>
      </c>
      <c r="C438" s="4" t="s">
        <v>23</v>
      </c>
      <c r="D438" s="4" t="s">
        <v>24</v>
      </c>
      <c r="E438" s="4" t="s">
        <v>29</v>
      </c>
      <c r="F438" s="4" t="s">
        <v>25</v>
      </c>
      <c r="G438" s="4" t="s">
        <v>25</v>
      </c>
      <c r="H438" s="4" t="s">
        <v>25</v>
      </c>
      <c r="I438" s="5">
        <v>44378</v>
      </c>
      <c r="J438" s="6">
        <v>0</v>
      </c>
      <c r="K438" s="6">
        <v>0</v>
      </c>
      <c r="L438" s="6">
        <v>14.73</v>
      </c>
      <c r="M438" s="6">
        <v>14.73</v>
      </c>
      <c r="N438" s="6">
        <v>14.73</v>
      </c>
      <c r="O438" s="6">
        <v>14.73</v>
      </c>
      <c r="P438" s="6">
        <v>0</v>
      </c>
      <c r="Q438" s="4" t="s">
        <v>26</v>
      </c>
      <c r="R438" s="4">
        <v>0</v>
      </c>
      <c r="S438" s="6">
        <v>0</v>
      </c>
      <c r="T438" s="6">
        <v>17</v>
      </c>
      <c r="U438" s="6">
        <v>54</v>
      </c>
      <c r="V438" s="6">
        <f>IF(ISERROR(VLOOKUP($S$438,'TAR FIN'!$A$1:$O$85,15,0)),0,VLOOKUP($S$438,'TAR FIN'!$A$1:$O$85,15,0))</f>
        <v>0</v>
      </c>
      <c r="W438" s="6">
        <f>IF(ISERROR(VLOOKUP($T$438,'TAR FIN'!$A$1:$O$85,15,0)),0,VLOOKUP($T$438,'TAR FIN'!$A$1:$O$85,15,0))</f>
        <v>72.489999999999995</v>
      </c>
      <c r="X438" s="6">
        <f>IF(ISERROR(VLOOKUP($U$438,'TAR FIN'!$A$1:$O$85,15,0)),0,VLOOKUP($U$438,'TAR FIN'!$A$1:$O$85,15,0))</f>
        <v>92.15</v>
      </c>
      <c r="Y438" s="6"/>
      <c r="Z438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438" s="6">
        <f>('TE BE'!$AA$11+'TE BF'!$AA$11+'TE CVA'!$AA$11)*(1-CUSTOS!$M$34)</f>
        <v>73.725391594098298</v>
      </c>
      <c r="AB438" s="6">
        <f>$K$438*$V$438</f>
        <v>0</v>
      </c>
      <c r="AC438" s="6">
        <f>$M$438*$W$438</f>
        <v>1067.7776999999999</v>
      </c>
      <c r="AD438" s="6">
        <f>$O$438*$X$438</f>
        <v>1357.3695</v>
      </c>
      <c r="AE438" s="6">
        <f>$K$438*$Y$438</f>
        <v>0</v>
      </c>
      <c r="AF438" s="6">
        <f ca="1">$M$438*$Z$438</f>
        <v>1099.4635339495671</v>
      </c>
      <c r="AG438" s="6">
        <f>$O$438*$AA$438</f>
        <v>1085.975018181068</v>
      </c>
    </row>
    <row r="439" spans="1:33" ht="11.25" customHeight="1" x14ac:dyDescent="0.25">
      <c r="A439" s="4" t="s">
        <v>21</v>
      </c>
      <c r="B439" s="4" t="s">
        <v>22</v>
      </c>
      <c r="C439" s="4" t="s">
        <v>23</v>
      </c>
      <c r="D439" s="4" t="s">
        <v>24</v>
      </c>
      <c r="E439" s="4" t="s">
        <v>29</v>
      </c>
      <c r="F439" s="4" t="s">
        <v>25</v>
      </c>
      <c r="G439" s="4" t="s">
        <v>25</v>
      </c>
      <c r="H439" s="4" t="s">
        <v>25</v>
      </c>
      <c r="I439" s="5">
        <v>44409</v>
      </c>
      <c r="J439" s="6">
        <v>0</v>
      </c>
      <c r="K439" s="6">
        <v>0</v>
      </c>
      <c r="L439" s="6">
        <v>14.85</v>
      </c>
      <c r="M439" s="6">
        <v>14.85</v>
      </c>
      <c r="N439" s="6">
        <v>14.85</v>
      </c>
      <c r="O439" s="6">
        <v>14.85</v>
      </c>
      <c r="P439" s="6">
        <v>0</v>
      </c>
      <c r="Q439" s="4" t="s">
        <v>26</v>
      </c>
      <c r="R439" s="4">
        <v>0</v>
      </c>
      <c r="S439" s="6">
        <v>0</v>
      </c>
      <c r="T439" s="6">
        <v>17</v>
      </c>
      <c r="U439" s="6">
        <v>54</v>
      </c>
      <c r="V439" s="6">
        <f>IF(ISERROR(VLOOKUP($S$439,'TAR FIN'!$A$1:$O$85,15,0)),0,VLOOKUP($S$439,'TAR FIN'!$A$1:$O$85,15,0))</f>
        <v>0</v>
      </c>
      <c r="W439" s="6">
        <f>IF(ISERROR(VLOOKUP($T$439,'TAR FIN'!$A$1:$O$85,15,0)),0,VLOOKUP($T$439,'TAR FIN'!$A$1:$O$85,15,0))</f>
        <v>72.489999999999995</v>
      </c>
      <c r="X439" s="6">
        <f>IF(ISERROR(VLOOKUP($U$439,'TAR FIN'!$A$1:$O$85,15,0)),0,VLOOKUP($U$439,'TAR FIN'!$A$1:$O$85,15,0))</f>
        <v>92.15</v>
      </c>
      <c r="Y439" s="6"/>
      <c r="Z439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439" s="6">
        <f>('TE BE'!$AA$11+'TE BF'!$AA$11+'TE CVA'!$AA$11)*(1-CUSTOS!$M$34)</f>
        <v>73.725391594098298</v>
      </c>
      <c r="AB439" s="6">
        <f>$K$439*$V$439</f>
        <v>0</v>
      </c>
      <c r="AC439" s="6">
        <f>$M$439*$W$439</f>
        <v>1076.4765</v>
      </c>
      <c r="AD439" s="6">
        <f>$O$439*$X$439</f>
        <v>1368.4275</v>
      </c>
      <c r="AE439" s="6">
        <f>$K$439*$Y$439</f>
        <v>0</v>
      </c>
      <c r="AF439" s="6">
        <f ca="1">$M$439*$Z$439</f>
        <v>1108.420467016366</v>
      </c>
      <c r="AG439" s="6">
        <f>$O$439*$AA$439</f>
        <v>1094.8220651723598</v>
      </c>
    </row>
    <row r="440" spans="1:33" ht="11.25" customHeight="1" x14ac:dyDescent="0.25">
      <c r="A440" s="4" t="s">
        <v>21</v>
      </c>
      <c r="B440" s="4" t="s">
        <v>22</v>
      </c>
      <c r="C440" s="4" t="s">
        <v>23</v>
      </c>
      <c r="D440" s="4" t="s">
        <v>24</v>
      </c>
      <c r="E440" s="4" t="s">
        <v>29</v>
      </c>
      <c r="F440" s="4" t="s">
        <v>25</v>
      </c>
      <c r="G440" s="4" t="s">
        <v>25</v>
      </c>
      <c r="H440" s="4" t="s">
        <v>25</v>
      </c>
      <c r="I440" s="5">
        <v>44440</v>
      </c>
      <c r="J440" s="6">
        <v>0</v>
      </c>
      <c r="K440" s="6">
        <v>0</v>
      </c>
      <c r="L440" s="6">
        <v>14.85</v>
      </c>
      <c r="M440" s="6">
        <v>14.85</v>
      </c>
      <c r="N440" s="6">
        <v>14.85</v>
      </c>
      <c r="O440" s="6">
        <v>14.85</v>
      </c>
      <c r="P440" s="6">
        <v>0</v>
      </c>
      <c r="Q440" s="4" t="s">
        <v>26</v>
      </c>
      <c r="R440" s="4">
        <v>0</v>
      </c>
      <c r="S440" s="6">
        <v>0</v>
      </c>
      <c r="T440" s="6">
        <v>17</v>
      </c>
      <c r="U440" s="6">
        <v>54</v>
      </c>
      <c r="V440" s="6">
        <f>IF(ISERROR(VLOOKUP($S$440,'TAR FIN'!$A$1:$O$85,15,0)),0,VLOOKUP($S$440,'TAR FIN'!$A$1:$O$85,15,0))</f>
        <v>0</v>
      </c>
      <c r="W440" s="6">
        <f>IF(ISERROR(VLOOKUP($T$440,'TAR FIN'!$A$1:$O$85,15,0)),0,VLOOKUP($T$440,'TAR FIN'!$A$1:$O$85,15,0))</f>
        <v>72.489999999999995</v>
      </c>
      <c r="X440" s="6">
        <f>IF(ISERROR(VLOOKUP($U$440,'TAR FIN'!$A$1:$O$85,15,0)),0,VLOOKUP($U$440,'TAR FIN'!$A$1:$O$85,15,0))</f>
        <v>92.15</v>
      </c>
      <c r="Y440" s="6"/>
      <c r="Z440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440" s="6">
        <f>('TE BE'!$AA$11+'TE BF'!$AA$11+'TE CVA'!$AA$11)*(1-CUSTOS!$M$34)</f>
        <v>73.725391594098298</v>
      </c>
      <c r="AB440" s="6">
        <f>$K$440*$V$440</f>
        <v>0</v>
      </c>
      <c r="AC440" s="6">
        <f>$M$440*$W$440</f>
        <v>1076.4765</v>
      </c>
      <c r="AD440" s="6">
        <f>$O$440*$X$440</f>
        <v>1368.4275</v>
      </c>
      <c r="AE440" s="6">
        <f>$K$440*$Y$440</f>
        <v>0</v>
      </c>
      <c r="AF440" s="6">
        <f ca="1">$M$440*$Z$440</f>
        <v>1108.420467016366</v>
      </c>
      <c r="AG440" s="6">
        <f>$O$440*$AA$440</f>
        <v>1094.8220651723598</v>
      </c>
    </row>
    <row r="441" spans="1:33" ht="11.25" customHeight="1" x14ac:dyDescent="0.25">
      <c r="A441" s="4" t="s">
        <v>21</v>
      </c>
      <c r="B441" s="4" t="s">
        <v>22</v>
      </c>
      <c r="C441" s="4" t="s">
        <v>23</v>
      </c>
      <c r="D441" s="4" t="s">
        <v>24</v>
      </c>
      <c r="E441" s="4" t="s">
        <v>29</v>
      </c>
      <c r="F441" s="4" t="s">
        <v>25</v>
      </c>
      <c r="G441" s="4" t="s">
        <v>25</v>
      </c>
      <c r="H441" s="4" t="s">
        <v>25</v>
      </c>
      <c r="I441" s="5">
        <v>44470</v>
      </c>
      <c r="J441" s="6">
        <v>0</v>
      </c>
      <c r="K441" s="6">
        <v>0</v>
      </c>
      <c r="L441" s="6">
        <v>14.94</v>
      </c>
      <c r="M441" s="6">
        <v>14.94</v>
      </c>
      <c r="N441" s="6">
        <v>14.94</v>
      </c>
      <c r="O441" s="6">
        <v>14.94</v>
      </c>
      <c r="P441" s="6">
        <v>0</v>
      </c>
      <c r="Q441" s="4" t="s">
        <v>26</v>
      </c>
      <c r="R441" s="4">
        <v>0</v>
      </c>
      <c r="S441" s="6">
        <v>0</v>
      </c>
      <c r="T441" s="6">
        <v>17</v>
      </c>
      <c r="U441" s="6">
        <v>54</v>
      </c>
      <c r="V441" s="6">
        <f>IF(ISERROR(VLOOKUP($S$441,'TAR FIN'!$A$1:$O$85,15,0)),0,VLOOKUP($S$441,'TAR FIN'!$A$1:$O$85,15,0))</f>
        <v>0</v>
      </c>
      <c r="W441" s="6">
        <f>IF(ISERROR(VLOOKUP($T$441,'TAR FIN'!$A$1:$O$85,15,0)),0,VLOOKUP($T$441,'TAR FIN'!$A$1:$O$85,15,0))</f>
        <v>72.489999999999995</v>
      </c>
      <c r="X441" s="6">
        <f>IF(ISERROR(VLOOKUP($U$441,'TAR FIN'!$A$1:$O$85,15,0)),0,VLOOKUP($U$441,'TAR FIN'!$A$1:$O$85,15,0))</f>
        <v>92.15</v>
      </c>
      <c r="Y441" s="6"/>
      <c r="Z441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441" s="6">
        <f>('TE BE'!$AA$11+'TE BF'!$AA$11+'TE CVA'!$AA$11)*(1-CUSTOS!$M$34)</f>
        <v>73.725391594098298</v>
      </c>
      <c r="AB441" s="6">
        <f>$K$441*$V$441</f>
        <v>0</v>
      </c>
      <c r="AC441" s="6">
        <f>$M$441*$W$441</f>
        <v>1083.0005999999998</v>
      </c>
      <c r="AD441" s="6">
        <f>$O$441*$X$441</f>
        <v>1376.721</v>
      </c>
      <c r="AE441" s="6">
        <f>$K$441*$Y$441</f>
        <v>0</v>
      </c>
      <c r="AF441" s="6">
        <f ca="1">$M$441*$Z$441</f>
        <v>1115.1381668164652</v>
      </c>
      <c r="AG441" s="6">
        <f>$O$441*$AA$441</f>
        <v>1101.4573504158286</v>
      </c>
    </row>
    <row r="442" spans="1:33" ht="11.25" customHeight="1" x14ac:dyDescent="0.25">
      <c r="A442" s="4" t="s">
        <v>21</v>
      </c>
      <c r="B442" s="4" t="s">
        <v>22</v>
      </c>
      <c r="C442" s="4" t="s">
        <v>23</v>
      </c>
      <c r="D442" s="4" t="s">
        <v>24</v>
      </c>
      <c r="E442" s="4" t="s">
        <v>29</v>
      </c>
      <c r="F442" s="4" t="s">
        <v>25</v>
      </c>
      <c r="G442" s="4" t="s">
        <v>25</v>
      </c>
      <c r="H442" s="4" t="s">
        <v>25</v>
      </c>
      <c r="I442" s="5">
        <v>44501</v>
      </c>
      <c r="J442" s="6">
        <v>0</v>
      </c>
      <c r="K442" s="6">
        <v>0</v>
      </c>
      <c r="L442" s="6">
        <v>15.06</v>
      </c>
      <c r="M442" s="6">
        <v>15.06</v>
      </c>
      <c r="N442" s="6">
        <v>15.06</v>
      </c>
      <c r="O442" s="6">
        <v>15.06</v>
      </c>
      <c r="P442" s="6">
        <v>1</v>
      </c>
      <c r="Q442" s="4" t="s">
        <v>26</v>
      </c>
      <c r="R442" s="4">
        <v>0</v>
      </c>
      <c r="S442" s="6">
        <v>0</v>
      </c>
      <c r="T442" s="6">
        <v>17</v>
      </c>
      <c r="U442" s="6">
        <v>54</v>
      </c>
      <c r="V442" s="6">
        <f>IF(ISERROR(VLOOKUP($S$442,'TAR FIN'!$A$1:$O$85,15,0)),0,VLOOKUP($S$442,'TAR FIN'!$A$1:$O$85,15,0))</f>
        <v>0</v>
      </c>
      <c r="W442" s="6">
        <f>IF(ISERROR(VLOOKUP($T$442,'TAR FIN'!$A$1:$O$85,15,0)),0,VLOOKUP($T$442,'TAR FIN'!$A$1:$O$85,15,0))</f>
        <v>72.489999999999995</v>
      </c>
      <c r="X442" s="6">
        <f>IF(ISERROR(VLOOKUP($U$442,'TAR FIN'!$A$1:$O$85,15,0)),0,VLOOKUP($U$442,'TAR FIN'!$A$1:$O$85,15,0))</f>
        <v>92.15</v>
      </c>
      <c r="Y442" s="6"/>
      <c r="Z442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442" s="6">
        <f>('TE BE'!$AA$11+'TE BF'!$AA$11+'TE CVA'!$AA$11)*(1-CUSTOS!$M$34)</f>
        <v>73.725391594098298</v>
      </c>
      <c r="AB442" s="6">
        <f>$K$442*$V$442</f>
        <v>0</v>
      </c>
      <c r="AC442" s="6">
        <f>$M$442*$W$442</f>
        <v>1091.6994</v>
      </c>
      <c r="AD442" s="6">
        <f>$O$442*$X$442</f>
        <v>1387.7790000000002</v>
      </c>
      <c r="AE442" s="6">
        <f>$K$442*$Y$442</f>
        <v>0</v>
      </c>
      <c r="AF442" s="6">
        <f ca="1">$M$442*$Z$442</f>
        <v>1124.0950998832641</v>
      </c>
      <c r="AG442" s="6">
        <f>$O$442*$AA$442</f>
        <v>1110.3043974071204</v>
      </c>
    </row>
    <row r="443" spans="1:33" ht="11.25" customHeight="1" x14ac:dyDescent="0.25">
      <c r="A443" s="4" t="s">
        <v>21</v>
      </c>
      <c r="B443" s="4" t="s">
        <v>22</v>
      </c>
      <c r="C443" s="4" t="s">
        <v>23</v>
      </c>
      <c r="D443" s="4" t="s">
        <v>24</v>
      </c>
      <c r="E443" s="4" t="s">
        <v>29</v>
      </c>
      <c r="F443" s="4" t="s">
        <v>25</v>
      </c>
      <c r="G443" s="4" t="s">
        <v>25</v>
      </c>
      <c r="H443" s="4" t="s">
        <v>25</v>
      </c>
      <c r="I443" s="5">
        <v>44531</v>
      </c>
      <c r="J443" s="6">
        <v>0</v>
      </c>
      <c r="K443" s="6">
        <v>0</v>
      </c>
      <c r="L443" s="6">
        <v>15.42</v>
      </c>
      <c r="M443" s="6">
        <v>15.42</v>
      </c>
      <c r="N443" s="6">
        <v>15.42</v>
      </c>
      <c r="O443" s="6">
        <v>15.42</v>
      </c>
      <c r="P443" s="6">
        <v>1</v>
      </c>
      <c r="Q443" s="4" t="s">
        <v>26</v>
      </c>
      <c r="R443" s="4">
        <v>0</v>
      </c>
      <c r="S443" s="6">
        <v>0</v>
      </c>
      <c r="T443" s="6">
        <v>17</v>
      </c>
      <c r="U443" s="6">
        <v>54</v>
      </c>
      <c r="V443" s="6">
        <f>IF(ISERROR(VLOOKUP($S$443,'TAR FIN'!$A$1:$O$85,15,0)),0,VLOOKUP($S$443,'TAR FIN'!$A$1:$O$85,15,0))</f>
        <v>0</v>
      </c>
      <c r="W443" s="6">
        <f>IF(ISERROR(VLOOKUP($T$443,'TAR FIN'!$A$1:$O$85,15,0)),0,VLOOKUP($T$443,'TAR FIN'!$A$1:$O$85,15,0))</f>
        <v>72.489999999999995</v>
      </c>
      <c r="X443" s="6">
        <f>IF(ISERROR(VLOOKUP($U$443,'TAR FIN'!$A$1:$O$85,15,0)),0,VLOOKUP($U$443,'TAR FIN'!$A$1:$O$85,15,0))</f>
        <v>92.15</v>
      </c>
      <c r="Y443" s="6"/>
      <c r="Z443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443" s="6">
        <f>('TE BE'!$AA$11+'TE BF'!$AA$11+'TE CVA'!$AA$11)*(1-CUSTOS!$M$34)</f>
        <v>73.725391594098298</v>
      </c>
      <c r="AB443" s="6">
        <f>$K$443*$V$443</f>
        <v>0</v>
      </c>
      <c r="AC443" s="6">
        <f>$M$443*$W$443</f>
        <v>1117.7957999999999</v>
      </c>
      <c r="AD443" s="6">
        <f>$O$443*$X$443</f>
        <v>1420.953</v>
      </c>
      <c r="AE443" s="6">
        <f>$K$443*$Y$443</f>
        <v>0</v>
      </c>
      <c r="AF443" s="6">
        <f ca="1">$M$443*$Z$443</f>
        <v>1150.9658990836608</v>
      </c>
      <c r="AG443" s="6">
        <f>$O$443*$AA$443</f>
        <v>1136.8455383809958</v>
      </c>
    </row>
    <row r="444" spans="1:33" ht="11.25" customHeight="1" x14ac:dyDescent="0.25">
      <c r="A444" s="4" t="s">
        <v>21</v>
      </c>
      <c r="B444" s="4" t="s">
        <v>22</v>
      </c>
      <c r="C444" s="4" t="s">
        <v>23</v>
      </c>
      <c r="D444" s="4" t="s">
        <v>24</v>
      </c>
      <c r="E444" s="4" t="s">
        <v>29</v>
      </c>
      <c r="F444" s="4" t="s">
        <v>25</v>
      </c>
      <c r="G444" s="4" t="s">
        <v>25</v>
      </c>
      <c r="H444" s="4" t="s">
        <v>25</v>
      </c>
      <c r="I444" s="5">
        <v>44562</v>
      </c>
      <c r="J444" s="6">
        <v>0</v>
      </c>
      <c r="K444" s="6">
        <v>0</v>
      </c>
      <c r="L444" s="6">
        <v>15.72</v>
      </c>
      <c r="M444" s="6">
        <v>15.72</v>
      </c>
      <c r="N444" s="6">
        <v>15.72</v>
      </c>
      <c r="O444" s="6">
        <v>15.72</v>
      </c>
      <c r="P444" s="6">
        <v>0</v>
      </c>
      <c r="Q444" s="4" t="s">
        <v>26</v>
      </c>
      <c r="R444" s="4">
        <v>0</v>
      </c>
      <c r="S444" s="6">
        <v>0</v>
      </c>
      <c r="T444" s="6">
        <v>17</v>
      </c>
      <c r="U444" s="6">
        <v>54</v>
      </c>
      <c r="V444" s="6">
        <f>IF(ISERROR(VLOOKUP($S$444,'TAR FIN'!$A$1:$O$85,15,0)),0,VLOOKUP($S$444,'TAR FIN'!$A$1:$O$85,15,0))</f>
        <v>0</v>
      </c>
      <c r="W444" s="6">
        <f>IF(ISERROR(VLOOKUP($T$444,'TAR FIN'!$A$1:$O$85,15,0)),0,VLOOKUP($T$444,'TAR FIN'!$A$1:$O$85,15,0))</f>
        <v>72.489999999999995</v>
      </c>
      <c r="X444" s="6">
        <f>IF(ISERROR(VLOOKUP($U$444,'TAR FIN'!$A$1:$O$85,15,0)),0,VLOOKUP($U$444,'TAR FIN'!$A$1:$O$85,15,0))</f>
        <v>92.15</v>
      </c>
      <c r="Y444" s="6"/>
      <c r="Z444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444" s="6">
        <f>('TE BE'!$AA$11+'TE BF'!$AA$11+'TE CVA'!$AA$11)*(1-CUSTOS!$M$34)</f>
        <v>73.725391594098298</v>
      </c>
      <c r="AB444" s="6">
        <f>$K$444*$V$444</f>
        <v>0</v>
      </c>
      <c r="AC444" s="6">
        <f>$M$444*$W$444</f>
        <v>1139.5427999999999</v>
      </c>
      <c r="AD444" s="6">
        <f>$O$444*$X$444</f>
        <v>1448.5980000000002</v>
      </c>
      <c r="AE444" s="6">
        <f>$K$444*$Y$444</f>
        <v>0</v>
      </c>
      <c r="AF444" s="6">
        <f ca="1">$M$444*$Z$444</f>
        <v>1173.3582317506582</v>
      </c>
      <c r="AG444" s="6">
        <f>$O$444*$AA$444</f>
        <v>1158.9631558592253</v>
      </c>
    </row>
    <row r="445" spans="1:33" ht="11.25" customHeight="1" x14ac:dyDescent="0.25">
      <c r="A445" s="4" t="s">
        <v>21</v>
      </c>
      <c r="B445" s="4" t="s">
        <v>22</v>
      </c>
      <c r="C445" s="4" t="s">
        <v>23</v>
      </c>
      <c r="D445" s="4" t="s">
        <v>24</v>
      </c>
      <c r="E445" s="4" t="s">
        <v>29</v>
      </c>
      <c r="F445" s="4" t="s">
        <v>25</v>
      </c>
      <c r="G445" s="4" t="s">
        <v>25</v>
      </c>
      <c r="H445" s="4" t="s">
        <v>25</v>
      </c>
      <c r="I445" s="5">
        <v>44593</v>
      </c>
      <c r="J445" s="6">
        <v>0</v>
      </c>
      <c r="K445" s="6">
        <v>0</v>
      </c>
      <c r="L445" s="6">
        <v>17.100000000000001</v>
      </c>
      <c r="M445" s="6">
        <v>17.100000000000001</v>
      </c>
      <c r="N445" s="6">
        <v>17.100000000000001</v>
      </c>
      <c r="O445" s="6">
        <v>17.100000000000001</v>
      </c>
      <c r="P445" s="6">
        <v>1</v>
      </c>
      <c r="Q445" s="4" t="s">
        <v>26</v>
      </c>
      <c r="R445" s="4">
        <v>0</v>
      </c>
      <c r="S445" s="6">
        <v>0</v>
      </c>
      <c r="T445" s="6">
        <v>17</v>
      </c>
      <c r="U445" s="6">
        <v>54</v>
      </c>
      <c r="V445" s="6">
        <f>IF(ISERROR(VLOOKUP($S$445,'TAR FIN'!$A$1:$O$85,15,0)),0,VLOOKUP($S$445,'TAR FIN'!$A$1:$O$85,15,0))</f>
        <v>0</v>
      </c>
      <c r="W445" s="6">
        <f>IF(ISERROR(VLOOKUP($T$445,'TAR FIN'!$A$1:$O$85,15,0)),0,VLOOKUP($T$445,'TAR FIN'!$A$1:$O$85,15,0))</f>
        <v>72.489999999999995</v>
      </c>
      <c r="X445" s="6">
        <f>IF(ISERROR(VLOOKUP($U$445,'TAR FIN'!$A$1:$O$85,15,0)),0,VLOOKUP($U$445,'TAR FIN'!$A$1:$O$85,15,0))</f>
        <v>92.15</v>
      </c>
      <c r="Y445" s="6"/>
      <c r="Z445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445" s="6">
        <f>('TE BE'!$AA$11+'TE BF'!$AA$11+'TE CVA'!$AA$11)*(1-CUSTOS!$M$34)</f>
        <v>73.725391594098298</v>
      </c>
      <c r="AB445" s="6">
        <f>$K$445*$V$445</f>
        <v>0</v>
      </c>
      <c r="AC445" s="6">
        <f>$M$445*$W$445</f>
        <v>1239.579</v>
      </c>
      <c r="AD445" s="6">
        <f>$O$445*$X$445</f>
        <v>1575.7650000000003</v>
      </c>
      <c r="AE445" s="6">
        <f>$K$445*$Y$445</f>
        <v>0</v>
      </c>
      <c r="AF445" s="6">
        <f ca="1">$M$445*$Z$445</f>
        <v>1276.3629620188458</v>
      </c>
      <c r="AG445" s="6">
        <f>$O$445*$AA$445</f>
        <v>1260.7041962590811</v>
      </c>
    </row>
    <row r="446" spans="1:33" ht="11.25" customHeight="1" x14ac:dyDescent="0.25">
      <c r="A446" s="4" t="s">
        <v>21</v>
      </c>
      <c r="B446" s="4" t="s">
        <v>22</v>
      </c>
      <c r="C446" s="4" t="s">
        <v>23</v>
      </c>
      <c r="D446" s="4" t="s">
        <v>24</v>
      </c>
      <c r="E446" s="4" t="s">
        <v>29</v>
      </c>
      <c r="F446" s="4" t="s">
        <v>25</v>
      </c>
      <c r="G446" s="4" t="s">
        <v>25</v>
      </c>
      <c r="H446" s="4" t="s">
        <v>25</v>
      </c>
      <c r="I446" s="5">
        <v>44621</v>
      </c>
      <c r="J446" s="6">
        <v>0</v>
      </c>
      <c r="K446" s="6">
        <v>0</v>
      </c>
      <c r="L446" s="6">
        <v>25.65</v>
      </c>
      <c r="M446" s="6">
        <v>25.65</v>
      </c>
      <c r="N446" s="6">
        <v>25.65</v>
      </c>
      <c r="O446" s="6">
        <v>25.65</v>
      </c>
      <c r="P446" s="6">
        <v>2</v>
      </c>
      <c r="Q446" s="4" t="s">
        <v>26</v>
      </c>
      <c r="R446" s="4">
        <v>0</v>
      </c>
      <c r="S446" s="6">
        <v>0</v>
      </c>
      <c r="T446" s="6">
        <v>17</v>
      </c>
      <c r="U446" s="6">
        <v>54</v>
      </c>
      <c r="V446" s="6">
        <f>IF(ISERROR(VLOOKUP($S$446,'TAR FIN'!$A$1:$O$85,15,0)),0,VLOOKUP($S$446,'TAR FIN'!$A$1:$O$85,15,0))</f>
        <v>0</v>
      </c>
      <c r="W446" s="6">
        <f>IF(ISERROR(VLOOKUP($T$446,'TAR FIN'!$A$1:$O$85,15,0)),0,VLOOKUP($T$446,'TAR FIN'!$A$1:$O$85,15,0))</f>
        <v>72.489999999999995</v>
      </c>
      <c r="X446" s="6">
        <f>IF(ISERROR(VLOOKUP($U$446,'TAR FIN'!$A$1:$O$85,15,0)),0,VLOOKUP($U$446,'TAR FIN'!$A$1:$O$85,15,0))</f>
        <v>92.15</v>
      </c>
      <c r="Y446" s="6"/>
      <c r="Z446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446" s="6">
        <f>('TE BE'!$AA$11+'TE BF'!$AA$11+'TE CVA'!$AA$11)*(1-CUSTOS!$M$34)</f>
        <v>73.725391594098298</v>
      </c>
      <c r="AB446" s="6">
        <f>$K$446*$V$446</f>
        <v>0</v>
      </c>
      <c r="AC446" s="6">
        <f>$M$446*$W$446</f>
        <v>1859.3684999999998</v>
      </c>
      <c r="AD446" s="6">
        <f>$O$446*$X$446</f>
        <v>2363.6475</v>
      </c>
      <c r="AE446" s="6">
        <f>$K$446*$Y$446</f>
        <v>0</v>
      </c>
      <c r="AF446" s="6">
        <f ca="1">$M$446*$Z$446</f>
        <v>1914.5444430282685</v>
      </c>
      <c r="AG446" s="6">
        <f>$O$446*$AA$446</f>
        <v>1891.0562943886212</v>
      </c>
    </row>
    <row r="447" spans="1:33" ht="11.25" customHeight="1" x14ac:dyDescent="0.25">
      <c r="A447" s="4" t="s">
        <v>21</v>
      </c>
      <c r="B447" s="4" t="s">
        <v>22</v>
      </c>
      <c r="C447" s="4" t="s">
        <v>23</v>
      </c>
      <c r="D447" s="4" t="s">
        <v>24</v>
      </c>
      <c r="E447" s="4" t="s">
        <v>29</v>
      </c>
      <c r="F447" s="4" t="s">
        <v>25</v>
      </c>
      <c r="G447" s="4" t="s">
        <v>25</v>
      </c>
      <c r="H447" s="4" t="s">
        <v>25</v>
      </c>
      <c r="I447" s="5">
        <v>44652</v>
      </c>
      <c r="J447" s="6">
        <v>0</v>
      </c>
      <c r="K447" s="6">
        <v>0</v>
      </c>
      <c r="L447" s="6">
        <v>26.34</v>
      </c>
      <c r="M447" s="6">
        <v>26.34</v>
      </c>
      <c r="N447" s="6">
        <v>26.34</v>
      </c>
      <c r="O447" s="6">
        <v>26.34</v>
      </c>
      <c r="P447" s="6">
        <v>1</v>
      </c>
      <c r="Q447" s="4" t="s">
        <v>26</v>
      </c>
      <c r="R447" s="4">
        <v>0</v>
      </c>
      <c r="S447" s="6">
        <v>0</v>
      </c>
      <c r="T447" s="6">
        <v>17</v>
      </c>
      <c r="U447" s="6">
        <v>54</v>
      </c>
      <c r="V447" s="6">
        <f>IF(ISERROR(VLOOKUP($S$447,'TAR FIN'!$A$1:$O$85,15,0)),0,VLOOKUP($S$447,'TAR FIN'!$A$1:$O$85,15,0))</f>
        <v>0</v>
      </c>
      <c r="W447" s="6">
        <f>IF(ISERROR(VLOOKUP($T$447,'TAR FIN'!$A$1:$O$85,15,0)),0,VLOOKUP($T$447,'TAR FIN'!$A$1:$O$85,15,0))</f>
        <v>72.489999999999995</v>
      </c>
      <c r="X447" s="6">
        <f>IF(ISERROR(VLOOKUP($U$447,'TAR FIN'!$A$1:$O$85,15,0)),0,VLOOKUP($U$447,'TAR FIN'!$A$1:$O$85,15,0))</f>
        <v>92.15</v>
      </c>
      <c r="Y447" s="6"/>
      <c r="Z447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447" s="6">
        <f>('TE BE'!$AA$11+'TE BF'!$AA$11+'TE CVA'!$AA$11)*(1-CUSTOS!$M$34)</f>
        <v>73.725391594098298</v>
      </c>
      <c r="AB447" s="6">
        <f>$K$447*$V$447</f>
        <v>0</v>
      </c>
      <c r="AC447" s="6">
        <f>$M$447*$W$447</f>
        <v>1909.3865999999998</v>
      </c>
      <c r="AD447" s="6">
        <f>$O$447*$X$447</f>
        <v>2427.2310000000002</v>
      </c>
      <c r="AE447" s="6">
        <f>$K$447*$Y$447</f>
        <v>0</v>
      </c>
      <c r="AF447" s="6">
        <f ca="1">$M$447*$Z$447</f>
        <v>1966.0468081623621</v>
      </c>
      <c r="AG447" s="6">
        <f>$O$447*$AA$447</f>
        <v>1941.9268145885492</v>
      </c>
    </row>
    <row r="448" spans="1:33" ht="11.25" customHeight="1" x14ac:dyDescent="0.25">
      <c r="A448" s="4" t="s">
        <v>21</v>
      </c>
      <c r="B448" s="4" t="s">
        <v>22</v>
      </c>
      <c r="C448" s="4" t="s">
        <v>23</v>
      </c>
      <c r="D448" s="4" t="s">
        <v>24</v>
      </c>
      <c r="E448" s="4" t="s">
        <v>30</v>
      </c>
      <c r="F448" s="4" t="s">
        <v>25</v>
      </c>
      <c r="G448" s="4" t="s">
        <v>25</v>
      </c>
      <c r="H448" s="4" t="s">
        <v>25</v>
      </c>
      <c r="I448" s="5">
        <v>44317</v>
      </c>
      <c r="J448" s="6">
        <v>0</v>
      </c>
      <c r="K448" s="6">
        <v>0</v>
      </c>
      <c r="L448" s="6">
        <v>30.431999999999999</v>
      </c>
      <c r="M448" s="6">
        <v>30.431999999999999</v>
      </c>
      <c r="N448" s="6">
        <v>30.431999999999999</v>
      </c>
      <c r="O448" s="6">
        <v>30.431999999999999</v>
      </c>
      <c r="P448" s="6">
        <v>128</v>
      </c>
      <c r="Q448" s="4" t="s">
        <v>26</v>
      </c>
      <c r="R448" s="4">
        <v>0</v>
      </c>
      <c r="S448" s="6">
        <v>0</v>
      </c>
      <c r="T448" s="6">
        <v>18</v>
      </c>
      <c r="U448" s="6">
        <v>55</v>
      </c>
      <c r="V448" s="6">
        <f>IF(ISERROR(VLOOKUP($S$448,'TAR FIN'!$A$1:$O$85,15,0)),0,VLOOKUP($S$448,'TAR FIN'!$A$1:$O$85,15,0))</f>
        <v>0</v>
      </c>
      <c r="W448" s="6">
        <f>IF(ISERROR(VLOOKUP($T$448,'TAR FIN'!$A$1:$O$85,15,0)),0,VLOOKUP($T$448,'TAR FIN'!$A$1:$O$85,15,0))</f>
        <v>124.26</v>
      </c>
      <c r="X448" s="6">
        <f>IF(ISERROR(VLOOKUP($U$448,'TAR FIN'!$A$1:$O$85,15,0)),0,VLOOKUP($U$448,'TAR FIN'!$A$1:$O$85,15,0))</f>
        <v>157.97999999999999</v>
      </c>
      <c r="Y448" s="6"/>
      <c r="Z448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448" s="6">
        <f>('TE BE'!$AA$12+'TE BF'!$AA$12+'TE CVA'!$AA$12)*(1-CUSTOS!$M$35)</f>
        <v>126.38638558988279</v>
      </c>
      <c r="AB448" s="6">
        <f>$K$448*$V$448</f>
        <v>0</v>
      </c>
      <c r="AC448" s="6">
        <f>$M$448*$W$448</f>
        <v>3781.4803200000001</v>
      </c>
      <c r="AD448" s="6">
        <f>$O$448*$X$448</f>
        <v>4807.647359999999</v>
      </c>
      <c r="AE448" s="6">
        <f>$K$448*$Y$448</f>
        <v>0</v>
      </c>
      <c r="AF448" s="6">
        <f ca="1">$M$448*$Z$448</f>
        <v>3893.9626726974948</v>
      </c>
      <c r="AG448" s="6">
        <f>$O$448*$AA$448</f>
        <v>3846.1904862713131</v>
      </c>
    </row>
    <row r="449" spans="1:33" ht="11.25" customHeight="1" x14ac:dyDescent="0.25">
      <c r="A449" s="4" t="s">
        <v>21</v>
      </c>
      <c r="B449" s="4" t="s">
        <v>22</v>
      </c>
      <c r="C449" s="4" t="s">
        <v>23</v>
      </c>
      <c r="D449" s="4" t="s">
        <v>24</v>
      </c>
      <c r="E449" s="4" t="s">
        <v>30</v>
      </c>
      <c r="F449" s="4" t="s">
        <v>25</v>
      </c>
      <c r="G449" s="4" t="s">
        <v>25</v>
      </c>
      <c r="H449" s="4" t="s">
        <v>25</v>
      </c>
      <c r="I449" s="5">
        <v>44348</v>
      </c>
      <c r="J449" s="6">
        <v>0</v>
      </c>
      <c r="K449" s="6">
        <v>0</v>
      </c>
      <c r="L449" s="6">
        <v>31.23</v>
      </c>
      <c r="M449" s="6">
        <v>31.23</v>
      </c>
      <c r="N449" s="6">
        <v>31.23</v>
      </c>
      <c r="O449" s="6">
        <v>31.23</v>
      </c>
      <c r="P449" s="6">
        <v>111</v>
      </c>
      <c r="Q449" s="4" t="s">
        <v>26</v>
      </c>
      <c r="R449" s="4">
        <v>0</v>
      </c>
      <c r="S449" s="6">
        <v>0</v>
      </c>
      <c r="T449" s="6">
        <v>18</v>
      </c>
      <c r="U449" s="6">
        <v>55</v>
      </c>
      <c r="V449" s="6">
        <f>IF(ISERROR(VLOOKUP($S$449,'TAR FIN'!$A$1:$O$85,15,0)),0,VLOOKUP($S$449,'TAR FIN'!$A$1:$O$85,15,0))</f>
        <v>0</v>
      </c>
      <c r="W449" s="6">
        <f>IF(ISERROR(VLOOKUP($T$449,'TAR FIN'!$A$1:$O$85,15,0)),0,VLOOKUP($T$449,'TAR FIN'!$A$1:$O$85,15,0))</f>
        <v>124.26</v>
      </c>
      <c r="X449" s="6">
        <f>IF(ISERROR(VLOOKUP($U$449,'TAR FIN'!$A$1:$O$85,15,0)),0,VLOOKUP($U$449,'TAR FIN'!$A$1:$O$85,15,0))</f>
        <v>157.97999999999999</v>
      </c>
      <c r="Y449" s="6"/>
      <c r="Z449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449" s="6">
        <f>('TE BE'!$AA$12+'TE BF'!$AA$12+'TE CVA'!$AA$12)*(1-CUSTOS!$M$35)</f>
        <v>126.38638558988279</v>
      </c>
      <c r="AB449" s="6">
        <f>$K$449*$V$449</f>
        <v>0</v>
      </c>
      <c r="AC449" s="6">
        <f>$M$449*$W$449</f>
        <v>3880.6398000000004</v>
      </c>
      <c r="AD449" s="6">
        <f>$O$449*$X$449</f>
        <v>4933.7154</v>
      </c>
      <c r="AE449" s="6">
        <f>$K$449*$Y$449</f>
        <v>0</v>
      </c>
      <c r="AF449" s="6">
        <f ca="1">$M$449*$Z$449</f>
        <v>3996.0717096590024</v>
      </c>
      <c r="AG449" s="6">
        <f>$O$449*$AA$449</f>
        <v>3947.0468219720397</v>
      </c>
    </row>
    <row r="450" spans="1:33" ht="11.25" customHeight="1" x14ac:dyDescent="0.25">
      <c r="A450" s="4" t="s">
        <v>21</v>
      </c>
      <c r="B450" s="4" t="s">
        <v>22</v>
      </c>
      <c r="C450" s="4" t="s">
        <v>23</v>
      </c>
      <c r="D450" s="4" t="s">
        <v>24</v>
      </c>
      <c r="E450" s="4" t="s">
        <v>30</v>
      </c>
      <c r="F450" s="4" t="s">
        <v>25</v>
      </c>
      <c r="G450" s="4" t="s">
        <v>25</v>
      </c>
      <c r="H450" s="4" t="s">
        <v>25</v>
      </c>
      <c r="I450" s="5">
        <v>44378</v>
      </c>
      <c r="J450" s="6">
        <v>0</v>
      </c>
      <c r="K450" s="6">
        <v>0</v>
      </c>
      <c r="L450" s="6">
        <v>31.652000000000001</v>
      </c>
      <c r="M450" s="6">
        <v>31.652000000000001</v>
      </c>
      <c r="N450" s="6">
        <v>31.652000000000001</v>
      </c>
      <c r="O450" s="6">
        <v>31.652000000000001</v>
      </c>
      <c r="P450" s="6">
        <v>114</v>
      </c>
      <c r="Q450" s="4" t="s">
        <v>26</v>
      </c>
      <c r="R450" s="4">
        <v>0</v>
      </c>
      <c r="S450" s="6">
        <v>0</v>
      </c>
      <c r="T450" s="6">
        <v>18</v>
      </c>
      <c r="U450" s="6">
        <v>55</v>
      </c>
      <c r="V450" s="6">
        <f>IF(ISERROR(VLOOKUP($S$450,'TAR FIN'!$A$1:$O$85,15,0)),0,VLOOKUP($S$450,'TAR FIN'!$A$1:$O$85,15,0))</f>
        <v>0</v>
      </c>
      <c r="W450" s="6">
        <f>IF(ISERROR(VLOOKUP($T$450,'TAR FIN'!$A$1:$O$85,15,0)),0,VLOOKUP($T$450,'TAR FIN'!$A$1:$O$85,15,0))</f>
        <v>124.26</v>
      </c>
      <c r="X450" s="6">
        <f>IF(ISERROR(VLOOKUP($U$450,'TAR FIN'!$A$1:$O$85,15,0)),0,VLOOKUP($U$450,'TAR FIN'!$A$1:$O$85,15,0))</f>
        <v>157.97999999999999</v>
      </c>
      <c r="Y450" s="6"/>
      <c r="Z450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450" s="6">
        <f>('TE BE'!$AA$12+'TE BF'!$AA$12+'TE CVA'!$AA$12)*(1-CUSTOS!$M$35)</f>
        <v>126.38638558988279</v>
      </c>
      <c r="AB450" s="6">
        <f>$K$450*$V$450</f>
        <v>0</v>
      </c>
      <c r="AC450" s="6">
        <f>$M$450*$W$450</f>
        <v>3933.0775200000003</v>
      </c>
      <c r="AD450" s="6">
        <f>$O$450*$X$450</f>
        <v>5000.3829599999999</v>
      </c>
      <c r="AE450" s="6">
        <f>$K$450*$Y$450</f>
        <v>0</v>
      </c>
      <c r="AF450" s="6">
        <f ca="1">$M$450*$Z$450</f>
        <v>4050.0692204331335</v>
      </c>
      <c r="AG450" s="6">
        <f>$O$450*$AA$450</f>
        <v>4000.3818766909703</v>
      </c>
    </row>
    <row r="451" spans="1:33" ht="11.25" customHeight="1" x14ac:dyDescent="0.25">
      <c r="A451" s="4" t="s">
        <v>21</v>
      </c>
      <c r="B451" s="4" t="s">
        <v>22</v>
      </c>
      <c r="C451" s="4" t="s">
        <v>23</v>
      </c>
      <c r="D451" s="4" t="s">
        <v>24</v>
      </c>
      <c r="E451" s="4" t="s">
        <v>30</v>
      </c>
      <c r="F451" s="4" t="s">
        <v>25</v>
      </c>
      <c r="G451" s="4" t="s">
        <v>25</v>
      </c>
      <c r="H451" s="4" t="s">
        <v>25</v>
      </c>
      <c r="I451" s="5">
        <v>44409</v>
      </c>
      <c r="J451" s="6">
        <v>0</v>
      </c>
      <c r="K451" s="6">
        <v>0</v>
      </c>
      <c r="L451" s="6">
        <v>31.445</v>
      </c>
      <c r="M451" s="6">
        <v>31.445</v>
      </c>
      <c r="N451" s="6">
        <v>31.445</v>
      </c>
      <c r="O451" s="6">
        <v>31.445</v>
      </c>
      <c r="P451" s="6">
        <v>134</v>
      </c>
      <c r="Q451" s="4" t="s">
        <v>26</v>
      </c>
      <c r="R451" s="4">
        <v>0</v>
      </c>
      <c r="S451" s="6">
        <v>0</v>
      </c>
      <c r="T451" s="6">
        <v>18</v>
      </c>
      <c r="U451" s="6">
        <v>55</v>
      </c>
      <c r="V451" s="6">
        <f>IF(ISERROR(VLOOKUP($S$451,'TAR FIN'!$A$1:$O$85,15,0)),0,VLOOKUP($S$451,'TAR FIN'!$A$1:$O$85,15,0))</f>
        <v>0</v>
      </c>
      <c r="W451" s="6">
        <f>IF(ISERROR(VLOOKUP($T$451,'TAR FIN'!$A$1:$O$85,15,0)),0,VLOOKUP($T$451,'TAR FIN'!$A$1:$O$85,15,0))</f>
        <v>124.26</v>
      </c>
      <c r="X451" s="6">
        <f>IF(ISERROR(VLOOKUP($U$451,'TAR FIN'!$A$1:$O$85,15,0)),0,VLOOKUP($U$451,'TAR FIN'!$A$1:$O$85,15,0))</f>
        <v>157.97999999999999</v>
      </c>
      <c r="Y451" s="6"/>
      <c r="Z451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451" s="6">
        <f>('TE BE'!$AA$12+'TE BF'!$AA$12+'TE CVA'!$AA$12)*(1-CUSTOS!$M$35)</f>
        <v>126.38638558988279</v>
      </c>
      <c r="AB451" s="6">
        <f>$K$451*$V$451</f>
        <v>0</v>
      </c>
      <c r="AC451" s="6">
        <f>$M$451*$W$451</f>
        <v>3907.3557000000001</v>
      </c>
      <c r="AD451" s="6">
        <f>$O$451*$X$451</f>
        <v>4967.6810999999998</v>
      </c>
      <c r="AE451" s="6">
        <f>$K$451*$Y$451</f>
        <v>0</v>
      </c>
      <c r="AF451" s="6">
        <f ca="1">$M$451*$Z$451</f>
        <v>4023.5822897927424</v>
      </c>
      <c r="AG451" s="6">
        <f>$O$451*$AA$451</f>
        <v>3974.2198948738646</v>
      </c>
    </row>
    <row r="452" spans="1:33" ht="11.25" customHeight="1" x14ac:dyDescent="0.25">
      <c r="A452" s="4" t="s">
        <v>21</v>
      </c>
      <c r="B452" s="4" t="s">
        <v>22</v>
      </c>
      <c r="C452" s="4" t="s">
        <v>23</v>
      </c>
      <c r="D452" s="4" t="s">
        <v>24</v>
      </c>
      <c r="E452" s="4" t="s">
        <v>30</v>
      </c>
      <c r="F452" s="4" t="s">
        <v>25</v>
      </c>
      <c r="G452" s="4" t="s">
        <v>25</v>
      </c>
      <c r="H452" s="4" t="s">
        <v>25</v>
      </c>
      <c r="I452" s="5">
        <v>44440</v>
      </c>
      <c r="J452" s="6">
        <v>0</v>
      </c>
      <c r="K452" s="6">
        <v>0</v>
      </c>
      <c r="L452" s="6">
        <v>32.24</v>
      </c>
      <c r="M452" s="6">
        <v>32.24</v>
      </c>
      <c r="N452" s="6">
        <v>32.24</v>
      </c>
      <c r="O452" s="6">
        <v>32.24</v>
      </c>
      <c r="P452" s="6">
        <v>111</v>
      </c>
      <c r="Q452" s="4" t="s">
        <v>26</v>
      </c>
      <c r="R452" s="4">
        <v>0</v>
      </c>
      <c r="S452" s="6">
        <v>0</v>
      </c>
      <c r="T452" s="6">
        <v>18</v>
      </c>
      <c r="U452" s="6">
        <v>55</v>
      </c>
      <c r="V452" s="6">
        <f>IF(ISERROR(VLOOKUP($S$452,'TAR FIN'!$A$1:$O$85,15,0)),0,VLOOKUP($S$452,'TAR FIN'!$A$1:$O$85,15,0))</f>
        <v>0</v>
      </c>
      <c r="W452" s="6">
        <f>IF(ISERROR(VLOOKUP($T$452,'TAR FIN'!$A$1:$O$85,15,0)),0,VLOOKUP($T$452,'TAR FIN'!$A$1:$O$85,15,0))</f>
        <v>124.26</v>
      </c>
      <c r="X452" s="6">
        <f>IF(ISERROR(VLOOKUP($U$452,'TAR FIN'!$A$1:$O$85,15,0)),0,VLOOKUP($U$452,'TAR FIN'!$A$1:$O$85,15,0))</f>
        <v>157.97999999999999</v>
      </c>
      <c r="Y452" s="6"/>
      <c r="Z452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452" s="6">
        <f>('TE BE'!$AA$12+'TE BF'!$AA$12+'TE CVA'!$AA$12)*(1-CUSTOS!$M$35)</f>
        <v>126.38638558988279</v>
      </c>
      <c r="AB452" s="6">
        <f>$K$452*$V$452</f>
        <v>0</v>
      </c>
      <c r="AC452" s="6">
        <f>$M$452*$W$452</f>
        <v>4006.1424000000006</v>
      </c>
      <c r="AD452" s="6">
        <f>$O$452*$X$452</f>
        <v>5093.2752</v>
      </c>
      <c r="AE452" s="6">
        <f>$K$452*$Y$452</f>
        <v>0</v>
      </c>
      <c r="AF452" s="6">
        <f ca="1">$M$452*$Z$452</f>
        <v>4125.3074581942446</v>
      </c>
      <c r="AG452" s="6">
        <f>$O$452*$AA$452</f>
        <v>4074.6970714178215</v>
      </c>
    </row>
    <row r="453" spans="1:33" ht="11.25" customHeight="1" x14ac:dyDescent="0.25">
      <c r="A453" s="4" t="s">
        <v>21</v>
      </c>
      <c r="B453" s="4" t="s">
        <v>22</v>
      </c>
      <c r="C453" s="4" t="s">
        <v>23</v>
      </c>
      <c r="D453" s="4" t="s">
        <v>24</v>
      </c>
      <c r="E453" s="4" t="s">
        <v>30</v>
      </c>
      <c r="F453" s="4" t="s">
        <v>25</v>
      </c>
      <c r="G453" s="4" t="s">
        <v>25</v>
      </c>
      <c r="H453" s="4" t="s">
        <v>25</v>
      </c>
      <c r="I453" s="5">
        <v>44470</v>
      </c>
      <c r="J453" s="6">
        <v>0</v>
      </c>
      <c r="K453" s="6">
        <v>0</v>
      </c>
      <c r="L453" s="6">
        <v>33.164000000000001</v>
      </c>
      <c r="M453" s="6">
        <v>33.164000000000001</v>
      </c>
      <c r="N453" s="6">
        <v>33.164000000000001</v>
      </c>
      <c r="O453" s="6">
        <v>33.164000000000001</v>
      </c>
      <c r="P453" s="6">
        <v>79</v>
      </c>
      <c r="Q453" s="4" t="s">
        <v>26</v>
      </c>
      <c r="R453" s="4">
        <v>0</v>
      </c>
      <c r="S453" s="6">
        <v>0</v>
      </c>
      <c r="T453" s="6">
        <v>18</v>
      </c>
      <c r="U453" s="6">
        <v>55</v>
      </c>
      <c r="V453" s="6">
        <f>IF(ISERROR(VLOOKUP($S$453,'TAR FIN'!$A$1:$O$85,15,0)),0,VLOOKUP($S$453,'TAR FIN'!$A$1:$O$85,15,0))</f>
        <v>0</v>
      </c>
      <c r="W453" s="6">
        <f>IF(ISERROR(VLOOKUP($T$453,'TAR FIN'!$A$1:$O$85,15,0)),0,VLOOKUP($T$453,'TAR FIN'!$A$1:$O$85,15,0))</f>
        <v>124.26</v>
      </c>
      <c r="X453" s="6">
        <f>IF(ISERROR(VLOOKUP($U$453,'TAR FIN'!$A$1:$O$85,15,0)),0,VLOOKUP($U$453,'TAR FIN'!$A$1:$O$85,15,0))</f>
        <v>157.97999999999999</v>
      </c>
      <c r="Y453" s="6"/>
      <c r="Z453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453" s="6">
        <f>('TE BE'!$AA$12+'TE BF'!$AA$12+'TE CVA'!$AA$12)*(1-CUSTOS!$M$35)</f>
        <v>126.38638558988279</v>
      </c>
      <c r="AB453" s="6">
        <f>$K$453*$V$453</f>
        <v>0</v>
      </c>
      <c r="AC453" s="6">
        <f>$M$453*$W$453</f>
        <v>4120.9586400000007</v>
      </c>
      <c r="AD453" s="6">
        <f>$O$453*$X$453</f>
        <v>5239.2487199999996</v>
      </c>
      <c r="AE453" s="6">
        <f>$K$453*$Y$453</f>
        <v>0</v>
      </c>
      <c r="AF453" s="6">
        <f ca="1">$M$453*$Z$453</f>
        <v>4243.5389746759902</v>
      </c>
      <c r="AG453" s="6">
        <f>$O$453*$AA$453</f>
        <v>4191.4780917028729</v>
      </c>
    </row>
    <row r="454" spans="1:33" ht="11.25" customHeight="1" x14ac:dyDescent="0.25">
      <c r="A454" s="4" t="s">
        <v>21</v>
      </c>
      <c r="B454" s="4" t="s">
        <v>22</v>
      </c>
      <c r="C454" s="4" t="s">
        <v>23</v>
      </c>
      <c r="D454" s="4" t="s">
        <v>24</v>
      </c>
      <c r="E454" s="4" t="s">
        <v>30</v>
      </c>
      <c r="F454" s="4" t="s">
        <v>25</v>
      </c>
      <c r="G454" s="4" t="s">
        <v>25</v>
      </c>
      <c r="H454" s="4" t="s">
        <v>25</v>
      </c>
      <c r="I454" s="5">
        <v>44501</v>
      </c>
      <c r="J454" s="6">
        <v>0</v>
      </c>
      <c r="K454" s="6">
        <v>0</v>
      </c>
      <c r="L454" s="6">
        <v>32.828000000000003</v>
      </c>
      <c r="M454" s="6">
        <v>32.828000000000003</v>
      </c>
      <c r="N454" s="6">
        <v>32.828000000000003</v>
      </c>
      <c r="O454" s="6">
        <v>32.828000000000003</v>
      </c>
      <c r="P454" s="6">
        <v>94</v>
      </c>
      <c r="Q454" s="4" t="s">
        <v>26</v>
      </c>
      <c r="R454" s="4">
        <v>0</v>
      </c>
      <c r="S454" s="6">
        <v>0</v>
      </c>
      <c r="T454" s="6">
        <v>18</v>
      </c>
      <c r="U454" s="6">
        <v>55</v>
      </c>
      <c r="V454" s="6">
        <f>IF(ISERROR(VLOOKUP($S$454,'TAR FIN'!$A$1:$O$85,15,0)),0,VLOOKUP($S$454,'TAR FIN'!$A$1:$O$85,15,0))</f>
        <v>0</v>
      </c>
      <c r="W454" s="6">
        <f>IF(ISERROR(VLOOKUP($T$454,'TAR FIN'!$A$1:$O$85,15,0)),0,VLOOKUP($T$454,'TAR FIN'!$A$1:$O$85,15,0))</f>
        <v>124.26</v>
      </c>
      <c r="X454" s="6">
        <f>IF(ISERROR(VLOOKUP($U$454,'TAR FIN'!$A$1:$O$85,15,0)),0,VLOOKUP($U$454,'TAR FIN'!$A$1:$O$85,15,0))</f>
        <v>157.97999999999999</v>
      </c>
      <c r="Y454" s="6"/>
      <c r="Z454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454" s="6">
        <f>('TE BE'!$AA$12+'TE BF'!$AA$12+'TE CVA'!$AA$12)*(1-CUSTOS!$M$35)</f>
        <v>126.38638558988279</v>
      </c>
      <c r="AB454" s="6">
        <f>$K$454*$V$454</f>
        <v>0</v>
      </c>
      <c r="AC454" s="6">
        <f>$M$454*$W$454</f>
        <v>4079.2072800000005</v>
      </c>
      <c r="AD454" s="6">
        <f>$O$454*$X$454</f>
        <v>5186.1674400000002</v>
      </c>
      <c r="AE454" s="6">
        <f>$K$454*$Y$454</f>
        <v>0</v>
      </c>
      <c r="AF454" s="6">
        <f ca="1">$M$454*$Z$454</f>
        <v>4200.5456959553558</v>
      </c>
      <c r="AG454" s="6">
        <f>$O$454*$AA$454</f>
        <v>4149.012266144673</v>
      </c>
    </row>
    <row r="455" spans="1:33" ht="11.25" customHeight="1" x14ac:dyDescent="0.25">
      <c r="A455" s="4" t="s">
        <v>21</v>
      </c>
      <c r="B455" s="4" t="s">
        <v>22</v>
      </c>
      <c r="C455" s="4" t="s">
        <v>23</v>
      </c>
      <c r="D455" s="4" t="s">
        <v>24</v>
      </c>
      <c r="E455" s="4" t="s">
        <v>30</v>
      </c>
      <c r="F455" s="4" t="s">
        <v>25</v>
      </c>
      <c r="G455" s="4" t="s">
        <v>25</v>
      </c>
      <c r="H455" s="4" t="s">
        <v>25</v>
      </c>
      <c r="I455" s="5">
        <v>44531</v>
      </c>
      <c r="J455" s="6">
        <v>0</v>
      </c>
      <c r="K455" s="6">
        <v>0</v>
      </c>
      <c r="L455" s="6">
        <v>33.479999999999997</v>
      </c>
      <c r="M455" s="6">
        <v>33.479999999999997</v>
      </c>
      <c r="N455" s="6">
        <v>33.479999999999997</v>
      </c>
      <c r="O455" s="6">
        <v>33.479999999999997</v>
      </c>
      <c r="P455" s="6">
        <v>103</v>
      </c>
      <c r="Q455" s="4" t="s">
        <v>26</v>
      </c>
      <c r="R455" s="4">
        <v>0</v>
      </c>
      <c r="S455" s="6">
        <v>0</v>
      </c>
      <c r="T455" s="6">
        <v>18</v>
      </c>
      <c r="U455" s="6">
        <v>55</v>
      </c>
      <c r="V455" s="6">
        <f>IF(ISERROR(VLOOKUP($S$455,'TAR FIN'!$A$1:$O$85,15,0)),0,VLOOKUP($S$455,'TAR FIN'!$A$1:$O$85,15,0))</f>
        <v>0</v>
      </c>
      <c r="W455" s="6">
        <f>IF(ISERROR(VLOOKUP($T$455,'TAR FIN'!$A$1:$O$85,15,0)),0,VLOOKUP($T$455,'TAR FIN'!$A$1:$O$85,15,0))</f>
        <v>124.26</v>
      </c>
      <c r="X455" s="6">
        <f>IF(ISERROR(VLOOKUP($U$455,'TAR FIN'!$A$1:$O$85,15,0)),0,VLOOKUP($U$455,'TAR FIN'!$A$1:$O$85,15,0))</f>
        <v>157.97999999999999</v>
      </c>
      <c r="Y455" s="6"/>
      <c r="Z455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455" s="6">
        <f>('TE BE'!$AA$12+'TE BF'!$AA$12+'TE CVA'!$AA$12)*(1-CUSTOS!$M$35)</f>
        <v>126.38638558988279</v>
      </c>
      <c r="AB455" s="6">
        <f>$K$455*$V$455</f>
        <v>0</v>
      </c>
      <c r="AC455" s="6">
        <f>$M$455*$W$455</f>
        <v>4160.2248</v>
      </c>
      <c r="AD455" s="6">
        <f>$O$455*$X$455</f>
        <v>5289.1703999999991</v>
      </c>
      <c r="AE455" s="6">
        <f>$K$455*$Y$455</f>
        <v>0</v>
      </c>
      <c r="AF455" s="6">
        <f ca="1">$M$455*$Z$455</f>
        <v>4283.9731296632526</v>
      </c>
      <c r="AG455" s="6">
        <f>$O$455*$AA$455</f>
        <v>4231.4161895492753</v>
      </c>
    </row>
    <row r="456" spans="1:33" ht="11.25" customHeight="1" x14ac:dyDescent="0.25">
      <c r="A456" s="4" t="s">
        <v>21</v>
      </c>
      <c r="B456" s="4" t="s">
        <v>22</v>
      </c>
      <c r="C456" s="4" t="s">
        <v>23</v>
      </c>
      <c r="D456" s="4" t="s">
        <v>24</v>
      </c>
      <c r="E456" s="4" t="s">
        <v>30</v>
      </c>
      <c r="F456" s="4" t="s">
        <v>25</v>
      </c>
      <c r="G456" s="4" t="s">
        <v>25</v>
      </c>
      <c r="H456" s="4" t="s">
        <v>25</v>
      </c>
      <c r="I456" s="5">
        <v>44562</v>
      </c>
      <c r="J456" s="6">
        <v>0</v>
      </c>
      <c r="K456" s="6">
        <v>0</v>
      </c>
      <c r="L456" s="6">
        <v>34.700000000000003</v>
      </c>
      <c r="M456" s="6">
        <v>34.700000000000003</v>
      </c>
      <c r="N456" s="6">
        <v>34.700000000000003</v>
      </c>
      <c r="O456" s="6">
        <v>34.700000000000003</v>
      </c>
      <c r="P456" s="6">
        <v>92</v>
      </c>
      <c r="Q456" s="4" t="s">
        <v>26</v>
      </c>
      <c r="R456" s="4">
        <v>0</v>
      </c>
      <c r="S456" s="6">
        <v>0</v>
      </c>
      <c r="T456" s="6">
        <v>18</v>
      </c>
      <c r="U456" s="6">
        <v>55</v>
      </c>
      <c r="V456" s="6">
        <f>IF(ISERROR(VLOOKUP($S$456,'TAR FIN'!$A$1:$O$85,15,0)),0,VLOOKUP($S$456,'TAR FIN'!$A$1:$O$85,15,0))</f>
        <v>0</v>
      </c>
      <c r="W456" s="6">
        <f>IF(ISERROR(VLOOKUP($T$456,'TAR FIN'!$A$1:$O$85,15,0)),0,VLOOKUP($T$456,'TAR FIN'!$A$1:$O$85,15,0))</f>
        <v>124.26</v>
      </c>
      <c r="X456" s="6">
        <f>IF(ISERROR(VLOOKUP($U$456,'TAR FIN'!$A$1:$O$85,15,0)),0,VLOOKUP($U$456,'TAR FIN'!$A$1:$O$85,15,0))</f>
        <v>157.97999999999999</v>
      </c>
      <c r="Y456" s="6"/>
      <c r="Z456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456" s="6">
        <f>('TE BE'!$AA$12+'TE BF'!$AA$12+'TE CVA'!$AA$12)*(1-CUSTOS!$M$35)</f>
        <v>126.38638558988279</v>
      </c>
      <c r="AB456" s="6">
        <f>$K$456*$V$456</f>
        <v>0</v>
      </c>
      <c r="AC456" s="6">
        <f>$M$456*$W$456</f>
        <v>4311.8220000000001</v>
      </c>
      <c r="AD456" s="6">
        <f>$O$456*$X$456</f>
        <v>5481.9059999999999</v>
      </c>
      <c r="AE456" s="6">
        <f>$K$456*$Y$456</f>
        <v>0</v>
      </c>
      <c r="AF456" s="6">
        <f ca="1">$M$456*$Z$456</f>
        <v>4440.0796773988923</v>
      </c>
      <c r="AG456" s="6">
        <f>$O$456*$AA$456</f>
        <v>4385.6075799689334</v>
      </c>
    </row>
    <row r="457" spans="1:33" ht="11.25" customHeight="1" x14ac:dyDescent="0.25">
      <c r="A457" s="4" t="s">
        <v>21</v>
      </c>
      <c r="B457" s="4" t="s">
        <v>22</v>
      </c>
      <c r="C457" s="4" t="s">
        <v>23</v>
      </c>
      <c r="D457" s="4" t="s">
        <v>24</v>
      </c>
      <c r="E457" s="4" t="s">
        <v>30</v>
      </c>
      <c r="F457" s="4" t="s">
        <v>25</v>
      </c>
      <c r="G457" s="4" t="s">
        <v>25</v>
      </c>
      <c r="H457" s="4" t="s">
        <v>25</v>
      </c>
      <c r="I457" s="5">
        <v>44593</v>
      </c>
      <c r="J457" s="6">
        <v>0</v>
      </c>
      <c r="K457" s="6">
        <v>0</v>
      </c>
      <c r="L457" s="6">
        <v>37.752000000000002</v>
      </c>
      <c r="M457" s="6">
        <v>37.752000000000002</v>
      </c>
      <c r="N457" s="6">
        <v>37.752000000000002</v>
      </c>
      <c r="O457" s="6">
        <v>37.752000000000002</v>
      </c>
      <c r="P457" s="6">
        <v>98</v>
      </c>
      <c r="Q457" s="4" t="s">
        <v>26</v>
      </c>
      <c r="R457" s="4">
        <v>0</v>
      </c>
      <c r="S457" s="6">
        <v>0</v>
      </c>
      <c r="T457" s="6">
        <v>18</v>
      </c>
      <c r="U457" s="6">
        <v>55</v>
      </c>
      <c r="V457" s="6">
        <f>IF(ISERROR(VLOOKUP($S$457,'TAR FIN'!$A$1:$O$85,15,0)),0,VLOOKUP($S$457,'TAR FIN'!$A$1:$O$85,15,0))</f>
        <v>0</v>
      </c>
      <c r="W457" s="6">
        <f>IF(ISERROR(VLOOKUP($T$457,'TAR FIN'!$A$1:$O$85,15,0)),0,VLOOKUP($T$457,'TAR FIN'!$A$1:$O$85,15,0))</f>
        <v>124.26</v>
      </c>
      <c r="X457" s="6">
        <f>IF(ISERROR(VLOOKUP($U$457,'TAR FIN'!$A$1:$O$85,15,0)),0,VLOOKUP($U$457,'TAR FIN'!$A$1:$O$85,15,0))</f>
        <v>157.97999999999999</v>
      </c>
      <c r="Y457" s="6"/>
      <c r="Z457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457" s="6">
        <f>('TE BE'!$AA$12+'TE BF'!$AA$12+'TE CVA'!$AA$12)*(1-CUSTOS!$M$35)</f>
        <v>126.38638558988279</v>
      </c>
      <c r="AB457" s="6">
        <f>$K$457*$V$457</f>
        <v>0</v>
      </c>
      <c r="AC457" s="6">
        <f>$M$457*$W$457</f>
        <v>4691.0635200000006</v>
      </c>
      <c r="AD457" s="6">
        <f>$O$457*$X$457</f>
        <v>5964.0609599999998</v>
      </c>
      <c r="AE457" s="6">
        <f>$K$457*$Y$457</f>
        <v>0</v>
      </c>
      <c r="AF457" s="6">
        <f ca="1">$M$457*$Z$457</f>
        <v>4830.6019591113245</v>
      </c>
      <c r="AG457" s="6">
        <f>$O$457*$AA$457</f>
        <v>4771.3388287892558</v>
      </c>
    </row>
    <row r="458" spans="1:33" ht="11.25" customHeight="1" x14ac:dyDescent="0.25">
      <c r="A458" s="4" t="s">
        <v>21</v>
      </c>
      <c r="B458" s="4" t="s">
        <v>22</v>
      </c>
      <c r="C458" s="4" t="s">
        <v>23</v>
      </c>
      <c r="D458" s="4" t="s">
        <v>24</v>
      </c>
      <c r="E458" s="4" t="s">
        <v>30</v>
      </c>
      <c r="F458" s="4" t="s">
        <v>25</v>
      </c>
      <c r="G458" s="4" t="s">
        <v>25</v>
      </c>
      <c r="H458" s="4" t="s">
        <v>25</v>
      </c>
      <c r="I458" s="5">
        <v>44621</v>
      </c>
      <c r="J458" s="6">
        <v>0</v>
      </c>
      <c r="K458" s="6">
        <v>0</v>
      </c>
      <c r="L458" s="6">
        <v>55.347000000000001</v>
      </c>
      <c r="M458" s="6">
        <v>55.347000000000001</v>
      </c>
      <c r="N458" s="6">
        <v>55.347000000000001</v>
      </c>
      <c r="O458" s="6">
        <v>55.347000000000001</v>
      </c>
      <c r="P458" s="6">
        <v>165</v>
      </c>
      <c r="Q458" s="4" t="s">
        <v>26</v>
      </c>
      <c r="R458" s="4">
        <v>0</v>
      </c>
      <c r="S458" s="6">
        <v>0</v>
      </c>
      <c r="T458" s="6">
        <v>18</v>
      </c>
      <c r="U458" s="6">
        <v>55</v>
      </c>
      <c r="V458" s="6">
        <f>IF(ISERROR(VLOOKUP($S$458,'TAR FIN'!$A$1:$O$85,15,0)),0,VLOOKUP($S$458,'TAR FIN'!$A$1:$O$85,15,0))</f>
        <v>0</v>
      </c>
      <c r="W458" s="6">
        <f>IF(ISERROR(VLOOKUP($T$458,'TAR FIN'!$A$1:$O$85,15,0)),0,VLOOKUP($T$458,'TAR FIN'!$A$1:$O$85,15,0))</f>
        <v>124.26</v>
      </c>
      <c r="X458" s="6">
        <f>IF(ISERROR(VLOOKUP($U$458,'TAR FIN'!$A$1:$O$85,15,0)),0,VLOOKUP($U$458,'TAR FIN'!$A$1:$O$85,15,0))</f>
        <v>157.97999999999999</v>
      </c>
      <c r="Y458" s="6"/>
      <c r="Z458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458" s="6">
        <f>('TE BE'!$AA$12+'TE BF'!$AA$12+'TE CVA'!$AA$12)*(1-CUSTOS!$M$35)</f>
        <v>126.38638558988279</v>
      </c>
      <c r="AB458" s="6">
        <f>$K$458*$V$458</f>
        <v>0</v>
      </c>
      <c r="AC458" s="6">
        <f>$M$458*$W$458</f>
        <v>6877.4182200000005</v>
      </c>
      <c r="AD458" s="6">
        <f>$O$458*$X$458</f>
        <v>8743.7190599999994</v>
      </c>
      <c r="AE458" s="6">
        <f>$K$458*$Y$458</f>
        <v>0</v>
      </c>
      <c r="AF458" s="6">
        <f ca="1">$M$458*$Z$458</f>
        <v>7081.9910635445667</v>
      </c>
      <c r="AG458" s="6">
        <f>$O$458*$AA$458</f>
        <v>6995.1072832432428</v>
      </c>
    </row>
    <row r="459" spans="1:33" ht="11.25" customHeight="1" x14ac:dyDescent="0.25">
      <c r="A459" s="4" t="s">
        <v>21</v>
      </c>
      <c r="B459" s="4" t="s">
        <v>22</v>
      </c>
      <c r="C459" s="4" t="s">
        <v>23</v>
      </c>
      <c r="D459" s="4" t="s">
        <v>24</v>
      </c>
      <c r="E459" s="4" t="s">
        <v>30</v>
      </c>
      <c r="F459" s="4" t="s">
        <v>25</v>
      </c>
      <c r="G459" s="4" t="s">
        <v>25</v>
      </c>
      <c r="H459" s="4" t="s">
        <v>25</v>
      </c>
      <c r="I459" s="5">
        <v>44652</v>
      </c>
      <c r="J459" s="6">
        <v>0</v>
      </c>
      <c r="K459" s="6">
        <v>0</v>
      </c>
      <c r="L459" s="6">
        <v>57.487000000000002</v>
      </c>
      <c r="M459" s="6">
        <v>57.487000000000002</v>
      </c>
      <c r="N459" s="6">
        <v>57.487000000000002</v>
      </c>
      <c r="O459" s="6">
        <v>57.487000000000002</v>
      </c>
      <c r="P459" s="6">
        <v>157</v>
      </c>
      <c r="Q459" s="4" t="s">
        <v>26</v>
      </c>
      <c r="R459" s="4">
        <v>0</v>
      </c>
      <c r="S459" s="6">
        <v>0</v>
      </c>
      <c r="T459" s="6">
        <v>18</v>
      </c>
      <c r="U459" s="6">
        <v>55</v>
      </c>
      <c r="V459" s="6">
        <f>IF(ISERROR(VLOOKUP($S$459,'TAR FIN'!$A$1:$O$85,15,0)),0,VLOOKUP($S$459,'TAR FIN'!$A$1:$O$85,15,0))</f>
        <v>0</v>
      </c>
      <c r="W459" s="6">
        <f>IF(ISERROR(VLOOKUP($T$459,'TAR FIN'!$A$1:$O$85,15,0)),0,VLOOKUP($T$459,'TAR FIN'!$A$1:$O$85,15,0))</f>
        <v>124.26</v>
      </c>
      <c r="X459" s="6">
        <f>IF(ISERROR(VLOOKUP($U$459,'TAR FIN'!$A$1:$O$85,15,0)),0,VLOOKUP($U$459,'TAR FIN'!$A$1:$O$85,15,0))</f>
        <v>157.97999999999999</v>
      </c>
      <c r="Y459" s="6"/>
      <c r="Z459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459" s="6">
        <f>('TE BE'!$AA$12+'TE BF'!$AA$12+'TE CVA'!$AA$12)*(1-CUSTOS!$M$35)</f>
        <v>126.38638558988279</v>
      </c>
      <c r="AB459" s="6">
        <f>$K$459*$V$459</f>
        <v>0</v>
      </c>
      <c r="AC459" s="6">
        <f>$M$459*$W$459</f>
        <v>7143.3346200000005</v>
      </c>
      <c r="AD459" s="6">
        <f>$O$459*$X$459</f>
        <v>9081.7962599999992</v>
      </c>
      <c r="AE459" s="6">
        <f>$K$459*$Y$459</f>
        <v>0</v>
      </c>
      <c r="AF459" s="6">
        <f ca="1">$M$459*$Z$459</f>
        <v>7355.8173030152766</v>
      </c>
      <c r="AG459" s="6">
        <f>$O$459*$AA$459</f>
        <v>7265.5741484055925</v>
      </c>
    </row>
    <row r="460" spans="1:33" ht="11.25" customHeight="1" x14ac:dyDescent="0.25">
      <c r="A460" s="4" t="s">
        <v>21</v>
      </c>
      <c r="B460" s="4" t="s">
        <v>22</v>
      </c>
      <c r="C460" s="4" t="s">
        <v>23</v>
      </c>
      <c r="D460" s="4" t="s">
        <v>24</v>
      </c>
      <c r="E460" s="4" t="s">
        <v>31</v>
      </c>
      <c r="F460" s="4" t="s">
        <v>25</v>
      </c>
      <c r="G460" s="4" t="s">
        <v>25</v>
      </c>
      <c r="H460" s="4" t="s">
        <v>25</v>
      </c>
      <c r="I460" s="5">
        <v>44317</v>
      </c>
      <c r="J460" s="6">
        <v>0</v>
      </c>
      <c r="K460" s="6">
        <v>0</v>
      </c>
      <c r="L460" s="6">
        <v>20.859000000000002</v>
      </c>
      <c r="M460" s="6">
        <v>20.859000000000002</v>
      </c>
      <c r="N460" s="6">
        <v>20.859000000000002</v>
      </c>
      <c r="O460" s="6">
        <v>20.859000000000002</v>
      </c>
      <c r="P460" s="6">
        <v>304</v>
      </c>
      <c r="Q460" s="4" t="s">
        <v>26</v>
      </c>
      <c r="R460" s="4">
        <v>0</v>
      </c>
      <c r="S460" s="6">
        <v>0</v>
      </c>
      <c r="T460" s="6">
        <v>19</v>
      </c>
      <c r="U460" s="6">
        <v>56</v>
      </c>
      <c r="V460" s="6">
        <f>IF(ISERROR(VLOOKUP($S$460,'TAR FIN'!$A$1:$O$85,15,0)),0,VLOOKUP($S$460,'TAR FIN'!$A$1:$O$85,15,0))</f>
        <v>0</v>
      </c>
      <c r="W460" s="6">
        <f>IF(ISERROR(VLOOKUP($T$460,'TAR FIN'!$A$1:$O$85,15,0)),0,VLOOKUP($T$460,'TAR FIN'!$A$1:$O$85,15,0))</f>
        <v>186.4</v>
      </c>
      <c r="X460" s="6">
        <f>IF(ISERROR(VLOOKUP($U$460,'TAR FIN'!$A$1:$O$85,15,0)),0,VLOOKUP($U$460,'TAR FIN'!$A$1:$O$85,15,0))</f>
        <v>236.96</v>
      </c>
      <c r="Y460" s="6"/>
      <c r="Z460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460" s="6">
        <f>('TE BE'!$AA$13+'TE BF'!$AA$13+'TE CVA'!$AA$13)*(1-CUSTOS!$M$36)</f>
        <v>189.5795783848242</v>
      </c>
      <c r="AB460" s="6">
        <f>$K$460*$V$460</f>
        <v>0</v>
      </c>
      <c r="AC460" s="6">
        <f>$M$460*$W$460</f>
        <v>3888.1176000000005</v>
      </c>
      <c r="AD460" s="6">
        <f>$O$460*$X$460</f>
        <v>4942.7486400000007</v>
      </c>
      <c r="AE460" s="6">
        <f>$K$460*$Y$460</f>
        <v>0</v>
      </c>
      <c r="AF460" s="6">
        <f ca="1">$M$460*$Z$460</f>
        <v>4003.557146579114</v>
      </c>
      <c r="AG460" s="6">
        <f>$O$460*$AA$460</f>
        <v>3954.4404255290483</v>
      </c>
    </row>
    <row r="461" spans="1:33" ht="11.25" customHeight="1" x14ac:dyDescent="0.25">
      <c r="A461" s="4" t="s">
        <v>21</v>
      </c>
      <c r="B461" s="4" t="s">
        <v>22</v>
      </c>
      <c r="C461" s="4" t="s">
        <v>23</v>
      </c>
      <c r="D461" s="4" t="s">
        <v>24</v>
      </c>
      <c r="E461" s="4" t="s">
        <v>31</v>
      </c>
      <c r="F461" s="4" t="s">
        <v>25</v>
      </c>
      <c r="G461" s="4" t="s">
        <v>25</v>
      </c>
      <c r="H461" s="4" t="s">
        <v>25</v>
      </c>
      <c r="I461" s="5">
        <v>44348</v>
      </c>
      <c r="J461" s="6">
        <v>0</v>
      </c>
      <c r="K461" s="6">
        <v>0</v>
      </c>
      <c r="L461" s="6">
        <v>24.350999999999999</v>
      </c>
      <c r="M461" s="6">
        <v>24.350999999999999</v>
      </c>
      <c r="N461" s="6">
        <v>24.350999999999999</v>
      </c>
      <c r="O461" s="6">
        <v>24.350999999999999</v>
      </c>
      <c r="P461" s="6">
        <v>315</v>
      </c>
      <c r="Q461" s="4" t="s">
        <v>26</v>
      </c>
      <c r="R461" s="4">
        <v>0</v>
      </c>
      <c r="S461" s="6">
        <v>0</v>
      </c>
      <c r="T461" s="6">
        <v>19</v>
      </c>
      <c r="U461" s="6">
        <v>56</v>
      </c>
      <c r="V461" s="6">
        <f>IF(ISERROR(VLOOKUP($S$461,'TAR FIN'!$A$1:$O$85,15,0)),0,VLOOKUP($S$461,'TAR FIN'!$A$1:$O$85,15,0))</f>
        <v>0</v>
      </c>
      <c r="W461" s="6">
        <f>IF(ISERROR(VLOOKUP($T$461,'TAR FIN'!$A$1:$O$85,15,0)),0,VLOOKUP($T$461,'TAR FIN'!$A$1:$O$85,15,0))</f>
        <v>186.4</v>
      </c>
      <c r="X461" s="6">
        <f>IF(ISERROR(VLOOKUP($U$461,'TAR FIN'!$A$1:$O$85,15,0)),0,VLOOKUP($U$461,'TAR FIN'!$A$1:$O$85,15,0))</f>
        <v>236.96</v>
      </c>
      <c r="Y461" s="6"/>
      <c r="Z461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461" s="6">
        <f>('TE BE'!$AA$13+'TE BF'!$AA$13+'TE CVA'!$AA$13)*(1-CUSTOS!$M$36)</f>
        <v>189.5795783848242</v>
      </c>
      <c r="AB461" s="6">
        <f>$K$461*$V$461</f>
        <v>0</v>
      </c>
      <c r="AC461" s="6">
        <f>$M$461*$W$461</f>
        <v>4539.0263999999997</v>
      </c>
      <c r="AD461" s="6">
        <f>$O$461*$X$461</f>
        <v>5770.2129599999998</v>
      </c>
      <c r="AE461" s="6">
        <f>$K$461*$Y$461</f>
        <v>0</v>
      </c>
      <c r="AF461" s="6">
        <f ca="1">$M$461*$Z$461</f>
        <v>4673.7916523490094</v>
      </c>
      <c r="AG461" s="6">
        <f>$O$461*$AA$461</f>
        <v>4616.4523132488539</v>
      </c>
    </row>
    <row r="462" spans="1:33" ht="11.25" customHeight="1" x14ac:dyDescent="0.25">
      <c r="A462" s="4" t="s">
        <v>21</v>
      </c>
      <c r="B462" s="4" t="s">
        <v>22</v>
      </c>
      <c r="C462" s="4" t="s">
        <v>23</v>
      </c>
      <c r="D462" s="4" t="s">
        <v>24</v>
      </c>
      <c r="E462" s="4" t="s">
        <v>31</v>
      </c>
      <c r="F462" s="4" t="s">
        <v>25</v>
      </c>
      <c r="G462" s="4" t="s">
        <v>25</v>
      </c>
      <c r="H462" s="4" t="s">
        <v>25</v>
      </c>
      <c r="I462" s="5">
        <v>44378</v>
      </c>
      <c r="J462" s="6">
        <v>0</v>
      </c>
      <c r="K462" s="6">
        <v>0</v>
      </c>
      <c r="L462" s="6">
        <v>26.155999999999999</v>
      </c>
      <c r="M462" s="6">
        <v>26.155999999999999</v>
      </c>
      <c r="N462" s="6">
        <v>26.155999999999999</v>
      </c>
      <c r="O462" s="6">
        <v>26.155999999999999</v>
      </c>
      <c r="P462" s="6">
        <v>304</v>
      </c>
      <c r="Q462" s="4" t="s">
        <v>26</v>
      </c>
      <c r="R462" s="4">
        <v>0</v>
      </c>
      <c r="S462" s="6">
        <v>0</v>
      </c>
      <c r="T462" s="6">
        <v>19</v>
      </c>
      <c r="U462" s="6">
        <v>56</v>
      </c>
      <c r="V462" s="6">
        <f>IF(ISERROR(VLOOKUP($S$462,'TAR FIN'!$A$1:$O$85,15,0)),0,VLOOKUP($S$462,'TAR FIN'!$A$1:$O$85,15,0))</f>
        <v>0</v>
      </c>
      <c r="W462" s="6">
        <f>IF(ISERROR(VLOOKUP($T$462,'TAR FIN'!$A$1:$O$85,15,0)),0,VLOOKUP($T$462,'TAR FIN'!$A$1:$O$85,15,0))</f>
        <v>186.4</v>
      </c>
      <c r="X462" s="6">
        <f>IF(ISERROR(VLOOKUP($U$462,'TAR FIN'!$A$1:$O$85,15,0)),0,VLOOKUP($U$462,'TAR FIN'!$A$1:$O$85,15,0))</f>
        <v>236.96</v>
      </c>
      <c r="Y462" s="6"/>
      <c r="Z462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462" s="6">
        <f>('TE BE'!$AA$13+'TE BF'!$AA$13+'TE CVA'!$AA$13)*(1-CUSTOS!$M$36)</f>
        <v>189.5795783848242</v>
      </c>
      <c r="AB462" s="6">
        <f>$K$462*$V$462</f>
        <v>0</v>
      </c>
      <c r="AC462" s="6">
        <f>$M$462*$W$462</f>
        <v>4875.4784</v>
      </c>
      <c r="AD462" s="6">
        <f>$O$462*$X$462</f>
        <v>6197.9257600000001</v>
      </c>
      <c r="AE462" s="6">
        <f>$K$462*$Y$462</f>
        <v>0</v>
      </c>
      <c r="AF462" s="6">
        <f ca="1">$M$462*$Z$462</f>
        <v>5020.233027754125</v>
      </c>
      <c r="AG462" s="6">
        <f>$O$462*$AA$462</f>
        <v>4958.6434522334612</v>
      </c>
    </row>
    <row r="463" spans="1:33" ht="11.25" customHeight="1" x14ac:dyDescent="0.25">
      <c r="A463" s="4" t="s">
        <v>27</v>
      </c>
      <c r="B463" s="4" t="s">
        <v>22</v>
      </c>
      <c r="C463" s="4" t="s">
        <v>23</v>
      </c>
      <c r="D463" s="4" t="s">
        <v>24</v>
      </c>
      <c r="E463" s="4" t="s">
        <v>31</v>
      </c>
      <c r="F463" s="4" t="s">
        <v>25</v>
      </c>
      <c r="G463" s="4" t="s">
        <v>25</v>
      </c>
      <c r="H463" s="4" t="s">
        <v>25</v>
      </c>
      <c r="I463" s="5">
        <v>44378</v>
      </c>
      <c r="J463" s="6">
        <v>0</v>
      </c>
      <c r="K463" s="6">
        <v>0</v>
      </c>
      <c r="L463" s="6">
        <v>-8.8999999999999996E-2</v>
      </c>
      <c r="M463" s="6">
        <v>-8.8999999999999996E-2</v>
      </c>
      <c r="N463" s="6">
        <v>-8.8999999999999996E-2</v>
      </c>
      <c r="O463" s="6">
        <v>-8.8999999999999996E-2</v>
      </c>
      <c r="P463" s="6">
        <v>0</v>
      </c>
      <c r="Q463" s="4" t="s">
        <v>26</v>
      </c>
      <c r="R463" s="4">
        <v>0</v>
      </c>
      <c r="S463" s="6">
        <v>0</v>
      </c>
      <c r="T463" s="6">
        <v>19</v>
      </c>
      <c r="U463" s="6">
        <v>56</v>
      </c>
      <c r="V463" s="6">
        <f>IF(ISERROR(VLOOKUP($S$463,'TAR FIN'!$A$1:$O$85,15,0)),0,VLOOKUP($S$463,'TAR FIN'!$A$1:$O$85,15,0))</f>
        <v>0</v>
      </c>
      <c r="W463" s="6">
        <f>IF(ISERROR(VLOOKUP($T$463,'TAR FIN'!$A$1:$O$85,15,0)),0,VLOOKUP($T$463,'TAR FIN'!$A$1:$O$85,15,0))</f>
        <v>186.4</v>
      </c>
      <c r="X463" s="6">
        <f>IF(ISERROR(VLOOKUP($U$463,'TAR FIN'!$A$1:$O$85,15,0)),0,VLOOKUP($U$463,'TAR FIN'!$A$1:$O$85,15,0))</f>
        <v>236.96</v>
      </c>
      <c r="Y463" s="6"/>
      <c r="Z463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463" s="6">
        <f>('TE BE'!$AA$13+'TE BF'!$AA$13+'TE CVA'!$AA$13)*(1-CUSTOS!$M$36)</f>
        <v>189.5795783848242</v>
      </c>
      <c r="AB463" s="6">
        <f>$K$463*$V$463</f>
        <v>0</v>
      </c>
      <c r="AC463" s="6">
        <f>$M$463*$W$463</f>
        <v>-16.589600000000001</v>
      </c>
      <c r="AD463" s="6">
        <f>$O$463*$X$463</f>
        <v>-21.08944</v>
      </c>
      <c r="AE463" s="6">
        <f>$K$463*$Y$463</f>
        <v>0</v>
      </c>
      <c r="AF463" s="6">
        <f ca="1">$M$463*$Z$463</f>
        <v>-17.082150920252221</v>
      </c>
      <c r="AG463" s="6">
        <f>$O$463*$AA$463</f>
        <v>-16.872582476249352</v>
      </c>
    </row>
    <row r="464" spans="1:33" ht="11.25" customHeight="1" x14ac:dyDescent="0.25">
      <c r="A464" s="4" t="s">
        <v>21</v>
      </c>
      <c r="B464" s="4" t="s">
        <v>22</v>
      </c>
      <c r="C464" s="4" t="s">
        <v>23</v>
      </c>
      <c r="D464" s="4" t="s">
        <v>24</v>
      </c>
      <c r="E464" s="4" t="s">
        <v>31</v>
      </c>
      <c r="F464" s="4" t="s">
        <v>25</v>
      </c>
      <c r="G464" s="4" t="s">
        <v>25</v>
      </c>
      <c r="H464" s="4" t="s">
        <v>25</v>
      </c>
      <c r="I464" s="5">
        <v>44409</v>
      </c>
      <c r="J464" s="6">
        <v>0</v>
      </c>
      <c r="K464" s="6">
        <v>0</v>
      </c>
      <c r="L464" s="6">
        <v>23.449000000000002</v>
      </c>
      <c r="M464" s="6">
        <v>23.449000000000002</v>
      </c>
      <c r="N464" s="6">
        <v>23.449000000000002</v>
      </c>
      <c r="O464" s="6">
        <v>23.449000000000002</v>
      </c>
      <c r="P464" s="6">
        <v>297</v>
      </c>
      <c r="Q464" s="4" t="s">
        <v>26</v>
      </c>
      <c r="R464" s="4">
        <v>0</v>
      </c>
      <c r="S464" s="6">
        <v>0</v>
      </c>
      <c r="T464" s="6">
        <v>19</v>
      </c>
      <c r="U464" s="6">
        <v>56</v>
      </c>
      <c r="V464" s="6">
        <f>IF(ISERROR(VLOOKUP($S$464,'TAR FIN'!$A$1:$O$85,15,0)),0,VLOOKUP($S$464,'TAR FIN'!$A$1:$O$85,15,0))</f>
        <v>0</v>
      </c>
      <c r="W464" s="6">
        <f>IF(ISERROR(VLOOKUP($T$464,'TAR FIN'!$A$1:$O$85,15,0)),0,VLOOKUP($T$464,'TAR FIN'!$A$1:$O$85,15,0))</f>
        <v>186.4</v>
      </c>
      <c r="X464" s="6">
        <f>IF(ISERROR(VLOOKUP($U$464,'TAR FIN'!$A$1:$O$85,15,0)),0,VLOOKUP($U$464,'TAR FIN'!$A$1:$O$85,15,0))</f>
        <v>236.96</v>
      </c>
      <c r="Y464" s="6"/>
      <c r="Z464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464" s="6">
        <f>('TE BE'!$AA$13+'TE BF'!$AA$13+'TE CVA'!$AA$13)*(1-CUSTOS!$M$36)</f>
        <v>189.5795783848242</v>
      </c>
      <c r="AB464" s="6">
        <f>$K$464*$V$464</f>
        <v>0</v>
      </c>
      <c r="AC464" s="6">
        <f>$M$464*$W$464</f>
        <v>4370.8936000000003</v>
      </c>
      <c r="AD464" s="6">
        <f>$O$464*$X$464</f>
        <v>5556.4750400000003</v>
      </c>
      <c r="AE464" s="6">
        <f>$K$464*$Y$464</f>
        <v>0</v>
      </c>
      <c r="AF464" s="6">
        <f ca="1">$M$464*$Z$464</f>
        <v>4500.6669317864535</v>
      </c>
      <c r="AG464" s="6">
        <f>$O$464*$AA$464</f>
        <v>4445.4515335457427</v>
      </c>
    </row>
    <row r="465" spans="1:33" ht="11.25" customHeight="1" x14ac:dyDescent="0.25">
      <c r="A465" s="4" t="s">
        <v>21</v>
      </c>
      <c r="B465" s="4" t="s">
        <v>22</v>
      </c>
      <c r="C465" s="4" t="s">
        <v>23</v>
      </c>
      <c r="D465" s="4" t="s">
        <v>24</v>
      </c>
      <c r="E465" s="4" t="s">
        <v>31</v>
      </c>
      <c r="F465" s="4" t="s">
        <v>25</v>
      </c>
      <c r="G465" s="4" t="s">
        <v>25</v>
      </c>
      <c r="H465" s="4" t="s">
        <v>25</v>
      </c>
      <c r="I465" s="5">
        <v>44440</v>
      </c>
      <c r="J465" s="6">
        <v>0</v>
      </c>
      <c r="K465" s="6">
        <v>0</v>
      </c>
      <c r="L465" s="6">
        <v>27.283000000000001</v>
      </c>
      <c r="M465" s="6">
        <v>27.283000000000001</v>
      </c>
      <c r="N465" s="6">
        <v>27.283000000000001</v>
      </c>
      <c r="O465" s="6">
        <v>27.283000000000001</v>
      </c>
      <c r="P465" s="6">
        <v>299</v>
      </c>
      <c r="Q465" s="4" t="s">
        <v>26</v>
      </c>
      <c r="R465" s="4">
        <v>0</v>
      </c>
      <c r="S465" s="6">
        <v>0</v>
      </c>
      <c r="T465" s="6">
        <v>19</v>
      </c>
      <c r="U465" s="6">
        <v>56</v>
      </c>
      <c r="V465" s="6">
        <f>IF(ISERROR(VLOOKUP($S$465,'TAR FIN'!$A$1:$O$85,15,0)),0,VLOOKUP($S$465,'TAR FIN'!$A$1:$O$85,15,0))</f>
        <v>0</v>
      </c>
      <c r="W465" s="6">
        <f>IF(ISERROR(VLOOKUP($T$465,'TAR FIN'!$A$1:$O$85,15,0)),0,VLOOKUP($T$465,'TAR FIN'!$A$1:$O$85,15,0))</f>
        <v>186.4</v>
      </c>
      <c r="X465" s="6">
        <f>IF(ISERROR(VLOOKUP($U$465,'TAR FIN'!$A$1:$O$85,15,0)),0,VLOOKUP($U$465,'TAR FIN'!$A$1:$O$85,15,0))</f>
        <v>236.96</v>
      </c>
      <c r="Y465" s="6"/>
      <c r="Z465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465" s="6">
        <f>('TE BE'!$AA$13+'TE BF'!$AA$13+'TE CVA'!$AA$13)*(1-CUSTOS!$M$36)</f>
        <v>189.5795783848242</v>
      </c>
      <c r="AB465" s="6">
        <f>$K$465*$V$465</f>
        <v>0</v>
      </c>
      <c r="AC465" s="6">
        <f>$M$465*$W$465</f>
        <v>5085.5512000000008</v>
      </c>
      <c r="AD465" s="6">
        <f>$O$465*$X$465</f>
        <v>6464.9796800000004</v>
      </c>
      <c r="AE465" s="6">
        <f>$K$465*$Y$465</f>
        <v>0</v>
      </c>
      <c r="AF465" s="6">
        <f ca="1">$M$465*$Z$465</f>
        <v>5236.5429613173192</v>
      </c>
      <c r="AG465" s="6">
        <f>$O$465*$AA$465</f>
        <v>5172.2996370731589</v>
      </c>
    </row>
    <row r="466" spans="1:33" ht="11.25" customHeight="1" x14ac:dyDescent="0.25">
      <c r="A466" s="4" t="s">
        <v>21</v>
      </c>
      <c r="B466" s="4" t="s">
        <v>22</v>
      </c>
      <c r="C466" s="4" t="s">
        <v>23</v>
      </c>
      <c r="D466" s="4" t="s">
        <v>24</v>
      </c>
      <c r="E466" s="4" t="s">
        <v>31</v>
      </c>
      <c r="F466" s="4" t="s">
        <v>25</v>
      </c>
      <c r="G466" s="4" t="s">
        <v>25</v>
      </c>
      <c r="H466" s="4" t="s">
        <v>25</v>
      </c>
      <c r="I466" s="5">
        <v>44470</v>
      </c>
      <c r="J466" s="6">
        <v>0</v>
      </c>
      <c r="K466" s="6">
        <v>0</v>
      </c>
      <c r="L466" s="6">
        <v>32.040999999999997</v>
      </c>
      <c r="M466" s="6">
        <v>32.040999999999997</v>
      </c>
      <c r="N466" s="6">
        <v>32.040999999999997</v>
      </c>
      <c r="O466" s="6">
        <v>32.040999999999997</v>
      </c>
      <c r="P466" s="6">
        <v>305</v>
      </c>
      <c r="Q466" s="4" t="s">
        <v>26</v>
      </c>
      <c r="R466" s="4">
        <v>0</v>
      </c>
      <c r="S466" s="6">
        <v>0</v>
      </c>
      <c r="T466" s="6">
        <v>19</v>
      </c>
      <c r="U466" s="6">
        <v>56</v>
      </c>
      <c r="V466" s="6">
        <f>IF(ISERROR(VLOOKUP($S$466,'TAR FIN'!$A$1:$O$85,15,0)),0,VLOOKUP($S$466,'TAR FIN'!$A$1:$O$85,15,0))</f>
        <v>0</v>
      </c>
      <c r="W466" s="6">
        <f>IF(ISERROR(VLOOKUP($T$466,'TAR FIN'!$A$1:$O$85,15,0)),0,VLOOKUP($T$466,'TAR FIN'!$A$1:$O$85,15,0))</f>
        <v>186.4</v>
      </c>
      <c r="X466" s="6">
        <f>IF(ISERROR(VLOOKUP($U$466,'TAR FIN'!$A$1:$O$85,15,0)),0,VLOOKUP($U$466,'TAR FIN'!$A$1:$O$85,15,0))</f>
        <v>236.96</v>
      </c>
      <c r="Y466" s="6"/>
      <c r="Z466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466" s="6">
        <f>('TE BE'!$AA$13+'TE BF'!$AA$13+'TE CVA'!$AA$13)*(1-CUSTOS!$M$36)</f>
        <v>189.5795783848242</v>
      </c>
      <c r="AB466" s="6">
        <f>$K$466*$V$466</f>
        <v>0</v>
      </c>
      <c r="AC466" s="6">
        <f>$M$466*$W$466</f>
        <v>5972.4423999999999</v>
      </c>
      <c r="AD466" s="6">
        <f>$O$466*$X$466</f>
        <v>7592.4353599999995</v>
      </c>
      <c r="AE466" s="6">
        <f>$K$466*$Y$466</f>
        <v>0</v>
      </c>
      <c r="AF466" s="6">
        <f ca="1">$M$466*$Z$466</f>
        <v>6149.7662655708018</v>
      </c>
      <c r="AG466" s="6">
        <f>$O$466*$AA$466</f>
        <v>6074.3192710281519</v>
      </c>
    </row>
    <row r="467" spans="1:33" ht="11.25" customHeight="1" x14ac:dyDescent="0.25">
      <c r="A467" s="4" t="s">
        <v>21</v>
      </c>
      <c r="B467" s="4" t="s">
        <v>22</v>
      </c>
      <c r="C467" s="4" t="s">
        <v>23</v>
      </c>
      <c r="D467" s="4" t="s">
        <v>24</v>
      </c>
      <c r="E467" s="4" t="s">
        <v>31</v>
      </c>
      <c r="F467" s="4" t="s">
        <v>25</v>
      </c>
      <c r="G467" s="4" t="s">
        <v>25</v>
      </c>
      <c r="H467" s="4" t="s">
        <v>25</v>
      </c>
      <c r="I467" s="5">
        <v>44501</v>
      </c>
      <c r="J467" s="6">
        <v>0</v>
      </c>
      <c r="K467" s="6">
        <v>0</v>
      </c>
      <c r="L467" s="6">
        <v>29.46</v>
      </c>
      <c r="M467" s="6">
        <v>29.46</v>
      </c>
      <c r="N467" s="6">
        <v>29.46</v>
      </c>
      <c r="O467" s="6">
        <v>29.46</v>
      </c>
      <c r="P467" s="6">
        <v>313</v>
      </c>
      <c r="Q467" s="4" t="s">
        <v>26</v>
      </c>
      <c r="R467" s="4">
        <v>0</v>
      </c>
      <c r="S467" s="6">
        <v>0</v>
      </c>
      <c r="T467" s="6">
        <v>19</v>
      </c>
      <c r="U467" s="6">
        <v>56</v>
      </c>
      <c r="V467" s="6">
        <f>IF(ISERROR(VLOOKUP($S$467,'TAR FIN'!$A$1:$O$85,15,0)),0,VLOOKUP($S$467,'TAR FIN'!$A$1:$O$85,15,0))</f>
        <v>0</v>
      </c>
      <c r="W467" s="6">
        <f>IF(ISERROR(VLOOKUP($T$467,'TAR FIN'!$A$1:$O$85,15,0)),0,VLOOKUP($T$467,'TAR FIN'!$A$1:$O$85,15,0))</f>
        <v>186.4</v>
      </c>
      <c r="X467" s="6">
        <f>IF(ISERROR(VLOOKUP($U$467,'TAR FIN'!$A$1:$O$85,15,0)),0,VLOOKUP($U$467,'TAR FIN'!$A$1:$O$85,15,0))</f>
        <v>236.96</v>
      </c>
      <c r="Y467" s="6"/>
      <c r="Z467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467" s="6">
        <f>('TE BE'!$AA$13+'TE BF'!$AA$13+'TE CVA'!$AA$13)*(1-CUSTOS!$M$36)</f>
        <v>189.5795783848242</v>
      </c>
      <c r="AB467" s="6">
        <f>$K$467*$V$467</f>
        <v>0</v>
      </c>
      <c r="AC467" s="6">
        <f>$M$467*$W$467</f>
        <v>5491.3440000000001</v>
      </c>
      <c r="AD467" s="6">
        <f>$O$467*$X$467</f>
        <v>6980.8416000000007</v>
      </c>
      <c r="AE467" s="6">
        <f>$K$467*$Y$467</f>
        <v>0</v>
      </c>
      <c r="AF467" s="6">
        <f ca="1">$M$467*$Z$467</f>
        <v>5654.3838888834889</v>
      </c>
      <c r="AG467" s="6">
        <f>$O$467*$AA$467</f>
        <v>5585.014379216921</v>
      </c>
    </row>
    <row r="468" spans="1:33" ht="11.25" customHeight="1" x14ac:dyDescent="0.25">
      <c r="A468" s="4" t="s">
        <v>21</v>
      </c>
      <c r="B468" s="4" t="s">
        <v>22</v>
      </c>
      <c r="C468" s="4" t="s">
        <v>23</v>
      </c>
      <c r="D468" s="4" t="s">
        <v>24</v>
      </c>
      <c r="E468" s="4" t="s">
        <v>31</v>
      </c>
      <c r="F468" s="4" t="s">
        <v>25</v>
      </c>
      <c r="G468" s="4" t="s">
        <v>25</v>
      </c>
      <c r="H468" s="4" t="s">
        <v>25</v>
      </c>
      <c r="I468" s="5">
        <v>44531</v>
      </c>
      <c r="J468" s="6">
        <v>0</v>
      </c>
      <c r="K468" s="6">
        <v>0</v>
      </c>
      <c r="L468" s="6">
        <v>27.106999999999999</v>
      </c>
      <c r="M468" s="6">
        <v>27.106999999999999</v>
      </c>
      <c r="N468" s="6">
        <v>27.106999999999999</v>
      </c>
      <c r="O468" s="6">
        <v>27.106999999999999</v>
      </c>
      <c r="P468" s="6">
        <v>335</v>
      </c>
      <c r="Q468" s="4" t="s">
        <v>26</v>
      </c>
      <c r="R468" s="4">
        <v>0</v>
      </c>
      <c r="S468" s="6">
        <v>0</v>
      </c>
      <c r="T468" s="6">
        <v>19</v>
      </c>
      <c r="U468" s="6">
        <v>56</v>
      </c>
      <c r="V468" s="6">
        <f>IF(ISERROR(VLOOKUP($S$468,'TAR FIN'!$A$1:$O$85,15,0)),0,VLOOKUP($S$468,'TAR FIN'!$A$1:$O$85,15,0))</f>
        <v>0</v>
      </c>
      <c r="W468" s="6">
        <f>IF(ISERROR(VLOOKUP($T$468,'TAR FIN'!$A$1:$O$85,15,0)),0,VLOOKUP($T$468,'TAR FIN'!$A$1:$O$85,15,0))</f>
        <v>186.4</v>
      </c>
      <c r="X468" s="6">
        <f>IF(ISERROR(VLOOKUP($U$468,'TAR FIN'!$A$1:$O$85,15,0)),0,VLOOKUP($U$468,'TAR FIN'!$A$1:$O$85,15,0))</f>
        <v>236.96</v>
      </c>
      <c r="Y468" s="6"/>
      <c r="Z468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468" s="6">
        <f>('TE BE'!$AA$13+'TE BF'!$AA$13+'TE CVA'!$AA$13)*(1-CUSTOS!$M$36)</f>
        <v>189.5795783848242</v>
      </c>
      <c r="AB468" s="6">
        <f>$K$468*$V$468</f>
        <v>0</v>
      </c>
      <c r="AC468" s="6">
        <f>$M$468*$W$468</f>
        <v>5052.7448000000004</v>
      </c>
      <c r="AD468" s="6">
        <f>$O$468*$X$468</f>
        <v>6423.2747200000003</v>
      </c>
      <c r="AE468" s="6">
        <f>$K$468*$Y$468</f>
        <v>0</v>
      </c>
      <c r="AF468" s="6">
        <f ca="1">$M$468*$Z$468</f>
        <v>5202.7625280368202</v>
      </c>
      <c r="AG468" s="6">
        <f>$O$468*$AA$468</f>
        <v>5138.9336312774294</v>
      </c>
    </row>
    <row r="469" spans="1:33" ht="11.25" customHeight="1" x14ac:dyDescent="0.25">
      <c r="A469" s="4" t="s">
        <v>21</v>
      </c>
      <c r="B469" s="4" t="s">
        <v>22</v>
      </c>
      <c r="C469" s="4" t="s">
        <v>23</v>
      </c>
      <c r="D469" s="4" t="s">
        <v>24</v>
      </c>
      <c r="E469" s="4" t="s">
        <v>31</v>
      </c>
      <c r="F469" s="4" t="s">
        <v>25</v>
      </c>
      <c r="G469" s="4" t="s">
        <v>25</v>
      </c>
      <c r="H469" s="4" t="s">
        <v>25</v>
      </c>
      <c r="I469" s="5">
        <v>44562</v>
      </c>
      <c r="J469" s="6">
        <v>0</v>
      </c>
      <c r="K469" s="6">
        <v>0</v>
      </c>
      <c r="L469" s="6">
        <v>30.98</v>
      </c>
      <c r="M469" s="6">
        <v>30.98</v>
      </c>
      <c r="N469" s="6">
        <v>30.98</v>
      </c>
      <c r="O469" s="6">
        <v>30.98</v>
      </c>
      <c r="P469" s="6">
        <v>318</v>
      </c>
      <c r="Q469" s="4" t="s">
        <v>26</v>
      </c>
      <c r="R469" s="4">
        <v>0</v>
      </c>
      <c r="S469" s="6">
        <v>0</v>
      </c>
      <c r="T469" s="6">
        <v>19</v>
      </c>
      <c r="U469" s="6">
        <v>56</v>
      </c>
      <c r="V469" s="6">
        <f>IF(ISERROR(VLOOKUP($S$469,'TAR FIN'!$A$1:$O$85,15,0)),0,VLOOKUP($S$469,'TAR FIN'!$A$1:$O$85,15,0))</f>
        <v>0</v>
      </c>
      <c r="W469" s="6">
        <f>IF(ISERROR(VLOOKUP($T$469,'TAR FIN'!$A$1:$O$85,15,0)),0,VLOOKUP($T$469,'TAR FIN'!$A$1:$O$85,15,0))</f>
        <v>186.4</v>
      </c>
      <c r="X469" s="6">
        <f>IF(ISERROR(VLOOKUP($U$469,'TAR FIN'!$A$1:$O$85,15,0)),0,VLOOKUP($U$469,'TAR FIN'!$A$1:$O$85,15,0))</f>
        <v>236.96</v>
      </c>
      <c r="Y469" s="6"/>
      <c r="Z469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469" s="6">
        <f>('TE BE'!$AA$13+'TE BF'!$AA$13+'TE CVA'!$AA$13)*(1-CUSTOS!$M$36)</f>
        <v>189.5795783848242</v>
      </c>
      <c r="AB469" s="6">
        <f>$K$469*$V$469</f>
        <v>0</v>
      </c>
      <c r="AC469" s="6">
        <f>$M$469*$W$469</f>
        <v>5774.6720000000005</v>
      </c>
      <c r="AD469" s="6">
        <f>$O$469*$X$469</f>
        <v>7341.0208000000002</v>
      </c>
      <c r="AE469" s="6">
        <f>$K$469*$Y$469</f>
        <v>0</v>
      </c>
      <c r="AF469" s="6">
        <f ca="1">$M$469*$Z$469</f>
        <v>5946.1239944877962</v>
      </c>
      <c r="AG469" s="6">
        <f>$O$469*$AA$469</f>
        <v>5873.1753383618543</v>
      </c>
    </row>
    <row r="470" spans="1:33" ht="11.25" customHeight="1" x14ac:dyDescent="0.25">
      <c r="A470" s="4" t="s">
        <v>21</v>
      </c>
      <c r="B470" s="4" t="s">
        <v>22</v>
      </c>
      <c r="C470" s="4" t="s">
        <v>23</v>
      </c>
      <c r="D470" s="4" t="s">
        <v>24</v>
      </c>
      <c r="E470" s="4" t="s">
        <v>31</v>
      </c>
      <c r="F470" s="4" t="s">
        <v>25</v>
      </c>
      <c r="G470" s="4" t="s">
        <v>25</v>
      </c>
      <c r="H470" s="4" t="s">
        <v>25</v>
      </c>
      <c r="I470" s="5">
        <v>44593</v>
      </c>
      <c r="J470" s="6">
        <v>0</v>
      </c>
      <c r="K470" s="6">
        <v>0</v>
      </c>
      <c r="L470" s="6">
        <v>33.667999999999999</v>
      </c>
      <c r="M470" s="6">
        <v>33.667999999999999</v>
      </c>
      <c r="N470" s="6">
        <v>33.667999999999999</v>
      </c>
      <c r="O470" s="6">
        <v>33.667999999999999</v>
      </c>
      <c r="P470" s="6">
        <v>361</v>
      </c>
      <c r="Q470" s="4" t="s">
        <v>26</v>
      </c>
      <c r="R470" s="4">
        <v>0</v>
      </c>
      <c r="S470" s="6">
        <v>0</v>
      </c>
      <c r="T470" s="6">
        <v>19</v>
      </c>
      <c r="U470" s="6">
        <v>56</v>
      </c>
      <c r="V470" s="6">
        <f>IF(ISERROR(VLOOKUP($S$470,'TAR FIN'!$A$1:$O$85,15,0)),0,VLOOKUP($S$470,'TAR FIN'!$A$1:$O$85,15,0))</f>
        <v>0</v>
      </c>
      <c r="W470" s="6">
        <f>IF(ISERROR(VLOOKUP($T$470,'TAR FIN'!$A$1:$O$85,15,0)),0,VLOOKUP($T$470,'TAR FIN'!$A$1:$O$85,15,0))</f>
        <v>186.4</v>
      </c>
      <c r="X470" s="6">
        <f>IF(ISERROR(VLOOKUP($U$470,'TAR FIN'!$A$1:$O$85,15,0)),0,VLOOKUP($U$470,'TAR FIN'!$A$1:$O$85,15,0))</f>
        <v>236.96</v>
      </c>
      <c r="Y470" s="6"/>
      <c r="Z470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470" s="6">
        <f>('TE BE'!$AA$13+'TE BF'!$AA$13+'TE CVA'!$AA$13)*(1-CUSTOS!$M$36)</f>
        <v>189.5795783848242</v>
      </c>
      <c r="AB470" s="6">
        <f>$K$470*$V$470</f>
        <v>0</v>
      </c>
      <c r="AC470" s="6">
        <f>$M$470*$W$470</f>
        <v>6275.7151999999996</v>
      </c>
      <c r="AD470" s="6">
        <f>$O$470*$X$470</f>
        <v>7977.9692800000003</v>
      </c>
      <c r="AE470" s="6">
        <f>$K$470*$Y$470</f>
        <v>0</v>
      </c>
      <c r="AF470" s="6">
        <f ca="1">$M$470*$Z$470</f>
        <v>6462.0433391354136</v>
      </c>
      <c r="AG470" s="6">
        <f>$O$470*$AA$470</f>
        <v>6382.7652450602609</v>
      </c>
    </row>
    <row r="471" spans="1:33" ht="11.25" customHeight="1" x14ac:dyDescent="0.25">
      <c r="A471" s="4" t="s">
        <v>21</v>
      </c>
      <c r="B471" s="4" t="s">
        <v>22</v>
      </c>
      <c r="C471" s="4" t="s">
        <v>23</v>
      </c>
      <c r="D471" s="4" t="s">
        <v>24</v>
      </c>
      <c r="E471" s="4" t="s">
        <v>31</v>
      </c>
      <c r="F471" s="4" t="s">
        <v>25</v>
      </c>
      <c r="G471" s="4" t="s">
        <v>25</v>
      </c>
      <c r="H471" s="4" t="s">
        <v>25</v>
      </c>
      <c r="I471" s="5">
        <v>44621</v>
      </c>
      <c r="J471" s="6">
        <v>0</v>
      </c>
      <c r="K471" s="6">
        <v>0</v>
      </c>
      <c r="L471" s="6">
        <v>50.784999999999997</v>
      </c>
      <c r="M471" s="6">
        <v>50.784999999999997</v>
      </c>
      <c r="N471" s="6">
        <v>50.784999999999997</v>
      </c>
      <c r="O471" s="6">
        <v>50.784999999999997</v>
      </c>
      <c r="P471" s="6">
        <v>505</v>
      </c>
      <c r="Q471" s="4" t="s">
        <v>26</v>
      </c>
      <c r="R471" s="4">
        <v>0</v>
      </c>
      <c r="S471" s="6">
        <v>0</v>
      </c>
      <c r="T471" s="6">
        <v>19</v>
      </c>
      <c r="U471" s="6">
        <v>56</v>
      </c>
      <c r="V471" s="6">
        <f>IF(ISERROR(VLOOKUP($S$471,'TAR FIN'!$A$1:$O$85,15,0)),0,VLOOKUP($S$471,'TAR FIN'!$A$1:$O$85,15,0))</f>
        <v>0</v>
      </c>
      <c r="W471" s="6">
        <f>IF(ISERROR(VLOOKUP($T$471,'TAR FIN'!$A$1:$O$85,15,0)),0,VLOOKUP($T$471,'TAR FIN'!$A$1:$O$85,15,0))</f>
        <v>186.4</v>
      </c>
      <c r="X471" s="6">
        <f>IF(ISERROR(VLOOKUP($U$471,'TAR FIN'!$A$1:$O$85,15,0)),0,VLOOKUP($U$471,'TAR FIN'!$A$1:$O$85,15,0))</f>
        <v>236.96</v>
      </c>
      <c r="Y471" s="6"/>
      <c r="Z471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471" s="6">
        <f>('TE BE'!$AA$13+'TE BF'!$AA$13+'TE CVA'!$AA$13)*(1-CUSTOS!$M$36)</f>
        <v>189.5795783848242</v>
      </c>
      <c r="AB471" s="6">
        <f>$K$471*$V$471</f>
        <v>0</v>
      </c>
      <c r="AC471" s="6">
        <f>$M$471*$W$471</f>
        <v>9466.3240000000005</v>
      </c>
      <c r="AD471" s="6">
        <f>$O$471*$X$471</f>
        <v>12034.0136</v>
      </c>
      <c r="AE471" s="6">
        <f>$K$471*$Y$471</f>
        <v>0</v>
      </c>
      <c r="AF471" s="6">
        <f ca="1">$M$471*$Z$471</f>
        <v>9747.3824099439225</v>
      </c>
      <c r="AG471" s="6">
        <f>$O$471*$AA$471</f>
        <v>9627.7988882732971</v>
      </c>
    </row>
    <row r="472" spans="1:33" ht="11.25" customHeight="1" x14ac:dyDescent="0.25">
      <c r="A472" s="4" t="s">
        <v>21</v>
      </c>
      <c r="B472" s="4" t="s">
        <v>22</v>
      </c>
      <c r="C472" s="4" t="s">
        <v>23</v>
      </c>
      <c r="D472" s="4" t="s">
        <v>24</v>
      </c>
      <c r="E472" s="4" t="s">
        <v>31</v>
      </c>
      <c r="F472" s="4" t="s">
        <v>25</v>
      </c>
      <c r="G472" s="4" t="s">
        <v>25</v>
      </c>
      <c r="H472" s="4" t="s">
        <v>25</v>
      </c>
      <c r="I472" s="5">
        <v>44652</v>
      </c>
      <c r="J472" s="6">
        <v>0</v>
      </c>
      <c r="K472" s="6">
        <v>0</v>
      </c>
      <c r="L472" s="6">
        <v>54.502000000000002</v>
      </c>
      <c r="M472" s="6">
        <v>54.502000000000002</v>
      </c>
      <c r="N472" s="6">
        <v>54.502000000000002</v>
      </c>
      <c r="O472" s="6">
        <v>54.502000000000002</v>
      </c>
      <c r="P472" s="6">
        <v>518</v>
      </c>
      <c r="Q472" s="4" t="s">
        <v>26</v>
      </c>
      <c r="R472" s="4">
        <v>0</v>
      </c>
      <c r="S472" s="6">
        <v>0</v>
      </c>
      <c r="T472" s="6">
        <v>19</v>
      </c>
      <c r="U472" s="6">
        <v>56</v>
      </c>
      <c r="V472" s="6">
        <f>IF(ISERROR(VLOOKUP($S$472,'TAR FIN'!$A$1:$O$85,15,0)),0,VLOOKUP($S$472,'TAR FIN'!$A$1:$O$85,15,0))</f>
        <v>0</v>
      </c>
      <c r="W472" s="6">
        <f>IF(ISERROR(VLOOKUP($T$472,'TAR FIN'!$A$1:$O$85,15,0)),0,VLOOKUP($T$472,'TAR FIN'!$A$1:$O$85,15,0))</f>
        <v>186.4</v>
      </c>
      <c r="X472" s="6">
        <f>IF(ISERROR(VLOOKUP($U$472,'TAR FIN'!$A$1:$O$85,15,0)),0,VLOOKUP($U$472,'TAR FIN'!$A$1:$O$85,15,0))</f>
        <v>236.96</v>
      </c>
      <c r="Y472" s="6"/>
      <c r="Z472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472" s="6">
        <f>('TE BE'!$AA$13+'TE BF'!$AA$13+'TE CVA'!$AA$13)*(1-CUSTOS!$M$36)</f>
        <v>189.5795783848242</v>
      </c>
      <c r="AB472" s="6">
        <f>$K$472*$V$472</f>
        <v>0</v>
      </c>
      <c r="AC472" s="6">
        <f>$M$472*$W$472</f>
        <v>10159.1728</v>
      </c>
      <c r="AD472" s="6">
        <f>$O$472*$X$472</f>
        <v>12914.793920000002</v>
      </c>
      <c r="AE472" s="6">
        <f>$K$472*$Y$472</f>
        <v>0</v>
      </c>
      <c r="AF472" s="6">
        <f ca="1">$M$472*$Z$472</f>
        <v>10460.802128714457</v>
      </c>
      <c r="AG472" s="6">
        <f>$O$472*$AA$472</f>
        <v>10332.466181129688</v>
      </c>
    </row>
    <row r="473" spans="1:33" ht="11.25" customHeight="1" x14ac:dyDescent="0.25">
      <c r="A473" s="4" t="s">
        <v>21</v>
      </c>
      <c r="B473" s="4" t="s">
        <v>22</v>
      </c>
      <c r="C473" s="4" t="s">
        <v>23</v>
      </c>
      <c r="D473" s="4" t="s">
        <v>24</v>
      </c>
      <c r="E473" s="4" t="s">
        <v>32</v>
      </c>
      <c r="F473" s="4" t="s">
        <v>25</v>
      </c>
      <c r="G473" s="4" t="s">
        <v>25</v>
      </c>
      <c r="H473" s="4" t="s">
        <v>25</v>
      </c>
      <c r="I473" s="5">
        <v>44317</v>
      </c>
      <c r="J473" s="6">
        <v>0</v>
      </c>
      <c r="K473" s="6">
        <v>0</v>
      </c>
      <c r="L473" s="6">
        <v>2.774</v>
      </c>
      <c r="M473" s="6">
        <v>2.774</v>
      </c>
      <c r="N473" s="6">
        <v>2.774</v>
      </c>
      <c r="O473" s="6">
        <v>2.774</v>
      </c>
      <c r="P473" s="6">
        <v>46</v>
      </c>
      <c r="Q473" s="4" t="s">
        <v>26</v>
      </c>
      <c r="R473" s="4">
        <v>0</v>
      </c>
      <c r="S473" s="6">
        <v>0</v>
      </c>
      <c r="T473" s="6">
        <v>20</v>
      </c>
      <c r="U473" s="6">
        <v>57</v>
      </c>
      <c r="V473" s="6">
        <f>IF(ISERROR(VLOOKUP($S$473,'TAR FIN'!$A$1:$O$85,15,0)),0,VLOOKUP($S$473,'TAR FIN'!$A$1:$O$85,15,0))</f>
        <v>0</v>
      </c>
      <c r="W473" s="6">
        <f>IF(ISERROR(VLOOKUP($T$473,'TAR FIN'!$A$1:$O$85,15,0)),0,VLOOKUP($T$473,'TAR FIN'!$A$1:$O$85,15,0))</f>
        <v>207.11</v>
      </c>
      <c r="X473" s="6">
        <f>IF(ISERROR(VLOOKUP($U$473,'TAR FIN'!$A$1:$O$85,15,0)),0,VLOOKUP($U$473,'TAR FIN'!$A$1:$O$85,15,0))</f>
        <v>263.29000000000002</v>
      </c>
      <c r="Y473" s="6"/>
      <c r="Z473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473" s="6">
        <f>('TE BE'!$AA$14+'TE BF'!$AA$14+'TE CVA'!$AA$14)*(1-CUSTOS!$M$37)</f>
        <v>210.64397598313801</v>
      </c>
      <c r="AB473" s="6">
        <f>$K$473*$V$473</f>
        <v>0</v>
      </c>
      <c r="AC473" s="6">
        <f>$M$473*$W$473</f>
        <v>574.52314000000001</v>
      </c>
      <c r="AD473" s="6">
        <f>$O$473*$X$473</f>
        <v>730.36646000000007</v>
      </c>
      <c r="AE473" s="6">
        <f>$K$473*$Y$473</f>
        <v>0</v>
      </c>
      <c r="AF473" s="6">
        <f ca="1">$M$473*$Z$473</f>
        <v>591.58410303095707</v>
      </c>
      <c r="AG473" s="6">
        <f>$O$473*$AA$473</f>
        <v>584.32638937722481</v>
      </c>
    </row>
    <row r="474" spans="1:33" ht="11.25" customHeight="1" x14ac:dyDescent="0.25">
      <c r="A474" s="4" t="s">
        <v>21</v>
      </c>
      <c r="B474" s="4" t="s">
        <v>22</v>
      </c>
      <c r="C474" s="4" t="s">
        <v>23</v>
      </c>
      <c r="D474" s="4" t="s">
        <v>24</v>
      </c>
      <c r="E474" s="4" t="s">
        <v>32</v>
      </c>
      <c r="F474" s="4" t="s">
        <v>25</v>
      </c>
      <c r="G474" s="4" t="s">
        <v>25</v>
      </c>
      <c r="H474" s="4" t="s">
        <v>25</v>
      </c>
      <c r="I474" s="5">
        <v>44348</v>
      </c>
      <c r="J474" s="6">
        <v>0</v>
      </c>
      <c r="K474" s="6">
        <v>0</v>
      </c>
      <c r="L474" s="6">
        <v>3.8330000000000002</v>
      </c>
      <c r="M474" s="6">
        <v>3.8330000000000002</v>
      </c>
      <c r="N474" s="6">
        <v>3.8330000000000002</v>
      </c>
      <c r="O474" s="6">
        <v>3.8330000000000002</v>
      </c>
      <c r="P474" s="6">
        <v>60</v>
      </c>
      <c r="Q474" s="4" t="s">
        <v>26</v>
      </c>
      <c r="R474" s="4">
        <v>0</v>
      </c>
      <c r="S474" s="6">
        <v>0</v>
      </c>
      <c r="T474" s="6">
        <v>20</v>
      </c>
      <c r="U474" s="6">
        <v>57</v>
      </c>
      <c r="V474" s="6">
        <f>IF(ISERROR(VLOOKUP($S$474,'TAR FIN'!$A$1:$O$85,15,0)),0,VLOOKUP($S$474,'TAR FIN'!$A$1:$O$85,15,0))</f>
        <v>0</v>
      </c>
      <c r="W474" s="6">
        <f>IF(ISERROR(VLOOKUP($T$474,'TAR FIN'!$A$1:$O$85,15,0)),0,VLOOKUP($T$474,'TAR FIN'!$A$1:$O$85,15,0))</f>
        <v>207.11</v>
      </c>
      <c r="X474" s="6">
        <f>IF(ISERROR(VLOOKUP($U$474,'TAR FIN'!$A$1:$O$85,15,0)),0,VLOOKUP($U$474,'TAR FIN'!$A$1:$O$85,15,0))</f>
        <v>263.29000000000002</v>
      </c>
      <c r="Y474" s="6"/>
      <c r="Z474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474" s="6">
        <f>('TE BE'!$AA$14+'TE BF'!$AA$14+'TE CVA'!$AA$14)*(1-CUSTOS!$M$37)</f>
        <v>210.64397598313801</v>
      </c>
      <c r="AB474" s="6">
        <f>$K$474*$V$474</f>
        <v>0</v>
      </c>
      <c r="AC474" s="6">
        <f>$M$474*$W$474</f>
        <v>793.85263000000009</v>
      </c>
      <c r="AD474" s="6">
        <f>$O$474*$X$474</f>
        <v>1009.1905700000001</v>
      </c>
      <c r="AE474" s="6">
        <f>$K$474*$Y$474</f>
        <v>0</v>
      </c>
      <c r="AF474" s="6">
        <f ca="1">$M$474*$Z$474</f>
        <v>817.42677250095835</v>
      </c>
      <c r="AG474" s="6">
        <f>$O$474*$AA$474</f>
        <v>807.39835994336806</v>
      </c>
    </row>
    <row r="475" spans="1:33" ht="11.25" customHeight="1" x14ac:dyDescent="0.25">
      <c r="A475" s="4" t="s">
        <v>21</v>
      </c>
      <c r="B475" s="4" t="s">
        <v>22</v>
      </c>
      <c r="C475" s="4" t="s">
        <v>23</v>
      </c>
      <c r="D475" s="4" t="s">
        <v>24</v>
      </c>
      <c r="E475" s="4" t="s">
        <v>32</v>
      </c>
      <c r="F475" s="4" t="s">
        <v>25</v>
      </c>
      <c r="G475" s="4" t="s">
        <v>25</v>
      </c>
      <c r="H475" s="4" t="s">
        <v>25</v>
      </c>
      <c r="I475" s="5">
        <v>44378</v>
      </c>
      <c r="J475" s="6">
        <v>0</v>
      </c>
      <c r="K475" s="6">
        <v>0</v>
      </c>
      <c r="L475" s="6">
        <v>4.3470000000000004</v>
      </c>
      <c r="M475" s="6">
        <v>4.3470000000000004</v>
      </c>
      <c r="N475" s="6">
        <v>4.3470000000000004</v>
      </c>
      <c r="O475" s="6">
        <v>4.3470000000000004</v>
      </c>
      <c r="P475" s="6">
        <v>73</v>
      </c>
      <c r="Q475" s="4" t="s">
        <v>26</v>
      </c>
      <c r="R475" s="4">
        <v>0</v>
      </c>
      <c r="S475" s="6">
        <v>0</v>
      </c>
      <c r="T475" s="6">
        <v>20</v>
      </c>
      <c r="U475" s="6">
        <v>57</v>
      </c>
      <c r="V475" s="6">
        <f>IF(ISERROR(VLOOKUP($S$475,'TAR FIN'!$A$1:$O$85,15,0)),0,VLOOKUP($S$475,'TAR FIN'!$A$1:$O$85,15,0))</f>
        <v>0</v>
      </c>
      <c r="W475" s="6">
        <f>IF(ISERROR(VLOOKUP($T$475,'TAR FIN'!$A$1:$O$85,15,0)),0,VLOOKUP($T$475,'TAR FIN'!$A$1:$O$85,15,0))</f>
        <v>207.11</v>
      </c>
      <c r="X475" s="6">
        <f>IF(ISERROR(VLOOKUP($U$475,'TAR FIN'!$A$1:$O$85,15,0)),0,VLOOKUP($U$475,'TAR FIN'!$A$1:$O$85,15,0))</f>
        <v>263.29000000000002</v>
      </c>
      <c r="Y475" s="6"/>
      <c r="Z475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475" s="6">
        <f>('TE BE'!$AA$14+'TE BF'!$AA$14+'TE CVA'!$AA$14)*(1-CUSTOS!$M$37)</f>
        <v>210.64397598313801</v>
      </c>
      <c r="AB475" s="6">
        <f>$K$475*$V$475</f>
        <v>0</v>
      </c>
      <c r="AC475" s="6">
        <f>$M$475*$W$475</f>
        <v>900.30717000000016</v>
      </c>
      <c r="AD475" s="6">
        <f>$O$475*$X$475</f>
        <v>1144.5216300000002</v>
      </c>
      <c r="AE475" s="6">
        <f>$K$475*$Y$475</f>
        <v>0</v>
      </c>
      <c r="AF475" s="6">
        <f ca="1">$M$475*$Z$475</f>
        <v>927.04257241368805</v>
      </c>
      <c r="AG475" s="6">
        <f>$O$475*$AA$475</f>
        <v>915.66936359870101</v>
      </c>
    </row>
    <row r="476" spans="1:33" ht="11.25" customHeight="1" x14ac:dyDescent="0.25">
      <c r="A476" s="4" t="s">
        <v>27</v>
      </c>
      <c r="B476" s="4" t="s">
        <v>22</v>
      </c>
      <c r="C476" s="4" t="s">
        <v>23</v>
      </c>
      <c r="D476" s="4" t="s">
        <v>24</v>
      </c>
      <c r="E476" s="4" t="s">
        <v>32</v>
      </c>
      <c r="F476" s="4" t="s">
        <v>25</v>
      </c>
      <c r="G476" s="4" t="s">
        <v>25</v>
      </c>
      <c r="H476" s="4" t="s">
        <v>25</v>
      </c>
      <c r="I476" s="5">
        <v>44378</v>
      </c>
      <c r="J476" s="6">
        <v>0</v>
      </c>
      <c r="K476" s="6">
        <v>0</v>
      </c>
      <c r="L476" s="6">
        <v>-1.0999999999999999E-2</v>
      </c>
      <c r="M476" s="6">
        <v>-1.0999999999999999E-2</v>
      </c>
      <c r="N476" s="6">
        <v>-1.0999999999999999E-2</v>
      </c>
      <c r="O476" s="6">
        <v>-1.0999999999999999E-2</v>
      </c>
      <c r="P476" s="6">
        <v>0</v>
      </c>
      <c r="Q476" s="4" t="s">
        <v>26</v>
      </c>
      <c r="R476" s="4">
        <v>0</v>
      </c>
      <c r="S476" s="6">
        <v>0</v>
      </c>
      <c r="T476" s="6">
        <v>20</v>
      </c>
      <c r="U476" s="6">
        <v>57</v>
      </c>
      <c r="V476" s="6">
        <f>IF(ISERROR(VLOOKUP($S$476,'TAR FIN'!$A$1:$O$85,15,0)),0,VLOOKUP($S$476,'TAR FIN'!$A$1:$O$85,15,0))</f>
        <v>0</v>
      </c>
      <c r="W476" s="6">
        <f>IF(ISERROR(VLOOKUP($T$476,'TAR FIN'!$A$1:$O$85,15,0)),0,VLOOKUP($T$476,'TAR FIN'!$A$1:$O$85,15,0))</f>
        <v>207.11</v>
      </c>
      <c r="X476" s="6">
        <f>IF(ISERROR(VLOOKUP($U$476,'TAR FIN'!$A$1:$O$85,15,0)),0,VLOOKUP($U$476,'TAR FIN'!$A$1:$O$85,15,0))</f>
        <v>263.29000000000002</v>
      </c>
      <c r="Y476" s="6"/>
      <c r="Z476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476" s="6">
        <f>('TE BE'!$AA$14+'TE BF'!$AA$14+'TE CVA'!$AA$14)*(1-CUSTOS!$M$37)</f>
        <v>210.64397598313801</v>
      </c>
      <c r="AB476" s="6">
        <f>$K$476*$V$476</f>
        <v>0</v>
      </c>
      <c r="AC476" s="6">
        <f>$M$476*$W$476</f>
        <v>-2.2782100000000001</v>
      </c>
      <c r="AD476" s="6">
        <f>$O$476*$X$476</f>
        <v>-2.8961900000000003</v>
      </c>
      <c r="AE476" s="6">
        <f>$K$476*$Y$476</f>
        <v>0</v>
      </c>
      <c r="AF476" s="6">
        <f ca="1">$M$476*$Z$476</f>
        <v>-2.3458634222568593</v>
      </c>
      <c r="AG476" s="6">
        <f>$O$476*$AA$476</f>
        <v>-2.317083735814518</v>
      </c>
    </row>
    <row r="477" spans="1:33" ht="11.25" customHeight="1" x14ac:dyDescent="0.25">
      <c r="A477" s="4" t="s">
        <v>21</v>
      </c>
      <c r="B477" s="4" t="s">
        <v>22</v>
      </c>
      <c r="C477" s="4" t="s">
        <v>23</v>
      </c>
      <c r="D477" s="4" t="s">
        <v>24</v>
      </c>
      <c r="E477" s="4" t="s">
        <v>32</v>
      </c>
      <c r="F477" s="4" t="s">
        <v>25</v>
      </c>
      <c r="G477" s="4" t="s">
        <v>25</v>
      </c>
      <c r="H477" s="4" t="s">
        <v>25</v>
      </c>
      <c r="I477" s="5">
        <v>44409</v>
      </c>
      <c r="J477" s="6">
        <v>0</v>
      </c>
      <c r="K477" s="6">
        <v>0</v>
      </c>
      <c r="L477" s="6">
        <v>4.085</v>
      </c>
      <c r="M477" s="6">
        <v>4.085</v>
      </c>
      <c r="N477" s="6">
        <v>4.085</v>
      </c>
      <c r="O477" s="6">
        <v>4.085</v>
      </c>
      <c r="P477" s="6">
        <v>64</v>
      </c>
      <c r="Q477" s="4" t="s">
        <v>26</v>
      </c>
      <c r="R477" s="4">
        <v>0</v>
      </c>
      <c r="S477" s="6">
        <v>0</v>
      </c>
      <c r="T477" s="6">
        <v>20</v>
      </c>
      <c r="U477" s="6">
        <v>57</v>
      </c>
      <c r="V477" s="6">
        <f>IF(ISERROR(VLOOKUP($S$477,'TAR FIN'!$A$1:$O$85,15,0)),0,VLOOKUP($S$477,'TAR FIN'!$A$1:$O$85,15,0))</f>
        <v>0</v>
      </c>
      <c r="W477" s="6">
        <f>IF(ISERROR(VLOOKUP($T$477,'TAR FIN'!$A$1:$O$85,15,0)),0,VLOOKUP($T$477,'TAR FIN'!$A$1:$O$85,15,0))</f>
        <v>207.11</v>
      </c>
      <c r="X477" s="6">
        <f>IF(ISERROR(VLOOKUP($U$477,'TAR FIN'!$A$1:$O$85,15,0)),0,VLOOKUP($U$477,'TAR FIN'!$A$1:$O$85,15,0))</f>
        <v>263.29000000000002</v>
      </c>
      <c r="Y477" s="6"/>
      <c r="Z477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477" s="6">
        <f>('TE BE'!$AA$14+'TE BF'!$AA$14+'TE CVA'!$AA$14)*(1-CUSTOS!$M$37)</f>
        <v>210.64397598313801</v>
      </c>
      <c r="AB477" s="6">
        <f>$K$477*$V$477</f>
        <v>0</v>
      </c>
      <c r="AC477" s="6">
        <f>$M$477*$W$477</f>
        <v>846.04435000000001</v>
      </c>
      <c r="AD477" s="6">
        <f>$O$477*$X$477</f>
        <v>1075.5396500000002</v>
      </c>
      <c r="AE477" s="6">
        <f>$K$477*$Y$477</f>
        <v>0</v>
      </c>
      <c r="AF477" s="6">
        <f ca="1">$M$477*$Z$477</f>
        <v>871.16837090175181</v>
      </c>
      <c r="AG477" s="6">
        <f>$O$477*$AA$477</f>
        <v>860.48064189111869</v>
      </c>
    </row>
    <row r="478" spans="1:33" ht="11.25" customHeight="1" x14ac:dyDescent="0.25">
      <c r="A478" s="4" t="s">
        <v>21</v>
      </c>
      <c r="B478" s="4" t="s">
        <v>22</v>
      </c>
      <c r="C478" s="4" t="s">
        <v>23</v>
      </c>
      <c r="D478" s="4" t="s">
        <v>24</v>
      </c>
      <c r="E478" s="4" t="s">
        <v>32</v>
      </c>
      <c r="F478" s="4" t="s">
        <v>25</v>
      </c>
      <c r="G478" s="4" t="s">
        <v>25</v>
      </c>
      <c r="H478" s="4" t="s">
        <v>25</v>
      </c>
      <c r="I478" s="5">
        <v>44440</v>
      </c>
      <c r="J478" s="6">
        <v>0</v>
      </c>
      <c r="K478" s="6">
        <v>0</v>
      </c>
      <c r="L478" s="6">
        <v>5.5570000000000004</v>
      </c>
      <c r="M478" s="6">
        <v>5.5570000000000004</v>
      </c>
      <c r="N478" s="6">
        <v>5.5570000000000004</v>
      </c>
      <c r="O478" s="6">
        <v>5.5570000000000004</v>
      </c>
      <c r="P478" s="6">
        <v>85</v>
      </c>
      <c r="Q478" s="4" t="s">
        <v>26</v>
      </c>
      <c r="R478" s="4">
        <v>0</v>
      </c>
      <c r="S478" s="6">
        <v>0</v>
      </c>
      <c r="T478" s="6">
        <v>20</v>
      </c>
      <c r="U478" s="6">
        <v>57</v>
      </c>
      <c r="V478" s="6">
        <f>IF(ISERROR(VLOOKUP($S$478,'TAR FIN'!$A$1:$O$85,15,0)),0,VLOOKUP($S$478,'TAR FIN'!$A$1:$O$85,15,0))</f>
        <v>0</v>
      </c>
      <c r="W478" s="6">
        <f>IF(ISERROR(VLOOKUP($T$478,'TAR FIN'!$A$1:$O$85,15,0)),0,VLOOKUP($T$478,'TAR FIN'!$A$1:$O$85,15,0))</f>
        <v>207.11</v>
      </c>
      <c r="X478" s="6">
        <f>IF(ISERROR(VLOOKUP($U$478,'TAR FIN'!$A$1:$O$85,15,0)),0,VLOOKUP($U$478,'TAR FIN'!$A$1:$O$85,15,0))</f>
        <v>263.29000000000002</v>
      </c>
      <c r="Y478" s="6"/>
      <c r="Z478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478" s="6">
        <f>('TE BE'!$AA$14+'TE BF'!$AA$14+'TE CVA'!$AA$14)*(1-CUSTOS!$M$37)</f>
        <v>210.64397598313801</v>
      </c>
      <c r="AB478" s="6">
        <f>$K$478*$V$478</f>
        <v>0</v>
      </c>
      <c r="AC478" s="6">
        <f>$M$478*$W$478</f>
        <v>1150.9102700000001</v>
      </c>
      <c r="AD478" s="6">
        <f>$O$478*$X$478</f>
        <v>1463.1025300000001</v>
      </c>
      <c r="AE478" s="6">
        <f>$K$478*$Y$478</f>
        <v>0</v>
      </c>
      <c r="AF478" s="6">
        <f ca="1">$M$478*$Z$478</f>
        <v>1185.0875488619427</v>
      </c>
      <c r="AG478" s="6">
        <f>$O$478*$AA$478</f>
        <v>1170.548574538298</v>
      </c>
    </row>
    <row r="479" spans="1:33" ht="11.25" customHeight="1" x14ac:dyDescent="0.25">
      <c r="A479" s="4" t="s">
        <v>21</v>
      </c>
      <c r="B479" s="4" t="s">
        <v>22</v>
      </c>
      <c r="C479" s="4" t="s">
        <v>23</v>
      </c>
      <c r="D479" s="4" t="s">
        <v>24</v>
      </c>
      <c r="E479" s="4" t="s">
        <v>32</v>
      </c>
      <c r="F479" s="4" t="s">
        <v>25</v>
      </c>
      <c r="G479" s="4" t="s">
        <v>25</v>
      </c>
      <c r="H479" s="4" t="s">
        <v>25</v>
      </c>
      <c r="I479" s="5">
        <v>44470</v>
      </c>
      <c r="J479" s="6">
        <v>0</v>
      </c>
      <c r="K479" s="6">
        <v>0</v>
      </c>
      <c r="L479" s="6">
        <v>7.4669999999999996</v>
      </c>
      <c r="M479" s="6">
        <v>7.4669999999999996</v>
      </c>
      <c r="N479" s="6">
        <v>7.4669999999999996</v>
      </c>
      <c r="O479" s="6">
        <v>7.4669999999999996</v>
      </c>
      <c r="P479" s="6">
        <v>114</v>
      </c>
      <c r="Q479" s="4" t="s">
        <v>26</v>
      </c>
      <c r="R479" s="4">
        <v>0</v>
      </c>
      <c r="S479" s="6">
        <v>0</v>
      </c>
      <c r="T479" s="6">
        <v>20</v>
      </c>
      <c r="U479" s="6">
        <v>57</v>
      </c>
      <c r="V479" s="6">
        <f>IF(ISERROR(VLOOKUP($S$479,'TAR FIN'!$A$1:$O$85,15,0)),0,VLOOKUP($S$479,'TAR FIN'!$A$1:$O$85,15,0))</f>
        <v>0</v>
      </c>
      <c r="W479" s="6">
        <f>IF(ISERROR(VLOOKUP($T$479,'TAR FIN'!$A$1:$O$85,15,0)),0,VLOOKUP($T$479,'TAR FIN'!$A$1:$O$85,15,0))</f>
        <v>207.11</v>
      </c>
      <c r="X479" s="6">
        <f>IF(ISERROR(VLOOKUP($U$479,'TAR FIN'!$A$1:$O$85,15,0)),0,VLOOKUP($U$479,'TAR FIN'!$A$1:$O$85,15,0))</f>
        <v>263.29000000000002</v>
      </c>
      <c r="Y479" s="6"/>
      <c r="Z479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479" s="6">
        <f>('TE BE'!$AA$14+'TE BF'!$AA$14+'TE CVA'!$AA$14)*(1-CUSTOS!$M$37)</f>
        <v>210.64397598313801</v>
      </c>
      <c r="AB479" s="6">
        <f>$K$479*$V$479</f>
        <v>0</v>
      </c>
      <c r="AC479" s="6">
        <f>$M$479*$W$479</f>
        <v>1546.49037</v>
      </c>
      <c r="AD479" s="6">
        <f>$O$479*$X$479</f>
        <v>1965.9864300000002</v>
      </c>
      <c r="AE479" s="6">
        <f>$K$479*$Y$479</f>
        <v>0</v>
      </c>
      <c r="AF479" s="6">
        <f ca="1">$M$479*$Z$479</f>
        <v>1592.4147430901789</v>
      </c>
      <c r="AG479" s="6">
        <f>$O$479*$AA$479</f>
        <v>1572.8785686660915</v>
      </c>
    </row>
    <row r="480" spans="1:33" ht="11.25" customHeight="1" x14ac:dyDescent="0.25">
      <c r="A480" s="4" t="s">
        <v>21</v>
      </c>
      <c r="B480" s="4" t="s">
        <v>22</v>
      </c>
      <c r="C480" s="4" t="s">
        <v>23</v>
      </c>
      <c r="D480" s="4" t="s">
        <v>24</v>
      </c>
      <c r="E480" s="4" t="s">
        <v>32</v>
      </c>
      <c r="F480" s="4" t="s">
        <v>25</v>
      </c>
      <c r="G480" s="4" t="s">
        <v>25</v>
      </c>
      <c r="H480" s="4" t="s">
        <v>25</v>
      </c>
      <c r="I480" s="5">
        <v>44501</v>
      </c>
      <c r="J480" s="6">
        <v>0</v>
      </c>
      <c r="K480" s="6">
        <v>0</v>
      </c>
      <c r="L480" s="6">
        <v>6.1790000000000003</v>
      </c>
      <c r="M480" s="6">
        <v>6.1790000000000003</v>
      </c>
      <c r="N480" s="6">
        <v>6.1790000000000003</v>
      </c>
      <c r="O480" s="6">
        <v>6.1790000000000003</v>
      </c>
      <c r="P480" s="6">
        <v>94</v>
      </c>
      <c r="Q480" s="4" t="s">
        <v>26</v>
      </c>
      <c r="R480" s="4">
        <v>0</v>
      </c>
      <c r="S480" s="6">
        <v>0</v>
      </c>
      <c r="T480" s="6">
        <v>20</v>
      </c>
      <c r="U480" s="6">
        <v>57</v>
      </c>
      <c r="V480" s="6">
        <f>IF(ISERROR(VLOOKUP($S$480,'TAR FIN'!$A$1:$O$85,15,0)),0,VLOOKUP($S$480,'TAR FIN'!$A$1:$O$85,15,0))</f>
        <v>0</v>
      </c>
      <c r="W480" s="6">
        <f>IF(ISERROR(VLOOKUP($T$480,'TAR FIN'!$A$1:$O$85,15,0)),0,VLOOKUP($T$480,'TAR FIN'!$A$1:$O$85,15,0))</f>
        <v>207.11</v>
      </c>
      <c r="X480" s="6">
        <f>IF(ISERROR(VLOOKUP($U$480,'TAR FIN'!$A$1:$O$85,15,0)),0,VLOOKUP($U$480,'TAR FIN'!$A$1:$O$85,15,0))</f>
        <v>263.29000000000002</v>
      </c>
      <c r="Y480" s="6"/>
      <c r="Z480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480" s="6">
        <f>('TE BE'!$AA$14+'TE BF'!$AA$14+'TE CVA'!$AA$14)*(1-CUSTOS!$M$37)</f>
        <v>210.64397598313801</v>
      </c>
      <c r="AB480" s="6">
        <f>$K$480*$V$480</f>
        <v>0</v>
      </c>
      <c r="AC480" s="6">
        <f>$M$480*$W$480</f>
        <v>1279.73269</v>
      </c>
      <c r="AD480" s="6">
        <f>$O$480*$X$480</f>
        <v>1626.8689100000001</v>
      </c>
      <c r="AE480" s="6">
        <f>$K$480*$Y$480</f>
        <v>0</v>
      </c>
      <c r="AF480" s="6">
        <f ca="1">$M$480*$Z$480</f>
        <v>1317.7354623750123</v>
      </c>
      <c r="AG480" s="6">
        <f>$O$480*$AA$480</f>
        <v>1301.5691275998097</v>
      </c>
    </row>
    <row r="481" spans="1:33" ht="11.25" customHeight="1" x14ac:dyDescent="0.25">
      <c r="A481" s="4" t="s">
        <v>21</v>
      </c>
      <c r="B481" s="4" t="s">
        <v>22</v>
      </c>
      <c r="C481" s="4" t="s">
        <v>23</v>
      </c>
      <c r="D481" s="4" t="s">
        <v>24</v>
      </c>
      <c r="E481" s="4" t="s">
        <v>32</v>
      </c>
      <c r="F481" s="4" t="s">
        <v>25</v>
      </c>
      <c r="G481" s="4" t="s">
        <v>25</v>
      </c>
      <c r="H481" s="4" t="s">
        <v>25</v>
      </c>
      <c r="I481" s="5">
        <v>44531</v>
      </c>
      <c r="J481" s="6">
        <v>0</v>
      </c>
      <c r="K481" s="6">
        <v>0</v>
      </c>
      <c r="L481" s="6">
        <v>5.0010000000000003</v>
      </c>
      <c r="M481" s="6">
        <v>5.0010000000000003</v>
      </c>
      <c r="N481" s="6">
        <v>5.0010000000000003</v>
      </c>
      <c r="O481" s="6">
        <v>5.0010000000000003</v>
      </c>
      <c r="P481" s="6">
        <v>75</v>
      </c>
      <c r="Q481" s="4" t="s">
        <v>26</v>
      </c>
      <c r="R481" s="4">
        <v>0</v>
      </c>
      <c r="S481" s="6">
        <v>0</v>
      </c>
      <c r="T481" s="6">
        <v>20</v>
      </c>
      <c r="U481" s="6">
        <v>57</v>
      </c>
      <c r="V481" s="6">
        <f>IF(ISERROR(VLOOKUP($S$481,'TAR FIN'!$A$1:$O$85,15,0)),0,VLOOKUP($S$481,'TAR FIN'!$A$1:$O$85,15,0))</f>
        <v>0</v>
      </c>
      <c r="W481" s="6">
        <f>IF(ISERROR(VLOOKUP($T$481,'TAR FIN'!$A$1:$O$85,15,0)),0,VLOOKUP($T$481,'TAR FIN'!$A$1:$O$85,15,0))</f>
        <v>207.11</v>
      </c>
      <c r="X481" s="6">
        <f>IF(ISERROR(VLOOKUP($U$481,'TAR FIN'!$A$1:$O$85,15,0)),0,VLOOKUP($U$481,'TAR FIN'!$A$1:$O$85,15,0))</f>
        <v>263.29000000000002</v>
      </c>
      <c r="Y481" s="6"/>
      <c r="Z481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481" s="6">
        <f>('TE BE'!$AA$14+'TE BF'!$AA$14+'TE CVA'!$AA$14)*(1-CUSTOS!$M$37)</f>
        <v>210.64397598313801</v>
      </c>
      <c r="AB481" s="6">
        <f>$K$481*$V$481</f>
        <v>0</v>
      </c>
      <c r="AC481" s="6">
        <f>$M$481*$W$481</f>
        <v>1035.7571100000002</v>
      </c>
      <c r="AD481" s="6">
        <f>$O$481*$X$481</f>
        <v>1316.7132900000001</v>
      </c>
      <c r="AE481" s="6">
        <f>$K$481*$Y$481</f>
        <v>0</v>
      </c>
      <c r="AF481" s="6">
        <f ca="1">$M$481*$Z$481</f>
        <v>1066.514815882414</v>
      </c>
      <c r="AG481" s="6">
        <f>$O$481*$AA$481</f>
        <v>1053.4305238916731</v>
      </c>
    </row>
    <row r="482" spans="1:33" ht="11.25" customHeight="1" x14ac:dyDescent="0.25">
      <c r="A482" s="4" t="s">
        <v>21</v>
      </c>
      <c r="B482" s="4" t="s">
        <v>22</v>
      </c>
      <c r="C482" s="4" t="s">
        <v>23</v>
      </c>
      <c r="D482" s="4" t="s">
        <v>24</v>
      </c>
      <c r="E482" s="4" t="s">
        <v>32</v>
      </c>
      <c r="F482" s="4" t="s">
        <v>25</v>
      </c>
      <c r="G482" s="4" t="s">
        <v>25</v>
      </c>
      <c r="H482" s="4" t="s">
        <v>25</v>
      </c>
      <c r="I482" s="5">
        <v>44562</v>
      </c>
      <c r="J482" s="6">
        <v>0</v>
      </c>
      <c r="K482" s="6">
        <v>0</v>
      </c>
      <c r="L482" s="6">
        <v>8.1170000000000009</v>
      </c>
      <c r="M482" s="6">
        <v>8.1170000000000009</v>
      </c>
      <c r="N482" s="6">
        <v>8.1170000000000009</v>
      </c>
      <c r="O482" s="6">
        <v>8.1170000000000009</v>
      </c>
      <c r="P482" s="6">
        <v>114</v>
      </c>
      <c r="Q482" s="4" t="s">
        <v>26</v>
      </c>
      <c r="R482" s="4">
        <v>0</v>
      </c>
      <c r="S482" s="6">
        <v>0</v>
      </c>
      <c r="T482" s="6">
        <v>20</v>
      </c>
      <c r="U482" s="6">
        <v>57</v>
      </c>
      <c r="V482" s="6">
        <f>IF(ISERROR(VLOOKUP($S$482,'TAR FIN'!$A$1:$O$85,15,0)),0,VLOOKUP($S$482,'TAR FIN'!$A$1:$O$85,15,0))</f>
        <v>0</v>
      </c>
      <c r="W482" s="6">
        <f>IF(ISERROR(VLOOKUP($T$482,'TAR FIN'!$A$1:$O$85,15,0)),0,VLOOKUP($T$482,'TAR FIN'!$A$1:$O$85,15,0))</f>
        <v>207.11</v>
      </c>
      <c r="X482" s="6">
        <f>IF(ISERROR(VLOOKUP($U$482,'TAR FIN'!$A$1:$O$85,15,0)),0,VLOOKUP($U$482,'TAR FIN'!$A$1:$O$85,15,0))</f>
        <v>263.29000000000002</v>
      </c>
      <c r="Y482" s="6"/>
      <c r="Z482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482" s="6">
        <f>('TE BE'!$AA$14+'TE BF'!$AA$14+'TE CVA'!$AA$14)*(1-CUSTOS!$M$37)</f>
        <v>210.64397598313801</v>
      </c>
      <c r="AB482" s="6">
        <f>$K$482*$V$482</f>
        <v>0</v>
      </c>
      <c r="AC482" s="6">
        <f>$M$482*$W$482</f>
        <v>1681.1118700000002</v>
      </c>
      <c r="AD482" s="6">
        <f>$O$482*$X$482</f>
        <v>2137.1249300000004</v>
      </c>
      <c r="AE482" s="6">
        <f>$K$482*$Y$482</f>
        <v>0</v>
      </c>
      <c r="AF482" s="6">
        <f ca="1">$M$482*$Z$482</f>
        <v>1731.0339453144481</v>
      </c>
      <c r="AG482" s="6">
        <f>$O$482*$AA$482</f>
        <v>1709.7971530551313</v>
      </c>
    </row>
    <row r="483" spans="1:33" ht="11.25" customHeight="1" x14ac:dyDescent="0.25">
      <c r="A483" s="4" t="s">
        <v>21</v>
      </c>
      <c r="B483" s="4" t="s">
        <v>22</v>
      </c>
      <c r="C483" s="4" t="s">
        <v>23</v>
      </c>
      <c r="D483" s="4" t="s">
        <v>24</v>
      </c>
      <c r="E483" s="4" t="s">
        <v>32</v>
      </c>
      <c r="F483" s="4" t="s">
        <v>25</v>
      </c>
      <c r="G483" s="4" t="s">
        <v>25</v>
      </c>
      <c r="H483" s="4" t="s">
        <v>25</v>
      </c>
      <c r="I483" s="5">
        <v>44593</v>
      </c>
      <c r="J483" s="6">
        <v>0</v>
      </c>
      <c r="K483" s="6">
        <v>0</v>
      </c>
      <c r="L483" s="6">
        <v>8.1470000000000002</v>
      </c>
      <c r="M483" s="6">
        <v>8.1470000000000002</v>
      </c>
      <c r="N483" s="6">
        <v>8.1470000000000002</v>
      </c>
      <c r="O483" s="6">
        <v>8.1470000000000002</v>
      </c>
      <c r="P483" s="6">
        <v>110</v>
      </c>
      <c r="Q483" s="4" t="s">
        <v>26</v>
      </c>
      <c r="R483" s="4">
        <v>0</v>
      </c>
      <c r="S483" s="6">
        <v>0</v>
      </c>
      <c r="T483" s="6">
        <v>20</v>
      </c>
      <c r="U483" s="6">
        <v>57</v>
      </c>
      <c r="V483" s="6">
        <f>IF(ISERROR(VLOOKUP($S$483,'TAR FIN'!$A$1:$O$85,15,0)),0,VLOOKUP($S$483,'TAR FIN'!$A$1:$O$85,15,0))</f>
        <v>0</v>
      </c>
      <c r="W483" s="6">
        <f>IF(ISERROR(VLOOKUP($T$483,'TAR FIN'!$A$1:$O$85,15,0)),0,VLOOKUP($T$483,'TAR FIN'!$A$1:$O$85,15,0))</f>
        <v>207.11</v>
      </c>
      <c r="X483" s="6">
        <f>IF(ISERROR(VLOOKUP($U$483,'TAR FIN'!$A$1:$O$85,15,0)),0,VLOOKUP($U$483,'TAR FIN'!$A$1:$O$85,15,0))</f>
        <v>263.29000000000002</v>
      </c>
      <c r="Y483" s="6"/>
      <c r="Z483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483" s="6">
        <f>('TE BE'!$AA$14+'TE BF'!$AA$14+'TE CVA'!$AA$14)*(1-CUSTOS!$M$37)</f>
        <v>210.64397598313801</v>
      </c>
      <c r="AB483" s="6">
        <f>$K$483*$V$483</f>
        <v>0</v>
      </c>
      <c r="AC483" s="6">
        <f>$M$483*$W$483</f>
        <v>1687.3251700000001</v>
      </c>
      <c r="AD483" s="6">
        <f>$O$483*$X$483</f>
        <v>2145.0236300000001</v>
      </c>
      <c r="AE483" s="6">
        <f>$K$483*$Y$483</f>
        <v>0</v>
      </c>
      <c r="AF483" s="6">
        <f ca="1">$M$483*$Z$483</f>
        <v>1737.4317546478758</v>
      </c>
      <c r="AG483" s="6">
        <f>$O$483*$AA$483</f>
        <v>1716.1164723346253</v>
      </c>
    </row>
    <row r="484" spans="1:33" ht="11.25" customHeight="1" x14ac:dyDescent="0.25">
      <c r="A484" s="4" t="s">
        <v>21</v>
      </c>
      <c r="B484" s="4" t="s">
        <v>22</v>
      </c>
      <c r="C484" s="4" t="s">
        <v>23</v>
      </c>
      <c r="D484" s="4" t="s">
        <v>24</v>
      </c>
      <c r="E484" s="4" t="s">
        <v>32</v>
      </c>
      <c r="F484" s="4" t="s">
        <v>25</v>
      </c>
      <c r="G484" s="4" t="s">
        <v>25</v>
      </c>
      <c r="H484" s="4" t="s">
        <v>25</v>
      </c>
      <c r="I484" s="5">
        <v>44621</v>
      </c>
      <c r="J484" s="6">
        <v>0</v>
      </c>
      <c r="K484" s="6">
        <v>0</v>
      </c>
      <c r="L484" s="6">
        <v>14.984</v>
      </c>
      <c r="M484" s="6">
        <v>14.984</v>
      </c>
      <c r="N484" s="6">
        <v>14.984</v>
      </c>
      <c r="O484" s="6">
        <v>14.984</v>
      </c>
      <c r="P484" s="6">
        <v>183</v>
      </c>
      <c r="Q484" s="4" t="s">
        <v>26</v>
      </c>
      <c r="R484" s="4">
        <v>0</v>
      </c>
      <c r="S484" s="6">
        <v>0</v>
      </c>
      <c r="T484" s="6">
        <v>20</v>
      </c>
      <c r="U484" s="6">
        <v>57</v>
      </c>
      <c r="V484" s="6">
        <f>IF(ISERROR(VLOOKUP($S$484,'TAR FIN'!$A$1:$O$85,15,0)),0,VLOOKUP($S$484,'TAR FIN'!$A$1:$O$85,15,0))</f>
        <v>0</v>
      </c>
      <c r="W484" s="6">
        <f>IF(ISERROR(VLOOKUP($T$484,'TAR FIN'!$A$1:$O$85,15,0)),0,VLOOKUP($T$484,'TAR FIN'!$A$1:$O$85,15,0))</f>
        <v>207.11</v>
      </c>
      <c r="X484" s="6">
        <f>IF(ISERROR(VLOOKUP($U$484,'TAR FIN'!$A$1:$O$85,15,0)),0,VLOOKUP($U$484,'TAR FIN'!$A$1:$O$85,15,0))</f>
        <v>263.29000000000002</v>
      </c>
      <c r="Y484" s="6"/>
      <c r="Z484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484" s="6">
        <f>('TE BE'!$AA$14+'TE BF'!$AA$14+'TE CVA'!$AA$14)*(1-CUSTOS!$M$37)</f>
        <v>210.64397598313801</v>
      </c>
      <c r="AB484" s="6">
        <f>$K$484*$V$484</f>
        <v>0</v>
      </c>
      <c r="AC484" s="6">
        <f>$M$484*$W$484</f>
        <v>3103.3362400000001</v>
      </c>
      <c r="AD484" s="6">
        <f>$O$484*$X$484</f>
        <v>3945.1373600000002</v>
      </c>
      <c r="AE484" s="6">
        <f>$K$484*$Y$484</f>
        <v>0</v>
      </c>
      <c r="AF484" s="6">
        <f ca="1">$M$484*$Z$484</f>
        <v>3195.4925017360711</v>
      </c>
      <c r="AG484" s="6">
        <f>$O$484*$AA$484</f>
        <v>3156.28933613134</v>
      </c>
    </row>
    <row r="485" spans="1:33" ht="11.25" customHeight="1" x14ac:dyDescent="0.25">
      <c r="A485" s="4" t="s">
        <v>21</v>
      </c>
      <c r="B485" s="4" t="s">
        <v>22</v>
      </c>
      <c r="C485" s="4" t="s">
        <v>23</v>
      </c>
      <c r="D485" s="4" t="s">
        <v>24</v>
      </c>
      <c r="E485" s="4" t="s">
        <v>32</v>
      </c>
      <c r="F485" s="4" t="s">
        <v>25</v>
      </c>
      <c r="G485" s="4" t="s">
        <v>25</v>
      </c>
      <c r="H485" s="4" t="s">
        <v>25</v>
      </c>
      <c r="I485" s="5">
        <v>44652</v>
      </c>
      <c r="J485" s="6">
        <v>0</v>
      </c>
      <c r="K485" s="6">
        <v>0</v>
      </c>
      <c r="L485" s="6">
        <v>15.241</v>
      </c>
      <c r="M485" s="6">
        <v>15.241</v>
      </c>
      <c r="N485" s="6">
        <v>15.241</v>
      </c>
      <c r="O485" s="6">
        <v>15.241</v>
      </c>
      <c r="P485" s="6">
        <v>202</v>
      </c>
      <c r="Q485" s="4" t="s">
        <v>26</v>
      </c>
      <c r="R485" s="4">
        <v>0</v>
      </c>
      <c r="S485" s="6">
        <v>0</v>
      </c>
      <c r="T485" s="6">
        <v>20</v>
      </c>
      <c r="U485" s="6">
        <v>57</v>
      </c>
      <c r="V485" s="6">
        <f>IF(ISERROR(VLOOKUP($S$485,'TAR FIN'!$A$1:$O$85,15,0)),0,VLOOKUP($S$485,'TAR FIN'!$A$1:$O$85,15,0))</f>
        <v>0</v>
      </c>
      <c r="W485" s="6">
        <f>IF(ISERROR(VLOOKUP($T$485,'TAR FIN'!$A$1:$O$85,15,0)),0,VLOOKUP($T$485,'TAR FIN'!$A$1:$O$85,15,0))</f>
        <v>207.11</v>
      </c>
      <c r="X485" s="6">
        <f>IF(ISERROR(VLOOKUP($U$485,'TAR FIN'!$A$1:$O$85,15,0)),0,VLOOKUP($U$485,'TAR FIN'!$A$1:$O$85,15,0))</f>
        <v>263.29000000000002</v>
      </c>
      <c r="Y485" s="6"/>
      <c r="Z485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485" s="6">
        <f>('TE BE'!$AA$14+'TE BF'!$AA$14+'TE CVA'!$AA$14)*(1-CUSTOS!$M$37)</f>
        <v>210.64397598313801</v>
      </c>
      <c r="AB485" s="6">
        <f>$K$485*$V$485</f>
        <v>0</v>
      </c>
      <c r="AC485" s="6">
        <f>$M$485*$W$485</f>
        <v>3156.56351</v>
      </c>
      <c r="AD485" s="6">
        <f>$O$485*$X$485</f>
        <v>4012.8028900000004</v>
      </c>
      <c r="AE485" s="6">
        <f>$K$485*$Y$485</f>
        <v>0</v>
      </c>
      <c r="AF485" s="6">
        <f ca="1">$M$485*$Z$485</f>
        <v>3250.3004016924356</v>
      </c>
      <c r="AG485" s="6">
        <f>$O$485*$AA$485</f>
        <v>3210.4248379590063</v>
      </c>
    </row>
    <row r="486" spans="1:33" ht="11.25" customHeight="1" x14ac:dyDescent="0.25">
      <c r="A486" s="4" t="s">
        <v>21</v>
      </c>
      <c r="B486" s="4" t="s">
        <v>43</v>
      </c>
      <c r="C486" s="4" t="s">
        <v>37</v>
      </c>
      <c r="D486" s="4" t="s">
        <v>44</v>
      </c>
      <c r="E486" s="4" t="s">
        <v>25</v>
      </c>
      <c r="F486" s="4" t="s">
        <v>25</v>
      </c>
      <c r="G486" s="4" t="s">
        <v>25</v>
      </c>
      <c r="H486" s="4" t="s">
        <v>36</v>
      </c>
      <c r="I486" s="5">
        <v>44317</v>
      </c>
      <c r="J486" s="6">
        <v>0</v>
      </c>
      <c r="K486" s="6">
        <v>0</v>
      </c>
      <c r="L486" s="6">
        <v>0.33300000000000002</v>
      </c>
      <c r="M486" s="6">
        <v>0.33300000000000002</v>
      </c>
      <c r="N486" s="6">
        <v>0.33300000000000002</v>
      </c>
      <c r="O486" s="6">
        <v>0.33300000000000002</v>
      </c>
      <c r="P486" s="6">
        <v>0</v>
      </c>
      <c r="Q486" s="4" t="s">
        <v>26</v>
      </c>
      <c r="R486" s="4">
        <v>0</v>
      </c>
      <c r="S486" s="6">
        <v>0</v>
      </c>
      <c r="T486" s="6">
        <v>28</v>
      </c>
      <c r="U486" s="6">
        <v>65</v>
      </c>
      <c r="V486" s="6">
        <f>IF(ISERROR(VLOOKUP($S$486,'TAR FIN'!$A$1:$O$85,15,0)),0,VLOOKUP($S$486,'TAR FIN'!$A$1:$O$85,15,0))</f>
        <v>0</v>
      </c>
      <c r="W486" s="6">
        <f>IF(ISERROR(VLOOKUP($T$486,'TAR FIN'!$A$1:$O$85,15,0)),0,VLOOKUP($T$486,'TAR FIN'!$A$1:$O$85,15,0))</f>
        <v>164.71</v>
      </c>
      <c r="X486" s="6">
        <f>IF(ISERROR(VLOOKUP($U$486,'TAR FIN'!$A$1:$O$85,15,0)),0,VLOOKUP($U$486,'TAR FIN'!$A$1:$O$85,15,0))</f>
        <v>231.7</v>
      </c>
      <c r="Y486" s="6"/>
      <c r="Z486" s="6">
        <f ca="1">('TUSD BE'!$AM$32+'TUSD BF'!$AM$32+'TUSD CVA'!$AM$32)*(1-CUSTOS!$M$38)</f>
        <v>218.62401641895264</v>
      </c>
      <c r="AA486" s="6">
        <f>('TE BE'!$AA$22+'TE BF'!$AA$22+'TE CVA'!$AA$22)*(1-CUSTOS!$M$38)</f>
        <v>198.0053374241497</v>
      </c>
      <c r="AB486" s="6">
        <f>$K$486*$V$486</f>
        <v>0</v>
      </c>
      <c r="AC486" s="6">
        <f>$M$486*$W$486</f>
        <v>54.848430000000008</v>
      </c>
      <c r="AD486" s="6">
        <f>$O$486*$X$486</f>
        <v>77.156099999999995</v>
      </c>
      <c r="AE486" s="6">
        <f>$K$486*$Y$486</f>
        <v>0</v>
      </c>
      <c r="AF486" s="6">
        <f ca="1">$M$486*$Z$486</f>
        <v>72.801797467511236</v>
      </c>
      <c r="AG486" s="6">
        <f>$O$486*$AA$486</f>
        <v>65.935777362241851</v>
      </c>
    </row>
    <row r="487" spans="1:33" ht="11.25" customHeight="1" x14ac:dyDescent="0.25">
      <c r="A487" s="4" t="s">
        <v>21</v>
      </c>
      <c r="B487" s="4" t="s">
        <v>43</v>
      </c>
      <c r="C487" s="4" t="s">
        <v>37</v>
      </c>
      <c r="D487" s="4" t="s">
        <v>44</v>
      </c>
      <c r="E487" s="4" t="s">
        <v>25</v>
      </c>
      <c r="F487" s="4" t="s">
        <v>25</v>
      </c>
      <c r="G487" s="4" t="s">
        <v>25</v>
      </c>
      <c r="H487" s="4" t="s">
        <v>36</v>
      </c>
      <c r="I487" s="5">
        <v>44348</v>
      </c>
      <c r="J487" s="6">
        <v>0</v>
      </c>
      <c r="K487" s="6">
        <v>0</v>
      </c>
      <c r="L487" s="6">
        <v>0.33400000000000002</v>
      </c>
      <c r="M487" s="6">
        <v>0.33400000000000002</v>
      </c>
      <c r="N487" s="6">
        <v>0.33400000000000002</v>
      </c>
      <c r="O487" s="6">
        <v>0.33400000000000002</v>
      </c>
      <c r="P487" s="6">
        <v>0</v>
      </c>
      <c r="Q487" s="4" t="s">
        <v>26</v>
      </c>
      <c r="R487" s="4">
        <v>0</v>
      </c>
      <c r="S487" s="6">
        <v>0</v>
      </c>
      <c r="T487" s="6">
        <v>28</v>
      </c>
      <c r="U487" s="6">
        <v>65</v>
      </c>
      <c r="V487" s="6">
        <f>IF(ISERROR(VLOOKUP($S$487,'TAR FIN'!$A$1:$O$85,15,0)),0,VLOOKUP($S$487,'TAR FIN'!$A$1:$O$85,15,0))</f>
        <v>0</v>
      </c>
      <c r="W487" s="6">
        <f>IF(ISERROR(VLOOKUP($T$487,'TAR FIN'!$A$1:$O$85,15,0)),0,VLOOKUP($T$487,'TAR FIN'!$A$1:$O$85,15,0))</f>
        <v>164.71</v>
      </c>
      <c r="X487" s="6">
        <f>IF(ISERROR(VLOOKUP($U$487,'TAR FIN'!$A$1:$O$85,15,0)),0,VLOOKUP($U$487,'TAR FIN'!$A$1:$O$85,15,0))</f>
        <v>231.7</v>
      </c>
      <c r="Y487" s="6"/>
      <c r="Z487" s="6">
        <f ca="1">('TUSD BE'!$AM$32+'TUSD BF'!$AM$32+'TUSD CVA'!$AM$32)*(1-CUSTOS!$M$38)</f>
        <v>218.62401641895264</v>
      </c>
      <c r="AA487" s="6">
        <f>('TE BE'!$AA$22+'TE BF'!$AA$22+'TE CVA'!$AA$22)*(1-CUSTOS!$M$38)</f>
        <v>198.0053374241497</v>
      </c>
      <c r="AB487" s="6">
        <f>$K$487*$V$487</f>
        <v>0</v>
      </c>
      <c r="AC487" s="6">
        <f>$M$487*$W$487</f>
        <v>55.013140000000007</v>
      </c>
      <c r="AD487" s="6">
        <f>$O$487*$X$487</f>
        <v>77.387799999999999</v>
      </c>
      <c r="AE487" s="6">
        <f>$K$487*$Y$487</f>
        <v>0</v>
      </c>
      <c r="AF487" s="6">
        <f ca="1">$M$487*$Z$487</f>
        <v>73.020421483930178</v>
      </c>
      <c r="AG487" s="6">
        <f>$O$487*$AA$487</f>
        <v>66.133782699666</v>
      </c>
    </row>
    <row r="488" spans="1:33" ht="11.25" customHeight="1" x14ac:dyDescent="0.25">
      <c r="A488" s="4" t="s">
        <v>21</v>
      </c>
      <c r="B488" s="4" t="s">
        <v>43</v>
      </c>
      <c r="C488" s="4" t="s">
        <v>37</v>
      </c>
      <c r="D488" s="4" t="s">
        <v>44</v>
      </c>
      <c r="E488" s="4" t="s">
        <v>25</v>
      </c>
      <c r="F488" s="4" t="s">
        <v>25</v>
      </c>
      <c r="G488" s="4" t="s">
        <v>25</v>
      </c>
      <c r="H488" s="4" t="s">
        <v>36</v>
      </c>
      <c r="I488" s="5">
        <v>44378</v>
      </c>
      <c r="J488" s="6">
        <v>0</v>
      </c>
      <c r="K488" s="6">
        <v>0</v>
      </c>
      <c r="L488" s="6">
        <v>0.32</v>
      </c>
      <c r="M488" s="6">
        <v>0.32</v>
      </c>
      <c r="N488" s="6">
        <v>0.32</v>
      </c>
      <c r="O488" s="6">
        <v>0.32</v>
      </c>
      <c r="P488" s="6">
        <v>0</v>
      </c>
      <c r="Q488" s="4" t="s">
        <v>26</v>
      </c>
      <c r="R488" s="4">
        <v>0</v>
      </c>
      <c r="S488" s="6">
        <v>0</v>
      </c>
      <c r="T488" s="6">
        <v>28</v>
      </c>
      <c r="U488" s="6">
        <v>65</v>
      </c>
      <c r="V488" s="6">
        <f>IF(ISERROR(VLOOKUP($S$488,'TAR FIN'!$A$1:$O$85,15,0)),0,VLOOKUP($S$488,'TAR FIN'!$A$1:$O$85,15,0))</f>
        <v>0</v>
      </c>
      <c r="W488" s="6">
        <f>IF(ISERROR(VLOOKUP($T$488,'TAR FIN'!$A$1:$O$85,15,0)),0,VLOOKUP($T$488,'TAR FIN'!$A$1:$O$85,15,0))</f>
        <v>164.71</v>
      </c>
      <c r="X488" s="6">
        <f>IF(ISERROR(VLOOKUP($U$488,'TAR FIN'!$A$1:$O$85,15,0)),0,VLOOKUP($U$488,'TAR FIN'!$A$1:$O$85,15,0))</f>
        <v>231.7</v>
      </c>
      <c r="Y488" s="6"/>
      <c r="Z488" s="6">
        <f ca="1">('TUSD BE'!$AM$32+'TUSD BF'!$AM$32+'TUSD CVA'!$AM$32)*(1-CUSTOS!$M$38)</f>
        <v>218.62401641895264</v>
      </c>
      <c r="AA488" s="6">
        <f>('TE BE'!$AA$22+'TE BF'!$AA$22+'TE CVA'!$AA$22)*(1-CUSTOS!$M$38)</f>
        <v>198.0053374241497</v>
      </c>
      <c r="AB488" s="6">
        <f>$K$488*$V$488</f>
        <v>0</v>
      </c>
      <c r="AC488" s="6">
        <f>$M$488*$W$488</f>
        <v>52.7072</v>
      </c>
      <c r="AD488" s="6">
        <f>$O$488*$X$488</f>
        <v>74.143999999999991</v>
      </c>
      <c r="AE488" s="6">
        <f>$K$488*$Y$488</f>
        <v>0</v>
      </c>
      <c r="AF488" s="6">
        <f ca="1">$M$488*$Z$488</f>
        <v>69.959685254064851</v>
      </c>
      <c r="AG488" s="6">
        <f>$O$488*$AA$488</f>
        <v>63.361707975727903</v>
      </c>
    </row>
    <row r="489" spans="1:33" ht="11.25" customHeight="1" x14ac:dyDescent="0.25">
      <c r="A489" s="4" t="s">
        <v>21</v>
      </c>
      <c r="B489" s="4" t="s">
        <v>43</v>
      </c>
      <c r="C489" s="4" t="s">
        <v>37</v>
      </c>
      <c r="D489" s="4" t="s">
        <v>44</v>
      </c>
      <c r="E489" s="4" t="s">
        <v>25</v>
      </c>
      <c r="F489" s="4" t="s">
        <v>25</v>
      </c>
      <c r="G489" s="4" t="s">
        <v>25</v>
      </c>
      <c r="H489" s="4" t="s">
        <v>36</v>
      </c>
      <c r="I489" s="5">
        <v>44409</v>
      </c>
      <c r="J489" s="6">
        <v>0</v>
      </c>
      <c r="K489" s="6">
        <v>0</v>
      </c>
      <c r="L489" s="6">
        <v>0.38</v>
      </c>
      <c r="M489" s="6">
        <v>0.38</v>
      </c>
      <c r="N489" s="6">
        <v>0.38</v>
      </c>
      <c r="O489" s="6">
        <v>0.38</v>
      </c>
      <c r="P489" s="6">
        <v>0</v>
      </c>
      <c r="Q489" s="4" t="s">
        <v>26</v>
      </c>
      <c r="R489" s="4">
        <v>0</v>
      </c>
      <c r="S489" s="6">
        <v>0</v>
      </c>
      <c r="T489" s="6">
        <v>28</v>
      </c>
      <c r="U489" s="6">
        <v>65</v>
      </c>
      <c r="V489" s="6">
        <f>IF(ISERROR(VLOOKUP($S$489,'TAR FIN'!$A$1:$O$85,15,0)),0,VLOOKUP($S$489,'TAR FIN'!$A$1:$O$85,15,0))</f>
        <v>0</v>
      </c>
      <c r="W489" s="6">
        <f>IF(ISERROR(VLOOKUP($T$489,'TAR FIN'!$A$1:$O$85,15,0)),0,VLOOKUP($T$489,'TAR FIN'!$A$1:$O$85,15,0))</f>
        <v>164.71</v>
      </c>
      <c r="X489" s="6">
        <f>IF(ISERROR(VLOOKUP($U$489,'TAR FIN'!$A$1:$O$85,15,0)),0,VLOOKUP($U$489,'TAR FIN'!$A$1:$O$85,15,0))</f>
        <v>231.7</v>
      </c>
      <c r="Y489" s="6"/>
      <c r="Z489" s="6">
        <f ca="1">('TUSD BE'!$AM$32+'TUSD BF'!$AM$32+'TUSD CVA'!$AM$32)*(1-CUSTOS!$M$38)</f>
        <v>218.62401641895264</v>
      </c>
      <c r="AA489" s="6">
        <f>('TE BE'!$AA$22+'TE BF'!$AA$22+'TE CVA'!$AA$22)*(1-CUSTOS!$M$38)</f>
        <v>198.0053374241497</v>
      </c>
      <c r="AB489" s="6">
        <f>$K$489*$V$489</f>
        <v>0</v>
      </c>
      <c r="AC489" s="6">
        <f>$M$489*$W$489</f>
        <v>62.589800000000004</v>
      </c>
      <c r="AD489" s="6">
        <f>$O$489*$X$489</f>
        <v>88.045999999999992</v>
      </c>
      <c r="AE489" s="6">
        <f>$K$489*$Y$489</f>
        <v>0</v>
      </c>
      <c r="AF489" s="6">
        <f ca="1">$M$489*$Z$489</f>
        <v>83.077126239202002</v>
      </c>
      <c r="AG489" s="6">
        <f>$O$489*$AA$489</f>
        <v>75.242028221176881</v>
      </c>
    </row>
    <row r="490" spans="1:33" ht="11.25" customHeight="1" x14ac:dyDescent="0.25">
      <c r="A490" s="4" t="s">
        <v>21</v>
      </c>
      <c r="B490" s="4" t="s">
        <v>43</v>
      </c>
      <c r="C490" s="4" t="s">
        <v>37</v>
      </c>
      <c r="D490" s="4" t="s">
        <v>44</v>
      </c>
      <c r="E490" s="4" t="s">
        <v>25</v>
      </c>
      <c r="F490" s="4" t="s">
        <v>25</v>
      </c>
      <c r="G490" s="4" t="s">
        <v>25</v>
      </c>
      <c r="H490" s="4" t="s">
        <v>36</v>
      </c>
      <c r="I490" s="5">
        <v>44440</v>
      </c>
      <c r="J490" s="6">
        <v>0</v>
      </c>
      <c r="K490" s="6">
        <v>0</v>
      </c>
      <c r="L490" s="6">
        <v>0.45700000000000002</v>
      </c>
      <c r="M490" s="6">
        <v>0.45700000000000002</v>
      </c>
      <c r="N490" s="6">
        <v>0.45700000000000002</v>
      </c>
      <c r="O490" s="6">
        <v>0.45700000000000002</v>
      </c>
      <c r="P490" s="6">
        <v>0</v>
      </c>
      <c r="Q490" s="4" t="s">
        <v>26</v>
      </c>
      <c r="R490" s="4">
        <v>0</v>
      </c>
      <c r="S490" s="6">
        <v>0</v>
      </c>
      <c r="T490" s="6">
        <v>28</v>
      </c>
      <c r="U490" s="6">
        <v>65</v>
      </c>
      <c r="V490" s="6">
        <f>IF(ISERROR(VLOOKUP($S$490,'TAR FIN'!$A$1:$O$85,15,0)),0,VLOOKUP($S$490,'TAR FIN'!$A$1:$O$85,15,0))</f>
        <v>0</v>
      </c>
      <c r="W490" s="6">
        <f>IF(ISERROR(VLOOKUP($T$490,'TAR FIN'!$A$1:$O$85,15,0)),0,VLOOKUP($T$490,'TAR FIN'!$A$1:$O$85,15,0))</f>
        <v>164.71</v>
      </c>
      <c r="X490" s="6">
        <f>IF(ISERROR(VLOOKUP($U$490,'TAR FIN'!$A$1:$O$85,15,0)),0,VLOOKUP($U$490,'TAR FIN'!$A$1:$O$85,15,0))</f>
        <v>231.7</v>
      </c>
      <c r="Y490" s="6"/>
      <c r="Z490" s="6">
        <f ca="1">('TUSD BE'!$AM$32+'TUSD BF'!$AM$32+'TUSD CVA'!$AM$32)*(1-CUSTOS!$M$38)</f>
        <v>218.62401641895264</v>
      </c>
      <c r="AA490" s="6">
        <f>('TE BE'!$AA$22+'TE BF'!$AA$22+'TE CVA'!$AA$22)*(1-CUSTOS!$M$38)</f>
        <v>198.0053374241497</v>
      </c>
      <c r="AB490" s="6">
        <f>$K$490*$V$490</f>
        <v>0</v>
      </c>
      <c r="AC490" s="6">
        <f>$M$490*$W$490</f>
        <v>75.272470000000013</v>
      </c>
      <c r="AD490" s="6">
        <f>$O$490*$X$490</f>
        <v>105.8869</v>
      </c>
      <c r="AE490" s="6">
        <f>$K$490*$Y$490</f>
        <v>0</v>
      </c>
      <c r="AF490" s="6">
        <f ca="1">$M$490*$Z$490</f>
        <v>99.911175503461365</v>
      </c>
      <c r="AG490" s="6">
        <f>$O$490*$AA$490</f>
        <v>90.488439202836418</v>
      </c>
    </row>
    <row r="491" spans="1:33" ht="11.25" customHeight="1" x14ac:dyDescent="0.25">
      <c r="A491" s="4" t="s">
        <v>21</v>
      </c>
      <c r="B491" s="4" t="s">
        <v>43</v>
      </c>
      <c r="C491" s="4" t="s">
        <v>37</v>
      </c>
      <c r="D491" s="4" t="s">
        <v>44</v>
      </c>
      <c r="E491" s="4" t="s">
        <v>25</v>
      </c>
      <c r="F491" s="4" t="s">
        <v>25</v>
      </c>
      <c r="G491" s="4" t="s">
        <v>25</v>
      </c>
      <c r="H491" s="4" t="s">
        <v>36</v>
      </c>
      <c r="I491" s="5">
        <v>44470</v>
      </c>
      <c r="J491" s="6">
        <v>0</v>
      </c>
      <c r="K491" s="6">
        <v>0</v>
      </c>
      <c r="L491" s="6">
        <v>0.44800000000000001</v>
      </c>
      <c r="M491" s="6">
        <v>0.44800000000000001</v>
      </c>
      <c r="N491" s="6">
        <v>0.44800000000000001</v>
      </c>
      <c r="O491" s="6">
        <v>0.44800000000000001</v>
      </c>
      <c r="P491" s="6">
        <v>0</v>
      </c>
      <c r="Q491" s="4" t="s">
        <v>26</v>
      </c>
      <c r="R491" s="4">
        <v>0</v>
      </c>
      <c r="S491" s="6">
        <v>0</v>
      </c>
      <c r="T491" s="6">
        <v>28</v>
      </c>
      <c r="U491" s="6">
        <v>65</v>
      </c>
      <c r="V491" s="6">
        <f>IF(ISERROR(VLOOKUP($S$491,'TAR FIN'!$A$1:$O$85,15,0)),0,VLOOKUP($S$491,'TAR FIN'!$A$1:$O$85,15,0))</f>
        <v>0</v>
      </c>
      <c r="W491" s="6">
        <f>IF(ISERROR(VLOOKUP($T$491,'TAR FIN'!$A$1:$O$85,15,0)),0,VLOOKUP($T$491,'TAR FIN'!$A$1:$O$85,15,0))</f>
        <v>164.71</v>
      </c>
      <c r="X491" s="6">
        <f>IF(ISERROR(VLOOKUP($U$491,'TAR FIN'!$A$1:$O$85,15,0)),0,VLOOKUP($U$491,'TAR FIN'!$A$1:$O$85,15,0))</f>
        <v>231.7</v>
      </c>
      <c r="Y491" s="6"/>
      <c r="Z491" s="6">
        <f ca="1">('TUSD BE'!$AM$32+'TUSD BF'!$AM$32+'TUSD CVA'!$AM$32)*(1-CUSTOS!$M$38)</f>
        <v>218.62401641895264</v>
      </c>
      <c r="AA491" s="6">
        <f>('TE BE'!$AA$22+'TE BF'!$AA$22+'TE CVA'!$AA$22)*(1-CUSTOS!$M$38)</f>
        <v>198.0053374241497</v>
      </c>
      <c r="AB491" s="6">
        <f>$K$491*$V$491</f>
        <v>0</v>
      </c>
      <c r="AC491" s="6">
        <f>$M$491*$W$491</f>
        <v>73.790080000000003</v>
      </c>
      <c r="AD491" s="6">
        <f>$O$491*$X$491</f>
        <v>103.80159999999999</v>
      </c>
      <c r="AE491" s="6">
        <f>$K$491*$Y$491</f>
        <v>0</v>
      </c>
      <c r="AF491" s="6">
        <f ca="1">$M$491*$Z$491</f>
        <v>97.94355935569078</v>
      </c>
      <c r="AG491" s="6">
        <f>$O$491*$AA$491</f>
        <v>88.706391166019074</v>
      </c>
    </row>
    <row r="492" spans="1:33" ht="11.25" customHeight="1" x14ac:dyDescent="0.25">
      <c r="A492" s="4" t="s">
        <v>21</v>
      </c>
      <c r="B492" s="4" t="s">
        <v>43</v>
      </c>
      <c r="C492" s="4" t="s">
        <v>37</v>
      </c>
      <c r="D492" s="4" t="s">
        <v>44</v>
      </c>
      <c r="E492" s="4" t="s">
        <v>25</v>
      </c>
      <c r="F492" s="4" t="s">
        <v>25</v>
      </c>
      <c r="G492" s="4" t="s">
        <v>25</v>
      </c>
      <c r="H492" s="4" t="s">
        <v>36</v>
      </c>
      <c r="I492" s="5">
        <v>44501</v>
      </c>
      <c r="J492" s="6">
        <v>0</v>
      </c>
      <c r="K492" s="6">
        <v>0</v>
      </c>
      <c r="L492" s="6">
        <v>0.47699999999999998</v>
      </c>
      <c r="M492" s="6">
        <v>0.47699999999999998</v>
      </c>
      <c r="N492" s="6">
        <v>0.47699999999999998</v>
      </c>
      <c r="O492" s="6">
        <v>0.47699999999999998</v>
      </c>
      <c r="P492" s="6">
        <v>0</v>
      </c>
      <c r="Q492" s="4" t="s">
        <v>26</v>
      </c>
      <c r="R492" s="4">
        <v>0</v>
      </c>
      <c r="S492" s="6">
        <v>0</v>
      </c>
      <c r="T492" s="6">
        <v>28</v>
      </c>
      <c r="U492" s="6">
        <v>65</v>
      </c>
      <c r="V492" s="6">
        <f>IF(ISERROR(VLOOKUP($S$492,'TAR FIN'!$A$1:$O$85,15,0)),0,VLOOKUP($S$492,'TAR FIN'!$A$1:$O$85,15,0))</f>
        <v>0</v>
      </c>
      <c r="W492" s="6">
        <f>IF(ISERROR(VLOOKUP($T$492,'TAR FIN'!$A$1:$O$85,15,0)),0,VLOOKUP($T$492,'TAR FIN'!$A$1:$O$85,15,0))</f>
        <v>164.71</v>
      </c>
      <c r="X492" s="6">
        <f>IF(ISERROR(VLOOKUP($U$492,'TAR FIN'!$A$1:$O$85,15,0)),0,VLOOKUP($U$492,'TAR FIN'!$A$1:$O$85,15,0))</f>
        <v>231.7</v>
      </c>
      <c r="Y492" s="6"/>
      <c r="Z492" s="6">
        <f ca="1">('TUSD BE'!$AM$32+'TUSD BF'!$AM$32+'TUSD CVA'!$AM$32)*(1-CUSTOS!$M$38)</f>
        <v>218.62401641895264</v>
      </c>
      <c r="AA492" s="6">
        <f>('TE BE'!$AA$22+'TE BF'!$AA$22+'TE CVA'!$AA$22)*(1-CUSTOS!$M$38)</f>
        <v>198.0053374241497</v>
      </c>
      <c r="AB492" s="6">
        <f>$K$492*$V$492</f>
        <v>0</v>
      </c>
      <c r="AC492" s="6">
        <f>$M$492*$W$492</f>
        <v>78.566670000000002</v>
      </c>
      <c r="AD492" s="6">
        <f>$O$492*$X$492</f>
        <v>110.52089999999998</v>
      </c>
      <c r="AE492" s="6">
        <f>$K$492*$Y$492</f>
        <v>0</v>
      </c>
      <c r="AF492" s="6">
        <f ca="1">$M$492*$Z$492</f>
        <v>104.28365583184041</v>
      </c>
      <c r="AG492" s="6">
        <f>$O$492*$AA$492</f>
        <v>94.448545951319403</v>
      </c>
    </row>
    <row r="493" spans="1:33" ht="11.25" customHeight="1" x14ac:dyDescent="0.25">
      <c r="A493" s="4" t="s">
        <v>21</v>
      </c>
      <c r="B493" s="4" t="s">
        <v>43</v>
      </c>
      <c r="C493" s="4" t="s">
        <v>37</v>
      </c>
      <c r="D493" s="4" t="s">
        <v>44</v>
      </c>
      <c r="E493" s="4" t="s">
        <v>25</v>
      </c>
      <c r="F493" s="4" t="s">
        <v>25</v>
      </c>
      <c r="G493" s="4" t="s">
        <v>25</v>
      </c>
      <c r="H493" s="4" t="s">
        <v>36</v>
      </c>
      <c r="I493" s="5">
        <v>44531</v>
      </c>
      <c r="J493" s="6">
        <v>0</v>
      </c>
      <c r="K493" s="6">
        <v>0</v>
      </c>
      <c r="L493" s="6">
        <v>0.432</v>
      </c>
      <c r="M493" s="6">
        <v>0.432</v>
      </c>
      <c r="N493" s="6">
        <v>0.432</v>
      </c>
      <c r="O493" s="6">
        <v>0.432</v>
      </c>
      <c r="P493" s="6">
        <v>0</v>
      </c>
      <c r="Q493" s="4" t="s">
        <v>26</v>
      </c>
      <c r="R493" s="4">
        <v>0</v>
      </c>
      <c r="S493" s="6">
        <v>0</v>
      </c>
      <c r="T493" s="6">
        <v>28</v>
      </c>
      <c r="U493" s="6">
        <v>65</v>
      </c>
      <c r="V493" s="6">
        <f>IF(ISERROR(VLOOKUP($S$493,'TAR FIN'!$A$1:$O$85,15,0)),0,VLOOKUP($S$493,'TAR FIN'!$A$1:$O$85,15,0))</f>
        <v>0</v>
      </c>
      <c r="W493" s="6">
        <f>IF(ISERROR(VLOOKUP($T$493,'TAR FIN'!$A$1:$O$85,15,0)),0,VLOOKUP($T$493,'TAR FIN'!$A$1:$O$85,15,0))</f>
        <v>164.71</v>
      </c>
      <c r="X493" s="6">
        <f>IF(ISERROR(VLOOKUP($U$493,'TAR FIN'!$A$1:$O$85,15,0)),0,VLOOKUP($U$493,'TAR FIN'!$A$1:$O$85,15,0))</f>
        <v>231.7</v>
      </c>
      <c r="Y493" s="6"/>
      <c r="Z493" s="6">
        <f ca="1">('TUSD BE'!$AM$32+'TUSD BF'!$AM$32+'TUSD CVA'!$AM$32)*(1-CUSTOS!$M$38)</f>
        <v>218.62401641895264</v>
      </c>
      <c r="AA493" s="6">
        <f>('TE BE'!$AA$22+'TE BF'!$AA$22+'TE CVA'!$AA$22)*(1-CUSTOS!$M$38)</f>
        <v>198.0053374241497</v>
      </c>
      <c r="AB493" s="6">
        <f>$K$493*$V$493</f>
        <v>0</v>
      </c>
      <c r="AC493" s="6">
        <f>$M$493*$W$493</f>
        <v>71.154719999999998</v>
      </c>
      <c r="AD493" s="6">
        <f>$O$493*$X$493</f>
        <v>100.09439999999999</v>
      </c>
      <c r="AE493" s="6">
        <f>$K$493*$Y$493</f>
        <v>0</v>
      </c>
      <c r="AF493" s="6">
        <f ca="1">$M$493*$Z$493</f>
        <v>94.445575092987539</v>
      </c>
      <c r="AG493" s="6">
        <f>$O$493*$AA$493</f>
        <v>85.538305767232671</v>
      </c>
    </row>
    <row r="494" spans="1:33" ht="11.25" customHeight="1" x14ac:dyDescent="0.25">
      <c r="A494" s="4" t="s">
        <v>21</v>
      </c>
      <c r="B494" s="4" t="s">
        <v>43</v>
      </c>
      <c r="C494" s="4" t="s">
        <v>37</v>
      </c>
      <c r="D494" s="4" t="s">
        <v>44</v>
      </c>
      <c r="E494" s="4" t="s">
        <v>25</v>
      </c>
      <c r="F494" s="4" t="s">
        <v>25</v>
      </c>
      <c r="G494" s="4" t="s">
        <v>25</v>
      </c>
      <c r="H494" s="4" t="s">
        <v>36</v>
      </c>
      <c r="I494" s="5">
        <v>44562</v>
      </c>
      <c r="J494" s="6">
        <v>0</v>
      </c>
      <c r="K494" s="6">
        <v>0</v>
      </c>
      <c r="L494" s="6">
        <v>0.42499999999999999</v>
      </c>
      <c r="M494" s="6">
        <v>0.42499999999999999</v>
      </c>
      <c r="N494" s="6">
        <v>0.42499999999999999</v>
      </c>
      <c r="O494" s="6">
        <v>0.42499999999999999</v>
      </c>
      <c r="P494" s="6">
        <v>0</v>
      </c>
      <c r="Q494" s="4" t="s">
        <v>26</v>
      </c>
      <c r="R494" s="4">
        <v>0</v>
      </c>
      <c r="S494" s="6">
        <v>0</v>
      </c>
      <c r="T494" s="6">
        <v>28</v>
      </c>
      <c r="U494" s="6">
        <v>65</v>
      </c>
      <c r="V494" s="6">
        <f>IF(ISERROR(VLOOKUP($S$494,'TAR FIN'!$A$1:$O$85,15,0)),0,VLOOKUP($S$494,'TAR FIN'!$A$1:$O$85,15,0))</f>
        <v>0</v>
      </c>
      <c r="W494" s="6">
        <f>IF(ISERROR(VLOOKUP($T$494,'TAR FIN'!$A$1:$O$85,15,0)),0,VLOOKUP($T$494,'TAR FIN'!$A$1:$O$85,15,0))</f>
        <v>164.71</v>
      </c>
      <c r="X494" s="6">
        <f>IF(ISERROR(VLOOKUP($U$494,'TAR FIN'!$A$1:$O$85,15,0)),0,VLOOKUP($U$494,'TAR FIN'!$A$1:$O$85,15,0))</f>
        <v>231.7</v>
      </c>
      <c r="Y494" s="6"/>
      <c r="Z494" s="6">
        <f ca="1">('TUSD BE'!$AM$32+'TUSD BF'!$AM$32+'TUSD CVA'!$AM$32)*(1-CUSTOS!$M$38)</f>
        <v>218.62401641895264</v>
      </c>
      <c r="AA494" s="6">
        <f>('TE BE'!$AA$22+'TE BF'!$AA$22+'TE CVA'!$AA$22)*(1-CUSTOS!$M$38)</f>
        <v>198.0053374241497</v>
      </c>
      <c r="AB494" s="6">
        <f>$K$494*$V$494</f>
        <v>0</v>
      </c>
      <c r="AC494" s="6">
        <f>$M$494*$W$494</f>
        <v>70.001750000000001</v>
      </c>
      <c r="AD494" s="6">
        <f>$O$494*$X$494</f>
        <v>98.472499999999997</v>
      </c>
      <c r="AE494" s="6">
        <f>$K$494*$Y$494</f>
        <v>0</v>
      </c>
      <c r="AF494" s="6">
        <f ca="1">$M$494*$Z$494</f>
        <v>92.915206978054869</v>
      </c>
      <c r="AG494" s="6">
        <f>$O$494*$AA$494</f>
        <v>84.152268405263627</v>
      </c>
    </row>
    <row r="495" spans="1:33" ht="11.25" customHeight="1" x14ac:dyDescent="0.25">
      <c r="A495" s="4" t="s">
        <v>21</v>
      </c>
      <c r="B495" s="4" t="s">
        <v>43</v>
      </c>
      <c r="C495" s="4" t="s">
        <v>37</v>
      </c>
      <c r="D495" s="4" t="s">
        <v>44</v>
      </c>
      <c r="E495" s="4" t="s">
        <v>25</v>
      </c>
      <c r="F495" s="4" t="s">
        <v>25</v>
      </c>
      <c r="G495" s="4" t="s">
        <v>25</v>
      </c>
      <c r="H495" s="4" t="s">
        <v>36</v>
      </c>
      <c r="I495" s="5">
        <v>44593</v>
      </c>
      <c r="J495" s="6">
        <v>0</v>
      </c>
      <c r="K495" s="6">
        <v>0</v>
      </c>
      <c r="L495" s="6">
        <v>0.46800000000000003</v>
      </c>
      <c r="M495" s="6">
        <v>0.46800000000000003</v>
      </c>
      <c r="N495" s="6">
        <v>0.46800000000000003</v>
      </c>
      <c r="O495" s="6">
        <v>0.46800000000000003</v>
      </c>
      <c r="P495" s="6">
        <v>0</v>
      </c>
      <c r="Q495" s="4" t="s">
        <v>26</v>
      </c>
      <c r="R495" s="4">
        <v>0</v>
      </c>
      <c r="S495" s="6">
        <v>0</v>
      </c>
      <c r="T495" s="6">
        <v>28</v>
      </c>
      <c r="U495" s="6">
        <v>65</v>
      </c>
      <c r="V495" s="6">
        <f>IF(ISERROR(VLOOKUP($S$495,'TAR FIN'!$A$1:$O$85,15,0)),0,VLOOKUP($S$495,'TAR FIN'!$A$1:$O$85,15,0))</f>
        <v>0</v>
      </c>
      <c r="W495" s="6">
        <f>IF(ISERROR(VLOOKUP($T$495,'TAR FIN'!$A$1:$O$85,15,0)),0,VLOOKUP($T$495,'TAR FIN'!$A$1:$O$85,15,0))</f>
        <v>164.71</v>
      </c>
      <c r="X495" s="6">
        <f>IF(ISERROR(VLOOKUP($U$495,'TAR FIN'!$A$1:$O$85,15,0)),0,VLOOKUP($U$495,'TAR FIN'!$A$1:$O$85,15,0))</f>
        <v>231.7</v>
      </c>
      <c r="Y495" s="6"/>
      <c r="Z495" s="6">
        <f ca="1">('TUSD BE'!$AM$32+'TUSD BF'!$AM$32+'TUSD CVA'!$AM$32)*(1-CUSTOS!$M$38)</f>
        <v>218.62401641895264</v>
      </c>
      <c r="AA495" s="6">
        <f>('TE BE'!$AA$22+'TE BF'!$AA$22+'TE CVA'!$AA$22)*(1-CUSTOS!$M$38)</f>
        <v>198.0053374241497</v>
      </c>
      <c r="AB495" s="6">
        <f>$K$495*$V$495</f>
        <v>0</v>
      </c>
      <c r="AC495" s="6">
        <f>$M$495*$W$495</f>
        <v>77.084280000000007</v>
      </c>
      <c r="AD495" s="6">
        <f>$O$495*$X$495</f>
        <v>108.43560000000001</v>
      </c>
      <c r="AE495" s="6">
        <f>$K$495*$Y$495</f>
        <v>0</v>
      </c>
      <c r="AF495" s="6">
        <f ca="1">$M$495*$Z$495</f>
        <v>102.31603968406984</v>
      </c>
      <c r="AG495" s="6">
        <f>$O$495*$AA$495</f>
        <v>92.66649791450206</v>
      </c>
    </row>
    <row r="496" spans="1:33" ht="11.25" customHeight="1" x14ac:dyDescent="0.25">
      <c r="A496" s="4" t="s">
        <v>21</v>
      </c>
      <c r="B496" s="4" t="s">
        <v>43</v>
      </c>
      <c r="C496" s="4" t="s">
        <v>37</v>
      </c>
      <c r="D496" s="4" t="s">
        <v>44</v>
      </c>
      <c r="E496" s="4" t="s">
        <v>25</v>
      </c>
      <c r="F496" s="4" t="s">
        <v>25</v>
      </c>
      <c r="G496" s="4" t="s">
        <v>25</v>
      </c>
      <c r="H496" s="4" t="s">
        <v>36</v>
      </c>
      <c r="I496" s="5">
        <v>44621</v>
      </c>
      <c r="J496" s="6">
        <v>0</v>
      </c>
      <c r="K496" s="6">
        <v>0</v>
      </c>
      <c r="L496" s="6">
        <v>0.56699999999999995</v>
      </c>
      <c r="M496" s="6">
        <v>0.56699999999999995</v>
      </c>
      <c r="N496" s="6">
        <v>0.56699999999999995</v>
      </c>
      <c r="O496" s="6">
        <v>0.56699999999999995</v>
      </c>
      <c r="P496" s="6">
        <v>0</v>
      </c>
      <c r="Q496" s="4" t="s">
        <v>26</v>
      </c>
      <c r="R496" s="4">
        <v>0</v>
      </c>
      <c r="S496" s="6">
        <v>0</v>
      </c>
      <c r="T496" s="6">
        <v>28</v>
      </c>
      <c r="U496" s="6">
        <v>65</v>
      </c>
      <c r="V496" s="6">
        <f>IF(ISERROR(VLOOKUP($S$496,'TAR FIN'!$A$1:$O$85,15,0)),0,VLOOKUP($S$496,'TAR FIN'!$A$1:$O$85,15,0))</f>
        <v>0</v>
      </c>
      <c r="W496" s="6">
        <f>IF(ISERROR(VLOOKUP($T$496,'TAR FIN'!$A$1:$O$85,15,0)),0,VLOOKUP($T$496,'TAR FIN'!$A$1:$O$85,15,0))</f>
        <v>164.71</v>
      </c>
      <c r="X496" s="6">
        <f>IF(ISERROR(VLOOKUP($U$496,'TAR FIN'!$A$1:$O$85,15,0)),0,VLOOKUP($U$496,'TAR FIN'!$A$1:$O$85,15,0))</f>
        <v>231.7</v>
      </c>
      <c r="Y496" s="6"/>
      <c r="Z496" s="6">
        <f ca="1">('TUSD BE'!$AM$32+'TUSD BF'!$AM$32+'TUSD CVA'!$AM$32)*(1-CUSTOS!$M$38)</f>
        <v>218.62401641895264</v>
      </c>
      <c r="AA496" s="6">
        <f>('TE BE'!$AA$22+'TE BF'!$AA$22+'TE CVA'!$AA$22)*(1-CUSTOS!$M$38)</f>
        <v>198.0053374241497</v>
      </c>
      <c r="AB496" s="6">
        <f>$K$496*$V$496</f>
        <v>0</v>
      </c>
      <c r="AC496" s="6">
        <f>$M$496*$W$496</f>
        <v>93.390569999999997</v>
      </c>
      <c r="AD496" s="6">
        <f>$O$496*$X$496</f>
        <v>131.37389999999999</v>
      </c>
      <c r="AE496" s="6">
        <f>$K$496*$Y$496</f>
        <v>0</v>
      </c>
      <c r="AF496" s="6">
        <f ca="1">$M$496*$Z$496</f>
        <v>123.95981730954614</v>
      </c>
      <c r="AG496" s="6">
        <f>$O$496*$AA$496</f>
        <v>112.26902631949287</v>
      </c>
    </row>
    <row r="497" spans="1:33" ht="11.25" customHeight="1" x14ac:dyDescent="0.25">
      <c r="A497" s="4" t="s">
        <v>21</v>
      </c>
      <c r="B497" s="4" t="s">
        <v>43</v>
      </c>
      <c r="C497" s="4" t="s">
        <v>37</v>
      </c>
      <c r="D497" s="4" t="s">
        <v>44</v>
      </c>
      <c r="E497" s="4" t="s">
        <v>25</v>
      </c>
      <c r="F497" s="4" t="s">
        <v>25</v>
      </c>
      <c r="G497" s="4" t="s">
        <v>25</v>
      </c>
      <c r="H497" s="4" t="s">
        <v>36</v>
      </c>
      <c r="I497" s="5">
        <v>44652</v>
      </c>
      <c r="J497" s="6">
        <v>0</v>
      </c>
      <c r="K497" s="6">
        <v>0</v>
      </c>
      <c r="L497" s="6">
        <v>0.45500000000000002</v>
      </c>
      <c r="M497" s="6">
        <v>0.45500000000000002</v>
      </c>
      <c r="N497" s="6">
        <v>0.45500000000000002</v>
      </c>
      <c r="O497" s="6">
        <v>0.45500000000000002</v>
      </c>
      <c r="P497" s="6">
        <v>0</v>
      </c>
      <c r="Q497" s="4" t="s">
        <v>26</v>
      </c>
      <c r="R497" s="4">
        <v>0</v>
      </c>
      <c r="S497" s="6">
        <v>0</v>
      </c>
      <c r="T497" s="6">
        <v>28</v>
      </c>
      <c r="U497" s="6">
        <v>65</v>
      </c>
      <c r="V497" s="6">
        <f>IF(ISERROR(VLOOKUP($S$497,'TAR FIN'!$A$1:$O$85,15,0)),0,VLOOKUP($S$497,'TAR FIN'!$A$1:$O$85,15,0))</f>
        <v>0</v>
      </c>
      <c r="W497" s="6">
        <f>IF(ISERROR(VLOOKUP($T$497,'TAR FIN'!$A$1:$O$85,15,0)),0,VLOOKUP($T$497,'TAR FIN'!$A$1:$O$85,15,0))</f>
        <v>164.71</v>
      </c>
      <c r="X497" s="6">
        <f>IF(ISERROR(VLOOKUP($U$497,'TAR FIN'!$A$1:$O$85,15,0)),0,VLOOKUP($U$497,'TAR FIN'!$A$1:$O$85,15,0))</f>
        <v>231.7</v>
      </c>
      <c r="Y497" s="6"/>
      <c r="Z497" s="6">
        <f ca="1">('TUSD BE'!$AM$32+'TUSD BF'!$AM$32+'TUSD CVA'!$AM$32)*(1-CUSTOS!$M$38)</f>
        <v>218.62401641895264</v>
      </c>
      <c r="AA497" s="6">
        <f>('TE BE'!$AA$22+'TE BF'!$AA$22+'TE CVA'!$AA$22)*(1-CUSTOS!$M$38)</f>
        <v>198.0053374241497</v>
      </c>
      <c r="AB497" s="6">
        <f>$K$497*$V$497</f>
        <v>0</v>
      </c>
      <c r="AC497" s="6">
        <f>$M$497*$W$497</f>
        <v>74.943049999999999</v>
      </c>
      <c r="AD497" s="6">
        <f>$O$497*$X$497</f>
        <v>105.4235</v>
      </c>
      <c r="AE497" s="6">
        <f>$K$497*$Y$497</f>
        <v>0</v>
      </c>
      <c r="AF497" s="6">
        <f ca="1">$M$497*$Z$497</f>
        <v>99.473927470623451</v>
      </c>
      <c r="AG497" s="6">
        <f>$O$497*$AA$497</f>
        <v>90.092428527988119</v>
      </c>
    </row>
    <row r="498" spans="1:33" ht="11.25" customHeight="1" x14ac:dyDescent="0.25">
      <c r="A498" s="4" t="s">
        <v>21</v>
      </c>
      <c r="B498" s="4" t="s">
        <v>43</v>
      </c>
      <c r="C498" s="4" t="s">
        <v>37</v>
      </c>
      <c r="D498" s="4" t="s">
        <v>44</v>
      </c>
      <c r="E498" s="4" t="s">
        <v>25</v>
      </c>
      <c r="F498" s="4" t="s">
        <v>25</v>
      </c>
      <c r="G498" s="4" t="s">
        <v>25</v>
      </c>
      <c r="H498" s="4" t="s">
        <v>38</v>
      </c>
      <c r="I498" s="5">
        <v>44317</v>
      </c>
      <c r="J498" s="6">
        <v>0</v>
      </c>
      <c r="K498" s="6">
        <v>0</v>
      </c>
      <c r="L498" s="6">
        <v>3.5000000000000003E-2</v>
      </c>
      <c r="M498" s="6">
        <v>3.5000000000000003E-2</v>
      </c>
      <c r="N498" s="6">
        <v>3.5000000000000003E-2</v>
      </c>
      <c r="O498" s="6">
        <v>3.5000000000000003E-2</v>
      </c>
      <c r="P498" s="6">
        <v>0</v>
      </c>
      <c r="Q498" s="4" t="s">
        <v>26</v>
      </c>
      <c r="R498" s="4">
        <v>0</v>
      </c>
      <c r="S498" s="6">
        <v>0</v>
      </c>
      <c r="T498" s="6">
        <v>27</v>
      </c>
      <c r="U498" s="6">
        <v>64</v>
      </c>
      <c r="V498" s="6">
        <f>IF(ISERROR(VLOOKUP($S$498,'TAR FIN'!$A$1:$O$85,15,0)),0,VLOOKUP($S$498,'TAR FIN'!$A$1:$O$85,15,0))</f>
        <v>0</v>
      </c>
      <c r="W498" s="6">
        <f>IF(ISERROR(VLOOKUP($T$498,'TAR FIN'!$A$1:$O$85,15,0)),0,VLOOKUP($T$498,'TAR FIN'!$A$1:$O$85,15,0))</f>
        <v>350.83</v>
      </c>
      <c r="X498" s="6">
        <f>IF(ISERROR(VLOOKUP($U$498,'TAR FIN'!$A$1:$O$85,15,0)),0,VLOOKUP($U$498,'TAR FIN'!$A$1:$O$85,15,0))</f>
        <v>231.7</v>
      </c>
      <c r="Y498" s="6"/>
      <c r="Z498" s="6">
        <f ca="1">('TUSD BE'!$AM$31+'TUSD BF'!$AM$31+'TUSD CVA'!$AM$31)*(1-CUSTOS!$M$38)</f>
        <v>419.74084307814246</v>
      </c>
      <c r="AA498" s="6">
        <f>('TE BE'!$AA$21+'TE BF'!$AA$21+'TE CVA'!$AA$21)*(1-CUSTOS!$M$38)</f>
        <v>198.0053374241497</v>
      </c>
      <c r="AB498" s="6">
        <f>$K$498*$V$498</f>
        <v>0</v>
      </c>
      <c r="AC498" s="6">
        <f>$M$498*$W$498</f>
        <v>12.27905</v>
      </c>
      <c r="AD498" s="6">
        <f>$O$498*$X$498</f>
        <v>8.1095000000000006</v>
      </c>
      <c r="AE498" s="6">
        <f>$K$498*$Y$498</f>
        <v>0</v>
      </c>
      <c r="AF498" s="6">
        <f ca="1">$M$498*$Z$498</f>
        <v>14.690929507734987</v>
      </c>
      <c r="AG498" s="6">
        <f>$O$498*$AA$498</f>
        <v>6.9301868098452406</v>
      </c>
    </row>
    <row r="499" spans="1:33" ht="11.25" customHeight="1" x14ac:dyDescent="0.25">
      <c r="A499" s="4" t="s">
        <v>21</v>
      </c>
      <c r="B499" s="4" t="s">
        <v>43</v>
      </c>
      <c r="C499" s="4" t="s">
        <v>37</v>
      </c>
      <c r="D499" s="4" t="s">
        <v>44</v>
      </c>
      <c r="E499" s="4" t="s">
        <v>25</v>
      </c>
      <c r="F499" s="4" t="s">
        <v>25</v>
      </c>
      <c r="G499" s="4" t="s">
        <v>25</v>
      </c>
      <c r="H499" s="4" t="s">
        <v>38</v>
      </c>
      <c r="I499" s="5">
        <v>44348</v>
      </c>
      <c r="J499" s="6">
        <v>0</v>
      </c>
      <c r="K499" s="6">
        <v>0</v>
      </c>
      <c r="L499" s="6">
        <v>3.5999999999999997E-2</v>
      </c>
      <c r="M499" s="6">
        <v>3.5999999999999997E-2</v>
      </c>
      <c r="N499" s="6">
        <v>3.5999999999999997E-2</v>
      </c>
      <c r="O499" s="6">
        <v>3.5999999999999997E-2</v>
      </c>
      <c r="P499" s="6">
        <v>0</v>
      </c>
      <c r="Q499" s="4" t="s">
        <v>26</v>
      </c>
      <c r="R499" s="4">
        <v>0</v>
      </c>
      <c r="S499" s="6">
        <v>0</v>
      </c>
      <c r="T499" s="6">
        <v>27</v>
      </c>
      <c r="U499" s="6">
        <v>64</v>
      </c>
      <c r="V499" s="6">
        <f>IF(ISERROR(VLOOKUP($S$499,'TAR FIN'!$A$1:$O$85,15,0)),0,VLOOKUP($S$499,'TAR FIN'!$A$1:$O$85,15,0))</f>
        <v>0</v>
      </c>
      <c r="W499" s="6">
        <f>IF(ISERROR(VLOOKUP($T$499,'TAR FIN'!$A$1:$O$85,15,0)),0,VLOOKUP($T$499,'TAR FIN'!$A$1:$O$85,15,0))</f>
        <v>350.83</v>
      </c>
      <c r="X499" s="6">
        <f>IF(ISERROR(VLOOKUP($U$499,'TAR FIN'!$A$1:$O$85,15,0)),0,VLOOKUP($U$499,'TAR FIN'!$A$1:$O$85,15,0))</f>
        <v>231.7</v>
      </c>
      <c r="Y499" s="6"/>
      <c r="Z499" s="6">
        <f ca="1">('TUSD BE'!$AM$31+'TUSD BF'!$AM$31+'TUSD CVA'!$AM$31)*(1-CUSTOS!$M$38)</f>
        <v>419.74084307814246</v>
      </c>
      <c r="AA499" s="6">
        <f>('TE BE'!$AA$21+'TE BF'!$AA$21+'TE CVA'!$AA$21)*(1-CUSTOS!$M$38)</f>
        <v>198.0053374241497</v>
      </c>
      <c r="AB499" s="6">
        <f>$K$499*$V$499</f>
        <v>0</v>
      </c>
      <c r="AC499" s="6">
        <f>$M$499*$W$499</f>
        <v>12.629879999999998</v>
      </c>
      <c r="AD499" s="6">
        <f>$O$499*$X$499</f>
        <v>8.3411999999999988</v>
      </c>
      <c r="AE499" s="6">
        <f>$K$499*$Y$499</f>
        <v>0</v>
      </c>
      <c r="AF499" s="6">
        <f ca="1">$M$499*$Z$499</f>
        <v>15.110670350813127</v>
      </c>
      <c r="AG499" s="6">
        <f>$O$499*$AA$499</f>
        <v>7.128192147269389</v>
      </c>
    </row>
    <row r="500" spans="1:33" ht="11.25" customHeight="1" x14ac:dyDescent="0.25">
      <c r="A500" s="4" t="s">
        <v>21</v>
      </c>
      <c r="B500" s="4" t="s">
        <v>43</v>
      </c>
      <c r="C500" s="4" t="s">
        <v>37</v>
      </c>
      <c r="D500" s="4" t="s">
        <v>44</v>
      </c>
      <c r="E500" s="4" t="s">
        <v>25</v>
      </c>
      <c r="F500" s="4" t="s">
        <v>25</v>
      </c>
      <c r="G500" s="4" t="s">
        <v>25</v>
      </c>
      <c r="H500" s="4" t="s">
        <v>38</v>
      </c>
      <c r="I500" s="5">
        <v>44378</v>
      </c>
      <c r="J500" s="6">
        <v>0</v>
      </c>
      <c r="K500" s="6">
        <v>0</v>
      </c>
      <c r="L500" s="6">
        <v>3.4000000000000002E-2</v>
      </c>
      <c r="M500" s="6">
        <v>3.4000000000000002E-2</v>
      </c>
      <c r="N500" s="6">
        <v>3.4000000000000002E-2</v>
      </c>
      <c r="O500" s="6">
        <v>3.4000000000000002E-2</v>
      </c>
      <c r="P500" s="6">
        <v>0</v>
      </c>
      <c r="Q500" s="4" t="s">
        <v>26</v>
      </c>
      <c r="R500" s="4">
        <v>0</v>
      </c>
      <c r="S500" s="6">
        <v>0</v>
      </c>
      <c r="T500" s="6">
        <v>27</v>
      </c>
      <c r="U500" s="6">
        <v>64</v>
      </c>
      <c r="V500" s="6">
        <f>IF(ISERROR(VLOOKUP($S$500,'TAR FIN'!$A$1:$O$85,15,0)),0,VLOOKUP($S$500,'TAR FIN'!$A$1:$O$85,15,0))</f>
        <v>0</v>
      </c>
      <c r="W500" s="6">
        <f>IF(ISERROR(VLOOKUP($T$500,'TAR FIN'!$A$1:$O$85,15,0)),0,VLOOKUP($T$500,'TAR FIN'!$A$1:$O$85,15,0))</f>
        <v>350.83</v>
      </c>
      <c r="X500" s="6">
        <f>IF(ISERROR(VLOOKUP($U$500,'TAR FIN'!$A$1:$O$85,15,0)),0,VLOOKUP($U$500,'TAR FIN'!$A$1:$O$85,15,0))</f>
        <v>231.7</v>
      </c>
      <c r="Y500" s="6"/>
      <c r="Z500" s="6">
        <f ca="1">('TUSD BE'!$AM$31+'TUSD BF'!$AM$31+'TUSD CVA'!$AM$31)*(1-CUSTOS!$M$38)</f>
        <v>419.74084307814246</v>
      </c>
      <c r="AA500" s="6">
        <f>('TE BE'!$AA$21+'TE BF'!$AA$21+'TE CVA'!$AA$21)*(1-CUSTOS!$M$38)</f>
        <v>198.0053374241497</v>
      </c>
      <c r="AB500" s="6">
        <f>$K$500*$V$500</f>
        <v>0</v>
      </c>
      <c r="AC500" s="6">
        <f>$M$500*$W$500</f>
        <v>11.92822</v>
      </c>
      <c r="AD500" s="6">
        <f>$O$500*$X$500</f>
        <v>7.8778000000000006</v>
      </c>
      <c r="AE500" s="6">
        <f>$K$500*$Y$500</f>
        <v>0</v>
      </c>
      <c r="AF500" s="6">
        <f ca="1">$M$500*$Z$500</f>
        <v>14.271188664656846</v>
      </c>
      <c r="AG500" s="6">
        <f>$O$500*$AA$500</f>
        <v>6.7321814724210904</v>
      </c>
    </row>
    <row r="501" spans="1:33" ht="11.25" customHeight="1" x14ac:dyDescent="0.25">
      <c r="A501" s="4" t="s">
        <v>21</v>
      </c>
      <c r="B501" s="4" t="s">
        <v>43</v>
      </c>
      <c r="C501" s="4" t="s">
        <v>37</v>
      </c>
      <c r="D501" s="4" t="s">
        <v>44</v>
      </c>
      <c r="E501" s="4" t="s">
        <v>25</v>
      </c>
      <c r="F501" s="4" t="s">
        <v>25</v>
      </c>
      <c r="G501" s="4" t="s">
        <v>25</v>
      </c>
      <c r="H501" s="4" t="s">
        <v>38</v>
      </c>
      <c r="I501" s="5">
        <v>44409</v>
      </c>
      <c r="J501" s="6">
        <v>0</v>
      </c>
      <c r="K501" s="6">
        <v>0</v>
      </c>
      <c r="L501" s="6">
        <v>3.9E-2</v>
      </c>
      <c r="M501" s="6">
        <v>3.9E-2</v>
      </c>
      <c r="N501" s="6">
        <v>3.9E-2</v>
      </c>
      <c r="O501" s="6">
        <v>3.9E-2</v>
      </c>
      <c r="P501" s="6">
        <v>0</v>
      </c>
      <c r="Q501" s="4" t="s">
        <v>26</v>
      </c>
      <c r="R501" s="4">
        <v>0</v>
      </c>
      <c r="S501" s="6">
        <v>0</v>
      </c>
      <c r="T501" s="6">
        <v>27</v>
      </c>
      <c r="U501" s="6">
        <v>64</v>
      </c>
      <c r="V501" s="6">
        <f>IF(ISERROR(VLOOKUP($S$501,'TAR FIN'!$A$1:$O$85,15,0)),0,VLOOKUP($S$501,'TAR FIN'!$A$1:$O$85,15,0))</f>
        <v>0</v>
      </c>
      <c r="W501" s="6">
        <f>IF(ISERROR(VLOOKUP($T$501,'TAR FIN'!$A$1:$O$85,15,0)),0,VLOOKUP($T$501,'TAR FIN'!$A$1:$O$85,15,0))</f>
        <v>350.83</v>
      </c>
      <c r="X501" s="6">
        <f>IF(ISERROR(VLOOKUP($U$501,'TAR FIN'!$A$1:$O$85,15,0)),0,VLOOKUP($U$501,'TAR FIN'!$A$1:$O$85,15,0))</f>
        <v>231.7</v>
      </c>
      <c r="Y501" s="6"/>
      <c r="Z501" s="6">
        <f ca="1">('TUSD BE'!$AM$31+'TUSD BF'!$AM$31+'TUSD CVA'!$AM$31)*(1-CUSTOS!$M$38)</f>
        <v>419.74084307814246</v>
      </c>
      <c r="AA501" s="6">
        <f>('TE BE'!$AA$21+'TE BF'!$AA$21+'TE CVA'!$AA$21)*(1-CUSTOS!$M$38)</f>
        <v>198.0053374241497</v>
      </c>
      <c r="AB501" s="6">
        <f>$K$501*$V$501</f>
        <v>0</v>
      </c>
      <c r="AC501" s="6">
        <f>$M$501*$W$501</f>
        <v>13.682369999999999</v>
      </c>
      <c r="AD501" s="6">
        <f>$O$501*$X$501</f>
        <v>9.0362999999999989</v>
      </c>
      <c r="AE501" s="6">
        <f>$K$501*$Y$501</f>
        <v>0</v>
      </c>
      <c r="AF501" s="6">
        <f ca="1">$M$501*$Z$501</f>
        <v>16.369892880047555</v>
      </c>
      <c r="AG501" s="6">
        <f>$O$501*$AA$501</f>
        <v>7.7222081595418386</v>
      </c>
    </row>
    <row r="502" spans="1:33" ht="11.25" customHeight="1" x14ac:dyDescent="0.25">
      <c r="A502" s="4" t="s">
        <v>21</v>
      </c>
      <c r="B502" s="4" t="s">
        <v>43</v>
      </c>
      <c r="C502" s="4" t="s">
        <v>37</v>
      </c>
      <c r="D502" s="4" t="s">
        <v>44</v>
      </c>
      <c r="E502" s="4" t="s">
        <v>25</v>
      </c>
      <c r="F502" s="4" t="s">
        <v>25</v>
      </c>
      <c r="G502" s="4" t="s">
        <v>25</v>
      </c>
      <c r="H502" s="4" t="s">
        <v>38</v>
      </c>
      <c r="I502" s="5">
        <v>44440</v>
      </c>
      <c r="J502" s="6">
        <v>0</v>
      </c>
      <c r="K502" s="6">
        <v>0</v>
      </c>
      <c r="L502" s="6">
        <v>0.16400000000000001</v>
      </c>
      <c r="M502" s="6">
        <v>0.16400000000000001</v>
      </c>
      <c r="N502" s="6">
        <v>0.16400000000000001</v>
      </c>
      <c r="O502" s="6">
        <v>0.16400000000000001</v>
      </c>
      <c r="P502" s="6">
        <v>0</v>
      </c>
      <c r="Q502" s="4" t="s">
        <v>26</v>
      </c>
      <c r="R502" s="4">
        <v>0</v>
      </c>
      <c r="S502" s="6">
        <v>0</v>
      </c>
      <c r="T502" s="6">
        <v>27</v>
      </c>
      <c r="U502" s="6">
        <v>64</v>
      </c>
      <c r="V502" s="6">
        <f>IF(ISERROR(VLOOKUP($S$502,'TAR FIN'!$A$1:$O$85,15,0)),0,VLOOKUP($S$502,'TAR FIN'!$A$1:$O$85,15,0))</f>
        <v>0</v>
      </c>
      <c r="W502" s="6">
        <f>IF(ISERROR(VLOOKUP($T$502,'TAR FIN'!$A$1:$O$85,15,0)),0,VLOOKUP($T$502,'TAR FIN'!$A$1:$O$85,15,0))</f>
        <v>350.83</v>
      </c>
      <c r="X502" s="6">
        <f>IF(ISERROR(VLOOKUP($U$502,'TAR FIN'!$A$1:$O$85,15,0)),0,VLOOKUP($U$502,'TAR FIN'!$A$1:$O$85,15,0))</f>
        <v>231.7</v>
      </c>
      <c r="Y502" s="6"/>
      <c r="Z502" s="6">
        <f ca="1">('TUSD BE'!$AM$31+'TUSD BF'!$AM$31+'TUSD CVA'!$AM$31)*(1-CUSTOS!$M$38)</f>
        <v>419.74084307814246</v>
      </c>
      <c r="AA502" s="6">
        <f>('TE BE'!$AA$21+'TE BF'!$AA$21+'TE CVA'!$AA$21)*(1-CUSTOS!$M$38)</f>
        <v>198.0053374241497</v>
      </c>
      <c r="AB502" s="6">
        <f>$K$502*$V$502</f>
        <v>0</v>
      </c>
      <c r="AC502" s="6">
        <f>$M$502*$W$502</f>
        <v>57.536119999999997</v>
      </c>
      <c r="AD502" s="6">
        <f>$O$502*$X$502</f>
        <v>37.998800000000003</v>
      </c>
      <c r="AE502" s="6">
        <f>$K$502*$Y$502</f>
        <v>0</v>
      </c>
      <c r="AF502" s="6">
        <f ca="1">$M$502*$Z$502</f>
        <v>68.837498264815366</v>
      </c>
      <c r="AG502" s="6">
        <f>$O$502*$AA$502</f>
        <v>32.472875337560552</v>
      </c>
    </row>
    <row r="503" spans="1:33" ht="11.25" customHeight="1" x14ac:dyDescent="0.25">
      <c r="A503" s="4" t="s">
        <v>21</v>
      </c>
      <c r="B503" s="4" t="s">
        <v>43</v>
      </c>
      <c r="C503" s="4" t="s">
        <v>37</v>
      </c>
      <c r="D503" s="4" t="s">
        <v>44</v>
      </c>
      <c r="E503" s="4" t="s">
        <v>25</v>
      </c>
      <c r="F503" s="4" t="s">
        <v>25</v>
      </c>
      <c r="G503" s="4" t="s">
        <v>25</v>
      </c>
      <c r="H503" s="4" t="s">
        <v>38</v>
      </c>
      <c r="I503" s="5">
        <v>44470</v>
      </c>
      <c r="J503" s="6">
        <v>0</v>
      </c>
      <c r="K503" s="6">
        <v>0</v>
      </c>
      <c r="L503" s="6">
        <v>3.2000000000000001E-2</v>
      </c>
      <c r="M503" s="6">
        <v>3.2000000000000001E-2</v>
      </c>
      <c r="N503" s="6">
        <v>3.2000000000000001E-2</v>
      </c>
      <c r="O503" s="6">
        <v>3.2000000000000001E-2</v>
      </c>
      <c r="P503" s="6">
        <v>0</v>
      </c>
      <c r="Q503" s="4" t="s">
        <v>26</v>
      </c>
      <c r="R503" s="4">
        <v>0</v>
      </c>
      <c r="S503" s="6">
        <v>0</v>
      </c>
      <c r="T503" s="6">
        <v>27</v>
      </c>
      <c r="U503" s="6">
        <v>64</v>
      </c>
      <c r="V503" s="6">
        <f>IF(ISERROR(VLOOKUP($S$503,'TAR FIN'!$A$1:$O$85,15,0)),0,VLOOKUP($S$503,'TAR FIN'!$A$1:$O$85,15,0))</f>
        <v>0</v>
      </c>
      <c r="W503" s="6">
        <f>IF(ISERROR(VLOOKUP($T$503,'TAR FIN'!$A$1:$O$85,15,0)),0,VLOOKUP($T$503,'TAR FIN'!$A$1:$O$85,15,0))</f>
        <v>350.83</v>
      </c>
      <c r="X503" s="6">
        <f>IF(ISERROR(VLOOKUP($U$503,'TAR FIN'!$A$1:$O$85,15,0)),0,VLOOKUP($U$503,'TAR FIN'!$A$1:$O$85,15,0))</f>
        <v>231.7</v>
      </c>
      <c r="Y503" s="6"/>
      <c r="Z503" s="6">
        <f ca="1">('TUSD BE'!$AM$31+'TUSD BF'!$AM$31+'TUSD CVA'!$AM$31)*(1-CUSTOS!$M$38)</f>
        <v>419.74084307814246</v>
      </c>
      <c r="AA503" s="6">
        <f>('TE BE'!$AA$21+'TE BF'!$AA$21+'TE CVA'!$AA$21)*(1-CUSTOS!$M$38)</f>
        <v>198.0053374241497</v>
      </c>
      <c r="AB503" s="6">
        <f>$K$503*$V$503</f>
        <v>0</v>
      </c>
      <c r="AC503" s="6">
        <f>$M$503*$W$503</f>
        <v>11.226559999999999</v>
      </c>
      <c r="AD503" s="6">
        <f>$O$503*$X$503</f>
        <v>7.4143999999999997</v>
      </c>
      <c r="AE503" s="6">
        <f>$K$503*$Y$503</f>
        <v>0</v>
      </c>
      <c r="AF503" s="6">
        <f ca="1">$M$503*$Z$503</f>
        <v>13.431706978500559</v>
      </c>
      <c r="AG503" s="6">
        <f>$O$503*$AA$503</f>
        <v>6.336170797572791</v>
      </c>
    </row>
    <row r="504" spans="1:33" ht="11.25" customHeight="1" x14ac:dyDescent="0.25">
      <c r="A504" s="4" t="s">
        <v>21</v>
      </c>
      <c r="B504" s="4" t="s">
        <v>43</v>
      </c>
      <c r="C504" s="4" t="s">
        <v>37</v>
      </c>
      <c r="D504" s="4" t="s">
        <v>44</v>
      </c>
      <c r="E504" s="4" t="s">
        <v>25</v>
      </c>
      <c r="F504" s="4" t="s">
        <v>25</v>
      </c>
      <c r="G504" s="4" t="s">
        <v>25</v>
      </c>
      <c r="H504" s="4" t="s">
        <v>38</v>
      </c>
      <c r="I504" s="5">
        <v>44501</v>
      </c>
      <c r="J504" s="6">
        <v>0</v>
      </c>
      <c r="K504" s="6">
        <v>0</v>
      </c>
      <c r="L504" s="6">
        <v>3.1E-2</v>
      </c>
      <c r="M504" s="6">
        <v>3.1E-2</v>
      </c>
      <c r="N504" s="6">
        <v>3.1E-2</v>
      </c>
      <c r="O504" s="6">
        <v>3.1E-2</v>
      </c>
      <c r="P504" s="6">
        <v>0</v>
      </c>
      <c r="Q504" s="4" t="s">
        <v>26</v>
      </c>
      <c r="R504" s="4">
        <v>0</v>
      </c>
      <c r="S504" s="6">
        <v>0</v>
      </c>
      <c r="T504" s="6">
        <v>27</v>
      </c>
      <c r="U504" s="6">
        <v>64</v>
      </c>
      <c r="V504" s="6">
        <f>IF(ISERROR(VLOOKUP($S$504,'TAR FIN'!$A$1:$O$85,15,0)),0,VLOOKUP($S$504,'TAR FIN'!$A$1:$O$85,15,0))</f>
        <v>0</v>
      </c>
      <c r="W504" s="6">
        <f>IF(ISERROR(VLOOKUP($T$504,'TAR FIN'!$A$1:$O$85,15,0)),0,VLOOKUP($T$504,'TAR FIN'!$A$1:$O$85,15,0))</f>
        <v>350.83</v>
      </c>
      <c r="X504" s="6">
        <f>IF(ISERROR(VLOOKUP($U$504,'TAR FIN'!$A$1:$O$85,15,0)),0,VLOOKUP($U$504,'TAR FIN'!$A$1:$O$85,15,0))</f>
        <v>231.7</v>
      </c>
      <c r="Y504" s="6"/>
      <c r="Z504" s="6">
        <f ca="1">('TUSD BE'!$AM$31+'TUSD BF'!$AM$31+'TUSD CVA'!$AM$31)*(1-CUSTOS!$M$38)</f>
        <v>419.74084307814246</v>
      </c>
      <c r="AA504" s="6">
        <f>('TE BE'!$AA$21+'TE BF'!$AA$21+'TE CVA'!$AA$21)*(1-CUSTOS!$M$38)</f>
        <v>198.0053374241497</v>
      </c>
      <c r="AB504" s="6">
        <f>$K$504*$V$504</f>
        <v>0</v>
      </c>
      <c r="AC504" s="6">
        <f>$M$504*$W$504</f>
        <v>10.875729999999999</v>
      </c>
      <c r="AD504" s="6">
        <f>$O$504*$X$504</f>
        <v>7.1826999999999996</v>
      </c>
      <c r="AE504" s="6">
        <f>$K$504*$Y$504</f>
        <v>0</v>
      </c>
      <c r="AF504" s="6">
        <f ca="1">$M$504*$Z$504</f>
        <v>13.011966135422416</v>
      </c>
      <c r="AG504" s="6">
        <f>$O$504*$AA$504</f>
        <v>6.1381654601486408</v>
      </c>
    </row>
    <row r="505" spans="1:33" ht="11.25" customHeight="1" x14ac:dyDescent="0.25">
      <c r="A505" s="4" t="s">
        <v>21</v>
      </c>
      <c r="B505" s="4" t="s">
        <v>43</v>
      </c>
      <c r="C505" s="4" t="s">
        <v>37</v>
      </c>
      <c r="D505" s="4" t="s">
        <v>44</v>
      </c>
      <c r="E505" s="4" t="s">
        <v>25</v>
      </c>
      <c r="F505" s="4" t="s">
        <v>25</v>
      </c>
      <c r="G505" s="4" t="s">
        <v>25</v>
      </c>
      <c r="H505" s="4" t="s">
        <v>38</v>
      </c>
      <c r="I505" s="5">
        <v>44531</v>
      </c>
      <c r="J505" s="6">
        <v>0</v>
      </c>
      <c r="K505" s="6">
        <v>0</v>
      </c>
      <c r="L505" s="6">
        <v>3.4000000000000002E-2</v>
      </c>
      <c r="M505" s="6">
        <v>3.4000000000000002E-2</v>
      </c>
      <c r="N505" s="6">
        <v>3.4000000000000002E-2</v>
      </c>
      <c r="O505" s="6">
        <v>3.4000000000000002E-2</v>
      </c>
      <c r="P505" s="6">
        <v>0</v>
      </c>
      <c r="Q505" s="4" t="s">
        <v>26</v>
      </c>
      <c r="R505" s="4">
        <v>0</v>
      </c>
      <c r="S505" s="6">
        <v>0</v>
      </c>
      <c r="T505" s="6">
        <v>27</v>
      </c>
      <c r="U505" s="6">
        <v>64</v>
      </c>
      <c r="V505" s="6">
        <f>IF(ISERROR(VLOOKUP($S$505,'TAR FIN'!$A$1:$O$85,15,0)),0,VLOOKUP($S$505,'TAR FIN'!$A$1:$O$85,15,0))</f>
        <v>0</v>
      </c>
      <c r="W505" s="6">
        <f>IF(ISERROR(VLOOKUP($T$505,'TAR FIN'!$A$1:$O$85,15,0)),0,VLOOKUP($T$505,'TAR FIN'!$A$1:$O$85,15,0))</f>
        <v>350.83</v>
      </c>
      <c r="X505" s="6">
        <f>IF(ISERROR(VLOOKUP($U$505,'TAR FIN'!$A$1:$O$85,15,0)),0,VLOOKUP($U$505,'TAR FIN'!$A$1:$O$85,15,0))</f>
        <v>231.7</v>
      </c>
      <c r="Y505" s="6"/>
      <c r="Z505" s="6">
        <f ca="1">('TUSD BE'!$AM$31+'TUSD BF'!$AM$31+'TUSD CVA'!$AM$31)*(1-CUSTOS!$M$38)</f>
        <v>419.74084307814246</v>
      </c>
      <c r="AA505" s="6">
        <f>('TE BE'!$AA$21+'TE BF'!$AA$21+'TE CVA'!$AA$21)*(1-CUSTOS!$M$38)</f>
        <v>198.0053374241497</v>
      </c>
      <c r="AB505" s="6">
        <f>$K$505*$V$505</f>
        <v>0</v>
      </c>
      <c r="AC505" s="6">
        <f>$M$505*$W$505</f>
        <v>11.92822</v>
      </c>
      <c r="AD505" s="6">
        <f>$O$505*$X$505</f>
        <v>7.8778000000000006</v>
      </c>
      <c r="AE505" s="6">
        <f>$K$505*$Y$505</f>
        <v>0</v>
      </c>
      <c r="AF505" s="6">
        <f ca="1">$M$505*$Z$505</f>
        <v>14.271188664656846</v>
      </c>
      <c r="AG505" s="6">
        <f>$O$505*$AA$505</f>
        <v>6.7321814724210904</v>
      </c>
    </row>
    <row r="506" spans="1:33" ht="11.25" customHeight="1" x14ac:dyDescent="0.25">
      <c r="A506" s="4" t="s">
        <v>21</v>
      </c>
      <c r="B506" s="4" t="s">
        <v>43</v>
      </c>
      <c r="C506" s="4" t="s">
        <v>37</v>
      </c>
      <c r="D506" s="4" t="s">
        <v>44</v>
      </c>
      <c r="E506" s="4" t="s">
        <v>25</v>
      </c>
      <c r="F506" s="4" t="s">
        <v>25</v>
      </c>
      <c r="G506" s="4" t="s">
        <v>25</v>
      </c>
      <c r="H506" s="4" t="s">
        <v>38</v>
      </c>
      <c r="I506" s="5">
        <v>44562</v>
      </c>
      <c r="J506" s="6">
        <v>0</v>
      </c>
      <c r="K506" s="6">
        <v>0</v>
      </c>
      <c r="L506" s="6">
        <v>3.5000000000000003E-2</v>
      </c>
      <c r="M506" s="6">
        <v>3.5000000000000003E-2</v>
      </c>
      <c r="N506" s="6">
        <v>3.5000000000000003E-2</v>
      </c>
      <c r="O506" s="6">
        <v>3.5000000000000003E-2</v>
      </c>
      <c r="P506" s="6">
        <v>0</v>
      </c>
      <c r="Q506" s="4" t="s">
        <v>26</v>
      </c>
      <c r="R506" s="4">
        <v>0</v>
      </c>
      <c r="S506" s="6">
        <v>0</v>
      </c>
      <c r="T506" s="6">
        <v>27</v>
      </c>
      <c r="U506" s="6">
        <v>64</v>
      </c>
      <c r="V506" s="6">
        <f>IF(ISERROR(VLOOKUP($S$506,'TAR FIN'!$A$1:$O$85,15,0)),0,VLOOKUP($S$506,'TAR FIN'!$A$1:$O$85,15,0))</f>
        <v>0</v>
      </c>
      <c r="W506" s="6">
        <f>IF(ISERROR(VLOOKUP($T$506,'TAR FIN'!$A$1:$O$85,15,0)),0,VLOOKUP($T$506,'TAR FIN'!$A$1:$O$85,15,0))</f>
        <v>350.83</v>
      </c>
      <c r="X506" s="6">
        <f>IF(ISERROR(VLOOKUP($U$506,'TAR FIN'!$A$1:$O$85,15,0)),0,VLOOKUP($U$506,'TAR FIN'!$A$1:$O$85,15,0))</f>
        <v>231.7</v>
      </c>
      <c r="Y506" s="6"/>
      <c r="Z506" s="6">
        <f ca="1">('TUSD BE'!$AM$31+'TUSD BF'!$AM$31+'TUSD CVA'!$AM$31)*(1-CUSTOS!$M$38)</f>
        <v>419.74084307814246</v>
      </c>
      <c r="AA506" s="6">
        <f>('TE BE'!$AA$21+'TE BF'!$AA$21+'TE CVA'!$AA$21)*(1-CUSTOS!$M$38)</f>
        <v>198.0053374241497</v>
      </c>
      <c r="AB506" s="6">
        <f>$K$506*$V$506</f>
        <v>0</v>
      </c>
      <c r="AC506" s="6">
        <f>$M$506*$W$506</f>
        <v>12.27905</v>
      </c>
      <c r="AD506" s="6">
        <f>$O$506*$X$506</f>
        <v>8.1095000000000006</v>
      </c>
      <c r="AE506" s="6">
        <f>$K$506*$Y$506</f>
        <v>0</v>
      </c>
      <c r="AF506" s="6">
        <f ca="1">$M$506*$Z$506</f>
        <v>14.690929507734987</v>
      </c>
      <c r="AG506" s="6">
        <f>$O$506*$AA$506</f>
        <v>6.9301868098452406</v>
      </c>
    </row>
    <row r="507" spans="1:33" ht="11.25" customHeight="1" x14ac:dyDescent="0.25">
      <c r="A507" s="4" t="s">
        <v>21</v>
      </c>
      <c r="B507" s="4" t="s">
        <v>43</v>
      </c>
      <c r="C507" s="4" t="s">
        <v>37</v>
      </c>
      <c r="D507" s="4" t="s">
        <v>44</v>
      </c>
      <c r="E507" s="4" t="s">
        <v>25</v>
      </c>
      <c r="F507" s="4" t="s">
        <v>25</v>
      </c>
      <c r="G507" s="4" t="s">
        <v>25</v>
      </c>
      <c r="H507" s="4" t="s">
        <v>38</v>
      </c>
      <c r="I507" s="5">
        <v>44593</v>
      </c>
      <c r="J507" s="6">
        <v>0</v>
      </c>
      <c r="K507" s="6">
        <v>0</v>
      </c>
      <c r="L507" s="6">
        <v>4.4999999999999998E-2</v>
      </c>
      <c r="M507" s="6">
        <v>4.4999999999999998E-2</v>
      </c>
      <c r="N507" s="6">
        <v>4.4999999999999998E-2</v>
      </c>
      <c r="O507" s="6">
        <v>4.4999999999999998E-2</v>
      </c>
      <c r="P507" s="6">
        <v>0</v>
      </c>
      <c r="Q507" s="4" t="s">
        <v>26</v>
      </c>
      <c r="R507" s="4">
        <v>0</v>
      </c>
      <c r="S507" s="6">
        <v>0</v>
      </c>
      <c r="T507" s="6">
        <v>27</v>
      </c>
      <c r="U507" s="6">
        <v>64</v>
      </c>
      <c r="V507" s="6">
        <f>IF(ISERROR(VLOOKUP($S$507,'TAR FIN'!$A$1:$O$85,15,0)),0,VLOOKUP($S$507,'TAR FIN'!$A$1:$O$85,15,0))</f>
        <v>0</v>
      </c>
      <c r="W507" s="6">
        <f>IF(ISERROR(VLOOKUP($T$507,'TAR FIN'!$A$1:$O$85,15,0)),0,VLOOKUP($T$507,'TAR FIN'!$A$1:$O$85,15,0))</f>
        <v>350.83</v>
      </c>
      <c r="X507" s="6">
        <f>IF(ISERROR(VLOOKUP($U$507,'TAR FIN'!$A$1:$O$85,15,0)),0,VLOOKUP($U$507,'TAR FIN'!$A$1:$O$85,15,0))</f>
        <v>231.7</v>
      </c>
      <c r="Y507" s="6"/>
      <c r="Z507" s="6">
        <f ca="1">('TUSD BE'!$AM$31+'TUSD BF'!$AM$31+'TUSD CVA'!$AM$31)*(1-CUSTOS!$M$38)</f>
        <v>419.74084307814246</v>
      </c>
      <c r="AA507" s="6">
        <f>('TE BE'!$AA$21+'TE BF'!$AA$21+'TE CVA'!$AA$21)*(1-CUSTOS!$M$38)</f>
        <v>198.0053374241497</v>
      </c>
      <c r="AB507" s="6">
        <f>$K$507*$V$507</f>
        <v>0</v>
      </c>
      <c r="AC507" s="6">
        <f>$M$507*$W$507</f>
        <v>15.787349999999998</v>
      </c>
      <c r="AD507" s="6">
        <f>$O$507*$X$507</f>
        <v>10.426499999999999</v>
      </c>
      <c r="AE507" s="6">
        <f>$K$507*$Y$507</f>
        <v>0</v>
      </c>
      <c r="AF507" s="6">
        <f ca="1">$M$507*$Z$507</f>
        <v>18.888337938516411</v>
      </c>
      <c r="AG507" s="6">
        <f>$O$507*$AA$507</f>
        <v>8.9102401840867369</v>
      </c>
    </row>
    <row r="508" spans="1:33" ht="11.25" customHeight="1" x14ac:dyDescent="0.25">
      <c r="A508" s="4" t="s">
        <v>21</v>
      </c>
      <c r="B508" s="4" t="s">
        <v>43</v>
      </c>
      <c r="C508" s="4" t="s">
        <v>37</v>
      </c>
      <c r="D508" s="4" t="s">
        <v>44</v>
      </c>
      <c r="E508" s="4" t="s">
        <v>25</v>
      </c>
      <c r="F508" s="4" t="s">
        <v>25</v>
      </c>
      <c r="G508" s="4" t="s">
        <v>25</v>
      </c>
      <c r="H508" s="4" t="s">
        <v>38</v>
      </c>
      <c r="I508" s="5">
        <v>44621</v>
      </c>
      <c r="J508" s="6">
        <v>0</v>
      </c>
      <c r="K508" s="6">
        <v>0</v>
      </c>
      <c r="L508" s="6">
        <v>4.4999999999999998E-2</v>
      </c>
      <c r="M508" s="6">
        <v>4.4999999999999998E-2</v>
      </c>
      <c r="N508" s="6">
        <v>4.4999999999999998E-2</v>
      </c>
      <c r="O508" s="6">
        <v>4.4999999999999998E-2</v>
      </c>
      <c r="P508" s="6">
        <v>0</v>
      </c>
      <c r="Q508" s="4" t="s">
        <v>26</v>
      </c>
      <c r="R508" s="4">
        <v>0</v>
      </c>
      <c r="S508" s="6">
        <v>0</v>
      </c>
      <c r="T508" s="6">
        <v>27</v>
      </c>
      <c r="U508" s="6">
        <v>64</v>
      </c>
      <c r="V508" s="6">
        <f>IF(ISERROR(VLOOKUP($S$508,'TAR FIN'!$A$1:$O$85,15,0)),0,VLOOKUP($S$508,'TAR FIN'!$A$1:$O$85,15,0))</f>
        <v>0</v>
      </c>
      <c r="W508" s="6">
        <f>IF(ISERROR(VLOOKUP($T$508,'TAR FIN'!$A$1:$O$85,15,0)),0,VLOOKUP($T$508,'TAR FIN'!$A$1:$O$85,15,0))</f>
        <v>350.83</v>
      </c>
      <c r="X508" s="6">
        <f>IF(ISERROR(VLOOKUP($U$508,'TAR FIN'!$A$1:$O$85,15,0)),0,VLOOKUP($U$508,'TAR FIN'!$A$1:$O$85,15,0))</f>
        <v>231.7</v>
      </c>
      <c r="Y508" s="6"/>
      <c r="Z508" s="6">
        <f ca="1">('TUSD BE'!$AM$31+'TUSD BF'!$AM$31+'TUSD CVA'!$AM$31)*(1-CUSTOS!$M$38)</f>
        <v>419.74084307814246</v>
      </c>
      <c r="AA508" s="6">
        <f>('TE BE'!$AA$21+'TE BF'!$AA$21+'TE CVA'!$AA$21)*(1-CUSTOS!$M$38)</f>
        <v>198.0053374241497</v>
      </c>
      <c r="AB508" s="6">
        <f>$K$508*$V$508</f>
        <v>0</v>
      </c>
      <c r="AC508" s="6">
        <f>$M$508*$W$508</f>
        <v>15.787349999999998</v>
      </c>
      <c r="AD508" s="6">
        <f>$O$508*$X$508</f>
        <v>10.426499999999999</v>
      </c>
      <c r="AE508" s="6">
        <f>$K$508*$Y$508</f>
        <v>0</v>
      </c>
      <c r="AF508" s="6">
        <f ca="1">$M$508*$Z$508</f>
        <v>18.888337938516411</v>
      </c>
      <c r="AG508" s="6">
        <f>$O$508*$AA$508</f>
        <v>8.9102401840867369</v>
      </c>
    </row>
    <row r="509" spans="1:33" ht="11.25" customHeight="1" x14ac:dyDescent="0.25">
      <c r="A509" s="4" t="s">
        <v>21</v>
      </c>
      <c r="B509" s="4" t="s">
        <v>43</v>
      </c>
      <c r="C509" s="4" t="s">
        <v>37</v>
      </c>
      <c r="D509" s="4" t="s">
        <v>44</v>
      </c>
      <c r="E509" s="4" t="s">
        <v>25</v>
      </c>
      <c r="F509" s="4" t="s">
        <v>25</v>
      </c>
      <c r="G509" s="4" t="s">
        <v>25</v>
      </c>
      <c r="H509" s="4" t="s">
        <v>38</v>
      </c>
      <c r="I509" s="5">
        <v>44652</v>
      </c>
      <c r="J509" s="6">
        <v>0</v>
      </c>
      <c r="K509" s="6">
        <v>0</v>
      </c>
      <c r="L509" s="6">
        <v>4.7E-2</v>
      </c>
      <c r="M509" s="6">
        <v>4.7E-2</v>
      </c>
      <c r="N509" s="6">
        <v>4.7E-2</v>
      </c>
      <c r="O509" s="6">
        <v>4.7E-2</v>
      </c>
      <c r="P509" s="6">
        <v>0</v>
      </c>
      <c r="Q509" s="4" t="s">
        <v>26</v>
      </c>
      <c r="R509" s="4">
        <v>0</v>
      </c>
      <c r="S509" s="6">
        <v>0</v>
      </c>
      <c r="T509" s="6">
        <v>27</v>
      </c>
      <c r="U509" s="6">
        <v>64</v>
      </c>
      <c r="V509" s="6">
        <f>IF(ISERROR(VLOOKUP($S$509,'TAR FIN'!$A$1:$O$85,15,0)),0,VLOOKUP($S$509,'TAR FIN'!$A$1:$O$85,15,0))</f>
        <v>0</v>
      </c>
      <c r="W509" s="6">
        <f>IF(ISERROR(VLOOKUP($T$509,'TAR FIN'!$A$1:$O$85,15,0)),0,VLOOKUP($T$509,'TAR FIN'!$A$1:$O$85,15,0))</f>
        <v>350.83</v>
      </c>
      <c r="X509" s="6">
        <f>IF(ISERROR(VLOOKUP($U$509,'TAR FIN'!$A$1:$O$85,15,0)),0,VLOOKUP($U$509,'TAR FIN'!$A$1:$O$85,15,0))</f>
        <v>231.7</v>
      </c>
      <c r="Y509" s="6"/>
      <c r="Z509" s="6">
        <f ca="1">('TUSD BE'!$AM$31+'TUSD BF'!$AM$31+'TUSD CVA'!$AM$31)*(1-CUSTOS!$M$38)</f>
        <v>419.74084307814246</v>
      </c>
      <c r="AA509" s="6">
        <f>('TE BE'!$AA$21+'TE BF'!$AA$21+'TE CVA'!$AA$21)*(1-CUSTOS!$M$38)</f>
        <v>198.0053374241497</v>
      </c>
      <c r="AB509" s="6">
        <f>$K$509*$V$509</f>
        <v>0</v>
      </c>
      <c r="AC509" s="6">
        <f>$M$509*$W$509</f>
        <v>16.48901</v>
      </c>
      <c r="AD509" s="6">
        <f>$O$509*$X$509</f>
        <v>10.889899999999999</v>
      </c>
      <c r="AE509" s="6">
        <f>$K$509*$Y$509</f>
        <v>0</v>
      </c>
      <c r="AF509" s="6">
        <f ca="1">$M$509*$Z$509</f>
        <v>19.727819624672694</v>
      </c>
      <c r="AG509" s="6">
        <f>$O$509*$AA$509</f>
        <v>9.3062508589350355</v>
      </c>
    </row>
    <row r="510" spans="1:33" ht="11.25" customHeight="1" x14ac:dyDescent="0.25">
      <c r="A510" s="4" t="s">
        <v>21</v>
      </c>
      <c r="B510" s="4" t="s">
        <v>43</v>
      </c>
      <c r="C510" s="4" t="s">
        <v>37</v>
      </c>
      <c r="D510" s="4" t="s">
        <v>44</v>
      </c>
      <c r="E510" s="4" t="s">
        <v>25</v>
      </c>
      <c r="F510" s="4" t="s">
        <v>25</v>
      </c>
      <c r="G510" s="4" t="s">
        <v>25</v>
      </c>
      <c r="H510" s="4" t="s">
        <v>35</v>
      </c>
      <c r="I510" s="5">
        <v>44317</v>
      </c>
      <c r="J510" s="6">
        <v>0</v>
      </c>
      <c r="K510" s="6">
        <v>0</v>
      </c>
      <c r="L510" s="6">
        <v>6.0999999999999999E-2</v>
      </c>
      <c r="M510" s="6">
        <v>6.0999999999999999E-2</v>
      </c>
      <c r="N510" s="6">
        <v>6.0999999999999999E-2</v>
      </c>
      <c r="O510" s="6">
        <v>6.0999999999999999E-2</v>
      </c>
      <c r="P510" s="6">
        <v>0</v>
      </c>
      <c r="Q510" s="4" t="s">
        <v>26</v>
      </c>
      <c r="R510" s="4">
        <v>0</v>
      </c>
      <c r="S510" s="6">
        <v>0</v>
      </c>
      <c r="T510" s="6">
        <v>26</v>
      </c>
      <c r="U510" s="6">
        <v>63</v>
      </c>
      <c r="V510" s="6">
        <f>IF(ISERROR(VLOOKUP($S$510,'TAR FIN'!$A$1:$O$85,15,0)),0,VLOOKUP($S$510,'TAR FIN'!$A$1:$O$85,15,0))</f>
        <v>0</v>
      </c>
      <c r="W510" s="6">
        <f>IF(ISERROR(VLOOKUP($T$510,'TAR FIN'!$A$1:$O$85,15,0)),0,VLOOKUP($T$510,'TAR FIN'!$A$1:$O$85,15,0))</f>
        <v>536.95000000000005</v>
      </c>
      <c r="X510" s="6">
        <f>IF(ISERROR(VLOOKUP($U$510,'TAR FIN'!$A$1:$O$85,15,0)),0,VLOOKUP($U$510,'TAR FIN'!$A$1:$O$85,15,0))</f>
        <v>231.7</v>
      </c>
      <c r="Y510" s="6"/>
      <c r="Z510" s="6">
        <f ca="1">('TUSD BE'!$AM$30+'TUSD BF'!$AM$30+'TUSD CVA'!$AM$30)*(1-CUSTOS!$M$38)</f>
        <v>620.85778527662399</v>
      </c>
      <c r="AA510" s="6">
        <f>('TE BE'!$AA$20+'TE BF'!$AA$20+'TE CVA'!$AA$20)*(1-CUSTOS!$M$38)</f>
        <v>198.0053374241497</v>
      </c>
      <c r="AB510" s="6">
        <f>$K$510*$V$510</f>
        <v>0</v>
      </c>
      <c r="AC510" s="6">
        <f>$M$510*$W$510</f>
        <v>32.753950000000003</v>
      </c>
      <c r="AD510" s="6">
        <f>$O$510*$X$510</f>
        <v>14.133699999999999</v>
      </c>
      <c r="AE510" s="6">
        <f>$K$510*$Y$510</f>
        <v>0</v>
      </c>
      <c r="AF510" s="6">
        <f ca="1">$M$510*$Z$510</f>
        <v>37.872324901874059</v>
      </c>
      <c r="AG510" s="6">
        <f>$O$510*$AA$510</f>
        <v>12.078325582873131</v>
      </c>
    </row>
    <row r="511" spans="1:33" ht="11.25" customHeight="1" x14ac:dyDescent="0.25">
      <c r="A511" s="4" t="s">
        <v>21</v>
      </c>
      <c r="B511" s="4" t="s">
        <v>43</v>
      </c>
      <c r="C511" s="4" t="s">
        <v>37</v>
      </c>
      <c r="D511" s="4" t="s">
        <v>44</v>
      </c>
      <c r="E511" s="4" t="s">
        <v>25</v>
      </c>
      <c r="F511" s="4" t="s">
        <v>25</v>
      </c>
      <c r="G511" s="4" t="s">
        <v>25</v>
      </c>
      <c r="H511" s="4" t="s">
        <v>35</v>
      </c>
      <c r="I511" s="5">
        <v>44348</v>
      </c>
      <c r="J511" s="6">
        <v>0</v>
      </c>
      <c r="K511" s="6">
        <v>0</v>
      </c>
      <c r="L511" s="6">
        <v>7.4999999999999997E-2</v>
      </c>
      <c r="M511" s="6">
        <v>7.4999999999999997E-2</v>
      </c>
      <c r="N511" s="6">
        <v>7.4999999999999997E-2</v>
      </c>
      <c r="O511" s="6">
        <v>7.4999999999999997E-2</v>
      </c>
      <c r="P511" s="6">
        <v>0</v>
      </c>
      <c r="Q511" s="4" t="s">
        <v>26</v>
      </c>
      <c r="R511" s="4">
        <v>0</v>
      </c>
      <c r="S511" s="6">
        <v>0</v>
      </c>
      <c r="T511" s="6">
        <v>26</v>
      </c>
      <c r="U511" s="6">
        <v>63</v>
      </c>
      <c r="V511" s="6">
        <f>IF(ISERROR(VLOOKUP($S$511,'TAR FIN'!$A$1:$O$85,15,0)),0,VLOOKUP($S$511,'TAR FIN'!$A$1:$O$85,15,0))</f>
        <v>0</v>
      </c>
      <c r="W511" s="6">
        <f>IF(ISERROR(VLOOKUP($T$511,'TAR FIN'!$A$1:$O$85,15,0)),0,VLOOKUP($T$511,'TAR FIN'!$A$1:$O$85,15,0))</f>
        <v>536.95000000000005</v>
      </c>
      <c r="X511" s="6">
        <f>IF(ISERROR(VLOOKUP($U$511,'TAR FIN'!$A$1:$O$85,15,0)),0,VLOOKUP($U$511,'TAR FIN'!$A$1:$O$85,15,0))</f>
        <v>231.7</v>
      </c>
      <c r="Y511" s="6"/>
      <c r="Z511" s="6">
        <f ca="1">('TUSD BE'!$AM$30+'TUSD BF'!$AM$30+'TUSD CVA'!$AM$30)*(1-CUSTOS!$M$38)</f>
        <v>620.85778527662399</v>
      </c>
      <c r="AA511" s="6">
        <f>('TE BE'!$AA$20+'TE BF'!$AA$20+'TE CVA'!$AA$20)*(1-CUSTOS!$M$38)</f>
        <v>198.0053374241497</v>
      </c>
      <c r="AB511" s="6">
        <f>$K$511*$V$511</f>
        <v>0</v>
      </c>
      <c r="AC511" s="6">
        <f>$M$511*$W$511</f>
        <v>40.271250000000002</v>
      </c>
      <c r="AD511" s="6">
        <f>$O$511*$X$511</f>
        <v>17.377499999999998</v>
      </c>
      <c r="AE511" s="6">
        <f>$K$511*$Y$511</f>
        <v>0</v>
      </c>
      <c r="AF511" s="6">
        <f ca="1">$M$511*$Z$511</f>
        <v>46.564333895746799</v>
      </c>
      <c r="AG511" s="6">
        <f>$O$511*$AA$511</f>
        <v>14.850400306811228</v>
      </c>
    </row>
    <row r="512" spans="1:33" ht="11.25" customHeight="1" x14ac:dyDescent="0.25">
      <c r="A512" s="4" t="s">
        <v>21</v>
      </c>
      <c r="B512" s="4" t="s">
        <v>43</v>
      </c>
      <c r="C512" s="4" t="s">
        <v>37</v>
      </c>
      <c r="D512" s="4" t="s">
        <v>44</v>
      </c>
      <c r="E512" s="4" t="s">
        <v>25</v>
      </c>
      <c r="F512" s="4" t="s">
        <v>25</v>
      </c>
      <c r="G512" s="4" t="s">
        <v>25</v>
      </c>
      <c r="H512" s="4" t="s">
        <v>35</v>
      </c>
      <c r="I512" s="5">
        <v>44378</v>
      </c>
      <c r="J512" s="6">
        <v>0</v>
      </c>
      <c r="K512" s="6">
        <v>0</v>
      </c>
      <c r="L512" s="6">
        <v>6.5000000000000002E-2</v>
      </c>
      <c r="M512" s="6">
        <v>6.5000000000000002E-2</v>
      </c>
      <c r="N512" s="6">
        <v>6.5000000000000002E-2</v>
      </c>
      <c r="O512" s="6">
        <v>6.5000000000000002E-2</v>
      </c>
      <c r="P512" s="6">
        <v>0</v>
      </c>
      <c r="Q512" s="4" t="s">
        <v>26</v>
      </c>
      <c r="R512" s="4">
        <v>0</v>
      </c>
      <c r="S512" s="6">
        <v>0</v>
      </c>
      <c r="T512" s="6">
        <v>26</v>
      </c>
      <c r="U512" s="6">
        <v>63</v>
      </c>
      <c r="V512" s="6">
        <f>IF(ISERROR(VLOOKUP($S$512,'TAR FIN'!$A$1:$O$85,15,0)),0,VLOOKUP($S$512,'TAR FIN'!$A$1:$O$85,15,0))</f>
        <v>0</v>
      </c>
      <c r="W512" s="6">
        <f>IF(ISERROR(VLOOKUP($T$512,'TAR FIN'!$A$1:$O$85,15,0)),0,VLOOKUP($T$512,'TAR FIN'!$A$1:$O$85,15,0))</f>
        <v>536.95000000000005</v>
      </c>
      <c r="X512" s="6">
        <f>IF(ISERROR(VLOOKUP($U$512,'TAR FIN'!$A$1:$O$85,15,0)),0,VLOOKUP($U$512,'TAR FIN'!$A$1:$O$85,15,0))</f>
        <v>231.7</v>
      </c>
      <c r="Y512" s="6"/>
      <c r="Z512" s="6">
        <f ca="1">('TUSD BE'!$AM$30+'TUSD BF'!$AM$30+'TUSD CVA'!$AM$30)*(1-CUSTOS!$M$38)</f>
        <v>620.85778527662399</v>
      </c>
      <c r="AA512" s="6">
        <f>('TE BE'!$AA$20+'TE BF'!$AA$20+'TE CVA'!$AA$20)*(1-CUSTOS!$M$38)</f>
        <v>198.0053374241497</v>
      </c>
      <c r="AB512" s="6">
        <f>$K$512*$V$512</f>
        <v>0</v>
      </c>
      <c r="AC512" s="6">
        <f>$M$512*$W$512</f>
        <v>34.901750000000007</v>
      </c>
      <c r="AD512" s="6">
        <f>$O$512*$X$512</f>
        <v>15.060499999999999</v>
      </c>
      <c r="AE512" s="6">
        <f>$K$512*$Y$512</f>
        <v>0</v>
      </c>
      <c r="AF512" s="6">
        <f ca="1">$M$512*$Z$512</f>
        <v>40.355756042980559</v>
      </c>
      <c r="AG512" s="6">
        <f>$O$512*$AA$512</f>
        <v>12.870346932569731</v>
      </c>
    </row>
    <row r="513" spans="1:33" ht="11.25" customHeight="1" x14ac:dyDescent="0.25">
      <c r="A513" s="4" t="s">
        <v>21</v>
      </c>
      <c r="B513" s="4" t="s">
        <v>43</v>
      </c>
      <c r="C513" s="4" t="s">
        <v>37</v>
      </c>
      <c r="D513" s="4" t="s">
        <v>44</v>
      </c>
      <c r="E513" s="4" t="s">
        <v>25</v>
      </c>
      <c r="F513" s="4" t="s">
        <v>25</v>
      </c>
      <c r="G513" s="4" t="s">
        <v>25</v>
      </c>
      <c r="H513" s="4" t="s">
        <v>35</v>
      </c>
      <c r="I513" s="5">
        <v>44409</v>
      </c>
      <c r="J513" s="6">
        <v>0</v>
      </c>
      <c r="K513" s="6">
        <v>0</v>
      </c>
      <c r="L513" s="6">
        <v>7.9000000000000001E-2</v>
      </c>
      <c r="M513" s="6">
        <v>7.9000000000000001E-2</v>
      </c>
      <c r="N513" s="6">
        <v>7.9000000000000001E-2</v>
      </c>
      <c r="O513" s="6">
        <v>7.9000000000000001E-2</v>
      </c>
      <c r="P513" s="6">
        <v>0</v>
      </c>
      <c r="Q513" s="4" t="s">
        <v>26</v>
      </c>
      <c r="R513" s="4">
        <v>0</v>
      </c>
      <c r="S513" s="6">
        <v>0</v>
      </c>
      <c r="T513" s="6">
        <v>26</v>
      </c>
      <c r="U513" s="6">
        <v>63</v>
      </c>
      <c r="V513" s="6">
        <f>IF(ISERROR(VLOOKUP($S$513,'TAR FIN'!$A$1:$O$85,15,0)),0,VLOOKUP($S$513,'TAR FIN'!$A$1:$O$85,15,0))</f>
        <v>0</v>
      </c>
      <c r="W513" s="6">
        <f>IF(ISERROR(VLOOKUP($T$513,'TAR FIN'!$A$1:$O$85,15,0)),0,VLOOKUP($T$513,'TAR FIN'!$A$1:$O$85,15,0))</f>
        <v>536.95000000000005</v>
      </c>
      <c r="X513" s="6">
        <f>IF(ISERROR(VLOOKUP($U$513,'TAR FIN'!$A$1:$O$85,15,0)),0,VLOOKUP($U$513,'TAR FIN'!$A$1:$O$85,15,0))</f>
        <v>231.7</v>
      </c>
      <c r="Y513" s="6"/>
      <c r="Z513" s="6">
        <f ca="1">('TUSD BE'!$AM$30+'TUSD BF'!$AM$30+'TUSD CVA'!$AM$30)*(1-CUSTOS!$M$38)</f>
        <v>620.85778527662399</v>
      </c>
      <c r="AA513" s="6">
        <f>('TE BE'!$AA$20+'TE BF'!$AA$20+'TE CVA'!$AA$20)*(1-CUSTOS!$M$38)</f>
        <v>198.0053374241497</v>
      </c>
      <c r="AB513" s="6">
        <f>$K$513*$V$513</f>
        <v>0</v>
      </c>
      <c r="AC513" s="6">
        <f>$M$513*$W$513</f>
        <v>42.419050000000006</v>
      </c>
      <c r="AD513" s="6">
        <f>$O$513*$X$513</f>
        <v>18.304299999999998</v>
      </c>
      <c r="AE513" s="6">
        <f>$K$513*$Y$513</f>
        <v>0</v>
      </c>
      <c r="AF513" s="6">
        <f ca="1">$M$513*$Z$513</f>
        <v>49.047765036853292</v>
      </c>
      <c r="AG513" s="6">
        <f>$O$513*$AA$513</f>
        <v>15.642421656507826</v>
      </c>
    </row>
    <row r="514" spans="1:33" ht="11.25" customHeight="1" x14ac:dyDescent="0.25">
      <c r="A514" s="4" t="s">
        <v>21</v>
      </c>
      <c r="B514" s="4" t="s">
        <v>43</v>
      </c>
      <c r="C514" s="4" t="s">
        <v>37</v>
      </c>
      <c r="D514" s="4" t="s">
        <v>44</v>
      </c>
      <c r="E514" s="4" t="s">
        <v>25</v>
      </c>
      <c r="F514" s="4" t="s">
        <v>25</v>
      </c>
      <c r="G514" s="4" t="s">
        <v>25</v>
      </c>
      <c r="H514" s="4" t="s">
        <v>35</v>
      </c>
      <c r="I514" s="5">
        <v>44440</v>
      </c>
      <c r="J514" s="6">
        <v>0</v>
      </c>
      <c r="K514" s="6">
        <v>0</v>
      </c>
      <c r="L514" s="6">
        <v>7.0999999999999994E-2</v>
      </c>
      <c r="M514" s="6">
        <v>7.0999999999999994E-2</v>
      </c>
      <c r="N514" s="6">
        <v>7.0999999999999994E-2</v>
      </c>
      <c r="O514" s="6">
        <v>7.0999999999999994E-2</v>
      </c>
      <c r="P514" s="6">
        <v>0</v>
      </c>
      <c r="Q514" s="4" t="s">
        <v>26</v>
      </c>
      <c r="R514" s="4">
        <v>0</v>
      </c>
      <c r="S514" s="6">
        <v>0</v>
      </c>
      <c r="T514" s="6">
        <v>26</v>
      </c>
      <c r="U514" s="6">
        <v>63</v>
      </c>
      <c r="V514" s="6">
        <f>IF(ISERROR(VLOOKUP($S$514,'TAR FIN'!$A$1:$O$85,15,0)),0,VLOOKUP($S$514,'TAR FIN'!$A$1:$O$85,15,0))</f>
        <v>0</v>
      </c>
      <c r="W514" s="6">
        <f>IF(ISERROR(VLOOKUP($T$514,'TAR FIN'!$A$1:$O$85,15,0)),0,VLOOKUP($T$514,'TAR FIN'!$A$1:$O$85,15,0))</f>
        <v>536.95000000000005</v>
      </c>
      <c r="X514" s="6">
        <f>IF(ISERROR(VLOOKUP($U$514,'TAR FIN'!$A$1:$O$85,15,0)),0,VLOOKUP($U$514,'TAR FIN'!$A$1:$O$85,15,0))</f>
        <v>231.7</v>
      </c>
      <c r="Y514" s="6"/>
      <c r="Z514" s="6">
        <f ca="1">('TUSD BE'!$AM$30+'TUSD BF'!$AM$30+'TUSD CVA'!$AM$30)*(1-CUSTOS!$M$38)</f>
        <v>620.85778527662399</v>
      </c>
      <c r="AA514" s="6">
        <f>('TE BE'!$AA$20+'TE BF'!$AA$20+'TE CVA'!$AA$20)*(1-CUSTOS!$M$38)</f>
        <v>198.0053374241497</v>
      </c>
      <c r="AB514" s="6">
        <f>$K$514*$V$514</f>
        <v>0</v>
      </c>
      <c r="AC514" s="6">
        <f>$M$514*$W$514</f>
        <v>38.123449999999998</v>
      </c>
      <c r="AD514" s="6">
        <f>$O$514*$X$514</f>
        <v>16.450699999999998</v>
      </c>
      <c r="AE514" s="6">
        <f>$K$514*$Y$514</f>
        <v>0</v>
      </c>
      <c r="AF514" s="6">
        <f ca="1">$M$514*$Z$514</f>
        <v>44.080902754640299</v>
      </c>
      <c r="AG514" s="6">
        <f>$O$514*$AA$514</f>
        <v>14.058378957114627</v>
      </c>
    </row>
    <row r="515" spans="1:33" ht="11.25" customHeight="1" x14ac:dyDescent="0.25">
      <c r="A515" s="4" t="s">
        <v>21</v>
      </c>
      <c r="B515" s="4" t="s">
        <v>43</v>
      </c>
      <c r="C515" s="4" t="s">
        <v>37</v>
      </c>
      <c r="D515" s="4" t="s">
        <v>44</v>
      </c>
      <c r="E515" s="4" t="s">
        <v>25</v>
      </c>
      <c r="F515" s="4" t="s">
        <v>25</v>
      </c>
      <c r="G515" s="4" t="s">
        <v>25</v>
      </c>
      <c r="H515" s="4" t="s">
        <v>35</v>
      </c>
      <c r="I515" s="5">
        <v>44470</v>
      </c>
      <c r="J515" s="6">
        <v>0</v>
      </c>
      <c r="K515" s="6">
        <v>0</v>
      </c>
      <c r="L515" s="6">
        <v>6.2E-2</v>
      </c>
      <c r="M515" s="6">
        <v>6.2E-2</v>
      </c>
      <c r="N515" s="6">
        <v>6.2E-2</v>
      </c>
      <c r="O515" s="6">
        <v>6.2E-2</v>
      </c>
      <c r="P515" s="6">
        <v>0</v>
      </c>
      <c r="Q515" s="4" t="s">
        <v>26</v>
      </c>
      <c r="R515" s="4">
        <v>0</v>
      </c>
      <c r="S515" s="6">
        <v>0</v>
      </c>
      <c r="T515" s="6">
        <v>26</v>
      </c>
      <c r="U515" s="6">
        <v>63</v>
      </c>
      <c r="V515" s="6">
        <f>IF(ISERROR(VLOOKUP($S$515,'TAR FIN'!$A$1:$O$85,15,0)),0,VLOOKUP($S$515,'TAR FIN'!$A$1:$O$85,15,0))</f>
        <v>0</v>
      </c>
      <c r="W515" s="6">
        <f>IF(ISERROR(VLOOKUP($T$515,'TAR FIN'!$A$1:$O$85,15,0)),0,VLOOKUP($T$515,'TAR FIN'!$A$1:$O$85,15,0))</f>
        <v>536.95000000000005</v>
      </c>
      <c r="X515" s="6">
        <f>IF(ISERROR(VLOOKUP($U$515,'TAR FIN'!$A$1:$O$85,15,0)),0,VLOOKUP($U$515,'TAR FIN'!$A$1:$O$85,15,0))</f>
        <v>231.7</v>
      </c>
      <c r="Y515" s="6"/>
      <c r="Z515" s="6">
        <f ca="1">('TUSD BE'!$AM$30+'TUSD BF'!$AM$30+'TUSD CVA'!$AM$30)*(1-CUSTOS!$M$38)</f>
        <v>620.85778527662399</v>
      </c>
      <c r="AA515" s="6">
        <f>('TE BE'!$AA$20+'TE BF'!$AA$20+'TE CVA'!$AA$20)*(1-CUSTOS!$M$38)</f>
        <v>198.0053374241497</v>
      </c>
      <c r="AB515" s="6">
        <f>$K$515*$V$515</f>
        <v>0</v>
      </c>
      <c r="AC515" s="6">
        <f>$M$515*$W$515</f>
        <v>33.290900000000001</v>
      </c>
      <c r="AD515" s="6">
        <f>$O$515*$X$515</f>
        <v>14.365399999999999</v>
      </c>
      <c r="AE515" s="6">
        <f>$K$515*$Y$515</f>
        <v>0</v>
      </c>
      <c r="AF515" s="6">
        <f ca="1">$M$515*$Z$515</f>
        <v>38.493182687150686</v>
      </c>
      <c r="AG515" s="6">
        <f>$O$515*$AA$515</f>
        <v>12.276330920297282</v>
      </c>
    </row>
    <row r="516" spans="1:33" ht="11.25" customHeight="1" x14ac:dyDescent="0.25">
      <c r="A516" s="4" t="s">
        <v>21</v>
      </c>
      <c r="B516" s="4" t="s">
        <v>43</v>
      </c>
      <c r="C516" s="4" t="s">
        <v>37</v>
      </c>
      <c r="D516" s="4" t="s">
        <v>44</v>
      </c>
      <c r="E516" s="4" t="s">
        <v>25</v>
      </c>
      <c r="F516" s="4" t="s">
        <v>25</v>
      </c>
      <c r="G516" s="4" t="s">
        <v>25</v>
      </c>
      <c r="H516" s="4" t="s">
        <v>35</v>
      </c>
      <c r="I516" s="5">
        <v>44501</v>
      </c>
      <c r="J516" s="6">
        <v>0</v>
      </c>
      <c r="K516" s="6">
        <v>0</v>
      </c>
      <c r="L516" s="6">
        <v>4.9000000000000002E-2</v>
      </c>
      <c r="M516" s="6">
        <v>4.9000000000000002E-2</v>
      </c>
      <c r="N516" s="6">
        <v>4.9000000000000002E-2</v>
      </c>
      <c r="O516" s="6">
        <v>4.9000000000000002E-2</v>
      </c>
      <c r="P516" s="6">
        <v>0</v>
      </c>
      <c r="Q516" s="4" t="s">
        <v>26</v>
      </c>
      <c r="R516" s="4">
        <v>0</v>
      </c>
      <c r="S516" s="6">
        <v>0</v>
      </c>
      <c r="T516" s="6">
        <v>26</v>
      </c>
      <c r="U516" s="6">
        <v>63</v>
      </c>
      <c r="V516" s="6">
        <f>IF(ISERROR(VLOOKUP($S$516,'TAR FIN'!$A$1:$O$85,15,0)),0,VLOOKUP($S$516,'TAR FIN'!$A$1:$O$85,15,0))</f>
        <v>0</v>
      </c>
      <c r="W516" s="6">
        <f>IF(ISERROR(VLOOKUP($T$516,'TAR FIN'!$A$1:$O$85,15,0)),0,VLOOKUP($T$516,'TAR FIN'!$A$1:$O$85,15,0))</f>
        <v>536.95000000000005</v>
      </c>
      <c r="X516" s="6">
        <f>IF(ISERROR(VLOOKUP($U$516,'TAR FIN'!$A$1:$O$85,15,0)),0,VLOOKUP($U$516,'TAR FIN'!$A$1:$O$85,15,0))</f>
        <v>231.7</v>
      </c>
      <c r="Y516" s="6"/>
      <c r="Z516" s="6">
        <f ca="1">('TUSD BE'!$AM$30+'TUSD BF'!$AM$30+'TUSD CVA'!$AM$30)*(1-CUSTOS!$M$38)</f>
        <v>620.85778527662399</v>
      </c>
      <c r="AA516" s="6">
        <f>('TE BE'!$AA$20+'TE BF'!$AA$20+'TE CVA'!$AA$20)*(1-CUSTOS!$M$38)</f>
        <v>198.0053374241497</v>
      </c>
      <c r="AB516" s="6">
        <f>$K$516*$V$516</f>
        <v>0</v>
      </c>
      <c r="AC516" s="6">
        <f>$M$516*$W$516</f>
        <v>26.310550000000003</v>
      </c>
      <c r="AD516" s="6">
        <f>$O$516*$X$516</f>
        <v>11.353299999999999</v>
      </c>
      <c r="AE516" s="6">
        <f>$K$516*$Y$516</f>
        <v>0</v>
      </c>
      <c r="AF516" s="6">
        <f ca="1">$M$516*$Z$516</f>
        <v>30.422031478554576</v>
      </c>
      <c r="AG516" s="6">
        <f>$O$516*$AA$516</f>
        <v>9.7022615337833358</v>
      </c>
    </row>
    <row r="517" spans="1:33" ht="11.25" customHeight="1" x14ac:dyDescent="0.25">
      <c r="A517" s="4" t="s">
        <v>21</v>
      </c>
      <c r="B517" s="4" t="s">
        <v>43</v>
      </c>
      <c r="C517" s="4" t="s">
        <v>37</v>
      </c>
      <c r="D517" s="4" t="s">
        <v>44</v>
      </c>
      <c r="E517" s="4" t="s">
        <v>25</v>
      </c>
      <c r="F517" s="4" t="s">
        <v>25</v>
      </c>
      <c r="G517" s="4" t="s">
        <v>25</v>
      </c>
      <c r="H517" s="4" t="s">
        <v>35</v>
      </c>
      <c r="I517" s="5">
        <v>44531</v>
      </c>
      <c r="J517" s="6">
        <v>0</v>
      </c>
      <c r="K517" s="6">
        <v>0</v>
      </c>
      <c r="L517" s="6">
        <v>4.9000000000000002E-2</v>
      </c>
      <c r="M517" s="6">
        <v>4.9000000000000002E-2</v>
      </c>
      <c r="N517" s="6">
        <v>4.9000000000000002E-2</v>
      </c>
      <c r="O517" s="6">
        <v>4.9000000000000002E-2</v>
      </c>
      <c r="P517" s="6">
        <v>0</v>
      </c>
      <c r="Q517" s="4" t="s">
        <v>26</v>
      </c>
      <c r="R517" s="4">
        <v>0</v>
      </c>
      <c r="S517" s="6">
        <v>0</v>
      </c>
      <c r="T517" s="6">
        <v>26</v>
      </c>
      <c r="U517" s="6">
        <v>63</v>
      </c>
      <c r="V517" s="6">
        <f>IF(ISERROR(VLOOKUP($S$517,'TAR FIN'!$A$1:$O$85,15,0)),0,VLOOKUP($S$517,'TAR FIN'!$A$1:$O$85,15,0))</f>
        <v>0</v>
      </c>
      <c r="W517" s="6">
        <f>IF(ISERROR(VLOOKUP($T$517,'TAR FIN'!$A$1:$O$85,15,0)),0,VLOOKUP($T$517,'TAR FIN'!$A$1:$O$85,15,0))</f>
        <v>536.95000000000005</v>
      </c>
      <c r="X517" s="6">
        <f>IF(ISERROR(VLOOKUP($U$517,'TAR FIN'!$A$1:$O$85,15,0)),0,VLOOKUP($U$517,'TAR FIN'!$A$1:$O$85,15,0))</f>
        <v>231.7</v>
      </c>
      <c r="Y517" s="6"/>
      <c r="Z517" s="6">
        <f ca="1">('TUSD BE'!$AM$30+'TUSD BF'!$AM$30+'TUSD CVA'!$AM$30)*(1-CUSTOS!$M$38)</f>
        <v>620.85778527662399</v>
      </c>
      <c r="AA517" s="6">
        <f>('TE BE'!$AA$20+'TE BF'!$AA$20+'TE CVA'!$AA$20)*(1-CUSTOS!$M$38)</f>
        <v>198.0053374241497</v>
      </c>
      <c r="AB517" s="6">
        <f>$K$517*$V$517</f>
        <v>0</v>
      </c>
      <c r="AC517" s="6">
        <f>$M$517*$W$517</f>
        <v>26.310550000000003</v>
      </c>
      <c r="AD517" s="6">
        <f>$O$517*$X$517</f>
        <v>11.353299999999999</v>
      </c>
      <c r="AE517" s="6">
        <f>$K$517*$Y$517</f>
        <v>0</v>
      </c>
      <c r="AF517" s="6">
        <f ca="1">$M$517*$Z$517</f>
        <v>30.422031478554576</v>
      </c>
      <c r="AG517" s="6">
        <f>$O$517*$AA$517</f>
        <v>9.7022615337833358</v>
      </c>
    </row>
    <row r="518" spans="1:33" ht="11.25" customHeight="1" x14ac:dyDescent="0.25">
      <c r="A518" s="4" t="s">
        <v>21</v>
      </c>
      <c r="B518" s="4" t="s">
        <v>43</v>
      </c>
      <c r="C518" s="4" t="s">
        <v>37</v>
      </c>
      <c r="D518" s="4" t="s">
        <v>44</v>
      </c>
      <c r="E518" s="4" t="s">
        <v>25</v>
      </c>
      <c r="F518" s="4" t="s">
        <v>25</v>
      </c>
      <c r="G518" s="4" t="s">
        <v>25</v>
      </c>
      <c r="H518" s="4" t="s">
        <v>35</v>
      </c>
      <c r="I518" s="5">
        <v>44562</v>
      </c>
      <c r="J518" s="6">
        <v>0</v>
      </c>
      <c r="K518" s="6">
        <v>0</v>
      </c>
      <c r="L518" s="6">
        <v>5.5E-2</v>
      </c>
      <c r="M518" s="6">
        <v>5.5E-2</v>
      </c>
      <c r="N518" s="6">
        <v>5.5E-2</v>
      </c>
      <c r="O518" s="6">
        <v>5.5E-2</v>
      </c>
      <c r="P518" s="6">
        <v>0</v>
      </c>
      <c r="Q518" s="4" t="s">
        <v>26</v>
      </c>
      <c r="R518" s="4">
        <v>0</v>
      </c>
      <c r="S518" s="6">
        <v>0</v>
      </c>
      <c r="T518" s="6">
        <v>26</v>
      </c>
      <c r="U518" s="6">
        <v>63</v>
      </c>
      <c r="V518" s="6">
        <f>IF(ISERROR(VLOOKUP($S$518,'TAR FIN'!$A$1:$O$85,15,0)),0,VLOOKUP($S$518,'TAR FIN'!$A$1:$O$85,15,0))</f>
        <v>0</v>
      </c>
      <c r="W518" s="6">
        <f>IF(ISERROR(VLOOKUP($T$518,'TAR FIN'!$A$1:$O$85,15,0)),0,VLOOKUP($T$518,'TAR FIN'!$A$1:$O$85,15,0))</f>
        <v>536.95000000000005</v>
      </c>
      <c r="X518" s="6">
        <f>IF(ISERROR(VLOOKUP($U$518,'TAR FIN'!$A$1:$O$85,15,0)),0,VLOOKUP($U$518,'TAR FIN'!$A$1:$O$85,15,0))</f>
        <v>231.7</v>
      </c>
      <c r="Y518" s="6"/>
      <c r="Z518" s="6">
        <f ca="1">('TUSD BE'!$AM$30+'TUSD BF'!$AM$30+'TUSD CVA'!$AM$30)*(1-CUSTOS!$M$38)</f>
        <v>620.85778527662399</v>
      </c>
      <c r="AA518" s="6">
        <f>('TE BE'!$AA$20+'TE BF'!$AA$20+'TE CVA'!$AA$20)*(1-CUSTOS!$M$38)</f>
        <v>198.0053374241497</v>
      </c>
      <c r="AB518" s="6">
        <f>$K$518*$V$518</f>
        <v>0</v>
      </c>
      <c r="AC518" s="6">
        <f>$M$518*$W$518</f>
        <v>29.532250000000001</v>
      </c>
      <c r="AD518" s="6">
        <f>$O$518*$X$518</f>
        <v>12.743499999999999</v>
      </c>
      <c r="AE518" s="6">
        <f>$K$518*$Y$518</f>
        <v>0</v>
      </c>
      <c r="AF518" s="6">
        <f ca="1">$M$518*$Z$518</f>
        <v>34.147178190214319</v>
      </c>
      <c r="AG518" s="6">
        <f>$O$518*$AA$518</f>
        <v>10.890293558328233</v>
      </c>
    </row>
    <row r="519" spans="1:33" ht="11.25" customHeight="1" x14ac:dyDescent="0.25">
      <c r="A519" s="4" t="s">
        <v>21</v>
      </c>
      <c r="B519" s="4" t="s">
        <v>43</v>
      </c>
      <c r="C519" s="4" t="s">
        <v>37</v>
      </c>
      <c r="D519" s="4" t="s">
        <v>44</v>
      </c>
      <c r="E519" s="4" t="s">
        <v>25</v>
      </c>
      <c r="F519" s="4" t="s">
        <v>25</v>
      </c>
      <c r="G519" s="4" t="s">
        <v>25</v>
      </c>
      <c r="H519" s="4" t="s">
        <v>35</v>
      </c>
      <c r="I519" s="5">
        <v>44593</v>
      </c>
      <c r="J519" s="6">
        <v>0</v>
      </c>
      <c r="K519" s="6">
        <v>0</v>
      </c>
      <c r="L519" s="6">
        <v>6.6000000000000003E-2</v>
      </c>
      <c r="M519" s="6">
        <v>6.6000000000000003E-2</v>
      </c>
      <c r="N519" s="6">
        <v>6.6000000000000003E-2</v>
      </c>
      <c r="O519" s="6">
        <v>6.6000000000000003E-2</v>
      </c>
      <c r="P519" s="6">
        <v>0</v>
      </c>
      <c r="Q519" s="4" t="s">
        <v>26</v>
      </c>
      <c r="R519" s="4">
        <v>0</v>
      </c>
      <c r="S519" s="6">
        <v>0</v>
      </c>
      <c r="T519" s="6">
        <v>26</v>
      </c>
      <c r="U519" s="6">
        <v>63</v>
      </c>
      <c r="V519" s="6">
        <f>IF(ISERROR(VLOOKUP($S$519,'TAR FIN'!$A$1:$O$85,15,0)),0,VLOOKUP($S$519,'TAR FIN'!$A$1:$O$85,15,0))</f>
        <v>0</v>
      </c>
      <c r="W519" s="6">
        <f>IF(ISERROR(VLOOKUP($T$519,'TAR FIN'!$A$1:$O$85,15,0)),0,VLOOKUP($T$519,'TAR FIN'!$A$1:$O$85,15,0))</f>
        <v>536.95000000000005</v>
      </c>
      <c r="X519" s="6">
        <f>IF(ISERROR(VLOOKUP($U$519,'TAR FIN'!$A$1:$O$85,15,0)),0,VLOOKUP($U$519,'TAR FIN'!$A$1:$O$85,15,0))</f>
        <v>231.7</v>
      </c>
      <c r="Y519" s="6"/>
      <c r="Z519" s="6">
        <f ca="1">('TUSD BE'!$AM$30+'TUSD BF'!$AM$30+'TUSD CVA'!$AM$30)*(1-CUSTOS!$M$38)</f>
        <v>620.85778527662399</v>
      </c>
      <c r="AA519" s="6">
        <f>('TE BE'!$AA$20+'TE BF'!$AA$20+'TE CVA'!$AA$20)*(1-CUSTOS!$M$38)</f>
        <v>198.0053374241497</v>
      </c>
      <c r="AB519" s="6">
        <f>$K$519*$V$519</f>
        <v>0</v>
      </c>
      <c r="AC519" s="6">
        <f>$M$519*$W$519</f>
        <v>35.438700000000004</v>
      </c>
      <c r="AD519" s="6">
        <f>$O$519*$X$519</f>
        <v>15.292199999999999</v>
      </c>
      <c r="AE519" s="6">
        <f>$K$519*$Y$519</f>
        <v>0</v>
      </c>
      <c r="AF519" s="6">
        <f ca="1">$M$519*$Z$519</f>
        <v>40.976613828257186</v>
      </c>
      <c r="AG519" s="6">
        <f>$O$519*$AA$519</f>
        <v>13.068352269993881</v>
      </c>
    </row>
    <row r="520" spans="1:33" ht="11.25" customHeight="1" x14ac:dyDescent="0.25">
      <c r="A520" s="4" t="s">
        <v>21</v>
      </c>
      <c r="B520" s="4" t="s">
        <v>43</v>
      </c>
      <c r="C520" s="4" t="s">
        <v>37</v>
      </c>
      <c r="D520" s="4" t="s">
        <v>44</v>
      </c>
      <c r="E520" s="4" t="s">
        <v>25</v>
      </c>
      <c r="F520" s="4" t="s">
        <v>25</v>
      </c>
      <c r="G520" s="4" t="s">
        <v>25</v>
      </c>
      <c r="H520" s="4" t="s">
        <v>35</v>
      </c>
      <c r="I520" s="5">
        <v>44621</v>
      </c>
      <c r="J520" s="6">
        <v>0</v>
      </c>
      <c r="K520" s="6">
        <v>0</v>
      </c>
      <c r="L520" s="6">
        <v>0.08</v>
      </c>
      <c r="M520" s="6">
        <v>0.08</v>
      </c>
      <c r="N520" s="6">
        <v>0.08</v>
      </c>
      <c r="O520" s="6">
        <v>0.08</v>
      </c>
      <c r="P520" s="6">
        <v>0</v>
      </c>
      <c r="Q520" s="4" t="s">
        <v>26</v>
      </c>
      <c r="R520" s="4">
        <v>0</v>
      </c>
      <c r="S520" s="6">
        <v>0</v>
      </c>
      <c r="T520" s="6">
        <v>26</v>
      </c>
      <c r="U520" s="6">
        <v>63</v>
      </c>
      <c r="V520" s="6">
        <f>IF(ISERROR(VLOOKUP($S$520,'TAR FIN'!$A$1:$O$85,15,0)),0,VLOOKUP($S$520,'TAR FIN'!$A$1:$O$85,15,0))</f>
        <v>0</v>
      </c>
      <c r="W520" s="6">
        <f>IF(ISERROR(VLOOKUP($T$520,'TAR FIN'!$A$1:$O$85,15,0)),0,VLOOKUP($T$520,'TAR FIN'!$A$1:$O$85,15,0))</f>
        <v>536.95000000000005</v>
      </c>
      <c r="X520" s="6">
        <f>IF(ISERROR(VLOOKUP($U$520,'TAR FIN'!$A$1:$O$85,15,0)),0,VLOOKUP($U$520,'TAR FIN'!$A$1:$O$85,15,0))</f>
        <v>231.7</v>
      </c>
      <c r="Y520" s="6"/>
      <c r="Z520" s="6">
        <f ca="1">('TUSD BE'!$AM$30+'TUSD BF'!$AM$30+'TUSD CVA'!$AM$30)*(1-CUSTOS!$M$38)</f>
        <v>620.85778527662399</v>
      </c>
      <c r="AA520" s="6">
        <f>('TE BE'!$AA$20+'TE BF'!$AA$20+'TE CVA'!$AA$20)*(1-CUSTOS!$M$38)</f>
        <v>198.0053374241497</v>
      </c>
      <c r="AB520" s="6">
        <f>$K$520*$V$520</f>
        <v>0</v>
      </c>
      <c r="AC520" s="6">
        <f>$M$520*$W$520</f>
        <v>42.956000000000003</v>
      </c>
      <c r="AD520" s="6">
        <f>$O$520*$X$520</f>
        <v>18.535999999999998</v>
      </c>
      <c r="AE520" s="6">
        <f>$K$520*$Y$520</f>
        <v>0</v>
      </c>
      <c r="AF520" s="6">
        <f ca="1">$M$520*$Z$520</f>
        <v>49.668622822129919</v>
      </c>
      <c r="AG520" s="6">
        <f>$O$520*$AA$520</f>
        <v>15.840426993931976</v>
      </c>
    </row>
    <row r="521" spans="1:33" ht="11.25" customHeight="1" x14ac:dyDescent="0.25">
      <c r="A521" s="4" t="s">
        <v>21</v>
      </c>
      <c r="B521" s="4" t="s">
        <v>43</v>
      </c>
      <c r="C521" s="4" t="s">
        <v>37</v>
      </c>
      <c r="D521" s="4" t="s">
        <v>44</v>
      </c>
      <c r="E521" s="4" t="s">
        <v>25</v>
      </c>
      <c r="F521" s="4" t="s">
        <v>25</v>
      </c>
      <c r="G521" s="4" t="s">
        <v>25</v>
      </c>
      <c r="H521" s="4" t="s">
        <v>35</v>
      </c>
      <c r="I521" s="5">
        <v>44652</v>
      </c>
      <c r="J521" s="6">
        <v>0</v>
      </c>
      <c r="K521" s="6">
        <v>0</v>
      </c>
      <c r="L521" s="6">
        <v>7.6999999999999999E-2</v>
      </c>
      <c r="M521" s="6">
        <v>7.6999999999999999E-2</v>
      </c>
      <c r="N521" s="6">
        <v>7.6999999999999999E-2</v>
      </c>
      <c r="O521" s="6">
        <v>7.6999999999999999E-2</v>
      </c>
      <c r="P521" s="6">
        <v>0</v>
      </c>
      <c r="Q521" s="4" t="s">
        <v>26</v>
      </c>
      <c r="R521" s="4">
        <v>0</v>
      </c>
      <c r="S521" s="6">
        <v>0</v>
      </c>
      <c r="T521" s="6">
        <v>26</v>
      </c>
      <c r="U521" s="6">
        <v>63</v>
      </c>
      <c r="V521" s="6">
        <f>IF(ISERROR(VLOOKUP($S$521,'TAR FIN'!$A$1:$O$85,15,0)),0,VLOOKUP($S$521,'TAR FIN'!$A$1:$O$85,15,0))</f>
        <v>0</v>
      </c>
      <c r="W521" s="6">
        <f>IF(ISERROR(VLOOKUP($T$521,'TAR FIN'!$A$1:$O$85,15,0)),0,VLOOKUP($T$521,'TAR FIN'!$A$1:$O$85,15,0))</f>
        <v>536.95000000000005</v>
      </c>
      <c r="X521" s="6">
        <f>IF(ISERROR(VLOOKUP($U$521,'TAR FIN'!$A$1:$O$85,15,0)),0,VLOOKUP($U$521,'TAR FIN'!$A$1:$O$85,15,0))</f>
        <v>231.7</v>
      </c>
      <c r="Y521" s="6"/>
      <c r="Z521" s="6">
        <f ca="1">('TUSD BE'!$AM$30+'TUSD BF'!$AM$30+'TUSD CVA'!$AM$30)*(1-CUSTOS!$M$38)</f>
        <v>620.85778527662399</v>
      </c>
      <c r="AA521" s="6">
        <f>('TE BE'!$AA$20+'TE BF'!$AA$20+'TE CVA'!$AA$20)*(1-CUSTOS!$M$38)</f>
        <v>198.0053374241497</v>
      </c>
      <c r="AB521" s="6">
        <f>$K$521*$V$521</f>
        <v>0</v>
      </c>
      <c r="AC521" s="6">
        <f>$M$521*$W$521</f>
        <v>41.345150000000004</v>
      </c>
      <c r="AD521" s="6">
        <f>$O$521*$X$521</f>
        <v>17.840899999999998</v>
      </c>
      <c r="AE521" s="6">
        <f>$K$521*$Y$521</f>
        <v>0</v>
      </c>
      <c r="AF521" s="6">
        <f ca="1">$M$521*$Z$521</f>
        <v>47.806049466300045</v>
      </c>
      <c r="AG521" s="6">
        <f>$O$521*$AA$521</f>
        <v>15.246410981659526</v>
      </c>
    </row>
    <row r="522" spans="1:33" ht="11.25" customHeight="1" x14ac:dyDescent="0.25">
      <c r="A522" s="4" t="s">
        <v>21</v>
      </c>
      <c r="B522" s="4" t="s">
        <v>43</v>
      </c>
      <c r="C522" s="4" t="s">
        <v>23</v>
      </c>
      <c r="D522" s="4" t="s">
        <v>44</v>
      </c>
      <c r="E522" s="4" t="s">
        <v>53</v>
      </c>
      <c r="F522" s="4" t="s">
        <v>54</v>
      </c>
      <c r="G522" s="4" t="s">
        <v>25</v>
      </c>
      <c r="H522" s="4" t="s">
        <v>25</v>
      </c>
      <c r="I522" s="5">
        <v>44317</v>
      </c>
      <c r="J522" s="6">
        <v>0</v>
      </c>
      <c r="K522" s="6">
        <v>0</v>
      </c>
      <c r="L522" s="6">
        <v>55.582000000000001</v>
      </c>
      <c r="M522" s="6">
        <v>55.582000000000001</v>
      </c>
      <c r="N522" s="6">
        <v>55.582000000000001</v>
      </c>
      <c r="O522" s="6">
        <v>55.582000000000001</v>
      </c>
      <c r="P522" s="6">
        <v>0</v>
      </c>
      <c r="Q522" s="4" t="s">
        <v>26</v>
      </c>
      <c r="R522" s="4">
        <v>0</v>
      </c>
      <c r="S522" s="6">
        <v>0</v>
      </c>
      <c r="T522" s="6">
        <v>29</v>
      </c>
      <c r="U522" s="6">
        <v>66</v>
      </c>
      <c r="V522" s="6">
        <f>IF(ISERROR(VLOOKUP($S$522,'TAR FIN'!$A$1:$O$85,15,0)),0,VLOOKUP($S$522,'TAR FIN'!$A$1:$O$85,15,0))</f>
        <v>0</v>
      </c>
      <c r="W522" s="6">
        <f>IF(ISERROR(VLOOKUP($T$522,'TAR FIN'!$A$1:$O$85,15,0)),0,VLOOKUP($T$522,'TAR FIN'!$A$1:$O$85,15,0))</f>
        <v>240.85</v>
      </c>
      <c r="X522" s="6">
        <f>IF(ISERROR(VLOOKUP($U$522,'TAR FIN'!$A$1:$O$85,15,0)),0,VLOOKUP($U$522,'TAR FIN'!$A$1:$O$85,15,0))</f>
        <v>231.7</v>
      </c>
      <c r="Y522" s="6"/>
      <c r="Z522" s="6">
        <f ca="1">('TUSD BE'!$AM$33+'TUSD BF'!$AM$33+'TUSD CVA'!$AM$33)*(1-CUSTOS!$M$38)</f>
        <v>300.89907966262189</v>
      </c>
      <c r="AA522" s="6">
        <f>('TE BE'!$AA$23+'TE BF'!$AA$23+'TE CVA'!$AA$23)*(1-CUSTOS!$M$38)</f>
        <v>198.0053374241497</v>
      </c>
      <c r="AB522" s="6">
        <f>$K$522*$V$522</f>
        <v>0</v>
      </c>
      <c r="AC522" s="6">
        <f>$M$522*$W$522</f>
        <v>13386.9247</v>
      </c>
      <c r="AD522" s="6">
        <f>$O$522*$X$522</f>
        <v>12878.349399999999</v>
      </c>
      <c r="AE522" s="6">
        <f>$K$522*$Y$522</f>
        <v>0</v>
      </c>
      <c r="AF522" s="6">
        <f ca="1">$M$522*$Z$522</f>
        <v>16724.57264580785</v>
      </c>
      <c r="AG522" s="6">
        <f>$O$522*$AA$522</f>
        <v>11005.53266470909</v>
      </c>
    </row>
    <row r="523" spans="1:33" ht="11.25" customHeight="1" x14ac:dyDescent="0.25">
      <c r="A523" s="4" t="s">
        <v>21</v>
      </c>
      <c r="B523" s="4" t="s">
        <v>43</v>
      </c>
      <c r="C523" s="4" t="s">
        <v>23</v>
      </c>
      <c r="D523" s="4" t="s">
        <v>44</v>
      </c>
      <c r="E523" s="4" t="s">
        <v>53</v>
      </c>
      <c r="F523" s="4" t="s">
        <v>54</v>
      </c>
      <c r="G523" s="4" t="s">
        <v>25</v>
      </c>
      <c r="H523" s="4" t="s">
        <v>25</v>
      </c>
      <c r="I523" s="5">
        <v>44348</v>
      </c>
      <c r="J523" s="6">
        <v>0</v>
      </c>
      <c r="K523" s="6">
        <v>0</v>
      </c>
      <c r="L523" s="6">
        <v>54.146000000000001</v>
      </c>
      <c r="M523" s="6">
        <v>54.146000000000001</v>
      </c>
      <c r="N523" s="6">
        <v>54.146000000000001</v>
      </c>
      <c r="O523" s="6">
        <v>54.146000000000001</v>
      </c>
      <c r="P523" s="6">
        <v>0</v>
      </c>
      <c r="Q523" s="4" t="s">
        <v>26</v>
      </c>
      <c r="R523" s="4">
        <v>0</v>
      </c>
      <c r="S523" s="6">
        <v>0</v>
      </c>
      <c r="T523" s="6">
        <v>29</v>
      </c>
      <c r="U523" s="6">
        <v>66</v>
      </c>
      <c r="V523" s="6">
        <f>IF(ISERROR(VLOOKUP($S$523,'TAR FIN'!$A$1:$O$85,15,0)),0,VLOOKUP($S$523,'TAR FIN'!$A$1:$O$85,15,0))</f>
        <v>0</v>
      </c>
      <c r="W523" s="6">
        <f>IF(ISERROR(VLOOKUP($T$523,'TAR FIN'!$A$1:$O$85,15,0)),0,VLOOKUP($T$523,'TAR FIN'!$A$1:$O$85,15,0))</f>
        <v>240.85</v>
      </c>
      <c r="X523" s="6">
        <f>IF(ISERROR(VLOOKUP($U$523,'TAR FIN'!$A$1:$O$85,15,0)),0,VLOOKUP($U$523,'TAR FIN'!$A$1:$O$85,15,0))</f>
        <v>231.7</v>
      </c>
      <c r="Y523" s="6"/>
      <c r="Z523" s="6">
        <f ca="1">('TUSD BE'!$AM$33+'TUSD BF'!$AM$33+'TUSD CVA'!$AM$33)*(1-CUSTOS!$M$38)</f>
        <v>300.89907966262189</v>
      </c>
      <c r="AA523" s="6">
        <f>('TE BE'!$AA$23+'TE BF'!$AA$23+'TE CVA'!$AA$23)*(1-CUSTOS!$M$38)</f>
        <v>198.0053374241497</v>
      </c>
      <c r="AB523" s="6">
        <f>$K$523*$V$523</f>
        <v>0</v>
      </c>
      <c r="AC523" s="6">
        <f>$M$523*$W$523</f>
        <v>13041.0641</v>
      </c>
      <c r="AD523" s="6">
        <f>$O$523*$X$523</f>
        <v>12545.628199999999</v>
      </c>
      <c r="AE523" s="6">
        <f>$K$523*$Y$523</f>
        <v>0</v>
      </c>
      <c r="AF523" s="6">
        <f ca="1">$M$523*$Z$523</f>
        <v>16292.481567412326</v>
      </c>
      <c r="AG523" s="6">
        <f>$O$523*$AA$523</f>
        <v>10721.197000168009</v>
      </c>
    </row>
    <row r="524" spans="1:33" ht="11.25" customHeight="1" x14ac:dyDescent="0.25">
      <c r="A524" s="4" t="s">
        <v>21</v>
      </c>
      <c r="B524" s="4" t="s">
        <v>43</v>
      </c>
      <c r="C524" s="4" t="s">
        <v>23</v>
      </c>
      <c r="D524" s="4" t="s">
        <v>44</v>
      </c>
      <c r="E524" s="4" t="s">
        <v>53</v>
      </c>
      <c r="F524" s="4" t="s">
        <v>54</v>
      </c>
      <c r="G524" s="4" t="s">
        <v>25</v>
      </c>
      <c r="H524" s="4" t="s">
        <v>25</v>
      </c>
      <c r="I524" s="5">
        <v>44378</v>
      </c>
      <c r="J524" s="6">
        <v>0</v>
      </c>
      <c r="K524" s="6">
        <v>0</v>
      </c>
      <c r="L524" s="6">
        <v>45.243000000000002</v>
      </c>
      <c r="M524" s="6">
        <v>45.243000000000002</v>
      </c>
      <c r="N524" s="6">
        <v>45.243000000000002</v>
      </c>
      <c r="O524" s="6">
        <v>45.243000000000002</v>
      </c>
      <c r="P524" s="6">
        <v>0</v>
      </c>
      <c r="Q524" s="4" t="s">
        <v>26</v>
      </c>
      <c r="R524" s="4">
        <v>0</v>
      </c>
      <c r="S524" s="6">
        <v>0</v>
      </c>
      <c r="T524" s="6">
        <v>29</v>
      </c>
      <c r="U524" s="6">
        <v>66</v>
      </c>
      <c r="V524" s="6">
        <f>IF(ISERROR(VLOOKUP($S$524,'TAR FIN'!$A$1:$O$85,15,0)),0,VLOOKUP($S$524,'TAR FIN'!$A$1:$O$85,15,0))</f>
        <v>0</v>
      </c>
      <c r="W524" s="6">
        <f>IF(ISERROR(VLOOKUP($T$524,'TAR FIN'!$A$1:$O$85,15,0)),0,VLOOKUP($T$524,'TAR FIN'!$A$1:$O$85,15,0))</f>
        <v>240.85</v>
      </c>
      <c r="X524" s="6">
        <f>IF(ISERROR(VLOOKUP($U$524,'TAR FIN'!$A$1:$O$85,15,0)),0,VLOOKUP($U$524,'TAR FIN'!$A$1:$O$85,15,0))</f>
        <v>231.7</v>
      </c>
      <c r="Y524" s="6"/>
      <c r="Z524" s="6">
        <f ca="1">('TUSD BE'!$AM$33+'TUSD BF'!$AM$33+'TUSD CVA'!$AM$33)*(1-CUSTOS!$M$38)</f>
        <v>300.89907966262189</v>
      </c>
      <c r="AA524" s="6">
        <f>('TE BE'!$AA$23+'TE BF'!$AA$23+'TE CVA'!$AA$23)*(1-CUSTOS!$M$38)</f>
        <v>198.0053374241497</v>
      </c>
      <c r="AB524" s="6">
        <f>$K$524*$V$524</f>
        <v>0</v>
      </c>
      <c r="AC524" s="6">
        <f>$M$524*$W$524</f>
        <v>10896.77655</v>
      </c>
      <c r="AD524" s="6">
        <f>$O$524*$X$524</f>
        <v>10482.803099999999</v>
      </c>
      <c r="AE524" s="6">
        <f>$K$524*$Y$524</f>
        <v>0</v>
      </c>
      <c r="AF524" s="6">
        <f ca="1">$M$524*$Z$524</f>
        <v>13613.577061176004</v>
      </c>
      <c r="AG524" s="6">
        <f>$O$524*$AA$524</f>
        <v>8958.3554810808055</v>
      </c>
    </row>
    <row r="525" spans="1:33" ht="11.25" customHeight="1" x14ac:dyDescent="0.25">
      <c r="A525" s="4" t="s">
        <v>21</v>
      </c>
      <c r="B525" s="4" t="s">
        <v>43</v>
      </c>
      <c r="C525" s="4" t="s">
        <v>23</v>
      </c>
      <c r="D525" s="4" t="s">
        <v>44</v>
      </c>
      <c r="E525" s="4" t="s">
        <v>53</v>
      </c>
      <c r="F525" s="4" t="s">
        <v>54</v>
      </c>
      <c r="G525" s="4" t="s">
        <v>25</v>
      </c>
      <c r="H525" s="4" t="s">
        <v>25</v>
      </c>
      <c r="I525" s="5">
        <v>44409</v>
      </c>
      <c r="J525" s="6">
        <v>0</v>
      </c>
      <c r="K525" s="6">
        <v>0</v>
      </c>
      <c r="L525" s="6">
        <v>58.381999999999998</v>
      </c>
      <c r="M525" s="6">
        <v>58.381999999999998</v>
      </c>
      <c r="N525" s="6">
        <v>58.381999999999998</v>
      </c>
      <c r="O525" s="6">
        <v>58.381999999999998</v>
      </c>
      <c r="P525" s="6">
        <v>0</v>
      </c>
      <c r="Q525" s="4" t="s">
        <v>26</v>
      </c>
      <c r="R525" s="4">
        <v>0</v>
      </c>
      <c r="S525" s="6">
        <v>0</v>
      </c>
      <c r="T525" s="6">
        <v>29</v>
      </c>
      <c r="U525" s="6">
        <v>66</v>
      </c>
      <c r="V525" s="6">
        <f>IF(ISERROR(VLOOKUP($S$525,'TAR FIN'!$A$1:$O$85,15,0)),0,VLOOKUP($S$525,'TAR FIN'!$A$1:$O$85,15,0))</f>
        <v>0</v>
      </c>
      <c r="W525" s="6">
        <f>IF(ISERROR(VLOOKUP($T$525,'TAR FIN'!$A$1:$O$85,15,0)),0,VLOOKUP($T$525,'TAR FIN'!$A$1:$O$85,15,0))</f>
        <v>240.85</v>
      </c>
      <c r="X525" s="6">
        <f>IF(ISERROR(VLOOKUP($U$525,'TAR FIN'!$A$1:$O$85,15,0)),0,VLOOKUP($U$525,'TAR FIN'!$A$1:$O$85,15,0))</f>
        <v>231.7</v>
      </c>
      <c r="Y525" s="6"/>
      <c r="Z525" s="6">
        <f ca="1">('TUSD BE'!$AM$33+'TUSD BF'!$AM$33+'TUSD CVA'!$AM$33)*(1-CUSTOS!$M$38)</f>
        <v>300.89907966262189</v>
      </c>
      <c r="AA525" s="6">
        <f>('TE BE'!$AA$23+'TE BF'!$AA$23+'TE CVA'!$AA$23)*(1-CUSTOS!$M$38)</f>
        <v>198.0053374241497</v>
      </c>
      <c r="AB525" s="6">
        <f>$K$525*$V$525</f>
        <v>0</v>
      </c>
      <c r="AC525" s="6">
        <f>$M$525*$W$525</f>
        <v>14061.304699999999</v>
      </c>
      <c r="AD525" s="6">
        <f>$O$525*$X$525</f>
        <v>13527.109399999999</v>
      </c>
      <c r="AE525" s="6">
        <f>$K$525*$Y$525</f>
        <v>0</v>
      </c>
      <c r="AF525" s="6">
        <f ca="1">$M$525*$Z$525</f>
        <v>17567.090068863192</v>
      </c>
      <c r="AG525" s="6">
        <f>$O$525*$AA$525</f>
        <v>11559.947609496707</v>
      </c>
    </row>
    <row r="526" spans="1:33" ht="11.25" customHeight="1" x14ac:dyDescent="0.25">
      <c r="A526" s="4" t="s">
        <v>28</v>
      </c>
      <c r="B526" s="4" t="s">
        <v>43</v>
      </c>
      <c r="C526" s="4" t="s">
        <v>23</v>
      </c>
      <c r="D526" s="4" t="s">
        <v>44</v>
      </c>
      <c r="E526" s="4" t="s">
        <v>53</v>
      </c>
      <c r="F526" s="4" t="s">
        <v>54</v>
      </c>
      <c r="G526" s="4" t="s">
        <v>25</v>
      </c>
      <c r="H526" s="4" t="s">
        <v>25</v>
      </c>
      <c r="I526" s="5">
        <v>44409</v>
      </c>
      <c r="J526" s="6">
        <v>0</v>
      </c>
      <c r="K526" s="6">
        <v>0</v>
      </c>
      <c r="L526" s="6">
        <v>0.99299999999999999</v>
      </c>
      <c r="M526" s="6">
        <v>0.99299999999999999</v>
      </c>
      <c r="N526" s="6">
        <v>0.99299999999999999</v>
      </c>
      <c r="O526" s="6">
        <v>0.99299999999999999</v>
      </c>
      <c r="P526" s="6">
        <v>0</v>
      </c>
      <c r="Q526" s="4" t="s">
        <v>26</v>
      </c>
      <c r="R526" s="4">
        <v>0</v>
      </c>
      <c r="S526" s="6">
        <v>0</v>
      </c>
      <c r="T526" s="6">
        <v>29</v>
      </c>
      <c r="U526" s="6">
        <v>66</v>
      </c>
      <c r="V526" s="6">
        <f>IF(ISERROR(VLOOKUP($S$526,'TAR FIN'!$A$1:$O$85,15,0)),0,VLOOKUP($S$526,'TAR FIN'!$A$1:$O$85,15,0))</f>
        <v>0</v>
      </c>
      <c r="W526" s="6">
        <f>IF(ISERROR(VLOOKUP($T$526,'TAR FIN'!$A$1:$O$85,15,0)),0,VLOOKUP($T$526,'TAR FIN'!$A$1:$O$85,15,0))</f>
        <v>240.85</v>
      </c>
      <c r="X526" s="6">
        <f>IF(ISERROR(VLOOKUP($U$526,'TAR FIN'!$A$1:$O$85,15,0)),0,VLOOKUP($U$526,'TAR FIN'!$A$1:$O$85,15,0))</f>
        <v>231.7</v>
      </c>
      <c r="Y526" s="6"/>
      <c r="Z526" s="6">
        <f ca="1">('TUSD BE'!$AM$33+'TUSD BF'!$AM$33+'TUSD CVA'!$AM$33)*(1-CUSTOS!$M$38)</f>
        <v>300.89907966262189</v>
      </c>
      <c r="AA526" s="6">
        <f>('TE BE'!$AA$23+'TE BF'!$AA$23+'TE CVA'!$AA$23)*(1-CUSTOS!$M$38)</f>
        <v>198.0053374241497</v>
      </c>
      <c r="AB526" s="6">
        <f>$K$526*$V$526</f>
        <v>0</v>
      </c>
      <c r="AC526" s="6">
        <f>$M$526*$W$526</f>
        <v>239.16405</v>
      </c>
      <c r="AD526" s="6">
        <f>$O$526*$X$526</f>
        <v>230.07809999999998</v>
      </c>
      <c r="AE526" s="6">
        <f>$K$526*$Y$526</f>
        <v>0</v>
      </c>
      <c r="AF526" s="6">
        <f ca="1">$M$526*$Z$526</f>
        <v>298.79278610498352</v>
      </c>
      <c r="AG526" s="6">
        <f>$O$526*$AA$526</f>
        <v>196.61930006218066</v>
      </c>
    </row>
    <row r="527" spans="1:33" ht="11.25" customHeight="1" x14ac:dyDescent="0.25">
      <c r="A527" s="4" t="s">
        <v>21</v>
      </c>
      <c r="B527" s="4" t="s">
        <v>43</v>
      </c>
      <c r="C527" s="4" t="s">
        <v>23</v>
      </c>
      <c r="D527" s="4" t="s">
        <v>44</v>
      </c>
      <c r="E527" s="4" t="s">
        <v>53</v>
      </c>
      <c r="F527" s="4" t="s">
        <v>54</v>
      </c>
      <c r="G527" s="4" t="s">
        <v>25</v>
      </c>
      <c r="H527" s="4" t="s">
        <v>25</v>
      </c>
      <c r="I527" s="5">
        <v>44440</v>
      </c>
      <c r="J527" s="6">
        <v>0</v>
      </c>
      <c r="K527" s="6">
        <v>0</v>
      </c>
      <c r="L527" s="6">
        <v>90.025000000000006</v>
      </c>
      <c r="M527" s="6">
        <v>90.025000000000006</v>
      </c>
      <c r="N527" s="6">
        <v>90.025000000000006</v>
      </c>
      <c r="O527" s="6">
        <v>90.025000000000006</v>
      </c>
      <c r="P527" s="6">
        <v>0</v>
      </c>
      <c r="Q527" s="4" t="s">
        <v>26</v>
      </c>
      <c r="R527" s="4">
        <v>0</v>
      </c>
      <c r="S527" s="6">
        <v>0</v>
      </c>
      <c r="T527" s="6">
        <v>29</v>
      </c>
      <c r="U527" s="6">
        <v>66</v>
      </c>
      <c r="V527" s="6">
        <f>IF(ISERROR(VLOOKUP($S$527,'TAR FIN'!$A$1:$O$85,15,0)),0,VLOOKUP($S$527,'TAR FIN'!$A$1:$O$85,15,0))</f>
        <v>0</v>
      </c>
      <c r="W527" s="6">
        <f>IF(ISERROR(VLOOKUP($T$527,'TAR FIN'!$A$1:$O$85,15,0)),0,VLOOKUP($T$527,'TAR FIN'!$A$1:$O$85,15,0))</f>
        <v>240.85</v>
      </c>
      <c r="X527" s="6">
        <f>IF(ISERROR(VLOOKUP($U$527,'TAR FIN'!$A$1:$O$85,15,0)),0,VLOOKUP($U$527,'TAR FIN'!$A$1:$O$85,15,0))</f>
        <v>231.7</v>
      </c>
      <c r="Y527" s="6"/>
      <c r="Z527" s="6">
        <f ca="1">('TUSD BE'!$AM$33+'TUSD BF'!$AM$33+'TUSD CVA'!$AM$33)*(1-CUSTOS!$M$38)</f>
        <v>300.89907966262189</v>
      </c>
      <c r="AA527" s="6">
        <f>('TE BE'!$AA$23+'TE BF'!$AA$23+'TE CVA'!$AA$23)*(1-CUSTOS!$M$38)</f>
        <v>198.0053374241497</v>
      </c>
      <c r="AB527" s="6">
        <f>$K$527*$V$527</f>
        <v>0</v>
      </c>
      <c r="AC527" s="6">
        <f>$M$527*$W$527</f>
        <v>21682.521250000002</v>
      </c>
      <c r="AD527" s="6">
        <f>$O$527*$X$527</f>
        <v>20858.7925</v>
      </c>
      <c r="AE527" s="6">
        <f>$K$527*$Y$527</f>
        <v>0</v>
      </c>
      <c r="AF527" s="6">
        <f ca="1">$M$527*$Z$527</f>
        <v>27088.439646627536</v>
      </c>
      <c r="AG527" s="6">
        <f>$O$527*$AA$527</f>
        <v>17825.430501609077</v>
      </c>
    </row>
    <row r="528" spans="1:33" ht="11.25" customHeight="1" x14ac:dyDescent="0.25">
      <c r="A528" s="4" t="s">
        <v>28</v>
      </c>
      <c r="B528" s="4" t="s">
        <v>43</v>
      </c>
      <c r="C528" s="4" t="s">
        <v>23</v>
      </c>
      <c r="D528" s="4" t="s">
        <v>44</v>
      </c>
      <c r="E528" s="4" t="s">
        <v>53</v>
      </c>
      <c r="F528" s="4" t="s">
        <v>54</v>
      </c>
      <c r="G528" s="4" t="s">
        <v>25</v>
      </c>
      <c r="H528" s="4" t="s">
        <v>25</v>
      </c>
      <c r="I528" s="5">
        <v>44440</v>
      </c>
      <c r="J528" s="6">
        <v>0</v>
      </c>
      <c r="K528" s="6">
        <v>0</v>
      </c>
      <c r="L528" s="6">
        <v>2.4279999999999999</v>
      </c>
      <c r="M528" s="6">
        <v>2.4279999999999999</v>
      </c>
      <c r="N528" s="6">
        <v>2.4279999999999999</v>
      </c>
      <c r="O528" s="6">
        <v>2.4279999999999999</v>
      </c>
      <c r="P528" s="6">
        <v>0</v>
      </c>
      <c r="Q528" s="4" t="s">
        <v>26</v>
      </c>
      <c r="R528" s="4">
        <v>0</v>
      </c>
      <c r="S528" s="6">
        <v>0</v>
      </c>
      <c r="T528" s="6">
        <v>29</v>
      </c>
      <c r="U528" s="6">
        <v>66</v>
      </c>
      <c r="V528" s="6">
        <f>IF(ISERROR(VLOOKUP($S$528,'TAR FIN'!$A$1:$O$85,15,0)),0,VLOOKUP($S$528,'TAR FIN'!$A$1:$O$85,15,0))</f>
        <v>0</v>
      </c>
      <c r="W528" s="6">
        <f>IF(ISERROR(VLOOKUP($T$528,'TAR FIN'!$A$1:$O$85,15,0)),0,VLOOKUP($T$528,'TAR FIN'!$A$1:$O$85,15,0))</f>
        <v>240.85</v>
      </c>
      <c r="X528" s="6">
        <f>IF(ISERROR(VLOOKUP($U$528,'TAR FIN'!$A$1:$O$85,15,0)),0,VLOOKUP($U$528,'TAR FIN'!$A$1:$O$85,15,0))</f>
        <v>231.7</v>
      </c>
      <c r="Y528" s="6"/>
      <c r="Z528" s="6">
        <f ca="1">('TUSD BE'!$AM$33+'TUSD BF'!$AM$33+'TUSD CVA'!$AM$33)*(1-CUSTOS!$M$38)</f>
        <v>300.89907966262189</v>
      </c>
      <c r="AA528" s="6">
        <f>('TE BE'!$AA$23+'TE BF'!$AA$23+'TE CVA'!$AA$23)*(1-CUSTOS!$M$38)</f>
        <v>198.0053374241497</v>
      </c>
      <c r="AB528" s="6">
        <f>$K$528*$V$528</f>
        <v>0</v>
      </c>
      <c r="AC528" s="6">
        <f>$M$528*$W$528</f>
        <v>584.78379999999993</v>
      </c>
      <c r="AD528" s="6">
        <f>$O$528*$X$528</f>
        <v>562.56759999999997</v>
      </c>
      <c r="AE528" s="6">
        <f>$K$528*$Y$528</f>
        <v>0</v>
      </c>
      <c r="AF528" s="6">
        <f ca="1">$M$528*$Z$528</f>
        <v>730.58296542084588</v>
      </c>
      <c r="AG528" s="6">
        <f>$O$528*$AA$528</f>
        <v>480.75695926583546</v>
      </c>
    </row>
    <row r="529" spans="1:33" ht="11.25" customHeight="1" x14ac:dyDescent="0.25">
      <c r="A529" s="4" t="s">
        <v>21</v>
      </c>
      <c r="B529" s="4" t="s">
        <v>43</v>
      </c>
      <c r="C529" s="4" t="s">
        <v>23</v>
      </c>
      <c r="D529" s="4" t="s">
        <v>44</v>
      </c>
      <c r="E529" s="4" t="s">
        <v>53</v>
      </c>
      <c r="F529" s="4" t="s">
        <v>54</v>
      </c>
      <c r="G529" s="4" t="s">
        <v>25</v>
      </c>
      <c r="H529" s="4" t="s">
        <v>25</v>
      </c>
      <c r="I529" s="5">
        <v>44470</v>
      </c>
      <c r="J529" s="6">
        <v>0</v>
      </c>
      <c r="K529" s="6">
        <v>0</v>
      </c>
      <c r="L529" s="6">
        <v>74.108000000000004</v>
      </c>
      <c r="M529" s="6">
        <v>74.108000000000004</v>
      </c>
      <c r="N529" s="6">
        <v>74.108000000000004</v>
      </c>
      <c r="O529" s="6">
        <v>74.108000000000004</v>
      </c>
      <c r="P529" s="6">
        <v>0</v>
      </c>
      <c r="Q529" s="4" t="s">
        <v>26</v>
      </c>
      <c r="R529" s="4">
        <v>0</v>
      </c>
      <c r="S529" s="6">
        <v>0</v>
      </c>
      <c r="T529" s="6">
        <v>29</v>
      </c>
      <c r="U529" s="6">
        <v>66</v>
      </c>
      <c r="V529" s="6">
        <f>IF(ISERROR(VLOOKUP($S$529,'TAR FIN'!$A$1:$O$85,15,0)),0,VLOOKUP($S$529,'TAR FIN'!$A$1:$O$85,15,0))</f>
        <v>0</v>
      </c>
      <c r="W529" s="6">
        <f>IF(ISERROR(VLOOKUP($T$529,'TAR FIN'!$A$1:$O$85,15,0)),0,VLOOKUP($T$529,'TAR FIN'!$A$1:$O$85,15,0))</f>
        <v>240.85</v>
      </c>
      <c r="X529" s="6">
        <f>IF(ISERROR(VLOOKUP($U$529,'TAR FIN'!$A$1:$O$85,15,0)),0,VLOOKUP($U$529,'TAR FIN'!$A$1:$O$85,15,0))</f>
        <v>231.7</v>
      </c>
      <c r="Y529" s="6"/>
      <c r="Z529" s="6">
        <f ca="1">('TUSD BE'!$AM$33+'TUSD BF'!$AM$33+'TUSD CVA'!$AM$33)*(1-CUSTOS!$M$38)</f>
        <v>300.89907966262189</v>
      </c>
      <c r="AA529" s="6">
        <f>('TE BE'!$AA$23+'TE BF'!$AA$23+'TE CVA'!$AA$23)*(1-CUSTOS!$M$38)</f>
        <v>198.0053374241497</v>
      </c>
      <c r="AB529" s="6">
        <f>$K$529*$V$529</f>
        <v>0</v>
      </c>
      <c r="AC529" s="6">
        <f>$M$529*$W$529</f>
        <v>17848.911800000002</v>
      </c>
      <c r="AD529" s="6">
        <f>$O$529*$X$529</f>
        <v>17170.8236</v>
      </c>
      <c r="AE529" s="6">
        <f>$K$529*$Y$529</f>
        <v>0</v>
      </c>
      <c r="AF529" s="6">
        <f ca="1">$M$529*$Z$529</f>
        <v>22299.028995637585</v>
      </c>
      <c r="AG529" s="6">
        <f>$O$529*$AA$529</f>
        <v>14673.779545828887</v>
      </c>
    </row>
    <row r="530" spans="1:33" ht="11.25" customHeight="1" x14ac:dyDescent="0.25">
      <c r="A530" s="4" t="s">
        <v>28</v>
      </c>
      <c r="B530" s="4" t="s">
        <v>43</v>
      </c>
      <c r="C530" s="4" t="s">
        <v>23</v>
      </c>
      <c r="D530" s="4" t="s">
        <v>44</v>
      </c>
      <c r="E530" s="4" t="s">
        <v>53</v>
      </c>
      <c r="F530" s="4" t="s">
        <v>54</v>
      </c>
      <c r="G530" s="4" t="s">
        <v>25</v>
      </c>
      <c r="H530" s="4" t="s">
        <v>25</v>
      </c>
      <c r="I530" s="5">
        <v>44470</v>
      </c>
      <c r="J530" s="6">
        <v>0</v>
      </c>
      <c r="K530" s="6">
        <v>0</v>
      </c>
      <c r="L530" s="6">
        <v>0.1</v>
      </c>
      <c r="M530" s="6">
        <v>0.1</v>
      </c>
      <c r="N530" s="6">
        <v>0.1</v>
      </c>
      <c r="O530" s="6">
        <v>0.1</v>
      </c>
      <c r="P530" s="6">
        <v>0</v>
      </c>
      <c r="Q530" s="4" t="s">
        <v>26</v>
      </c>
      <c r="R530" s="4">
        <v>0</v>
      </c>
      <c r="S530" s="6">
        <v>0</v>
      </c>
      <c r="T530" s="6">
        <v>29</v>
      </c>
      <c r="U530" s="6">
        <v>66</v>
      </c>
      <c r="V530" s="6">
        <f>IF(ISERROR(VLOOKUP($S$530,'TAR FIN'!$A$1:$O$85,15,0)),0,VLOOKUP($S$530,'TAR FIN'!$A$1:$O$85,15,0))</f>
        <v>0</v>
      </c>
      <c r="W530" s="6">
        <f>IF(ISERROR(VLOOKUP($T$530,'TAR FIN'!$A$1:$O$85,15,0)),0,VLOOKUP($T$530,'TAR FIN'!$A$1:$O$85,15,0))</f>
        <v>240.85</v>
      </c>
      <c r="X530" s="6">
        <f>IF(ISERROR(VLOOKUP($U$530,'TAR FIN'!$A$1:$O$85,15,0)),0,VLOOKUP($U$530,'TAR FIN'!$A$1:$O$85,15,0))</f>
        <v>231.7</v>
      </c>
      <c r="Y530" s="6"/>
      <c r="Z530" s="6">
        <f ca="1">('TUSD BE'!$AM$33+'TUSD BF'!$AM$33+'TUSD CVA'!$AM$33)*(1-CUSTOS!$M$38)</f>
        <v>300.89907966262189</v>
      </c>
      <c r="AA530" s="6">
        <f>('TE BE'!$AA$23+'TE BF'!$AA$23+'TE CVA'!$AA$23)*(1-CUSTOS!$M$38)</f>
        <v>198.0053374241497</v>
      </c>
      <c r="AB530" s="6">
        <f>$K$530*$V$530</f>
        <v>0</v>
      </c>
      <c r="AC530" s="6">
        <f>$M$530*$W$530</f>
        <v>24.085000000000001</v>
      </c>
      <c r="AD530" s="6">
        <f>$O$530*$X$530</f>
        <v>23.17</v>
      </c>
      <c r="AE530" s="6">
        <f>$K$530*$Y$530</f>
        <v>0</v>
      </c>
      <c r="AF530" s="6">
        <f ca="1">$M$530*$Z$530</f>
        <v>30.089907966262189</v>
      </c>
      <c r="AG530" s="6">
        <f>$O$530*$AA$530</f>
        <v>19.80053374241497</v>
      </c>
    </row>
    <row r="531" spans="1:33" ht="11.25" customHeight="1" x14ac:dyDescent="0.25">
      <c r="A531" s="4" t="s">
        <v>21</v>
      </c>
      <c r="B531" s="4" t="s">
        <v>43</v>
      </c>
      <c r="C531" s="4" t="s">
        <v>23</v>
      </c>
      <c r="D531" s="4" t="s">
        <v>44</v>
      </c>
      <c r="E531" s="4" t="s">
        <v>53</v>
      </c>
      <c r="F531" s="4" t="s">
        <v>54</v>
      </c>
      <c r="G531" s="4" t="s">
        <v>25</v>
      </c>
      <c r="H531" s="4" t="s">
        <v>25</v>
      </c>
      <c r="I531" s="5">
        <v>44501</v>
      </c>
      <c r="J531" s="6">
        <v>0</v>
      </c>
      <c r="K531" s="6">
        <v>0</v>
      </c>
      <c r="L531" s="6">
        <v>28.56</v>
      </c>
      <c r="M531" s="6">
        <v>28.56</v>
      </c>
      <c r="N531" s="6">
        <v>28.56</v>
      </c>
      <c r="O531" s="6">
        <v>28.56</v>
      </c>
      <c r="P531" s="6">
        <v>0</v>
      </c>
      <c r="Q531" s="4" t="s">
        <v>26</v>
      </c>
      <c r="R531" s="4">
        <v>0</v>
      </c>
      <c r="S531" s="6">
        <v>0</v>
      </c>
      <c r="T531" s="6">
        <v>29</v>
      </c>
      <c r="U531" s="6">
        <v>66</v>
      </c>
      <c r="V531" s="6">
        <f>IF(ISERROR(VLOOKUP($S$531,'TAR FIN'!$A$1:$O$85,15,0)),0,VLOOKUP($S$531,'TAR FIN'!$A$1:$O$85,15,0))</f>
        <v>0</v>
      </c>
      <c r="W531" s="6">
        <f>IF(ISERROR(VLOOKUP($T$531,'TAR FIN'!$A$1:$O$85,15,0)),0,VLOOKUP($T$531,'TAR FIN'!$A$1:$O$85,15,0))</f>
        <v>240.85</v>
      </c>
      <c r="X531" s="6">
        <f>IF(ISERROR(VLOOKUP($U$531,'TAR FIN'!$A$1:$O$85,15,0)),0,VLOOKUP($U$531,'TAR FIN'!$A$1:$O$85,15,0))</f>
        <v>231.7</v>
      </c>
      <c r="Y531" s="6"/>
      <c r="Z531" s="6">
        <f ca="1">('TUSD BE'!$AM$33+'TUSD BF'!$AM$33+'TUSD CVA'!$AM$33)*(1-CUSTOS!$M$38)</f>
        <v>300.89907966262189</v>
      </c>
      <c r="AA531" s="6">
        <f>('TE BE'!$AA$23+'TE BF'!$AA$23+'TE CVA'!$AA$23)*(1-CUSTOS!$M$38)</f>
        <v>198.0053374241497</v>
      </c>
      <c r="AB531" s="6">
        <f>$K$531*$V$531</f>
        <v>0</v>
      </c>
      <c r="AC531" s="6">
        <f>$M$531*$W$531</f>
        <v>6878.6759999999995</v>
      </c>
      <c r="AD531" s="6">
        <f>$O$531*$X$531</f>
        <v>6617.351999999999</v>
      </c>
      <c r="AE531" s="6">
        <f>$K$531*$Y$531</f>
        <v>0</v>
      </c>
      <c r="AF531" s="6">
        <f ca="1">$M$531*$Z$531</f>
        <v>8593.6777151644801</v>
      </c>
      <c r="AG531" s="6">
        <f>$O$531*$AA$531</f>
        <v>5655.0324368337151</v>
      </c>
    </row>
    <row r="532" spans="1:33" ht="11.25" customHeight="1" x14ac:dyDescent="0.25">
      <c r="A532" s="4" t="s">
        <v>28</v>
      </c>
      <c r="B532" s="4" t="s">
        <v>43</v>
      </c>
      <c r="C532" s="4" t="s">
        <v>23</v>
      </c>
      <c r="D532" s="4" t="s">
        <v>44</v>
      </c>
      <c r="E532" s="4" t="s">
        <v>53</v>
      </c>
      <c r="F532" s="4" t="s">
        <v>54</v>
      </c>
      <c r="G532" s="4" t="s">
        <v>25</v>
      </c>
      <c r="H532" s="4" t="s">
        <v>25</v>
      </c>
      <c r="I532" s="5">
        <v>44501</v>
      </c>
      <c r="J532" s="6">
        <v>0</v>
      </c>
      <c r="K532" s="6">
        <v>0</v>
      </c>
      <c r="L532" s="6">
        <v>0.1</v>
      </c>
      <c r="M532" s="6">
        <v>0.1</v>
      </c>
      <c r="N532" s="6">
        <v>0.1</v>
      </c>
      <c r="O532" s="6">
        <v>0.1</v>
      </c>
      <c r="P532" s="6">
        <v>0</v>
      </c>
      <c r="Q532" s="4" t="s">
        <v>26</v>
      </c>
      <c r="R532" s="4">
        <v>0</v>
      </c>
      <c r="S532" s="6">
        <v>0</v>
      </c>
      <c r="T532" s="6">
        <v>29</v>
      </c>
      <c r="U532" s="6">
        <v>66</v>
      </c>
      <c r="V532" s="6">
        <f>IF(ISERROR(VLOOKUP($S$532,'TAR FIN'!$A$1:$O$85,15,0)),0,VLOOKUP($S$532,'TAR FIN'!$A$1:$O$85,15,0))</f>
        <v>0</v>
      </c>
      <c r="W532" s="6">
        <f>IF(ISERROR(VLOOKUP($T$532,'TAR FIN'!$A$1:$O$85,15,0)),0,VLOOKUP($T$532,'TAR FIN'!$A$1:$O$85,15,0))</f>
        <v>240.85</v>
      </c>
      <c r="X532" s="6">
        <f>IF(ISERROR(VLOOKUP($U$532,'TAR FIN'!$A$1:$O$85,15,0)),0,VLOOKUP($U$532,'TAR FIN'!$A$1:$O$85,15,0))</f>
        <v>231.7</v>
      </c>
      <c r="Y532" s="6"/>
      <c r="Z532" s="6">
        <f ca="1">('TUSD BE'!$AM$33+'TUSD BF'!$AM$33+'TUSD CVA'!$AM$33)*(1-CUSTOS!$M$38)</f>
        <v>300.89907966262189</v>
      </c>
      <c r="AA532" s="6">
        <f>('TE BE'!$AA$23+'TE BF'!$AA$23+'TE CVA'!$AA$23)*(1-CUSTOS!$M$38)</f>
        <v>198.0053374241497</v>
      </c>
      <c r="AB532" s="6">
        <f>$K$532*$V$532</f>
        <v>0</v>
      </c>
      <c r="AC532" s="6">
        <f>$M$532*$W$532</f>
        <v>24.085000000000001</v>
      </c>
      <c r="AD532" s="6">
        <f>$O$532*$X$532</f>
        <v>23.17</v>
      </c>
      <c r="AE532" s="6">
        <f>$K$532*$Y$532</f>
        <v>0</v>
      </c>
      <c r="AF532" s="6">
        <f ca="1">$M$532*$Z$532</f>
        <v>30.089907966262189</v>
      </c>
      <c r="AG532" s="6">
        <f>$O$532*$AA$532</f>
        <v>19.80053374241497</v>
      </c>
    </row>
    <row r="533" spans="1:33" ht="11.25" customHeight="1" x14ac:dyDescent="0.25">
      <c r="A533" s="4" t="s">
        <v>21</v>
      </c>
      <c r="B533" s="4" t="s">
        <v>43</v>
      </c>
      <c r="C533" s="4" t="s">
        <v>23</v>
      </c>
      <c r="D533" s="4" t="s">
        <v>44</v>
      </c>
      <c r="E533" s="4" t="s">
        <v>53</v>
      </c>
      <c r="F533" s="4" t="s">
        <v>54</v>
      </c>
      <c r="G533" s="4" t="s">
        <v>25</v>
      </c>
      <c r="H533" s="4" t="s">
        <v>25</v>
      </c>
      <c r="I533" s="5">
        <v>44531</v>
      </c>
      <c r="J533" s="6">
        <v>0</v>
      </c>
      <c r="K533" s="6">
        <v>0</v>
      </c>
      <c r="L533" s="6">
        <v>30.66</v>
      </c>
      <c r="M533" s="6">
        <v>30.66</v>
      </c>
      <c r="N533" s="6">
        <v>30.66</v>
      </c>
      <c r="O533" s="6">
        <v>30.66</v>
      </c>
      <c r="P533" s="6">
        <v>0</v>
      </c>
      <c r="Q533" s="4" t="s">
        <v>26</v>
      </c>
      <c r="R533" s="4">
        <v>0</v>
      </c>
      <c r="S533" s="6">
        <v>0</v>
      </c>
      <c r="T533" s="6">
        <v>29</v>
      </c>
      <c r="U533" s="6">
        <v>66</v>
      </c>
      <c r="V533" s="6">
        <f>IF(ISERROR(VLOOKUP($S$533,'TAR FIN'!$A$1:$O$85,15,0)),0,VLOOKUP($S$533,'TAR FIN'!$A$1:$O$85,15,0))</f>
        <v>0</v>
      </c>
      <c r="W533" s="6">
        <f>IF(ISERROR(VLOOKUP($T$533,'TAR FIN'!$A$1:$O$85,15,0)),0,VLOOKUP($T$533,'TAR FIN'!$A$1:$O$85,15,0))</f>
        <v>240.85</v>
      </c>
      <c r="X533" s="6">
        <f>IF(ISERROR(VLOOKUP($U$533,'TAR FIN'!$A$1:$O$85,15,0)),0,VLOOKUP($U$533,'TAR FIN'!$A$1:$O$85,15,0))</f>
        <v>231.7</v>
      </c>
      <c r="Y533" s="6"/>
      <c r="Z533" s="6">
        <f ca="1">('TUSD BE'!$AM$33+'TUSD BF'!$AM$33+'TUSD CVA'!$AM$33)*(1-CUSTOS!$M$38)</f>
        <v>300.89907966262189</v>
      </c>
      <c r="AA533" s="6">
        <f>('TE BE'!$AA$23+'TE BF'!$AA$23+'TE CVA'!$AA$23)*(1-CUSTOS!$M$38)</f>
        <v>198.0053374241497</v>
      </c>
      <c r="AB533" s="6">
        <f>$K$533*$V$533</f>
        <v>0</v>
      </c>
      <c r="AC533" s="6">
        <f>$M$533*$W$533</f>
        <v>7384.4610000000002</v>
      </c>
      <c r="AD533" s="6">
        <f>$O$533*$X$533</f>
        <v>7103.9219999999996</v>
      </c>
      <c r="AE533" s="6">
        <f>$K$533*$Y$533</f>
        <v>0</v>
      </c>
      <c r="AF533" s="6">
        <f ca="1">$M$533*$Z$533</f>
        <v>9225.5657824559876</v>
      </c>
      <c r="AG533" s="6">
        <f>$O$533*$AA$533</f>
        <v>6070.8436454244302</v>
      </c>
    </row>
    <row r="534" spans="1:33" ht="11.25" customHeight="1" x14ac:dyDescent="0.25">
      <c r="A534" s="4" t="s">
        <v>28</v>
      </c>
      <c r="B534" s="4" t="s">
        <v>43</v>
      </c>
      <c r="C534" s="4" t="s">
        <v>23</v>
      </c>
      <c r="D534" s="4" t="s">
        <v>44</v>
      </c>
      <c r="E534" s="4" t="s">
        <v>53</v>
      </c>
      <c r="F534" s="4" t="s">
        <v>54</v>
      </c>
      <c r="G534" s="4" t="s">
        <v>25</v>
      </c>
      <c r="H534" s="4" t="s">
        <v>25</v>
      </c>
      <c r="I534" s="5">
        <v>44531</v>
      </c>
      <c r="J534" s="6">
        <v>0</v>
      </c>
      <c r="K534" s="6">
        <v>0</v>
      </c>
      <c r="L534" s="6">
        <v>0.1</v>
      </c>
      <c r="M534" s="6">
        <v>0.1</v>
      </c>
      <c r="N534" s="6">
        <v>0.1</v>
      </c>
      <c r="O534" s="6">
        <v>0.1</v>
      </c>
      <c r="P534" s="6">
        <v>0</v>
      </c>
      <c r="Q534" s="4" t="s">
        <v>26</v>
      </c>
      <c r="R534" s="4">
        <v>0</v>
      </c>
      <c r="S534" s="6">
        <v>0</v>
      </c>
      <c r="T534" s="6">
        <v>29</v>
      </c>
      <c r="U534" s="6">
        <v>66</v>
      </c>
      <c r="V534" s="6">
        <f>IF(ISERROR(VLOOKUP($S$534,'TAR FIN'!$A$1:$O$85,15,0)),0,VLOOKUP($S$534,'TAR FIN'!$A$1:$O$85,15,0))</f>
        <v>0</v>
      </c>
      <c r="W534" s="6">
        <f>IF(ISERROR(VLOOKUP($T$534,'TAR FIN'!$A$1:$O$85,15,0)),0,VLOOKUP($T$534,'TAR FIN'!$A$1:$O$85,15,0))</f>
        <v>240.85</v>
      </c>
      <c r="X534" s="6">
        <f>IF(ISERROR(VLOOKUP($U$534,'TAR FIN'!$A$1:$O$85,15,0)),0,VLOOKUP($U$534,'TAR FIN'!$A$1:$O$85,15,0))</f>
        <v>231.7</v>
      </c>
      <c r="Y534" s="6"/>
      <c r="Z534" s="6">
        <f ca="1">('TUSD BE'!$AM$33+'TUSD BF'!$AM$33+'TUSD CVA'!$AM$33)*(1-CUSTOS!$M$38)</f>
        <v>300.89907966262189</v>
      </c>
      <c r="AA534" s="6">
        <f>('TE BE'!$AA$23+'TE BF'!$AA$23+'TE CVA'!$AA$23)*(1-CUSTOS!$M$38)</f>
        <v>198.0053374241497</v>
      </c>
      <c r="AB534" s="6">
        <f>$K$534*$V$534</f>
        <v>0</v>
      </c>
      <c r="AC534" s="6">
        <f>$M$534*$W$534</f>
        <v>24.085000000000001</v>
      </c>
      <c r="AD534" s="6">
        <f>$O$534*$X$534</f>
        <v>23.17</v>
      </c>
      <c r="AE534" s="6">
        <f>$K$534*$Y$534</f>
        <v>0</v>
      </c>
      <c r="AF534" s="6">
        <f ca="1">$M$534*$Z$534</f>
        <v>30.089907966262189</v>
      </c>
      <c r="AG534" s="6">
        <f>$O$534*$AA$534</f>
        <v>19.80053374241497</v>
      </c>
    </row>
    <row r="535" spans="1:33" ht="11.25" customHeight="1" x14ac:dyDescent="0.25">
      <c r="A535" s="4" t="s">
        <v>21</v>
      </c>
      <c r="B535" s="4" t="s">
        <v>43</v>
      </c>
      <c r="C535" s="4" t="s">
        <v>23</v>
      </c>
      <c r="D535" s="4" t="s">
        <v>44</v>
      </c>
      <c r="E535" s="4" t="s">
        <v>53</v>
      </c>
      <c r="F535" s="4" t="s">
        <v>54</v>
      </c>
      <c r="G535" s="4" t="s">
        <v>25</v>
      </c>
      <c r="H535" s="4" t="s">
        <v>25</v>
      </c>
      <c r="I535" s="5">
        <v>44562</v>
      </c>
      <c r="J535" s="6">
        <v>0</v>
      </c>
      <c r="K535" s="6">
        <v>0</v>
      </c>
      <c r="L535" s="6">
        <v>29.619</v>
      </c>
      <c r="M535" s="6">
        <v>29.619</v>
      </c>
      <c r="N535" s="6">
        <v>29.619</v>
      </c>
      <c r="O535" s="6">
        <v>29.619</v>
      </c>
      <c r="P535" s="6">
        <v>0</v>
      </c>
      <c r="Q535" s="4" t="s">
        <v>26</v>
      </c>
      <c r="R535" s="4">
        <v>0</v>
      </c>
      <c r="S535" s="6">
        <v>0</v>
      </c>
      <c r="T535" s="6">
        <v>29</v>
      </c>
      <c r="U535" s="6">
        <v>66</v>
      </c>
      <c r="V535" s="6">
        <f>IF(ISERROR(VLOOKUP($S$535,'TAR FIN'!$A$1:$O$85,15,0)),0,VLOOKUP($S$535,'TAR FIN'!$A$1:$O$85,15,0))</f>
        <v>0</v>
      </c>
      <c r="W535" s="6">
        <f>IF(ISERROR(VLOOKUP($T$535,'TAR FIN'!$A$1:$O$85,15,0)),0,VLOOKUP($T$535,'TAR FIN'!$A$1:$O$85,15,0))</f>
        <v>240.85</v>
      </c>
      <c r="X535" s="6">
        <f>IF(ISERROR(VLOOKUP($U$535,'TAR FIN'!$A$1:$O$85,15,0)),0,VLOOKUP($U$535,'TAR FIN'!$A$1:$O$85,15,0))</f>
        <v>231.7</v>
      </c>
      <c r="Y535" s="6"/>
      <c r="Z535" s="6">
        <f ca="1">('TUSD BE'!$AM$33+'TUSD BF'!$AM$33+'TUSD CVA'!$AM$33)*(1-CUSTOS!$M$38)</f>
        <v>300.89907966262189</v>
      </c>
      <c r="AA535" s="6">
        <f>('TE BE'!$AA$23+'TE BF'!$AA$23+'TE CVA'!$AA$23)*(1-CUSTOS!$M$38)</f>
        <v>198.0053374241497</v>
      </c>
      <c r="AB535" s="6">
        <f>$K$535*$V$535</f>
        <v>0</v>
      </c>
      <c r="AC535" s="6">
        <f>$M$535*$W$535</f>
        <v>7133.7361499999997</v>
      </c>
      <c r="AD535" s="6">
        <f>$O$535*$X$535</f>
        <v>6862.7222999999994</v>
      </c>
      <c r="AE535" s="6">
        <f>$K$535*$Y$535</f>
        <v>0</v>
      </c>
      <c r="AF535" s="6">
        <f ca="1">$M$535*$Z$535</f>
        <v>8912.329840527198</v>
      </c>
      <c r="AG535" s="6">
        <f>$O$535*$AA$535</f>
        <v>5864.7200891658904</v>
      </c>
    </row>
    <row r="536" spans="1:33" ht="11.25" customHeight="1" x14ac:dyDescent="0.25">
      <c r="A536" s="4" t="s">
        <v>28</v>
      </c>
      <c r="B536" s="4" t="s">
        <v>43</v>
      </c>
      <c r="C536" s="4" t="s">
        <v>23</v>
      </c>
      <c r="D536" s="4" t="s">
        <v>44</v>
      </c>
      <c r="E536" s="4" t="s">
        <v>53</v>
      </c>
      <c r="F536" s="4" t="s">
        <v>54</v>
      </c>
      <c r="G536" s="4" t="s">
        <v>25</v>
      </c>
      <c r="H536" s="4" t="s">
        <v>25</v>
      </c>
      <c r="I536" s="5">
        <v>44562</v>
      </c>
      <c r="J536" s="6">
        <v>0</v>
      </c>
      <c r="K536" s="6">
        <v>0</v>
      </c>
      <c r="L536" s="6">
        <v>0.1</v>
      </c>
      <c r="M536" s="6">
        <v>0.1</v>
      </c>
      <c r="N536" s="6">
        <v>0.1</v>
      </c>
      <c r="O536" s="6">
        <v>0.1</v>
      </c>
      <c r="P536" s="6">
        <v>0</v>
      </c>
      <c r="Q536" s="4" t="s">
        <v>26</v>
      </c>
      <c r="R536" s="4">
        <v>0</v>
      </c>
      <c r="S536" s="6">
        <v>0</v>
      </c>
      <c r="T536" s="6">
        <v>29</v>
      </c>
      <c r="U536" s="6">
        <v>66</v>
      </c>
      <c r="V536" s="6">
        <f>IF(ISERROR(VLOOKUP($S$536,'TAR FIN'!$A$1:$O$85,15,0)),0,VLOOKUP($S$536,'TAR FIN'!$A$1:$O$85,15,0))</f>
        <v>0</v>
      </c>
      <c r="W536" s="6">
        <f>IF(ISERROR(VLOOKUP($T$536,'TAR FIN'!$A$1:$O$85,15,0)),0,VLOOKUP($T$536,'TAR FIN'!$A$1:$O$85,15,0))</f>
        <v>240.85</v>
      </c>
      <c r="X536" s="6">
        <f>IF(ISERROR(VLOOKUP($U$536,'TAR FIN'!$A$1:$O$85,15,0)),0,VLOOKUP($U$536,'TAR FIN'!$A$1:$O$85,15,0))</f>
        <v>231.7</v>
      </c>
      <c r="Y536" s="6"/>
      <c r="Z536" s="6">
        <f ca="1">('TUSD BE'!$AM$33+'TUSD BF'!$AM$33+'TUSD CVA'!$AM$33)*(1-CUSTOS!$M$38)</f>
        <v>300.89907966262189</v>
      </c>
      <c r="AA536" s="6">
        <f>('TE BE'!$AA$23+'TE BF'!$AA$23+'TE CVA'!$AA$23)*(1-CUSTOS!$M$38)</f>
        <v>198.0053374241497</v>
      </c>
      <c r="AB536" s="6">
        <f>$K$536*$V$536</f>
        <v>0</v>
      </c>
      <c r="AC536" s="6">
        <f>$M$536*$W$536</f>
        <v>24.085000000000001</v>
      </c>
      <c r="AD536" s="6">
        <f>$O$536*$X$536</f>
        <v>23.17</v>
      </c>
      <c r="AE536" s="6">
        <f>$K$536*$Y$536</f>
        <v>0</v>
      </c>
      <c r="AF536" s="6">
        <f ca="1">$M$536*$Z$536</f>
        <v>30.089907966262189</v>
      </c>
      <c r="AG536" s="6">
        <f>$O$536*$AA$536</f>
        <v>19.80053374241497</v>
      </c>
    </row>
    <row r="537" spans="1:33" ht="11.25" customHeight="1" x14ac:dyDescent="0.25">
      <c r="A537" s="4" t="s">
        <v>21</v>
      </c>
      <c r="B537" s="4" t="s">
        <v>43</v>
      </c>
      <c r="C537" s="4" t="s">
        <v>23</v>
      </c>
      <c r="D537" s="4" t="s">
        <v>44</v>
      </c>
      <c r="E537" s="4" t="s">
        <v>53</v>
      </c>
      <c r="F537" s="4" t="s">
        <v>54</v>
      </c>
      <c r="G537" s="4" t="s">
        <v>25</v>
      </c>
      <c r="H537" s="4" t="s">
        <v>25</v>
      </c>
      <c r="I537" s="5">
        <v>44593</v>
      </c>
      <c r="J537" s="6">
        <v>0</v>
      </c>
      <c r="K537" s="6">
        <v>0</v>
      </c>
      <c r="L537" s="6">
        <v>28.905000000000001</v>
      </c>
      <c r="M537" s="6">
        <v>28.905000000000001</v>
      </c>
      <c r="N537" s="6">
        <v>28.905000000000001</v>
      </c>
      <c r="O537" s="6">
        <v>28.905000000000001</v>
      </c>
      <c r="P537" s="6">
        <v>0</v>
      </c>
      <c r="Q537" s="4" t="s">
        <v>26</v>
      </c>
      <c r="R537" s="4">
        <v>0</v>
      </c>
      <c r="S537" s="6">
        <v>0</v>
      </c>
      <c r="T537" s="6">
        <v>29</v>
      </c>
      <c r="U537" s="6">
        <v>66</v>
      </c>
      <c r="V537" s="6">
        <f>IF(ISERROR(VLOOKUP($S$537,'TAR FIN'!$A$1:$O$85,15,0)),0,VLOOKUP($S$537,'TAR FIN'!$A$1:$O$85,15,0))</f>
        <v>0</v>
      </c>
      <c r="W537" s="6">
        <f>IF(ISERROR(VLOOKUP($T$537,'TAR FIN'!$A$1:$O$85,15,0)),0,VLOOKUP($T$537,'TAR FIN'!$A$1:$O$85,15,0))</f>
        <v>240.85</v>
      </c>
      <c r="X537" s="6">
        <f>IF(ISERROR(VLOOKUP($U$537,'TAR FIN'!$A$1:$O$85,15,0)),0,VLOOKUP($U$537,'TAR FIN'!$A$1:$O$85,15,0))</f>
        <v>231.7</v>
      </c>
      <c r="Y537" s="6"/>
      <c r="Z537" s="6">
        <f ca="1">('TUSD BE'!$AM$33+'TUSD BF'!$AM$33+'TUSD CVA'!$AM$33)*(1-CUSTOS!$M$38)</f>
        <v>300.89907966262189</v>
      </c>
      <c r="AA537" s="6">
        <f>('TE BE'!$AA$23+'TE BF'!$AA$23+'TE CVA'!$AA$23)*(1-CUSTOS!$M$38)</f>
        <v>198.0053374241497</v>
      </c>
      <c r="AB537" s="6">
        <f>$K$537*$V$537</f>
        <v>0</v>
      </c>
      <c r="AC537" s="6">
        <f>$M$537*$W$537</f>
        <v>6961.7692500000003</v>
      </c>
      <c r="AD537" s="6">
        <f>$O$537*$X$537</f>
        <v>6697.2884999999997</v>
      </c>
      <c r="AE537" s="6">
        <f>$K$537*$Y$537</f>
        <v>0</v>
      </c>
      <c r="AF537" s="6">
        <f ca="1">$M$537*$Z$537</f>
        <v>8697.4878976480868</v>
      </c>
      <c r="AG537" s="6">
        <f>$O$537*$AA$537</f>
        <v>5723.3442782450475</v>
      </c>
    </row>
    <row r="538" spans="1:33" ht="11.25" customHeight="1" x14ac:dyDescent="0.25">
      <c r="A538" s="4" t="s">
        <v>28</v>
      </c>
      <c r="B538" s="4" t="s">
        <v>43</v>
      </c>
      <c r="C538" s="4" t="s">
        <v>23</v>
      </c>
      <c r="D538" s="4" t="s">
        <v>44</v>
      </c>
      <c r="E538" s="4" t="s">
        <v>53</v>
      </c>
      <c r="F538" s="4" t="s">
        <v>54</v>
      </c>
      <c r="G538" s="4" t="s">
        <v>25</v>
      </c>
      <c r="H538" s="4" t="s">
        <v>25</v>
      </c>
      <c r="I538" s="5">
        <v>44593</v>
      </c>
      <c r="J538" s="6">
        <v>0</v>
      </c>
      <c r="K538" s="6">
        <v>0</v>
      </c>
      <c r="L538" s="6">
        <v>0.1</v>
      </c>
      <c r="M538" s="6">
        <v>0.1</v>
      </c>
      <c r="N538" s="6">
        <v>0.1</v>
      </c>
      <c r="O538" s="6">
        <v>0.1</v>
      </c>
      <c r="P538" s="6">
        <v>0</v>
      </c>
      <c r="Q538" s="4" t="s">
        <v>26</v>
      </c>
      <c r="R538" s="4">
        <v>0</v>
      </c>
      <c r="S538" s="6">
        <v>0</v>
      </c>
      <c r="T538" s="6">
        <v>29</v>
      </c>
      <c r="U538" s="6">
        <v>66</v>
      </c>
      <c r="V538" s="6">
        <f>IF(ISERROR(VLOOKUP($S$538,'TAR FIN'!$A$1:$O$85,15,0)),0,VLOOKUP($S$538,'TAR FIN'!$A$1:$O$85,15,0))</f>
        <v>0</v>
      </c>
      <c r="W538" s="6">
        <f>IF(ISERROR(VLOOKUP($T$538,'TAR FIN'!$A$1:$O$85,15,0)),0,VLOOKUP($T$538,'TAR FIN'!$A$1:$O$85,15,0))</f>
        <v>240.85</v>
      </c>
      <c r="X538" s="6">
        <f>IF(ISERROR(VLOOKUP($U$538,'TAR FIN'!$A$1:$O$85,15,0)),0,VLOOKUP($U$538,'TAR FIN'!$A$1:$O$85,15,0))</f>
        <v>231.7</v>
      </c>
      <c r="Y538" s="6"/>
      <c r="Z538" s="6">
        <f ca="1">('TUSD BE'!$AM$33+'TUSD BF'!$AM$33+'TUSD CVA'!$AM$33)*(1-CUSTOS!$M$38)</f>
        <v>300.89907966262189</v>
      </c>
      <c r="AA538" s="6">
        <f>('TE BE'!$AA$23+'TE BF'!$AA$23+'TE CVA'!$AA$23)*(1-CUSTOS!$M$38)</f>
        <v>198.0053374241497</v>
      </c>
      <c r="AB538" s="6">
        <f>$K$538*$V$538</f>
        <v>0</v>
      </c>
      <c r="AC538" s="6">
        <f>$M$538*$W$538</f>
        <v>24.085000000000001</v>
      </c>
      <c r="AD538" s="6">
        <f>$O$538*$X$538</f>
        <v>23.17</v>
      </c>
      <c r="AE538" s="6">
        <f>$K$538*$Y$538</f>
        <v>0</v>
      </c>
      <c r="AF538" s="6">
        <f ca="1">$M$538*$Z$538</f>
        <v>30.089907966262189</v>
      </c>
      <c r="AG538" s="6">
        <f>$O$538*$AA$538</f>
        <v>19.80053374241497</v>
      </c>
    </row>
    <row r="539" spans="1:33" ht="11.25" customHeight="1" x14ac:dyDescent="0.25">
      <c r="A539" s="4" t="s">
        <v>21</v>
      </c>
      <c r="B539" s="4" t="s">
        <v>43</v>
      </c>
      <c r="C539" s="4" t="s">
        <v>23</v>
      </c>
      <c r="D539" s="4" t="s">
        <v>44</v>
      </c>
      <c r="E539" s="4" t="s">
        <v>53</v>
      </c>
      <c r="F539" s="4" t="s">
        <v>54</v>
      </c>
      <c r="G539" s="4" t="s">
        <v>25</v>
      </c>
      <c r="H539" s="4" t="s">
        <v>25</v>
      </c>
      <c r="I539" s="5">
        <v>44621</v>
      </c>
      <c r="J539" s="6">
        <v>0</v>
      </c>
      <c r="K539" s="6">
        <v>0</v>
      </c>
      <c r="L539" s="6">
        <v>36.325000000000003</v>
      </c>
      <c r="M539" s="6">
        <v>36.325000000000003</v>
      </c>
      <c r="N539" s="6">
        <v>36.325000000000003</v>
      </c>
      <c r="O539" s="6">
        <v>36.325000000000003</v>
      </c>
      <c r="P539" s="6">
        <v>0</v>
      </c>
      <c r="Q539" s="4" t="s">
        <v>26</v>
      </c>
      <c r="R539" s="4">
        <v>0</v>
      </c>
      <c r="S539" s="6">
        <v>0</v>
      </c>
      <c r="T539" s="6">
        <v>29</v>
      </c>
      <c r="U539" s="6">
        <v>66</v>
      </c>
      <c r="V539" s="6">
        <f>IF(ISERROR(VLOOKUP($S$539,'TAR FIN'!$A$1:$O$85,15,0)),0,VLOOKUP($S$539,'TAR FIN'!$A$1:$O$85,15,0))</f>
        <v>0</v>
      </c>
      <c r="W539" s="6">
        <f>IF(ISERROR(VLOOKUP($T$539,'TAR FIN'!$A$1:$O$85,15,0)),0,VLOOKUP($T$539,'TAR FIN'!$A$1:$O$85,15,0))</f>
        <v>240.85</v>
      </c>
      <c r="X539" s="6">
        <f>IF(ISERROR(VLOOKUP($U$539,'TAR FIN'!$A$1:$O$85,15,0)),0,VLOOKUP($U$539,'TAR FIN'!$A$1:$O$85,15,0))</f>
        <v>231.7</v>
      </c>
      <c r="Y539" s="6"/>
      <c r="Z539" s="6">
        <f ca="1">('TUSD BE'!$AM$33+'TUSD BF'!$AM$33+'TUSD CVA'!$AM$33)*(1-CUSTOS!$M$38)</f>
        <v>300.89907966262189</v>
      </c>
      <c r="AA539" s="6">
        <f>('TE BE'!$AA$23+'TE BF'!$AA$23+'TE CVA'!$AA$23)*(1-CUSTOS!$M$38)</f>
        <v>198.0053374241497</v>
      </c>
      <c r="AB539" s="6">
        <f>$K$539*$V$539</f>
        <v>0</v>
      </c>
      <c r="AC539" s="6">
        <f>$M$539*$W$539</f>
        <v>8748.8762500000012</v>
      </c>
      <c r="AD539" s="6">
        <f>$O$539*$X$539</f>
        <v>8416.5025000000005</v>
      </c>
      <c r="AE539" s="6">
        <f>$K$539*$Y$539</f>
        <v>0</v>
      </c>
      <c r="AF539" s="6">
        <f ca="1">$M$539*$Z$539</f>
        <v>10930.159068744741</v>
      </c>
      <c r="AG539" s="6">
        <f>$O$539*$AA$539</f>
        <v>7192.543881932238</v>
      </c>
    </row>
    <row r="540" spans="1:33" ht="11.25" customHeight="1" x14ac:dyDescent="0.25">
      <c r="A540" s="4" t="s">
        <v>28</v>
      </c>
      <c r="B540" s="4" t="s">
        <v>43</v>
      </c>
      <c r="C540" s="4" t="s">
        <v>23</v>
      </c>
      <c r="D540" s="4" t="s">
        <v>44</v>
      </c>
      <c r="E540" s="4" t="s">
        <v>53</v>
      </c>
      <c r="F540" s="4" t="s">
        <v>54</v>
      </c>
      <c r="G540" s="4" t="s">
        <v>25</v>
      </c>
      <c r="H540" s="4" t="s">
        <v>25</v>
      </c>
      <c r="I540" s="5">
        <v>44621</v>
      </c>
      <c r="J540" s="6">
        <v>0</v>
      </c>
      <c r="K540" s="6">
        <v>0</v>
      </c>
      <c r="L540" s="6">
        <v>0.1</v>
      </c>
      <c r="M540" s="6">
        <v>0.1</v>
      </c>
      <c r="N540" s="6">
        <v>0.1</v>
      </c>
      <c r="O540" s="6">
        <v>0.1</v>
      </c>
      <c r="P540" s="6">
        <v>0</v>
      </c>
      <c r="Q540" s="4" t="s">
        <v>26</v>
      </c>
      <c r="R540" s="4">
        <v>0</v>
      </c>
      <c r="S540" s="6">
        <v>0</v>
      </c>
      <c r="T540" s="6">
        <v>29</v>
      </c>
      <c r="U540" s="6">
        <v>66</v>
      </c>
      <c r="V540" s="6">
        <f>IF(ISERROR(VLOOKUP($S$540,'TAR FIN'!$A$1:$O$85,15,0)),0,VLOOKUP($S$540,'TAR FIN'!$A$1:$O$85,15,0))</f>
        <v>0</v>
      </c>
      <c r="W540" s="6">
        <f>IF(ISERROR(VLOOKUP($T$540,'TAR FIN'!$A$1:$O$85,15,0)),0,VLOOKUP($T$540,'TAR FIN'!$A$1:$O$85,15,0))</f>
        <v>240.85</v>
      </c>
      <c r="X540" s="6">
        <f>IF(ISERROR(VLOOKUP($U$540,'TAR FIN'!$A$1:$O$85,15,0)),0,VLOOKUP($U$540,'TAR FIN'!$A$1:$O$85,15,0))</f>
        <v>231.7</v>
      </c>
      <c r="Y540" s="6"/>
      <c r="Z540" s="6">
        <f ca="1">('TUSD BE'!$AM$33+'TUSD BF'!$AM$33+'TUSD CVA'!$AM$33)*(1-CUSTOS!$M$38)</f>
        <v>300.89907966262189</v>
      </c>
      <c r="AA540" s="6">
        <f>('TE BE'!$AA$23+'TE BF'!$AA$23+'TE CVA'!$AA$23)*(1-CUSTOS!$M$38)</f>
        <v>198.0053374241497</v>
      </c>
      <c r="AB540" s="6">
        <f>$K$540*$V$540</f>
        <v>0</v>
      </c>
      <c r="AC540" s="6">
        <f>$M$540*$W$540</f>
        <v>24.085000000000001</v>
      </c>
      <c r="AD540" s="6">
        <f>$O$540*$X$540</f>
        <v>23.17</v>
      </c>
      <c r="AE540" s="6">
        <f>$K$540*$Y$540</f>
        <v>0</v>
      </c>
      <c r="AF540" s="6">
        <f ca="1">$M$540*$Z$540</f>
        <v>30.089907966262189</v>
      </c>
      <c r="AG540" s="6">
        <f>$O$540*$AA$540</f>
        <v>19.80053374241497</v>
      </c>
    </row>
    <row r="541" spans="1:33" ht="11.25" customHeight="1" x14ac:dyDescent="0.25">
      <c r="A541" s="4" t="s">
        <v>21</v>
      </c>
      <c r="B541" s="4" t="s">
        <v>43</v>
      </c>
      <c r="C541" s="4" t="s">
        <v>23</v>
      </c>
      <c r="D541" s="4" t="s">
        <v>44</v>
      </c>
      <c r="E541" s="4" t="s">
        <v>53</v>
      </c>
      <c r="F541" s="4" t="s">
        <v>54</v>
      </c>
      <c r="G541" s="4" t="s">
        <v>25</v>
      </c>
      <c r="H541" s="4" t="s">
        <v>25</v>
      </c>
      <c r="I541" s="5">
        <v>44652</v>
      </c>
      <c r="J541" s="6">
        <v>0</v>
      </c>
      <c r="K541" s="6">
        <v>0</v>
      </c>
      <c r="L541" s="6">
        <v>41.151000000000003</v>
      </c>
      <c r="M541" s="6">
        <v>41.151000000000003</v>
      </c>
      <c r="N541" s="6">
        <v>41.151000000000003</v>
      </c>
      <c r="O541" s="6">
        <v>41.151000000000003</v>
      </c>
      <c r="P541" s="6">
        <v>0</v>
      </c>
      <c r="Q541" s="4" t="s">
        <v>26</v>
      </c>
      <c r="R541" s="4">
        <v>0</v>
      </c>
      <c r="S541" s="6">
        <v>0</v>
      </c>
      <c r="T541" s="6">
        <v>29</v>
      </c>
      <c r="U541" s="6">
        <v>66</v>
      </c>
      <c r="V541" s="6">
        <f>IF(ISERROR(VLOOKUP($S$541,'TAR FIN'!$A$1:$O$85,15,0)),0,VLOOKUP($S$541,'TAR FIN'!$A$1:$O$85,15,0))</f>
        <v>0</v>
      </c>
      <c r="W541" s="6">
        <f>IF(ISERROR(VLOOKUP($T$541,'TAR FIN'!$A$1:$O$85,15,0)),0,VLOOKUP($T$541,'TAR FIN'!$A$1:$O$85,15,0))</f>
        <v>240.85</v>
      </c>
      <c r="X541" s="6">
        <f>IF(ISERROR(VLOOKUP($U$541,'TAR FIN'!$A$1:$O$85,15,0)),0,VLOOKUP($U$541,'TAR FIN'!$A$1:$O$85,15,0))</f>
        <v>231.7</v>
      </c>
      <c r="Y541" s="6"/>
      <c r="Z541" s="6">
        <f ca="1">('TUSD BE'!$AM$33+'TUSD BF'!$AM$33+'TUSD CVA'!$AM$33)*(1-CUSTOS!$M$38)</f>
        <v>300.89907966262189</v>
      </c>
      <c r="AA541" s="6">
        <f>('TE BE'!$AA$23+'TE BF'!$AA$23+'TE CVA'!$AA$23)*(1-CUSTOS!$M$38)</f>
        <v>198.0053374241497</v>
      </c>
      <c r="AB541" s="6">
        <f>$K$541*$V$541</f>
        <v>0</v>
      </c>
      <c r="AC541" s="6">
        <f>$M$541*$W$541</f>
        <v>9911.218350000001</v>
      </c>
      <c r="AD541" s="6">
        <f>$O$541*$X$541</f>
        <v>9534.6867000000002</v>
      </c>
      <c r="AE541" s="6">
        <f>$K$541*$Y$541</f>
        <v>0</v>
      </c>
      <c r="AF541" s="6">
        <f ca="1">$M$541*$Z$541</f>
        <v>12382.298027196553</v>
      </c>
      <c r="AG541" s="6">
        <f>$O$541*$AA$541</f>
        <v>8148.1176403411846</v>
      </c>
    </row>
    <row r="542" spans="1:33" ht="11.25" customHeight="1" x14ac:dyDescent="0.25">
      <c r="A542" s="4" t="s">
        <v>21</v>
      </c>
      <c r="B542" s="4" t="s">
        <v>43</v>
      </c>
      <c r="C542" s="4" t="s">
        <v>23</v>
      </c>
      <c r="D542" s="4" t="s">
        <v>44</v>
      </c>
      <c r="E542" s="4" t="s">
        <v>53</v>
      </c>
      <c r="F542" s="4" t="s">
        <v>55</v>
      </c>
      <c r="G542" s="4" t="s">
        <v>25</v>
      </c>
      <c r="H542" s="4" t="s">
        <v>25</v>
      </c>
      <c r="I542" s="5">
        <v>44317</v>
      </c>
      <c r="J542" s="6">
        <v>0</v>
      </c>
      <c r="K542" s="6">
        <v>0</v>
      </c>
      <c r="L542" s="6">
        <v>28.654</v>
      </c>
      <c r="M542" s="6">
        <v>11.461600000000001</v>
      </c>
      <c r="N542" s="6">
        <v>28.654</v>
      </c>
      <c r="O542" s="6">
        <v>11.461600000000001</v>
      </c>
      <c r="P542" s="6">
        <v>0</v>
      </c>
      <c r="Q542" s="4" t="s">
        <v>26</v>
      </c>
      <c r="R542" s="4">
        <v>0</v>
      </c>
      <c r="S542" s="6">
        <v>0</v>
      </c>
      <c r="T542" s="6">
        <v>29</v>
      </c>
      <c r="U542" s="6">
        <v>66</v>
      </c>
      <c r="V542" s="6">
        <f>IF(ISERROR(VLOOKUP($S$542,'TAR FIN'!$A$1:$O$85,15,0)),0,VLOOKUP($S$542,'TAR FIN'!$A$1:$O$85,15,0))</f>
        <v>0</v>
      </c>
      <c r="W542" s="6">
        <f>IF(ISERROR(VLOOKUP($T$542,'TAR FIN'!$A$1:$O$85,15,0)),0,VLOOKUP($T$542,'TAR FIN'!$A$1:$O$85,15,0))</f>
        <v>240.85</v>
      </c>
      <c r="X542" s="6">
        <f>IF(ISERROR(VLOOKUP($U$542,'TAR FIN'!$A$1:$O$85,15,0)),0,VLOOKUP($U$542,'TAR FIN'!$A$1:$O$85,15,0))</f>
        <v>231.7</v>
      </c>
      <c r="Y542" s="6"/>
      <c r="Z542" s="6">
        <f ca="1">('TUSD BE'!$AM$33+'TUSD BF'!$AM$33+'TUSD CVA'!$AM$33)*(1-CUSTOS!$M$38)</f>
        <v>300.89907966262189</v>
      </c>
      <c r="AA542" s="6">
        <f>('TE BE'!$AA$23+'TE BF'!$AA$23+'TE CVA'!$AA$23)*(1-CUSTOS!$M$38)</f>
        <v>198.0053374241497</v>
      </c>
      <c r="AB542" s="6">
        <f>$K$542*$V$542</f>
        <v>0</v>
      </c>
      <c r="AC542" s="6">
        <f>$M$542*$W$542</f>
        <v>2760.5263600000003</v>
      </c>
      <c r="AD542" s="6">
        <f>$O$542*$X$542</f>
        <v>2655.65272</v>
      </c>
      <c r="AE542" s="6">
        <f>$K$542*$Y$542</f>
        <v>0</v>
      </c>
      <c r="AF542" s="6">
        <f ca="1">$M$542*$Z$542</f>
        <v>3448.7848914611072</v>
      </c>
      <c r="AG542" s="6">
        <f>$O$542*$AA$542</f>
        <v>2269.4579754206343</v>
      </c>
    </row>
    <row r="543" spans="1:33" ht="11.25" customHeight="1" x14ac:dyDescent="0.25">
      <c r="A543" s="4" t="s">
        <v>21</v>
      </c>
      <c r="B543" s="4" t="s">
        <v>43</v>
      </c>
      <c r="C543" s="4" t="s">
        <v>23</v>
      </c>
      <c r="D543" s="4" t="s">
        <v>44</v>
      </c>
      <c r="E543" s="4" t="s">
        <v>53</v>
      </c>
      <c r="F543" s="4" t="s">
        <v>55</v>
      </c>
      <c r="G543" s="4" t="s">
        <v>25</v>
      </c>
      <c r="H543" s="4" t="s">
        <v>25</v>
      </c>
      <c r="I543" s="5">
        <v>44348</v>
      </c>
      <c r="J543" s="6">
        <v>0</v>
      </c>
      <c r="K543" s="6">
        <v>0</v>
      </c>
      <c r="L543" s="6">
        <v>27.117000000000001</v>
      </c>
      <c r="M543" s="6">
        <v>10.8468</v>
      </c>
      <c r="N543" s="6">
        <v>27.117000000000001</v>
      </c>
      <c r="O543" s="6">
        <v>10.8468</v>
      </c>
      <c r="P543" s="6">
        <v>0</v>
      </c>
      <c r="Q543" s="4" t="s">
        <v>26</v>
      </c>
      <c r="R543" s="4">
        <v>0</v>
      </c>
      <c r="S543" s="6">
        <v>0</v>
      </c>
      <c r="T543" s="6">
        <v>29</v>
      </c>
      <c r="U543" s="6">
        <v>66</v>
      </c>
      <c r="V543" s="6">
        <f>IF(ISERROR(VLOOKUP($S$543,'TAR FIN'!$A$1:$O$85,15,0)),0,VLOOKUP($S$543,'TAR FIN'!$A$1:$O$85,15,0))</f>
        <v>0</v>
      </c>
      <c r="W543" s="6">
        <f>IF(ISERROR(VLOOKUP($T$543,'TAR FIN'!$A$1:$O$85,15,0)),0,VLOOKUP($T$543,'TAR FIN'!$A$1:$O$85,15,0))</f>
        <v>240.85</v>
      </c>
      <c r="X543" s="6">
        <f>IF(ISERROR(VLOOKUP($U$543,'TAR FIN'!$A$1:$O$85,15,0)),0,VLOOKUP($U$543,'TAR FIN'!$A$1:$O$85,15,0))</f>
        <v>231.7</v>
      </c>
      <c r="Y543" s="6"/>
      <c r="Z543" s="6">
        <f ca="1">('TUSD BE'!$AM$33+'TUSD BF'!$AM$33+'TUSD CVA'!$AM$33)*(1-CUSTOS!$M$38)</f>
        <v>300.89907966262189</v>
      </c>
      <c r="AA543" s="6">
        <f>('TE BE'!$AA$23+'TE BF'!$AA$23+'TE CVA'!$AA$23)*(1-CUSTOS!$M$38)</f>
        <v>198.0053374241497</v>
      </c>
      <c r="AB543" s="6">
        <f>$K$543*$V$543</f>
        <v>0</v>
      </c>
      <c r="AC543" s="6">
        <f>$M$543*$W$543</f>
        <v>2612.4517799999999</v>
      </c>
      <c r="AD543" s="6">
        <f>$O$543*$X$543</f>
        <v>2513.2035599999999</v>
      </c>
      <c r="AE543" s="6">
        <f>$K$543*$Y$543</f>
        <v>0</v>
      </c>
      <c r="AF543" s="6">
        <f ca="1">$M$543*$Z$543</f>
        <v>3263.7921372845271</v>
      </c>
      <c r="AG543" s="6">
        <f>$O$543*$AA$543</f>
        <v>2147.7242939722669</v>
      </c>
    </row>
    <row r="544" spans="1:33" ht="11.25" customHeight="1" x14ac:dyDescent="0.25">
      <c r="A544" s="4" t="s">
        <v>21</v>
      </c>
      <c r="B544" s="4" t="s">
        <v>43</v>
      </c>
      <c r="C544" s="4" t="s">
        <v>23</v>
      </c>
      <c r="D544" s="4" t="s">
        <v>44</v>
      </c>
      <c r="E544" s="4" t="s">
        <v>53</v>
      </c>
      <c r="F544" s="4" t="s">
        <v>55</v>
      </c>
      <c r="G544" s="4" t="s">
        <v>25</v>
      </c>
      <c r="H544" s="4" t="s">
        <v>25</v>
      </c>
      <c r="I544" s="5">
        <v>44378</v>
      </c>
      <c r="J544" s="6">
        <v>0</v>
      </c>
      <c r="K544" s="6">
        <v>0</v>
      </c>
      <c r="L544" s="6">
        <v>23.562000000000001</v>
      </c>
      <c r="M544" s="6">
        <v>9.4247999999999994</v>
      </c>
      <c r="N544" s="6">
        <v>23.562000000000001</v>
      </c>
      <c r="O544" s="6">
        <v>9.4247999999999994</v>
      </c>
      <c r="P544" s="6">
        <v>0</v>
      </c>
      <c r="Q544" s="4" t="s">
        <v>26</v>
      </c>
      <c r="R544" s="4">
        <v>0</v>
      </c>
      <c r="S544" s="6">
        <v>0</v>
      </c>
      <c r="T544" s="6">
        <v>29</v>
      </c>
      <c r="U544" s="6">
        <v>66</v>
      </c>
      <c r="V544" s="6">
        <f>IF(ISERROR(VLOOKUP($S$544,'TAR FIN'!$A$1:$O$85,15,0)),0,VLOOKUP($S$544,'TAR FIN'!$A$1:$O$85,15,0))</f>
        <v>0</v>
      </c>
      <c r="W544" s="6">
        <f>IF(ISERROR(VLOOKUP($T$544,'TAR FIN'!$A$1:$O$85,15,0)),0,VLOOKUP($T$544,'TAR FIN'!$A$1:$O$85,15,0))</f>
        <v>240.85</v>
      </c>
      <c r="X544" s="6">
        <f>IF(ISERROR(VLOOKUP($U$544,'TAR FIN'!$A$1:$O$85,15,0)),0,VLOOKUP($U$544,'TAR FIN'!$A$1:$O$85,15,0))</f>
        <v>231.7</v>
      </c>
      <c r="Y544" s="6"/>
      <c r="Z544" s="6">
        <f ca="1">('TUSD BE'!$AM$33+'TUSD BF'!$AM$33+'TUSD CVA'!$AM$33)*(1-CUSTOS!$M$38)</f>
        <v>300.89907966262189</v>
      </c>
      <c r="AA544" s="6">
        <f>('TE BE'!$AA$23+'TE BF'!$AA$23+'TE CVA'!$AA$23)*(1-CUSTOS!$M$38)</f>
        <v>198.0053374241497</v>
      </c>
      <c r="AB544" s="6">
        <f>$K$544*$V$544</f>
        <v>0</v>
      </c>
      <c r="AC544" s="6">
        <f>$M$544*$W$544</f>
        <v>2269.96308</v>
      </c>
      <c r="AD544" s="6">
        <f>$O$544*$X$544</f>
        <v>2183.7261599999997</v>
      </c>
      <c r="AE544" s="6">
        <f>$K$544*$Y$544</f>
        <v>0</v>
      </c>
      <c r="AF544" s="6">
        <f ca="1">$M$544*$Z$544</f>
        <v>2835.9136460042787</v>
      </c>
      <c r="AG544" s="6">
        <f>$O$544*$AA$544</f>
        <v>1866.160704155126</v>
      </c>
    </row>
    <row r="545" spans="1:33" ht="11.25" customHeight="1" x14ac:dyDescent="0.25">
      <c r="A545" s="4" t="s">
        <v>21</v>
      </c>
      <c r="B545" s="4" t="s">
        <v>43</v>
      </c>
      <c r="C545" s="4" t="s">
        <v>23</v>
      </c>
      <c r="D545" s="4" t="s">
        <v>44</v>
      </c>
      <c r="E545" s="4" t="s">
        <v>53</v>
      </c>
      <c r="F545" s="4" t="s">
        <v>55</v>
      </c>
      <c r="G545" s="4" t="s">
        <v>25</v>
      </c>
      <c r="H545" s="4" t="s">
        <v>25</v>
      </c>
      <c r="I545" s="5">
        <v>44409</v>
      </c>
      <c r="J545" s="6">
        <v>0</v>
      </c>
      <c r="K545" s="6">
        <v>0</v>
      </c>
      <c r="L545" s="6">
        <v>32.128999999999998</v>
      </c>
      <c r="M545" s="6">
        <v>12.851599999999999</v>
      </c>
      <c r="N545" s="6">
        <v>32.128999999999998</v>
      </c>
      <c r="O545" s="6">
        <v>12.851599999999999</v>
      </c>
      <c r="P545" s="6">
        <v>0</v>
      </c>
      <c r="Q545" s="4" t="s">
        <v>26</v>
      </c>
      <c r="R545" s="4">
        <v>0</v>
      </c>
      <c r="S545" s="6">
        <v>0</v>
      </c>
      <c r="T545" s="6">
        <v>29</v>
      </c>
      <c r="U545" s="6">
        <v>66</v>
      </c>
      <c r="V545" s="6">
        <f>IF(ISERROR(VLOOKUP($S$545,'TAR FIN'!$A$1:$O$85,15,0)),0,VLOOKUP($S$545,'TAR FIN'!$A$1:$O$85,15,0))</f>
        <v>0</v>
      </c>
      <c r="W545" s="6">
        <f>IF(ISERROR(VLOOKUP($T$545,'TAR FIN'!$A$1:$O$85,15,0)),0,VLOOKUP($T$545,'TAR FIN'!$A$1:$O$85,15,0))</f>
        <v>240.85</v>
      </c>
      <c r="X545" s="6">
        <f>IF(ISERROR(VLOOKUP($U$545,'TAR FIN'!$A$1:$O$85,15,0)),0,VLOOKUP($U$545,'TAR FIN'!$A$1:$O$85,15,0))</f>
        <v>231.7</v>
      </c>
      <c r="Y545" s="6"/>
      <c r="Z545" s="6">
        <f ca="1">('TUSD BE'!$AM$33+'TUSD BF'!$AM$33+'TUSD CVA'!$AM$33)*(1-CUSTOS!$M$38)</f>
        <v>300.89907966262189</v>
      </c>
      <c r="AA545" s="6">
        <f>('TE BE'!$AA$23+'TE BF'!$AA$23+'TE CVA'!$AA$23)*(1-CUSTOS!$M$38)</f>
        <v>198.0053374241497</v>
      </c>
      <c r="AB545" s="6">
        <f>$K$545*$V$545</f>
        <v>0</v>
      </c>
      <c r="AC545" s="6">
        <f>$M$545*$W$545</f>
        <v>3095.3078599999999</v>
      </c>
      <c r="AD545" s="6">
        <f>$O$545*$X$545</f>
        <v>2977.7157199999997</v>
      </c>
      <c r="AE545" s="6">
        <f>$K$545*$Y$545</f>
        <v>0</v>
      </c>
      <c r="AF545" s="6">
        <f ca="1">$M$545*$Z$545</f>
        <v>3867.0346121921511</v>
      </c>
      <c r="AG545" s="6">
        <f>$O$545*$AA$545</f>
        <v>2544.6853944402023</v>
      </c>
    </row>
    <row r="546" spans="1:33" ht="11.25" customHeight="1" x14ac:dyDescent="0.25">
      <c r="A546" s="4" t="s">
        <v>28</v>
      </c>
      <c r="B546" s="4" t="s">
        <v>43</v>
      </c>
      <c r="C546" s="4" t="s">
        <v>23</v>
      </c>
      <c r="D546" s="4" t="s">
        <v>44</v>
      </c>
      <c r="E546" s="4" t="s">
        <v>53</v>
      </c>
      <c r="F546" s="4" t="s">
        <v>55</v>
      </c>
      <c r="G546" s="4" t="s">
        <v>25</v>
      </c>
      <c r="H546" s="4" t="s">
        <v>25</v>
      </c>
      <c r="I546" s="5">
        <v>44409</v>
      </c>
      <c r="J546" s="6">
        <v>0</v>
      </c>
      <c r="K546" s="6">
        <v>0</v>
      </c>
      <c r="L546" s="6">
        <v>0.373</v>
      </c>
      <c r="M546" s="6">
        <v>0.373</v>
      </c>
      <c r="N546" s="6">
        <v>0.373</v>
      </c>
      <c r="O546" s="6">
        <v>0.373</v>
      </c>
      <c r="P546" s="6">
        <v>0</v>
      </c>
      <c r="Q546" s="4" t="s">
        <v>26</v>
      </c>
      <c r="R546" s="4">
        <v>0</v>
      </c>
      <c r="S546" s="6">
        <v>0</v>
      </c>
      <c r="T546" s="6">
        <v>29</v>
      </c>
      <c r="U546" s="6">
        <v>66</v>
      </c>
      <c r="V546" s="6">
        <f>IF(ISERROR(VLOOKUP($S$546,'TAR FIN'!$A$1:$O$85,15,0)),0,VLOOKUP($S$546,'TAR FIN'!$A$1:$O$85,15,0))</f>
        <v>0</v>
      </c>
      <c r="W546" s="6">
        <f>IF(ISERROR(VLOOKUP($T$546,'TAR FIN'!$A$1:$O$85,15,0)),0,VLOOKUP($T$546,'TAR FIN'!$A$1:$O$85,15,0))</f>
        <v>240.85</v>
      </c>
      <c r="X546" s="6">
        <f>IF(ISERROR(VLOOKUP($U$546,'TAR FIN'!$A$1:$O$85,15,0)),0,VLOOKUP($U$546,'TAR FIN'!$A$1:$O$85,15,0))</f>
        <v>231.7</v>
      </c>
      <c r="Y546" s="6"/>
      <c r="Z546" s="6">
        <f ca="1">('TUSD BE'!$AM$33+'TUSD BF'!$AM$33+'TUSD CVA'!$AM$33)*(1-CUSTOS!$M$38)</f>
        <v>300.89907966262189</v>
      </c>
      <c r="AA546" s="6">
        <f>('TE BE'!$AA$23+'TE BF'!$AA$23+'TE CVA'!$AA$23)*(1-CUSTOS!$M$38)</f>
        <v>198.0053374241497</v>
      </c>
      <c r="AB546" s="6">
        <f>$K$546*$V$546</f>
        <v>0</v>
      </c>
      <c r="AC546" s="6">
        <f>$M$546*$W$546</f>
        <v>89.837049999999991</v>
      </c>
      <c r="AD546" s="6">
        <f>$O$546*$X$546</f>
        <v>86.424099999999996</v>
      </c>
      <c r="AE546" s="6">
        <f>$K$546*$Y$546</f>
        <v>0</v>
      </c>
      <c r="AF546" s="6">
        <f ca="1">$M$546*$Z$546</f>
        <v>112.23535671415796</v>
      </c>
      <c r="AG546" s="6">
        <f>$O$546*$AA$546</f>
        <v>73.855990859207836</v>
      </c>
    </row>
    <row r="547" spans="1:33" ht="11.25" customHeight="1" x14ac:dyDescent="0.25">
      <c r="A547" s="4" t="s">
        <v>21</v>
      </c>
      <c r="B547" s="4" t="s">
        <v>43</v>
      </c>
      <c r="C547" s="4" t="s">
        <v>23</v>
      </c>
      <c r="D547" s="4" t="s">
        <v>44</v>
      </c>
      <c r="E547" s="4" t="s">
        <v>53</v>
      </c>
      <c r="F547" s="4" t="s">
        <v>55</v>
      </c>
      <c r="G547" s="4" t="s">
        <v>25</v>
      </c>
      <c r="H547" s="4" t="s">
        <v>25</v>
      </c>
      <c r="I547" s="5">
        <v>44440</v>
      </c>
      <c r="J547" s="6">
        <v>0</v>
      </c>
      <c r="K547" s="6">
        <v>0</v>
      </c>
      <c r="L547" s="6">
        <v>38.651000000000003</v>
      </c>
      <c r="M547" s="6">
        <v>15.4604</v>
      </c>
      <c r="N547" s="6">
        <v>38.651000000000003</v>
      </c>
      <c r="O547" s="6">
        <v>15.4604</v>
      </c>
      <c r="P547" s="6">
        <v>0</v>
      </c>
      <c r="Q547" s="4" t="s">
        <v>26</v>
      </c>
      <c r="R547" s="4">
        <v>0</v>
      </c>
      <c r="S547" s="6">
        <v>0</v>
      </c>
      <c r="T547" s="6">
        <v>29</v>
      </c>
      <c r="U547" s="6">
        <v>66</v>
      </c>
      <c r="V547" s="6">
        <f>IF(ISERROR(VLOOKUP($S$547,'TAR FIN'!$A$1:$O$85,15,0)),0,VLOOKUP($S$547,'TAR FIN'!$A$1:$O$85,15,0))</f>
        <v>0</v>
      </c>
      <c r="W547" s="6">
        <f>IF(ISERROR(VLOOKUP($T$547,'TAR FIN'!$A$1:$O$85,15,0)),0,VLOOKUP($T$547,'TAR FIN'!$A$1:$O$85,15,0))</f>
        <v>240.85</v>
      </c>
      <c r="X547" s="6">
        <f>IF(ISERROR(VLOOKUP($U$547,'TAR FIN'!$A$1:$O$85,15,0)),0,VLOOKUP($U$547,'TAR FIN'!$A$1:$O$85,15,0))</f>
        <v>231.7</v>
      </c>
      <c r="Y547" s="6"/>
      <c r="Z547" s="6">
        <f ca="1">('TUSD BE'!$AM$33+'TUSD BF'!$AM$33+'TUSD CVA'!$AM$33)*(1-CUSTOS!$M$38)</f>
        <v>300.89907966262189</v>
      </c>
      <c r="AA547" s="6">
        <f>('TE BE'!$AA$23+'TE BF'!$AA$23+'TE CVA'!$AA$23)*(1-CUSTOS!$M$38)</f>
        <v>198.0053374241497</v>
      </c>
      <c r="AB547" s="6">
        <f>$K$547*$V$547</f>
        <v>0</v>
      </c>
      <c r="AC547" s="6">
        <f>$M$547*$W$547</f>
        <v>3723.6373399999998</v>
      </c>
      <c r="AD547" s="6">
        <f>$O$547*$X$547</f>
        <v>3582.1746799999996</v>
      </c>
      <c r="AE547" s="6">
        <f>$K$547*$Y$547</f>
        <v>0</v>
      </c>
      <c r="AF547" s="6">
        <f ca="1">$M$547*$Z$547</f>
        <v>4652.0201312159998</v>
      </c>
      <c r="AG547" s="6">
        <f>$O$547*$AA$547</f>
        <v>3061.2417187123242</v>
      </c>
    </row>
    <row r="548" spans="1:33" ht="11.25" customHeight="1" x14ac:dyDescent="0.25">
      <c r="A548" s="4" t="s">
        <v>28</v>
      </c>
      <c r="B548" s="4" t="s">
        <v>43</v>
      </c>
      <c r="C548" s="4" t="s">
        <v>23</v>
      </c>
      <c r="D548" s="4" t="s">
        <v>44</v>
      </c>
      <c r="E548" s="4" t="s">
        <v>53</v>
      </c>
      <c r="F548" s="4" t="s">
        <v>55</v>
      </c>
      <c r="G548" s="4" t="s">
        <v>25</v>
      </c>
      <c r="H548" s="4" t="s">
        <v>25</v>
      </c>
      <c r="I548" s="5">
        <v>44440</v>
      </c>
      <c r="J548" s="6">
        <v>0</v>
      </c>
      <c r="K548" s="6">
        <v>0</v>
      </c>
      <c r="L548" s="6">
        <v>3.214</v>
      </c>
      <c r="M548" s="6">
        <v>3.214</v>
      </c>
      <c r="N548" s="6">
        <v>3.214</v>
      </c>
      <c r="O548" s="6">
        <v>3.214</v>
      </c>
      <c r="P548" s="6">
        <v>0</v>
      </c>
      <c r="Q548" s="4" t="s">
        <v>26</v>
      </c>
      <c r="R548" s="4">
        <v>0</v>
      </c>
      <c r="S548" s="6">
        <v>0</v>
      </c>
      <c r="T548" s="6">
        <v>29</v>
      </c>
      <c r="U548" s="6">
        <v>66</v>
      </c>
      <c r="V548" s="6">
        <f>IF(ISERROR(VLOOKUP($S$548,'TAR FIN'!$A$1:$O$85,15,0)),0,VLOOKUP($S$548,'TAR FIN'!$A$1:$O$85,15,0))</f>
        <v>0</v>
      </c>
      <c r="W548" s="6">
        <f>IF(ISERROR(VLOOKUP($T$548,'TAR FIN'!$A$1:$O$85,15,0)),0,VLOOKUP($T$548,'TAR FIN'!$A$1:$O$85,15,0))</f>
        <v>240.85</v>
      </c>
      <c r="X548" s="6">
        <f>IF(ISERROR(VLOOKUP($U$548,'TAR FIN'!$A$1:$O$85,15,0)),0,VLOOKUP($U$548,'TAR FIN'!$A$1:$O$85,15,0))</f>
        <v>231.7</v>
      </c>
      <c r="Y548" s="6"/>
      <c r="Z548" s="6">
        <f ca="1">('TUSD BE'!$AM$33+'TUSD BF'!$AM$33+'TUSD CVA'!$AM$33)*(1-CUSTOS!$M$38)</f>
        <v>300.89907966262189</v>
      </c>
      <c r="AA548" s="6">
        <f>('TE BE'!$AA$23+'TE BF'!$AA$23+'TE CVA'!$AA$23)*(1-CUSTOS!$M$38)</f>
        <v>198.0053374241497</v>
      </c>
      <c r="AB548" s="6">
        <f>$K$548*$V$548</f>
        <v>0</v>
      </c>
      <c r="AC548" s="6">
        <f>$M$548*$W$548</f>
        <v>774.09190000000001</v>
      </c>
      <c r="AD548" s="6">
        <f>$O$548*$X$548</f>
        <v>744.68379999999991</v>
      </c>
      <c r="AE548" s="6">
        <f>$K$548*$Y$548</f>
        <v>0</v>
      </c>
      <c r="AF548" s="6">
        <f ca="1">$M$548*$Z$548</f>
        <v>967.08964203566677</v>
      </c>
      <c r="AG548" s="6">
        <f>$O$548*$AA$548</f>
        <v>636.38915448121713</v>
      </c>
    </row>
    <row r="549" spans="1:33" ht="11.25" customHeight="1" x14ac:dyDescent="0.25">
      <c r="A549" s="4" t="s">
        <v>21</v>
      </c>
      <c r="B549" s="4" t="s">
        <v>43</v>
      </c>
      <c r="C549" s="4" t="s">
        <v>23</v>
      </c>
      <c r="D549" s="4" t="s">
        <v>44</v>
      </c>
      <c r="E549" s="4" t="s">
        <v>53</v>
      </c>
      <c r="F549" s="4" t="s">
        <v>55</v>
      </c>
      <c r="G549" s="4" t="s">
        <v>25</v>
      </c>
      <c r="H549" s="4" t="s">
        <v>25</v>
      </c>
      <c r="I549" s="5">
        <v>44470</v>
      </c>
      <c r="J549" s="6">
        <v>0</v>
      </c>
      <c r="K549" s="6">
        <v>0</v>
      </c>
      <c r="L549" s="6">
        <v>31.411999999999999</v>
      </c>
      <c r="M549" s="6">
        <v>12.5648</v>
      </c>
      <c r="N549" s="6">
        <v>31.411999999999999</v>
      </c>
      <c r="O549" s="6">
        <v>12.5648</v>
      </c>
      <c r="P549" s="6">
        <v>0</v>
      </c>
      <c r="Q549" s="4" t="s">
        <v>26</v>
      </c>
      <c r="R549" s="4">
        <v>0</v>
      </c>
      <c r="S549" s="6">
        <v>0</v>
      </c>
      <c r="T549" s="6">
        <v>29</v>
      </c>
      <c r="U549" s="6">
        <v>66</v>
      </c>
      <c r="V549" s="6">
        <f>IF(ISERROR(VLOOKUP($S$549,'TAR FIN'!$A$1:$O$85,15,0)),0,VLOOKUP($S$549,'TAR FIN'!$A$1:$O$85,15,0))</f>
        <v>0</v>
      </c>
      <c r="W549" s="6">
        <f>IF(ISERROR(VLOOKUP($T$549,'TAR FIN'!$A$1:$O$85,15,0)),0,VLOOKUP($T$549,'TAR FIN'!$A$1:$O$85,15,0))</f>
        <v>240.85</v>
      </c>
      <c r="X549" s="6">
        <f>IF(ISERROR(VLOOKUP($U$549,'TAR FIN'!$A$1:$O$85,15,0)),0,VLOOKUP($U$549,'TAR FIN'!$A$1:$O$85,15,0))</f>
        <v>231.7</v>
      </c>
      <c r="Y549" s="6"/>
      <c r="Z549" s="6">
        <f ca="1">('TUSD BE'!$AM$33+'TUSD BF'!$AM$33+'TUSD CVA'!$AM$33)*(1-CUSTOS!$M$38)</f>
        <v>300.89907966262189</v>
      </c>
      <c r="AA549" s="6">
        <f>('TE BE'!$AA$23+'TE BF'!$AA$23+'TE CVA'!$AA$23)*(1-CUSTOS!$M$38)</f>
        <v>198.0053374241497</v>
      </c>
      <c r="AB549" s="6">
        <f>$K$549*$V$549</f>
        <v>0</v>
      </c>
      <c r="AC549" s="6">
        <f>$M$549*$W$549</f>
        <v>3026.2320799999998</v>
      </c>
      <c r="AD549" s="6">
        <f>$O$549*$X$549</f>
        <v>2911.2641599999997</v>
      </c>
      <c r="AE549" s="6">
        <f>$K$549*$Y$549</f>
        <v>0</v>
      </c>
      <c r="AF549" s="6">
        <f ca="1">$M$549*$Z$549</f>
        <v>3780.7367561449114</v>
      </c>
      <c r="AG549" s="6">
        <f>$O$549*$AA$549</f>
        <v>2487.8974636669564</v>
      </c>
    </row>
    <row r="550" spans="1:33" ht="11.25" customHeight="1" x14ac:dyDescent="0.25">
      <c r="A550" s="4" t="s">
        <v>21</v>
      </c>
      <c r="B550" s="4" t="s">
        <v>43</v>
      </c>
      <c r="C550" s="4" t="s">
        <v>23</v>
      </c>
      <c r="D550" s="4" t="s">
        <v>44</v>
      </c>
      <c r="E550" s="4" t="s">
        <v>53</v>
      </c>
      <c r="F550" s="4" t="s">
        <v>55</v>
      </c>
      <c r="G550" s="4" t="s">
        <v>25</v>
      </c>
      <c r="H550" s="4" t="s">
        <v>25</v>
      </c>
      <c r="I550" s="5">
        <v>44501</v>
      </c>
      <c r="J550" s="6">
        <v>0</v>
      </c>
      <c r="K550" s="6">
        <v>0</v>
      </c>
      <c r="L550" s="6">
        <v>4.9569999999999999</v>
      </c>
      <c r="M550" s="6">
        <v>1.9827999999999999</v>
      </c>
      <c r="N550" s="6">
        <v>4.9569999999999999</v>
      </c>
      <c r="O550" s="6">
        <v>1.9827999999999999</v>
      </c>
      <c r="P550" s="6">
        <v>0</v>
      </c>
      <c r="Q550" s="4" t="s">
        <v>26</v>
      </c>
      <c r="R550" s="4">
        <v>0</v>
      </c>
      <c r="S550" s="6">
        <v>0</v>
      </c>
      <c r="T550" s="6">
        <v>29</v>
      </c>
      <c r="U550" s="6">
        <v>66</v>
      </c>
      <c r="V550" s="6">
        <f>IF(ISERROR(VLOOKUP($S$550,'TAR FIN'!$A$1:$O$85,15,0)),0,VLOOKUP($S$550,'TAR FIN'!$A$1:$O$85,15,0))</f>
        <v>0</v>
      </c>
      <c r="W550" s="6">
        <f>IF(ISERROR(VLOOKUP($T$550,'TAR FIN'!$A$1:$O$85,15,0)),0,VLOOKUP($T$550,'TAR FIN'!$A$1:$O$85,15,0))</f>
        <v>240.85</v>
      </c>
      <c r="X550" s="6">
        <f>IF(ISERROR(VLOOKUP($U$550,'TAR FIN'!$A$1:$O$85,15,0)),0,VLOOKUP($U$550,'TAR FIN'!$A$1:$O$85,15,0))</f>
        <v>231.7</v>
      </c>
      <c r="Y550" s="6"/>
      <c r="Z550" s="6">
        <f ca="1">('TUSD BE'!$AM$33+'TUSD BF'!$AM$33+'TUSD CVA'!$AM$33)*(1-CUSTOS!$M$38)</f>
        <v>300.89907966262189</v>
      </c>
      <c r="AA550" s="6">
        <f>('TE BE'!$AA$23+'TE BF'!$AA$23+'TE CVA'!$AA$23)*(1-CUSTOS!$M$38)</f>
        <v>198.0053374241497</v>
      </c>
      <c r="AB550" s="6">
        <f>$K$550*$V$550</f>
        <v>0</v>
      </c>
      <c r="AC550" s="6">
        <f>$M$550*$W$550</f>
        <v>477.55737999999997</v>
      </c>
      <c r="AD550" s="6">
        <f>$O$550*$X$550</f>
        <v>459.41475999999994</v>
      </c>
      <c r="AE550" s="6">
        <f>$K$550*$Y$550</f>
        <v>0</v>
      </c>
      <c r="AF550" s="6">
        <f ca="1">$M$550*$Z$550</f>
        <v>596.6226951550467</v>
      </c>
      <c r="AG550" s="6">
        <f>$O$550*$AA$550</f>
        <v>392.60498304460401</v>
      </c>
    </row>
    <row r="551" spans="1:33" ht="11.25" customHeight="1" x14ac:dyDescent="0.25">
      <c r="A551" s="4" t="s">
        <v>21</v>
      </c>
      <c r="B551" s="4" t="s">
        <v>43</v>
      </c>
      <c r="C551" s="4" t="s">
        <v>23</v>
      </c>
      <c r="D551" s="4" t="s">
        <v>44</v>
      </c>
      <c r="E551" s="4" t="s">
        <v>53</v>
      </c>
      <c r="F551" s="4" t="s">
        <v>55</v>
      </c>
      <c r="G551" s="4" t="s">
        <v>25</v>
      </c>
      <c r="H551" s="4" t="s">
        <v>25</v>
      </c>
      <c r="I551" s="5">
        <v>44531</v>
      </c>
      <c r="J551" s="6">
        <v>0</v>
      </c>
      <c r="K551" s="6">
        <v>0</v>
      </c>
      <c r="L551" s="6">
        <v>4.7690000000000001</v>
      </c>
      <c r="M551" s="6">
        <v>1.9076</v>
      </c>
      <c r="N551" s="6">
        <v>4.7690000000000001</v>
      </c>
      <c r="O551" s="6">
        <v>1.9076</v>
      </c>
      <c r="P551" s="6">
        <v>0</v>
      </c>
      <c r="Q551" s="4" t="s">
        <v>26</v>
      </c>
      <c r="R551" s="4">
        <v>0</v>
      </c>
      <c r="S551" s="6">
        <v>0</v>
      </c>
      <c r="T551" s="6">
        <v>29</v>
      </c>
      <c r="U551" s="6">
        <v>66</v>
      </c>
      <c r="V551" s="6">
        <f>IF(ISERROR(VLOOKUP($S$551,'TAR FIN'!$A$1:$O$85,15,0)),0,VLOOKUP($S$551,'TAR FIN'!$A$1:$O$85,15,0))</f>
        <v>0</v>
      </c>
      <c r="W551" s="6">
        <f>IF(ISERROR(VLOOKUP($T$551,'TAR FIN'!$A$1:$O$85,15,0)),0,VLOOKUP($T$551,'TAR FIN'!$A$1:$O$85,15,0))</f>
        <v>240.85</v>
      </c>
      <c r="X551" s="6">
        <f>IF(ISERROR(VLOOKUP($U$551,'TAR FIN'!$A$1:$O$85,15,0)),0,VLOOKUP($U$551,'TAR FIN'!$A$1:$O$85,15,0))</f>
        <v>231.7</v>
      </c>
      <c r="Y551" s="6"/>
      <c r="Z551" s="6">
        <f ca="1">('TUSD BE'!$AM$33+'TUSD BF'!$AM$33+'TUSD CVA'!$AM$33)*(1-CUSTOS!$M$38)</f>
        <v>300.89907966262189</v>
      </c>
      <c r="AA551" s="6">
        <f>('TE BE'!$AA$23+'TE BF'!$AA$23+'TE CVA'!$AA$23)*(1-CUSTOS!$M$38)</f>
        <v>198.0053374241497</v>
      </c>
      <c r="AB551" s="6">
        <f>$K$551*$V$551</f>
        <v>0</v>
      </c>
      <c r="AC551" s="6">
        <f>$M$551*$W$551</f>
        <v>459.44545999999997</v>
      </c>
      <c r="AD551" s="6">
        <f>$O$551*$X$551</f>
        <v>441.99091999999996</v>
      </c>
      <c r="AE551" s="6">
        <f>$K$551*$Y$551</f>
        <v>0</v>
      </c>
      <c r="AF551" s="6">
        <f ca="1">$M$551*$Z$551</f>
        <v>573.99508436441749</v>
      </c>
      <c r="AG551" s="6">
        <f>$O$551*$AA$551</f>
        <v>377.71498167030796</v>
      </c>
    </row>
    <row r="552" spans="1:33" ht="11.25" customHeight="1" x14ac:dyDescent="0.25">
      <c r="A552" s="4" t="s">
        <v>21</v>
      </c>
      <c r="B552" s="4" t="s">
        <v>43</v>
      </c>
      <c r="C552" s="4" t="s">
        <v>23</v>
      </c>
      <c r="D552" s="4" t="s">
        <v>44</v>
      </c>
      <c r="E552" s="4" t="s">
        <v>53</v>
      </c>
      <c r="F552" s="4" t="s">
        <v>55</v>
      </c>
      <c r="G552" s="4" t="s">
        <v>25</v>
      </c>
      <c r="H552" s="4" t="s">
        <v>25</v>
      </c>
      <c r="I552" s="5">
        <v>44562</v>
      </c>
      <c r="J552" s="6">
        <v>0</v>
      </c>
      <c r="K552" s="6">
        <v>0</v>
      </c>
      <c r="L552" s="6">
        <v>5.1879999999999997</v>
      </c>
      <c r="M552" s="6">
        <v>2.0752000000000002</v>
      </c>
      <c r="N552" s="6">
        <v>5.1879999999999997</v>
      </c>
      <c r="O552" s="6">
        <v>2.0752000000000002</v>
      </c>
      <c r="P552" s="6">
        <v>0</v>
      </c>
      <c r="Q552" s="4" t="s">
        <v>26</v>
      </c>
      <c r="R552" s="4">
        <v>0</v>
      </c>
      <c r="S552" s="6">
        <v>0</v>
      </c>
      <c r="T552" s="6">
        <v>29</v>
      </c>
      <c r="U552" s="6">
        <v>66</v>
      </c>
      <c r="V552" s="6">
        <f>IF(ISERROR(VLOOKUP($S$552,'TAR FIN'!$A$1:$O$85,15,0)),0,VLOOKUP($S$552,'TAR FIN'!$A$1:$O$85,15,0))</f>
        <v>0</v>
      </c>
      <c r="W552" s="6">
        <f>IF(ISERROR(VLOOKUP($T$552,'TAR FIN'!$A$1:$O$85,15,0)),0,VLOOKUP($T$552,'TAR FIN'!$A$1:$O$85,15,0))</f>
        <v>240.85</v>
      </c>
      <c r="X552" s="6">
        <f>IF(ISERROR(VLOOKUP($U$552,'TAR FIN'!$A$1:$O$85,15,0)),0,VLOOKUP($U$552,'TAR FIN'!$A$1:$O$85,15,0))</f>
        <v>231.7</v>
      </c>
      <c r="Y552" s="6"/>
      <c r="Z552" s="6">
        <f ca="1">('TUSD BE'!$AM$33+'TUSD BF'!$AM$33+'TUSD CVA'!$AM$33)*(1-CUSTOS!$M$38)</f>
        <v>300.89907966262189</v>
      </c>
      <c r="AA552" s="6">
        <f>('TE BE'!$AA$23+'TE BF'!$AA$23+'TE CVA'!$AA$23)*(1-CUSTOS!$M$38)</f>
        <v>198.0053374241497</v>
      </c>
      <c r="AB552" s="6">
        <f>$K$552*$V$552</f>
        <v>0</v>
      </c>
      <c r="AC552" s="6">
        <f>$M$552*$W$552</f>
        <v>499.81192000000004</v>
      </c>
      <c r="AD552" s="6">
        <f>$O$552*$X$552</f>
        <v>480.82384000000002</v>
      </c>
      <c r="AE552" s="6">
        <f>$K$552*$Y$552</f>
        <v>0</v>
      </c>
      <c r="AF552" s="6">
        <f ca="1">$M$552*$Z$552</f>
        <v>624.42577011587298</v>
      </c>
      <c r="AG552" s="6">
        <f>$O$552*$AA$552</f>
        <v>410.90067622259551</v>
      </c>
    </row>
    <row r="553" spans="1:33" ht="11.25" customHeight="1" x14ac:dyDescent="0.25">
      <c r="A553" s="4" t="s">
        <v>21</v>
      </c>
      <c r="B553" s="4" t="s">
        <v>43</v>
      </c>
      <c r="C553" s="4" t="s">
        <v>23</v>
      </c>
      <c r="D553" s="4" t="s">
        <v>44</v>
      </c>
      <c r="E553" s="4" t="s">
        <v>53</v>
      </c>
      <c r="F553" s="4" t="s">
        <v>55</v>
      </c>
      <c r="G553" s="4" t="s">
        <v>25</v>
      </c>
      <c r="H553" s="4" t="s">
        <v>25</v>
      </c>
      <c r="I553" s="5">
        <v>44593</v>
      </c>
      <c r="J553" s="6">
        <v>0</v>
      </c>
      <c r="K553" s="6">
        <v>0</v>
      </c>
      <c r="L553" s="6">
        <v>5.6379999999999999</v>
      </c>
      <c r="M553" s="6">
        <v>2.2551999999999999</v>
      </c>
      <c r="N553" s="6">
        <v>5.6379999999999999</v>
      </c>
      <c r="O553" s="6">
        <v>2.2551999999999999</v>
      </c>
      <c r="P553" s="6">
        <v>0</v>
      </c>
      <c r="Q553" s="4" t="s">
        <v>26</v>
      </c>
      <c r="R553" s="4">
        <v>0</v>
      </c>
      <c r="S553" s="6">
        <v>0</v>
      </c>
      <c r="T553" s="6">
        <v>29</v>
      </c>
      <c r="U553" s="6">
        <v>66</v>
      </c>
      <c r="V553" s="6">
        <f>IF(ISERROR(VLOOKUP($S$553,'TAR FIN'!$A$1:$O$85,15,0)),0,VLOOKUP($S$553,'TAR FIN'!$A$1:$O$85,15,0))</f>
        <v>0</v>
      </c>
      <c r="W553" s="6">
        <f>IF(ISERROR(VLOOKUP($T$553,'TAR FIN'!$A$1:$O$85,15,0)),0,VLOOKUP($T$553,'TAR FIN'!$A$1:$O$85,15,0))</f>
        <v>240.85</v>
      </c>
      <c r="X553" s="6">
        <f>IF(ISERROR(VLOOKUP($U$553,'TAR FIN'!$A$1:$O$85,15,0)),0,VLOOKUP($U$553,'TAR FIN'!$A$1:$O$85,15,0))</f>
        <v>231.7</v>
      </c>
      <c r="Y553" s="6"/>
      <c r="Z553" s="6">
        <f ca="1">('TUSD BE'!$AM$33+'TUSD BF'!$AM$33+'TUSD CVA'!$AM$33)*(1-CUSTOS!$M$38)</f>
        <v>300.89907966262189</v>
      </c>
      <c r="AA553" s="6">
        <f>('TE BE'!$AA$23+'TE BF'!$AA$23+'TE CVA'!$AA$23)*(1-CUSTOS!$M$38)</f>
        <v>198.0053374241497</v>
      </c>
      <c r="AB553" s="6">
        <f>$K$553*$V$553</f>
        <v>0</v>
      </c>
      <c r="AC553" s="6">
        <f>$M$553*$W$553</f>
        <v>543.16491999999994</v>
      </c>
      <c r="AD553" s="6">
        <f>$O$553*$X$553</f>
        <v>522.52983999999992</v>
      </c>
      <c r="AE553" s="6">
        <f>$K$553*$Y$553</f>
        <v>0</v>
      </c>
      <c r="AF553" s="6">
        <f ca="1">$M$553*$Z$553</f>
        <v>678.58760445514486</v>
      </c>
      <c r="AG553" s="6">
        <f>$O$553*$AA$553</f>
        <v>446.54163695894238</v>
      </c>
    </row>
    <row r="554" spans="1:33" ht="11.25" customHeight="1" x14ac:dyDescent="0.25">
      <c r="A554" s="4" t="s">
        <v>21</v>
      </c>
      <c r="B554" s="4" t="s">
        <v>43</v>
      </c>
      <c r="C554" s="4" t="s">
        <v>23</v>
      </c>
      <c r="D554" s="4" t="s">
        <v>44</v>
      </c>
      <c r="E554" s="4" t="s">
        <v>53</v>
      </c>
      <c r="F554" s="4" t="s">
        <v>55</v>
      </c>
      <c r="G554" s="4" t="s">
        <v>25</v>
      </c>
      <c r="H554" s="4" t="s">
        <v>25</v>
      </c>
      <c r="I554" s="5">
        <v>44621</v>
      </c>
      <c r="J554" s="6">
        <v>0</v>
      </c>
      <c r="K554" s="6">
        <v>0</v>
      </c>
      <c r="L554" s="6">
        <v>9.3390000000000004</v>
      </c>
      <c r="M554" s="6">
        <v>3.7355999999999998</v>
      </c>
      <c r="N554" s="6">
        <v>9.3390000000000004</v>
      </c>
      <c r="O554" s="6">
        <v>3.7355999999999998</v>
      </c>
      <c r="P554" s="6">
        <v>0</v>
      </c>
      <c r="Q554" s="4" t="s">
        <v>26</v>
      </c>
      <c r="R554" s="4">
        <v>0</v>
      </c>
      <c r="S554" s="6">
        <v>0</v>
      </c>
      <c r="T554" s="6">
        <v>29</v>
      </c>
      <c r="U554" s="6">
        <v>66</v>
      </c>
      <c r="V554" s="6">
        <f>IF(ISERROR(VLOOKUP($S$554,'TAR FIN'!$A$1:$O$85,15,0)),0,VLOOKUP($S$554,'TAR FIN'!$A$1:$O$85,15,0))</f>
        <v>0</v>
      </c>
      <c r="W554" s="6">
        <f>IF(ISERROR(VLOOKUP($T$554,'TAR FIN'!$A$1:$O$85,15,0)),0,VLOOKUP($T$554,'TAR FIN'!$A$1:$O$85,15,0))</f>
        <v>240.85</v>
      </c>
      <c r="X554" s="6">
        <f>IF(ISERROR(VLOOKUP($U$554,'TAR FIN'!$A$1:$O$85,15,0)),0,VLOOKUP($U$554,'TAR FIN'!$A$1:$O$85,15,0))</f>
        <v>231.7</v>
      </c>
      <c r="Y554" s="6"/>
      <c r="Z554" s="6">
        <f ca="1">('TUSD BE'!$AM$33+'TUSD BF'!$AM$33+'TUSD CVA'!$AM$33)*(1-CUSTOS!$M$38)</f>
        <v>300.89907966262189</v>
      </c>
      <c r="AA554" s="6">
        <f>('TE BE'!$AA$23+'TE BF'!$AA$23+'TE CVA'!$AA$23)*(1-CUSTOS!$M$38)</f>
        <v>198.0053374241497</v>
      </c>
      <c r="AB554" s="6">
        <f>$K$554*$V$554</f>
        <v>0</v>
      </c>
      <c r="AC554" s="6">
        <f>$M$554*$W$554</f>
        <v>899.71925999999996</v>
      </c>
      <c r="AD554" s="6">
        <f>$O$554*$X$554</f>
        <v>865.53851999999995</v>
      </c>
      <c r="AE554" s="6">
        <f>$K$554*$Y$554</f>
        <v>0</v>
      </c>
      <c r="AF554" s="6">
        <f ca="1">$M$554*$Z$554</f>
        <v>1124.0386019876903</v>
      </c>
      <c r="AG554" s="6">
        <f>$O$554*$AA$554</f>
        <v>739.66873848165358</v>
      </c>
    </row>
    <row r="555" spans="1:33" ht="11.25" customHeight="1" x14ac:dyDescent="0.25">
      <c r="A555" s="4" t="s">
        <v>21</v>
      </c>
      <c r="B555" s="4" t="s">
        <v>43</v>
      </c>
      <c r="C555" s="4" t="s">
        <v>23</v>
      </c>
      <c r="D555" s="4" t="s">
        <v>44</v>
      </c>
      <c r="E555" s="4" t="s">
        <v>53</v>
      </c>
      <c r="F555" s="4" t="s">
        <v>55</v>
      </c>
      <c r="G555" s="4" t="s">
        <v>25</v>
      </c>
      <c r="H555" s="4" t="s">
        <v>25</v>
      </c>
      <c r="I555" s="5">
        <v>44652</v>
      </c>
      <c r="J555" s="6">
        <v>0</v>
      </c>
      <c r="K555" s="6">
        <v>0</v>
      </c>
      <c r="L555" s="6">
        <v>9.2910000000000004</v>
      </c>
      <c r="M555" s="6">
        <v>3.7164000000000001</v>
      </c>
      <c r="N555" s="6">
        <v>9.2910000000000004</v>
      </c>
      <c r="O555" s="6">
        <v>3.7164000000000001</v>
      </c>
      <c r="P555" s="6">
        <v>0</v>
      </c>
      <c r="Q555" s="4" t="s">
        <v>26</v>
      </c>
      <c r="R555" s="4">
        <v>0</v>
      </c>
      <c r="S555" s="6">
        <v>0</v>
      </c>
      <c r="T555" s="6">
        <v>29</v>
      </c>
      <c r="U555" s="6">
        <v>66</v>
      </c>
      <c r="V555" s="6">
        <f>IF(ISERROR(VLOOKUP($S$555,'TAR FIN'!$A$1:$O$85,15,0)),0,VLOOKUP($S$555,'TAR FIN'!$A$1:$O$85,15,0))</f>
        <v>0</v>
      </c>
      <c r="W555" s="6">
        <f>IF(ISERROR(VLOOKUP($T$555,'TAR FIN'!$A$1:$O$85,15,0)),0,VLOOKUP($T$555,'TAR FIN'!$A$1:$O$85,15,0))</f>
        <v>240.85</v>
      </c>
      <c r="X555" s="6">
        <f>IF(ISERROR(VLOOKUP($U$555,'TAR FIN'!$A$1:$O$85,15,0)),0,VLOOKUP($U$555,'TAR FIN'!$A$1:$O$85,15,0))</f>
        <v>231.7</v>
      </c>
      <c r="Y555" s="6"/>
      <c r="Z555" s="6">
        <f ca="1">('TUSD BE'!$AM$33+'TUSD BF'!$AM$33+'TUSD CVA'!$AM$33)*(1-CUSTOS!$M$38)</f>
        <v>300.89907966262189</v>
      </c>
      <c r="AA555" s="6">
        <f>('TE BE'!$AA$23+'TE BF'!$AA$23+'TE CVA'!$AA$23)*(1-CUSTOS!$M$38)</f>
        <v>198.0053374241497</v>
      </c>
      <c r="AB555" s="6">
        <f>$K$555*$V$555</f>
        <v>0</v>
      </c>
      <c r="AC555" s="6">
        <f>$M$555*$W$555</f>
        <v>895.09494000000007</v>
      </c>
      <c r="AD555" s="6">
        <f>$O$555*$X$555</f>
        <v>861.08987999999999</v>
      </c>
      <c r="AE555" s="6">
        <f>$K$555*$Y$555</f>
        <v>0</v>
      </c>
      <c r="AF555" s="6">
        <f ca="1">$M$555*$Z$555</f>
        <v>1118.261339658168</v>
      </c>
      <c r="AG555" s="6">
        <f>$O$555*$AA$555</f>
        <v>735.86703600311</v>
      </c>
    </row>
    <row r="556" spans="1:33" ht="11.25" customHeight="1" x14ac:dyDescent="0.25">
      <c r="A556" s="4" t="s">
        <v>21</v>
      </c>
      <c r="B556" s="4" t="s">
        <v>43</v>
      </c>
      <c r="C556" s="4" t="s">
        <v>23</v>
      </c>
      <c r="D556" s="4" t="s">
        <v>44</v>
      </c>
      <c r="E556" s="4" t="s">
        <v>56</v>
      </c>
      <c r="F556" s="4" t="s">
        <v>54</v>
      </c>
      <c r="G556" s="4" t="s">
        <v>25</v>
      </c>
      <c r="H556" s="4" t="s">
        <v>25</v>
      </c>
      <c r="I556" s="5">
        <v>44317</v>
      </c>
      <c r="J556" s="6">
        <v>0</v>
      </c>
      <c r="K556" s="6">
        <v>0</v>
      </c>
      <c r="L556" s="6">
        <v>0.63100000000000001</v>
      </c>
      <c r="M556" s="6">
        <v>0.63100000000000001</v>
      </c>
      <c r="N556" s="6">
        <v>0.63100000000000001</v>
      </c>
      <c r="O556" s="6">
        <v>0.63100000000000001</v>
      </c>
      <c r="P556" s="6">
        <v>0</v>
      </c>
      <c r="Q556" s="4" t="s">
        <v>26</v>
      </c>
      <c r="R556" s="4">
        <v>0</v>
      </c>
      <c r="S556" s="6">
        <v>0</v>
      </c>
      <c r="T556" s="6">
        <v>29</v>
      </c>
      <c r="U556" s="6">
        <v>66</v>
      </c>
      <c r="V556" s="6">
        <f>IF(ISERROR(VLOOKUP($S$556,'TAR FIN'!$A$1:$O$85,15,0)),0,VLOOKUP($S$556,'TAR FIN'!$A$1:$O$85,15,0))</f>
        <v>0</v>
      </c>
      <c r="W556" s="6">
        <f>IF(ISERROR(VLOOKUP($T$556,'TAR FIN'!$A$1:$O$85,15,0)),0,VLOOKUP($T$556,'TAR FIN'!$A$1:$O$85,15,0))</f>
        <v>240.85</v>
      </c>
      <c r="X556" s="6">
        <f>IF(ISERROR(VLOOKUP($U$556,'TAR FIN'!$A$1:$O$85,15,0)),0,VLOOKUP($U$556,'TAR FIN'!$A$1:$O$85,15,0))</f>
        <v>231.7</v>
      </c>
      <c r="Y556" s="6"/>
      <c r="Z556" s="6">
        <f ca="1">('TUSD BE'!$AM$33+'TUSD BF'!$AM$33+'TUSD CVA'!$AM$33)*(1-CUSTOS!$M$38)</f>
        <v>300.89907966262189</v>
      </c>
      <c r="AA556" s="6">
        <f>('TE BE'!$AA$23+'TE BF'!$AA$23+'TE CVA'!$AA$23)*(1-CUSTOS!$M$38)</f>
        <v>198.0053374241497</v>
      </c>
      <c r="AB556" s="6">
        <f>$K$556*$V$556</f>
        <v>0</v>
      </c>
      <c r="AC556" s="6">
        <f>$M$556*$W$556</f>
        <v>151.97635</v>
      </c>
      <c r="AD556" s="6">
        <f>$O$556*$X$556</f>
        <v>146.20269999999999</v>
      </c>
      <c r="AE556" s="6">
        <f>$K$556*$Y$556</f>
        <v>0</v>
      </c>
      <c r="AF556" s="6">
        <f ca="1">$M$556*$Z$556</f>
        <v>189.86731926711442</v>
      </c>
      <c r="AG556" s="6">
        <f>$O$556*$AA$556</f>
        <v>124.94136791463846</v>
      </c>
    </row>
    <row r="557" spans="1:33" ht="11.25" customHeight="1" x14ac:dyDescent="0.25">
      <c r="A557" s="4" t="s">
        <v>21</v>
      </c>
      <c r="B557" s="4" t="s">
        <v>43</v>
      </c>
      <c r="C557" s="4" t="s">
        <v>23</v>
      </c>
      <c r="D557" s="4" t="s">
        <v>44</v>
      </c>
      <c r="E557" s="4" t="s">
        <v>56</v>
      </c>
      <c r="F557" s="4" t="s">
        <v>54</v>
      </c>
      <c r="G557" s="4" t="s">
        <v>25</v>
      </c>
      <c r="H557" s="4" t="s">
        <v>25</v>
      </c>
      <c r="I557" s="5">
        <v>44348</v>
      </c>
      <c r="J557" s="6">
        <v>0</v>
      </c>
      <c r="K557" s="6">
        <v>0</v>
      </c>
      <c r="L557" s="6">
        <v>3.714</v>
      </c>
      <c r="M557" s="6">
        <v>3.714</v>
      </c>
      <c r="N557" s="6">
        <v>3.714</v>
      </c>
      <c r="O557" s="6">
        <v>3.714</v>
      </c>
      <c r="P557" s="6">
        <v>0</v>
      </c>
      <c r="Q557" s="4" t="s">
        <v>26</v>
      </c>
      <c r="R557" s="4">
        <v>0</v>
      </c>
      <c r="S557" s="6">
        <v>0</v>
      </c>
      <c r="T557" s="6">
        <v>29</v>
      </c>
      <c r="U557" s="6">
        <v>66</v>
      </c>
      <c r="V557" s="6">
        <f>IF(ISERROR(VLOOKUP($S$557,'TAR FIN'!$A$1:$O$85,15,0)),0,VLOOKUP($S$557,'TAR FIN'!$A$1:$O$85,15,0))</f>
        <v>0</v>
      </c>
      <c r="W557" s="6">
        <f>IF(ISERROR(VLOOKUP($T$557,'TAR FIN'!$A$1:$O$85,15,0)),0,VLOOKUP($T$557,'TAR FIN'!$A$1:$O$85,15,0))</f>
        <v>240.85</v>
      </c>
      <c r="X557" s="6">
        <f>IF(ISERROR(VLOOKUP($U$557,'TAR FIN'!$A$1:$O$85,15,0)),0,VLOOKUP($U$557,'TAR FIN'!$A$1:$O$85,15,0))</f>
        <v>231.7</v>
      </c>
      <c r="Y557" s="6"/>
      <c r="Z557" s="6">
        <f ca="1">('TUSD BE'!$AM$33+'TUSD BF'!$AM$33+'TUSD CVA'!$AM$33)*(1-CUSTOS!$M$38)</f>
        <v>300.89907966262189</v>
      </c>
      <c r="AA557" s="6">
        <f>('TE BE'!$AA$23+'TE BF'!$AA$23+'TE CVA'!$AA$23)*(1-CUSTOS!$M$38)</f>
        <v>198.0053374241497</v>
      </c>
      <c r="AB557" s="6">
        <f>$K$557*$V$557</f>
        <v>0</v>
      </c>
      <c r="AC557" s="6">
        <f>$M$557*$W$557</f>
        <v>894.51689999999996</v>
      </c>
      <c r="AD557" s="6">
        <f>$O$557*$X$557</f>
        <v>860.53379999999993</v>
      </c>
      <c r="AE557" s="6">
        <f>$K$557*$Y$557</f>
        <v>0</v>
      </c>
      <c r="AF557" s="6">
        <f ca="1">$M$557*$Z$557</f>
        <v>1117.5391818669777</v>
      </c>
      <c r="AG557" s="6">
        <f>$O$557*$AA$557</f>
        <v>735.391823193292</v>
      </c>
    </row>
    <row r="558" spans="1:33" ht="11.25" customHeight="1" x14ac:dyDescent="0.25">
      <c r="A558" s="4" t="s">
        <v>21</v>
      </c>
      <c r="B558" s="4" t="s">
        <v>43</v>
      </c>
      <c r="C558" s="4" t="s">
        <v>23</v>
      </c>
      <c r="D558" s="4" t="s">
        <v>44</v>
      </c>
      <c r="E558" s="4" t="s">
        <v>56</v>
      </c>
      <c r="F558" s="4" t="s">
        <v>54</v>
      </c>
      <c r="G558" s="4" t="s">
        <v>25</v>
      </c>
      <c r="H558" s="4" t="s">
        <v>25</v>
      </c>
      <c r="I558" s="5">
        <v>44378</v>
      </c>
      <c r="J558" s="6">
        <v>0</v>
      </c>
      <c r="K558" s="6">
        <v>0</v>
      </c>
      <c r="L558" s="6">
        <v>3.6040000000000001</v>
      </c>
      <c r="M558" s="6">
        <v>3.6040000000000001</v>
      </c>
      <c r="N558" s="6">
        <v>3.6040000000000001</v>
      </c>
      <c r="O558" s="6">
        <v>3.6040000000000001</v>
      </c>
      <c r="P558" s="6">
        <v>0</v>
      </c>
      <c r="Q558" s="4" t="s">
        <v>26</v>
      </c>
      <c r="R558" s="4">
        <v>0</v>
      </c>
      <c r="S558" s="6">
        <v>0</v>
      </c>
      <c r="T558" s="6">
        <v>29</v>
      </c>
      <c r="U558" s="6">
        <v>66</v>
      </c>
      <c r="V558" s="6">
        <f>IF(ISERROR(VLOOKUP($S$558,'TAR FIN'!$A$1:$O$85,15,0)),0,VLOOKUP($S$558,'TAR FIN'!$A$1:$O$85,15,0))</f>
        <v>0</v>
      </c>
      <c r="W558" s="6">
        <f>IF(ISERROR(VLOOKUP($T$558,'TAR FIN'!$A$1:$O$85,15,0)),0,VLOOKUP($T$558,'TAR FIN'!$A$1:$O$85,15,0))</f>
        <v>240.85</v>
      </c>
      <c r="X558" s="6">
        <f>IF(ISERROR(VLOOKUP($U$558,'TAR FIN'!$A$1:$O$85,15,0)),0,VLOOKUP($U$558,'TAR FIN'!$A$1:$O$85,15,0))</f>
        <v>231.7</v>
      </c>
      <c r="Y558" s="6"/>
      <c r="Z558" s="6">
        <f ca="1">('TUSD BE'!$AM$33+'TUSD BF'!$AM$33+'TUSD CVA'!$AM$33)*(1-CUSTOS!$M$38)</f>
        <v>300.89907966262189</v>
      </c>
      <c r="AA558" s="6">
        <f>('TE BE'!$AA$23+'TE BF'!$AA$23+'TE CVA'!$AA$23)*(1-CUSTOS!$M$38)</f>
        <v>198.0053374241497</v>
      </c>
      <c r="AB558" s="6">
        <f>$K$558*$V$558</f>
        <v>0</v>
      </c>
      <c r="AC558" s="6">
        <f>$M$558*$W$558</f>
        <v>868.02340000000004</v>
      </c>
      <c r="AD558" s="6">
        <f>$O$558*$X$558</f>
        <v>835.04679999999996</v>
      </c>
      <c r="AE558" s="6">
        <f>$K$558*$Y$558</f>
        <v>0</v>
      </c>
      <c r="AF558" s="6">
        <f ca="1">$M$558*$Z$558</f>
        <v>1084.4402831040893</v>
      </c>
      <c r="AG558" s="6">
        <f>$O$558*$AA$558</f>
        <v>713.61123607663558</v>
      </c>
    </row>
    <row r="559" spans="1:33" ht="11.25" customHeight="1" x14ac:dyDescent="0.25">
      <c r="A559" s="4" t="s">
        <v>21</v>
      </c>
      <c r="B559" s="4" t="s">
        <v>43</v>
      </c>
      <c r="C559" s="4" t="s">
        <v>23</v>
      </c>
      <c r="D559" s="4" t="s">
        <v>44</v>
      </c>
      <c r="E559" s="4" t="s">
        <v>56</v>
      </c>
      <c r="F559" s="4" t="s">
        <v>54</v>
      </c>
      <c r="G559" s="4" t="s">
        <v>25</v>
      </c>
      <c r="H559" s="4" t="s">
        <v>25</v>
      </c>
      <c r="I559" s="5">
        <v>44409</v>
      </c>
      <c r="J559" s="6">
        <v>0</v>
      </c>
      <c r="K559" s="6">
        <v>0</v>
      </c>
      <c r="L559" s="6">
        <v>4.0940000000000003</v>
      </c>
      <c r="M559" s="6">
        <v>4.0940000000000003</v>
      </c>
      <c r="N559" s="6">
        <v>4.0940000000000003</v>
      </c>
      <c r="O559" s="6">
        <v>4.0940000000000003</v>
      </c>
      <c r="P559" s="6">
        <v>0</v>
      </c>
      <c r="Q559" s="4" t="s">
        <v>26</v>
      </c>
      <c r="R559" s="4">
        <v>0</v>
      </c>
      <c r="S559" s="6">
        <v>0</v>
      </c>
      <c r="T559" s="6">
        <v>29</v>
      </c>
      <c r="U559" s="6">
        <v>66</v>
      </c>
      <c r="V559" s="6">
        <f>IF(ISERROR(VLOOKUP($S$559,'TAR FIN'!$A$1:$O$85,15,0)),0,VLOOKUP($S$559,'TAR FIN'!$A$1:$O$85,15,0))</f>
        <v>0</v>
      </c>
      <c r="W559" s="6">
        <f>IF(ISERROR(VLOOKUP($T$559,'TAR FIN'!$A$1:$O$85,15,0)),0,VLOOKUP($T$559,'TAR FIN'!$A$1:$O$85,15,0))</f>
        <v>240.85</v>
      </c>
      <c r="X559" s="6">
        <f>IF(ISERROR(VLOOKUP($U$559,'TAR FIN'!$A$1:$O$85,15,0)),0,VLOOKUP($U$559,'TAR FIN'!$A$1:$O$85,15,0))</f>
        <v>231.7</v>
      </c>
      <c r="Y559" s="6"/>
      <c r="Z559" s="6">
        <f ca="1">('TUSD BE'!$AM$33+'TUSD BF'!$AM$33+'TUSD CVA'!$AM$33)*(1-CUSTOS!$M$38)</f>
        <v>300.89907966262189</v>
      </c>
      <c r="AA559" s="6">
        <f>('TE BE'!$AA$23+'TE BF'!$AA$23+'TE CVA'!$AA$23)*(1-CUSTOS!$M$38)</f>
        <v>198.0053374241497</v>
      </c>
      <c r="AB559" s="6">
        <f>$K$559*$V$559</f>
        <v>0</v>
      </c>
      <c r="AC559" s="6">
        <f>$M$559*$W$559</f>
        <v>986.0399000000001</v>
      </c>
      <c r="AD559" s="6">
        <f>$O$559*$X$559</f>
        <v>948.57979999999998</v>
      </c>
      <c r="AE559" s="6">
        <f>$K$559*$Y$559</f>
        <v>0</v>
      </c>
      <c r="AF559" s="6">
        <f ca="1">$M$559*$Z$559</f>
        <v>1231.8808321387742</v>
      </c>
      <c r="AG559" s="6">
        <f>$O$559*$AA$559</f>
        <v>810.63385141446895</v>
      </c>
    </row>
    <row r="560" spans="1:33" ht="11.25" customHeight="1" x14ac:dyDescent="0.25">
      <c r="A560" s="4" t="s">
        <v>21</v>
      </c>
      <c r="B560" s="4" t="s">
        <v>43</v>
      </c>
      <c r="C560" s="4" t="s">
        <v>23</v>
      </c>
      <c r="D560" s="4" t="s">
        <v>44</v>
      </c>
      <c r="E560" s="4" t="s">
        <v>56</v>
      </c>
      <c r="F560" s="4" t="s">
        <v>54</v>
      </c>
      <c r="G560" s="4" t="s">
        <v>25</v>
      </c>
      <c r="H560" s="4" t="s">
        <v>25</v>
      </c>
      <c r="I560" s="5">
        <v>44440</v>
      </c>
      <c r="J560" s="6">
        <v>0</v>
      </c>
      <c r="K560" s="6">
        <v>0</v>
      </c>
      <c r="L560" s="6">
        <v>3.9260000000000002</v>
      </c>
      <c r="M560" s="6">
        <v>3.9260000000000002</v>
      </c>
      <c r="N560" s="6">
        <v>3.9260000000000002</v>
      </c>
      <c r="O560" s="6">
        <v>3.9260000000000002</v>
      </c>
      <c r="P560" s="6">
        <v>0</v>
      </c>
      <c r="Q560" s="4" t="s">
        <v>26</v>
      </c>
      <c r="R560" s="4">
        <v>0</v>
      </c>
      <c r="S560" s="6">
        <v>0</v>
      </c>
      <c r="T560" s="6">
        <v>29</v>
      </c>
      <c r="U560" s="6">
        <v>66</v>
      </c>
      <c r="V560" s="6">
        <f>IF(ISERROR(VLOOKUP($S$560,'TAR FIN'!$A$1:$O$85,15,0)),0,VLOOKUP($S$560,'TAR FIN'!$A$1:$O$85,15,0))</f>
        <v>0</v>
      </c>
      <c r="W560" s="6">
        <f>IF(ISERROR(VLOOKUP($T$560,'TAR FIN'!$A$1:$O$85,15,0)),0,VLOOKUP($T$560,'TAR FIN'!$A$1:$O$85,15,0))</f>
        <v>240.85</v>
      </c>
      <c r="X560" s="6">
        <f>IF(ISERROR(VLOOKUP($U$560,'TAR FIN'!$A$1:$O$85,15,0)),0,VLOOKUP($U$560,'TAR FIN'!$A$1:$O$85,15,0))</f>
        <v>231.7</v>
      </c>
      <c r="Y560" s="6"/>
      <c r="Z560" s="6">
        <f ca="1">('TUSD BE'!$AM$33+'TUSD BF'!$AM$33+'TUSD CVA'!$AM$33)*(1-CUSTOS!$M$38)</f>
        <v>300.89907966262189</v>
      </c>
      <c r="AA560" s="6">
        <f>('TE BE'!$AA$23+'TE BF'!$AA$23+'TE CVA'!$AA$23)*(1-CUSTOS!$M$38)</f>
        <v>198.0053374241497</v>
      </c>
      <c r="AB560" s="6">
        <f>$K$560*$V$560</f>
        <v>0</v>
      </c>
      <c r="AC560" s="6">
        <f>$M$560*$W$560</f>
        <v>945.57709999999997</v>
      </c>
      <c r="AD560" s="6">
        <f>$O$560*$X$560</f>
        <v>909.65419999999995</v>
      </c>
      <c r="AE560" s="6">
        <f>$K$560*$Y$560</f>
        <v>0</v>
      </c>
      <c r="AF560" s="6">
        <f ca="1">$M$560*$Z$560</f>
        <v>1181.3297867554536</v>
      </c>
      <c r="AG560" s="6">
        <f>$O$560*$AA$560</f>
        <v>777.36895472721176</v>
      </c>
    </row>
    <row r="561" spans="1:33" ht="11.25" customHeight="1" x14ac:dyDescent="0.25">
      <c r="A561" s="4" t="s">
        <v>21</v>
      </c>
      <c r="B561" s="4" t="s">
        <v>43</v>
      </c>
      <c r="C561" s="4" t="s">
        <v>23</v>
      </c>
      <c r="D561" s="4" t="s">
        <v>44</v>
      </c>
      <c r="E561" s="4" t="s">
        <v>56</v>
      </c>
      <c r="F561" s="4" t="s">
        <v>54</v>
      </c>
      <c r="G561" s="4" t="s">
        <v>25</v>
      </c>
      <c r="H561" s="4" t="s">
        <v>25</v>
      </c>
      <c r="I561" s="5">
        <v>44470</v>
      </c>
      <c r="J561" s="6">
        <v>0</v>
      </c>
      <c r="K561" s="6">
        <v>0</v>
      </c>
      <c r="L561" s="6">
        <v>1.698</v>
      </c>
      <c r="M561" s="6">
        <v>1.698</v>
      </c>
      <c r="N561" s="6">
        <v>1.698</v>
      </c>
      <c r="O561" s="6">
        <v>1.698</v>
      </c>
      <c r="P561" s="6">
        <v>0</v>
      </c>
      <c r="Q561" s="4" t="s">
        <v>26</v>
      </c>
      <c r="R561" s="4">
        <v>0</v>
      </c>
      <c r="S561" s="6">
        <v>0</v>
      </c>
      <c r="T561" s="6">
        <v>29</v>
      </c>
      <c r="U561" s="6">
        <v>66</v>
      </c>
      <c r="V561" s="6">
        <f>IF(ISERROR(VLOOKUP($S$561,'TAR FIN'!$A$1:$O$85,15,0)),0,VLOOKUP($S$561,'TAR FIN'!$A$1:$O$85,15,0))</f>
        <v>0</v>
      </c>
      <c r="W561" s="6">
        <f>IF(ISERROR(VLOOKUP($T$561,'TAR FIN'!$A$1:$O$85,15,0)),0,VLOOKUP($T$561,'TAR FIN'!$A$1:$O$85,15,0))</f>
        <v>240.85</v>
      </c>
      <c r="X561" s="6">
        <f>IF(ISERROR(VLOOKUP($U$561,'TAR FIN'!$A$1:$O$85,15,0)),0,VLOOKUP($U$561,'TAR FIN'!$A$1:$O$85,15,0))</f>
        <v>231.7</v>
      </c>
      <c r="Y561" s="6"/>
      <c r="Z561" s="6">
        <f ca="1">('TUSD BE'!$AM$33+'TUSD BF'!$AM$33+'TUSD CVA'!$AM$33)*(1-CUSTOS!$M$38)</f>
        <v>300.89907966262189</v>
      </c>
      <c r="AA561" s="6">
        <f>('TE BE'!$AA$23+'TE BF'!$AA$23+'TE CVA'!$AA$23)*(1-CUSTOS!$M$38)</f>
        <v>198.0053374241497</v>
      </c>
      <c r="AB561" s="6">
        <f>$K$561*$V$561</f>
        <v>0</v>
      </c>
      <c r="AC561" s="6">
        <f>$M$561*$W$561</f>
        <v>408.9633</v>
      </c>
      <c r="AD561" s="6">
        <f>$O$561*$X$561</f>
        <v>393.42659999999995</v>
      </c>
      <c r="AE561" s="6">
        <f>$K$561*$Y$561</f>
        <v>0</v>
      </c>
      <c r="AF561" s="6">
        <f ca="1">$M$561*$Z$561</f>
        <v>510.92663726713192</v>
      </c>
      <c r="AG561" s="6">
        <f>$O$561*$AA$561</f>
        <v>336.21306294620621</v>
      </c>
    </row>
    <row r="562" spans="1:33" ht="11.25" customHeight="1" x14ac:dyDescent="0.25">
      <c r="A562" s="4" t="s">
        <v>21</v>
      </c>
      <c r="B562" s="4" t="s">
        <v>43</v>
      </c>
      <c r="C562" s="4" t="s">
        <v>23</v>
      </c>
      <c r="D562" s="4" t="s">
        <v>44</v>
      </c>
      <c r="E562" s="4" t="s">
        <v>56</v>
      </c>
      <c r="F562" s="4" t="s">
        <v>54</v>
      </c>
      <c r="G562" s="4" t="s">
        <v>25</v>
      </c>
      <c r="H562" s="4" t="s">
        <v>25</v>
      </c>
      <c r="I562" s="5">
        <v>44501</v>
      </c>
      <c r="J562" s="6">
        <v>0</v>
      </c>
      <c r="K562" s="6">
        <v>0</v>
      </c>
      <c r="L562" s="6">
        <v>3.7109999999999999</v>
      </c>
      <c r="M562" s="6">
        <v>3.7109999999999999</v>
      </c>
      <c r="N562" s="6">
        <v>3.7109999999999999</v>
      </c>
      <c r="O562" s="6">
        <v>3.7109999999999999</v>
      </c>
      <c r="P562" s="6">
        <v>0</v>
      </c>
      <c r="Q562" s="4" t="s">
        <v>26</v>
      </c>
      <c r="R562" s="4">
        <v>0</v>
      </c>
      <c r="S562" s="6">
        <v>0</v>
      </c>
      <c r="T562" s="6">
        <v>29</v>
      </c>
      <c r="U562" s="6">
        <v>66</v>
      </c>
      <c r="V562" s="6">
        <f>IF(ISERROR(VLOOKUP($S$562,'TAR FIN'!$A$1:$O$85,15,0)),0,VLOOKUP($S$562,'TAR FIN'!$A$1:$O$85,15,0))</f>
        <v>0</v>
      </c>
      <c r="W562" s="6">
        <f>IF(ISERROR(VLOOKUP($T$562,'TAR FIN'!$A$1:$O$85,15,0)),0,VLOOKUP($T$562,'TAR FIN'!$A$1:$O$85,15,0))</f>
        <v>240.85</v>
      </c>
      <c r="X562" s="6">
        <f>IF(ISERROR(VLOOKUP($U$562,'TAR FIN'!$A$1:$O$85,15,0)),0,VLOOKUP($U$562,'TAR FIN'!$A$1:$O$85,15,0))</f>
        <v>231.7</v>
      </c>
      <c r="Y562" s="6"/>
      <c r="Z562" s="6">
        <f ca="1">('TUSD BE'!$AM$33+'TUSD BF'!$AM$33+'TUSD CVA'!$AM$33)*(1-CUSTOS!$M$38)</f>
        <v>300.89907966262189</v>
      </c>
      <c r="AA562" s="6">
        <f>('TE BE'!$AA$23+'TE BF'!$AA$23+'TE CVA'!$AA$23)*(1-CUSTOS!$M$38)</f>
        <v>198.0053374241497</v>
      </c>
      <c r="AB562" s="6">
        <f>$K$562*$V$562</f>
        <v>0</v>
      </c>
      <c r="AC562" s="6">
        <f>$M$562*$W$562</f>
        <v>893.79434999999989</v>
      </c>
      <c r="AD562" s="6">
        <f>$O$562*$X$562</f>
        <v>859.8386999999999</v>
      </c>
      <c r="AE562" s="6">
        <f>$K$562*$Y$562</f>
        <v>0</v>
      </c>
      <c r="AF562" s="6">
        <f ca="1">$M$562*$Z$562</f>
        <v>1116.6364846279898</v>
      </c>
      <c r="AG562" s="6">
        <f>$O$562*$AA$562</f>
        <v>734.79780718101949</v>
      </c>
    </row>
    <row r="563" spans="1:33" ht="11.25" customHeight="1" x14ac:dyDescent="0.25">
      <c r="A563" s="4" t="s">
        <v>21</v>
      </c>
      <c r="B563" s="4" t="s">
        <v>43</v>
      </c>
      <c r="C563" s="4" t="s">
        <v>23</v>
      </c>
      <c r="D563" s="4" t="s">
        <v>44</v>
      </c>
      <c r="E563" s="4" t="s">
        <v>56</v>
      </c>
      <c r="F563" s="4" t="s">
        <v>54</v>
      </c>
      <c r="G563" s="4" t="s">
        <v>25</v>
      </c>
      <c r="H563" s="4" t="s">
        <v>25</v>
      </c>
      <c r="I563" s="5">
        <v>44531</v>
      </c>
      <c r="J563" s="6">
        <v>0</v>
      </c>
      <c r="K563" s="6">
        <v>0</v>
      </c>
      <c r="L563" s="6">
        <v>3.3180000000000001</v>
      </c>
      <c r="M563" s="6">
        <v>3.3180000000000001</v>
      </c>
      <c r="N563" s="6">
        <v>3.3180000000000001</v>
      </c>
      <c r="O563" s="6">
        <v>3.3180000000000001</v>
      </c>
      <c r="P563" s="6">
        <v>0</v>
      </c>
      <c r="Q563" s="4" t="s">
        <v>26</v>
      </c>
      <c r="R563" s="4">
        <v>0</v>
      </c>
      <c r="S563" s="6">
        <v>0</v>
      </c>
      <c r="T563" s="6">
        <v>29</v>
      </c>
      <c r="U563" s="6">
        <v>66</v>
      </c>
      <c r="V563" s="6">
        <f>IF(ISERROR(VLOOKUP($S$563,'TAR FIN'!$A$1:$O$85,15,0)),0,VLOOKUP($S$563,'TAR FIN'!$A$1:$O$85,15,0))</f>
        <v>0</v>
      </c>
      <c r="W563" s="6">
        <f>IF(ISERROR(VLOOKUP($T$563,'TAR FIN'!$A$1:$O$85,15,0)),0,VLOOKUP($T$563,'TAR FIN'!$A$1:$O$85,15,0))</f>
        <v>240.85</v>
      </c>
      <c r="X563" s="6">
        <f>IF(ISERROR(VLOOKUP($U$563,'TAR FIN'!$A$1:$O$85,15,0)),0,VLOOKUP($U$563,'TAR FIN'!$A$1:$O$85,15,0))</f>
        <v>231.7</v>
      </c>
      <c r="Y563" s="6"/>
      <c r="Z563" s="6">
        <f ca="1">('TUSD BE'!$AM$33+'TUSD BF'!$AM$33+'TUSD CVA'!$AM$33)*(1-CUSTOS!$M$38)</f>
        <v>300.89907966262189</v>
      </c>
      <c r="AA563" s="6">
        <f>('TE BE'!$AA$23+'TE BF'!$AA$23+'TE CVA'!$AA$23)*(1-CUSTOS!$M$38)</f>
        <v>198.0053374241497</v>
      </c>
      <c r="AB563" s="6">
        <f>$K$563*$V$563</f>
        <v>0</v>
      </c>
      <c r="AC563" s="6">
        <f>$M$563*$W$563</f>
        <v>799.14030000000002</v>
      </c>
      <c r="AD563" s="6">
        <f>$O$563*$X$563</f>
        <v>768.78059999999994</v>
      </c>
      <c r="AE563" s="6">
        <f>$K$563*$Y$563</f>
        <v>0</v>
      </c>
      <c r="AF563" s="6">
        <f ca="1">$M$563*$Z$563</f>
        <v>998.38314632057939</v>
      </c>
      <c r="AG563" s="6">
        <f>$O$563*$AA$563</f>
        <v>656.98170957332877</v>
      </c>
    </row>
    <row r="564" spans="1:33" ht="11.25" customHeight="1" x14ac:dyDescent="0.25">
      <c r="A564" s="4" t="s">
        <v>21</v>
      </c>
      <c r="B564" s="4" t="s">
        <v>43</v>
      </c>
      <c r="C564" s="4" t="s">
        <v>23</v>
      </c>
      <c r="D564" s="4" t="s">
        <v>44</v>
      </c>
      <c r="E564" s="4" t="s">
        <v>56</v>
      </c>
      <c r="F564" s="4" t="s">
        <v>54</v>
      </c>
      <c r="G564" s="4" t="s">
        <v>25</v>
      </c>
      <c r="H564" s="4" t="s">
        <v>25</v>
      </c>
      <c r="I564" s="5">
        <v>44562</v>
      </c>
      <c r="J564" s="6">
        <v>0</v>
      </c>
      <c r="K564" s="6">
        <v>0</v>
      </c>
      <c r="L564" s="6">
        <v>3.28</v>
      </c>
      <c r="M564" s="6">
        <v>3.28</v>
      </c>
      <c r="N564" s="6">
        <v>3.28</v>
      </c>
      <c r="O564" s="6">
        <v>3.28</v>
      </c>
      <c r="P564" s="6">
        <v>0</v>
      </c>
      <c r="Q564" s="4" t="s">
        <v>26</v>
      </c>
      <c r="R564" s="4">
        <v>0</v>
      </c>
      <c r="S564" s="6">
        <v>0</v>
      </c>
      <c r="T564" s="6">
        <v>29</v>
      </c>
      <c r="U564" s="6">
        <v>66</v>
      </c>
      <c r="V564" s="6">
        <f>IF(ISERROR(VLOOKUP($S$564,'TAR FIN'!$A$1:$O$85,15,0)),0,VLOOKUP($S$564,'TAR FIN'!$A$1:$O$85,15,0))</f>
        <v>0</v>
      </c>
      <c r="W564" s="6">
        <f>IF(ISERROR(VLOOKUP($T$564,'TAR FIN'!$A$1:$O$85,15,0)),0,VLOOKUP($T$564,'TAR FIN'!$A$1:$O$85,15,0))</f>
        <v>240.85</v>
      </c>
      <c r="X564" s="6">
        <f>IF(ISERROR(VLOOKUP($U$564,'TAR FIN'!$A$1:$O$85,15,0)),0,VLOOKUP($U$564,'TAR FIN'!$A$1:$O$85,15,0))</f>
        <v>231.7</v>
      </c>
      <c r="Y564" s="6"/>
      <c r="Z564" s="6">
        <f ca="1">('TUSD BE'!$AM$33+'TUSD BF'!$AM$33+'TUSD CVA'!$AM$33)*(1-CUSTOS!$M$38)</f>
        <v>300.89907966262189</v>
      </c>
      <c r="AA564" s="6">
        <f>('TE BE'!$AA$23+'TE BF'!$AA$23+'TE CVA'!$AA$23)*(1-CUSTOS!$M$38)</f>
        <v>198.0053374241497</v>
      </c>
      <c r="AB564" s="6">
        <f>$K$564*$V$564</f>
        <v>0</v>
      </c>
      <c r="AC564" s="6">
        <f>$M$564*$W$564</f>
        <v>789.98799999999994</v>
      </c>
      <c r="AD564" s="6">
        <f>$O$564*$X$564</f>
        <v>759.97599999999989</v>
      </c>
      <c r="AE564" s="6">
        <f>$K$564*$Y$564</f>
        <v>0</v>
      </c>
      <c r="AF564" s="6">
        <f ca="1">$M$564*$Z$564</f>
        <v>986.9489812933997</v>
      </c>
      <c r="AG564" s="6">
        <f>$O$564*$AA$564</f>
        <v>649.45750675121099</v>
      </c>
    </row>
    <row r="565" spans="1:33" ht="11.25" customHeight="1" x14ac:dyDescent="0.25">
      <c r="A565" s="4" t="s">
        <v>21</v>
      </c>
      <c r="B565" s="4" t="s">
        <v>43</v>
      </c>
      <c r="C565" s="4" t="s">
        <v>23</v>
      </c>
      <c r="D565" s="4" t="s">
        <v>44</v>
      </c>
      <c r="E565" s="4" t="s">
        <v>56</v>
      </c>
      <c r="F565" s="4" t="s">
        <v>54</v>
      </c>
      <c r="G565" s="4" t="s">
        <v>25</v>
      </c>
      <c r="H565" s="4" t="s">
        <v>25</v>
      </c>
      <c r="I565" s="5">
        <v>44593</v>
      </c>
      <c r="J565" s="6">
        <v>0</v>
      </c>
      <c r="K565" s="6">
        <v>0</v>
      </c>
      <c r="L565" s="6">
        <v>2.9420000000000002</v>
      </c>
      <c r="M565" s="6">
        <v>2.9420000000000002</v>
      </c>
      <c r="N565" s="6">
        <v>2.9420000000000002</v>
      </c>
      <c r="O565" s="6">
        <v>2.9420000000000002</v>
      </c>
      <c r="P565" s="6">
        <v>0</v>
      </c>
      <c r="Q565" s="4" t="s">
        <v>26</v>
      </c>
      <c r="R565" s="4">
        <v>0</v>
      </c>
      <c r="S565" s="6">
        <v>0</v>
      </c>
      <c r="T565" s="6">
        <v>29</v>
      </c>
      <c r="U565" s="6">
        <v>66</v>
      </c>
      <c r="V565" s="6">
        <f>IF(ISERROR(VLOOKUP($S$565,'TAR FIN'!$A$1:$O$85,15,0)),0,VLOOKUP($S$565,'TAR FIN'!$A$1:$O$85,15,0))</f>
        <v>0</v>
      </c>
      <c r="W565" s="6">
        <f>IF(ISERROR(VLOOKUP($T$565,'TAR FIN'!$A$1:$O$85,15,0)),0,VLOOKUP($T$565,'TAR FIN'!$A$1:$O$85,15,0))</f>
        <v>240.85</v>
      </c>
      <c r="X565" s="6">
        <f>IF(ISERROR(VLOOKUP($U$565,'TAR FIN'!$A$1:$O$85,15,0)),0,VLOOKUP($U$565,'TAR FIN'!$A$1:$O$85,15,0))</f>
        <v>231.7</v>
      </c>
      <c r="Y565" s="6"/>
      <c r="Z565" s="6">
        <f ca="1">('TUSD BE'!$AM$33+'TUSD BF'!$AM$33+'TUSD CVA'!$AM$33)*(1-CUSTOS!$M$38)</f>
        <v>300.89907966262189</v>
      </c>
      <c r="AA565" s="6">
        <f>('TE BE'!$AA$23+'TE BF'!$AA$23+'TE CVA'!$AA$23)*(1-CUSTOS!$M$38)</f>
        <v>198.0053374241497</v>
      </c>
      <c r="AB565" s="6">
        <f>$K$565*$V$565</f>
        <v>0</v>
      </c>
      <c r="AC565" s="6">
        <f>$M$565*$W$565</f>
        <v>708.58069999999998</v>
      </c>
      <c r="AD565" s="6">
        <f>$O$565*$X$565</f>
        <v>681.66139999999996</v>
      </c>
      <c r="AE565" s="6">
        <f>$K$565*$Y$565</f>
        <v>0</v>
      </c>
      <c r="AF565" s="6">
        <f ca="1">$M$565*$Z$565</f>
        <v>885.24509236743359</v>
      </c>
      <c r="AG565" s="6">
        <f>$O$565*$AA$565</f>
        <v>582.53170270184842</v>
      </c>
    </row>
    <row r="566" spans="1:33" ht="11.25" customHeight="1" x14ac:dyDescent="0.25">
      <c r="A566" s="4" t="s">
        <v>21</v>
      </c>
      <c r="B566" s="4" t="s">
        <v>43</v>
      </c>
      <c r="C566" s="4" t="s">
        <v>23</v>
      </c>
      <c r="D566" s="4" t="s">
        <v>44</v>
      </c>
      <c r="E566" s="4" t="s">
        <v>56</v>
      </c>
      <c r="F566" s="4" t="s">
        <v>54</v>
      </c>
      <c r="G566" s="4" t="s">
        <v>25</v>
      </c>
      <c r="H566" s="4" t="s">
        <v>25</v>
      </c>
      <c r="I566" s="5">
        <v>44621</v>
      </c>
      <c r="J566" s="6">
        <v>0</v>
      </c>
      <c r="K566" s="6">
        <v>0</v>
      </c>
      <c r="L566" s="6">
        <v>2.9609999999999999</v>
      </c>
      <c r="M566" s="6">
        <v>2.9609999999999999</v>
      </c>
      <c r="N566" s="6">
        <v>2.9609999999999999</v>
      </c>
      <c r="O566" s="6">
        <v>2.9609999999999999</v>
      </c>
      <c r="P566" s="6">
        <v>0</v>
      </c>
      <c r="Q566" s="4" t="s">
        <v>26</v>
      </c>
      <c r="R566" s="4">
        <v>0</v>
      </c>
      <c r="S566" s="6">
        <v>0</v>
      </c>
      <c r="T566" s="6">
        <v>29</v>
      </c>
      <c r="U566" s="6">
        <v>66</v>
      </c>
      <c r="V566" s="6">
        <f>IF(ISERROR(VLOOKUP($S$566,'TAR FIN'!$A$1:$O$85,15,0)),0,VLOOKUP($S$566,'TAR FIN'!$A$1:$O$85,15,0))</f>
        <v>0</v>
      </c>
      <c r="W566" s="6">
        <f>IF(ISERROR(VLOOKUP($T$566,'TAR FIN'!$A$1:$O$85,15,0)),0,VLOOKUP($T$566,'TAR FIN'!$A$1:$O$85,15,0))</f>
        <v>240.85</v>
      </c>
      <c r="X566" s="6">
        <f>IF(ISERROR(VLOOKUP($U$566,'TAR FIN'!$A$1:$O$85,15,0)),0,VLOOKUP($U$566,'TAR FIN'!$A$1:$O$85,15,0))</f>
        <v>231.7</v>
      </c>
      <c r="Y566" s="6"/>
      <c r="Z566" s="6">
        <f ca="1">('TUSD BE'!$AM$33+'TUSD BF'!$AM$33+'TUSD CVA'!$AM$33)*(1-CUSTOS!$M$38)</f>
        <v>300.89907966262189</v>
      </c>
      <c r="AA566" s="6">
        <f>('TE BE'!$AA$23+'TE BF'!$AA$23+'TE CVA'!$AA$23)*(1-CUSTOS!$M$38)</f>
        <v>198.0053374241497</v>
      </c>
      <c r="AB566" s="6">
        <f>$K$566*$V$566</f>
        <v>0</v>
      </c>
      <c r="AC566" s="6">
        <f>$M$566*$W$566</f>
        <v>713.15684999999996</v>
      </c>
      <c r="AD566" s="6">
        <f>$O$566*$X$566</f>
        <v>686.06369999999993</v>
      </c>
      <c r="AE566" s="6">
        <f>$K$566*$Y$566</f>
        <v>0</v>
      </c>
      <c r="AF566" s="6">
        <f ca="1">$M$566*$Z$566</f>
        <v>890.96217488102332</v>
      </c>
      <c r="AG566" s="6">
        <f>$O$566*$AA$566</f>
        <v>586.2938041129072</v>
      </c>
    </row>
    <row r="567" spans="1:33" ht="11.25" customHeight="1" x14ac:dyDescent="0.25">
      <c r="A567" s="4" t="s">
        <v>21</v>
      </c>
      <c r="B567" s="4" t="s">
        <v>43</v>
      </c>
      <c r="C567" s="4" t="s">
        <v>23</v>
      </c>
      <c r="D567" s="4" t="s">
        <v>44</v>
      </c>
      <c r="E567" s="4" t="s">
        <v>56</v>
      </c>
      <c r="F567" s="4" t="s">
        <v>54</v>
      </c>
      <c r="G567" s="4" t="s">
        <v>25</v>
      </c>
      <c r="H567" s="4" t="s">
        <v>25</v>
      </c>
      <c r="I567" s="5">
        <v>44652</v>
      </c>
      <c r="J567" s="6">
        <v>0</v>
      </c>
      <c r="K567" s="6">
        <v>0</v>
      </c>
      <c r="L567" s="6">
        <v>2.7930000000000001</v>
      </c>
      <c r="M567" s="6">
        <v>2.7930000000000001</v>
      </c>
      <c r="N567" s="6">
        <v>2.7930000000000001</v>
      </c>
      <c r="O567" s="6">
        <v>2.7930000000000001</v>
      </c>
      <c r="P567" s="6">
        <v>0</v>
      </c>
      <c r="Q567" s="4" t="s">
        <v>26</v>
      </c>
      <c r="R567" s="4">
        <v>0</v>
      </c>
      <c r="S567" s="6">
        <v>0</v>
      </c>
      <c r="T567" s="6">
        <v>29</v>
      </c>
      <c r="U567" s="6">
        <v>66</v>
      </c>
      <c r="V567" s="6">
        <f>IF(ISERROR(VLOOKUP($S$567,'TAR FIN'!$A$1:$O$85,15,0)),0,VLOOKUP($S$567,'TAR FIN'!$A$1:$O$85,15,0))</f>
        <v>0</v>
      </c>
      <c r="W567" s="6">
        <f>IF(ISERROR(VLOOKUP($T$567,'TAR FIN'!$A$1:$O$85,15,0)),0,VLOOKUP($T$567,'TAR FIN'!$A$1:$O$85,15,0))</f>
        <v>240.85</v>
      </c>
      <c r="X567" s="6">
        <f>IF(ISERROR(VLOOKUP($U$567,'TAR FIN'!$A$1:$O$85,15,0)),0,VLOOKUP($U$567,'TAR FIN'!$A$1:$O$85,15,0))</f>
        <v>231.7</v>
      </c>
      <c r="Y567" s="6"/>
      <c r="Z567" s="6">
        <f ca="1">('TUSD BE'!$AM$33+'TUSD BF'!$AM$33+'TUSD CVA'!$AM$33)*(1-CUSTOS!$M$38)</f>
        <v>300.89907966262189</v>
      </c>
      <c r="AA567" s="6">
        <f>('TE BE'!$AA$23+'TE BF'!$AA$23+'TE CVA'!$AA$23)*(1-CUSTOS!$M$38)</f>
        <v>198.0053374241497</v>
      </c>
      <c r="AB567" s="6">
        <f>$K$567*$V$567</f>
        <v>0</v>
      </c>
      <c r="AC567" s="6">
        <f>$M$567*$W$567</f>
        <v>672.69405000000006</v>
      </c>
      <c r="AD567" s="6">
        <f>$O$567*$X$567</f>
        <v>647.13810000000001</v>
      </c>
      <c r="AE567" s="6">
        <f>$K$567*$Y$567</f>
        <v>0</v>
      </c>
      <c r="AF567" s="6">
        <f ca="1">$M$567*$Z$567</f>
        <v>840.41112949770297</v>
      </c>
      <c r="AG567" s="6">
        <f>$O$567*$AA$567</f>
        <v>553.02890742565012</v>
      </c>
    </row>
    <row r="568" spans="1:33" ht="11.25" customHeight="1" x14ac:dyDescent="0.25">
      <c r="A568" s="4" t="s">
        <v>21</v>
      </c>
      <c r="B568" s="4" t="s">
        <v>43</v>
      </c>
      <c r="C568" s="4" t="s">
        <v>23</v>
      </c>
      <c r="D568" s="4" t="s">
        <v>44</v>
      </c>
      <c r="E568" s="4" t="s">
        <v>56</v>
      </c>
      <c r="F568" s="4" t="s">
        <v>55</v>
      </c>
      <c r="G568" s="4" t="s">
        <v>25</v>
      </c>
      <c r="H568" s="4" t="s">
        <v>25</v>
      </c>
      <c r="I568" s="5">
        <v>44317</v>
      </c>
      <c r="J568" s="6">
        <v>0</v>
      </c>
      <c r="K568" s="6">
        <v>0</v>
      </c>
      <c r="L568" s="6">
        <v>1.8169999999999999</v>
      </c>
      <c r="M568" s="6">
        <v>0.7268</v>
      </c>
      <c r="N568" s="6">
        <v>1.8169999999999999</v>
      </c>
      <c r="O568" s="6">
        <v>0.7268</v>
      </c>
      <c r="P568" s="6">
        <v>0</v>
      </c>
      <c r="Q568" s="4" t="s">
        <v>26</v>
      </c>
      <c r="R568" s="4">
        <v>0</v>
      </c>
      <c r="S568" s="6">
        <v>0</v>
      </c>
      <c r="T568" s="6">
        <v>29</v>
      </c>
      <c r="U568" s="6">
        <v>66</v>
      </c>
      <c r="V568" s="6">
        <f>IF(ISERROR(VLOOKUP($S$568,'TAR FIN'!$A$1:$O$85,15,0)),0,VLOOKUP($S$568,'TAR FIN'!$A$1:$O$85,15,0))</f>
        <v>0</v>
      </c>
      <c r="W568" s="6">
        <f>IF(ISERROR(VLOOKUP($T$568,'TAR FIN'!$A$1:$O$85,15,0)),0,VLOOKUP($T$568,'TAR FIN'!$A$1:$O$85,15,0))</f>
        <v>240.85</v>
      </c>
      <c r="X568" s="6">
        <f>IF(ISERROR(VLOOKUP($U$568,'TAR FIN'!$A$1:$O$85,15,0)),0,VLOOKUP($U$568,'TAR FIN'!$A$1:$O$85,15,0))</f>
        <v>231.7</v>
      </c>
      <c r="Y568" s="6"/>
      <c r="Z568" s="6">
        <f ca="1">('TUSD BE'!$AM$33+'TUSD BF'!$AM$33+'TUSD CVA'!$AM$33)*(1-CUSTOS!$M$38)</f>
        <v>300.89907966262189</v>
      </c>
      <c r="AA568" s="6">
        <f>('TE BE'!$AA$23+'TE BF'!$AA$23+'TE CVA'!$AA$23)*(1-CUSTOS!$M$38)</f>
        <v>198.0053374241497</v>
      </c>
      <c r="AB568" s="6">
        <f>$K$568*$V$568</f>
        <v>0</v>
      </c>
      <c r="AC568" s="6">
        <f>$M$568*$W$568</f>
        <v>175.04978</v>
      </c>
      <c r="AD568" s="6">
        <f>$O$568*$X$568</f>
        <v>168.39955999999998</v>
      </c>
      <c r="AE568" s="6">
        <f>$K$568*$Y$568</f>
        <v>0</v>
      </c>
      <c r="AF568" s="6">
        <f ca="1">$M$568*$Z$568</f>
        <v>218.69345109879359</v>
      </c>
      <c r="AG568" s="6">
        <f>$O$568*$AA$568</f>
        <v>143.91027923987201</v>
      </c>
    </row>
    <row r="569" spans="1:33" ht="11.25" customHeight="1" x14ac:dyDescent="0.25">
      <c r="A569" s="4" t="s">
        <v>21</v>
      </c>
      <c r="B569" s="4" t="s">
        <v>43</v>
      </c>
      <c r="C569" s="4" t="s">
        <v>23</v>
      </c>
      <c r="D569" s="4" t="s">
        <v>44</v>
      </c>
      <c r="E569" s="4" t="s">
        <v>56</v>
      </c>
      <c r="F569" s="4" t="s">
        <v>55</v>
      </c>
      <c r="G569" s="4" t="s">
        <v>25</v>
      </c>
      <c r="H569" s="4" t="s">
        <v>25</v>
      </c>
      <c r="I569" s="5">
        <v>44348</v>
      </c>
      <c r="J569" s="6">
        <v>0</v>
      </c>
      <c r="K569" s="6">
        <v>0</v>
      </c>
      <c r="L569" s="6">
        <v>3.04</v>
      </c>
      <c r="M569" s="6">
        <v>1.216</v>
      </c>
      <c r="N569" s="6">
        <v>3.04</v>
      </c>
      <c r="O569" s="6">
        <v>1.216</v>
      </c>
      <c r="P569" s="6">
        <v>0</v>
      </c>
      <c r="Q569" s="4" t="s">
        <v>26</v>
      </c>
      <c r="R569" s="4">
        <v>0</v>
      </c>
      <c r="S569" s="6">
        <v>0</v>
      </c>
      <c r="T569" s="6">
        <v>29</v>
      </c>
      <c r="U569" s="6">
        <v>66</v>
      </c>
      <c r="V569" s="6">
        <f>IF(ISERROR(VLOOKUP($S$569,'TAR FIN'!$A$1:$O$85,15,0)),0,VLOOKUP($S$569,'TAR FIN'!$A$1:$O$85,15,0))</f>
        <v>0</v>
      </c>
      <c r="W569" s="6">
        <f>IF(ISERROR(VLOOKUP($T$569,'TAR FIN'!$A$1:$O$85,15,0)),0,VLOOKUP($T$569,'TAR FIN'!$A$1:$O$85,15,0))</f>
        <v>240.85</v>
      </c>
      <c r="X569" s="6">
        <f>IF(ISERROR(VLOOKUP($U$569,'TAR FIN'!$A$1:$O$85,15,0)),0,VLOOKUP($U$569,'TAR FIN'!$A$1:$O$85,15,0))</f>
        <v>231.7</v>
      </c>
      <c r="Y569" s="6"/>
      <c r="Z569" s="6">
        <f ca="1">('TUSD BE'!$AM$33+'TUSD BF'!$AM$33+'TUSD CVA'!$AM$33)*(1-CUSTOS!$M$38)</f>
        <v>300.89907966262189</v>
      </c>
      <c r="AA569" s="6">
        <f>('TE BE'!$AA$23+'TE BF'!$AA$23+'TE CVA'!$AA$23)*(1-CUSTOS!$M$38)</f>
        <v>198.0053374241497</v>
      </c>
      <c r="AB569" s="6">
        <f>$K$569*$V$569</f>
        <v>0</v>
      </c>
      <c r="AC569" s="6">
        <f>$M$569*$W$569</f>
        <v>292.87360000000001</v>
      </c>
      <c r="AD569" s="6">
        <f>$O$569*$X$569</f>
        <v>281.74719999999996</v>
      </c>
      <c r="AE569" s="6">
        <f>$K$569*$Y$569</f>
        <v>0</v>
      </c>
      <c r="AF569" s="6">
        <f ca="1">$M$569*$Z$569</f>
        <v>365.8932808697482</v>
      </c>
      <c r="AG569" s="6">
        <f>$O$569*$AA$569</f>
        <v>240.77449030776603</v>
      </c>
    </row>
    <row r="570" spans="1:33" ht="11.25" customHeight="1" x14ac:dyDescent="0.25">
      <c r="A570" s="4" t="s">
        <v>21</v>
      </c>
      <c r="B570" s="4" t="s">
        <v>43</v>
      </c>
      <c r="C570" s="4" t="s">
        <v>23</v>
      </c>
      <c r="D570" s="4" t="s">
        <v>44</v>
      </c>
      <c r="E570" s="4" t="s">
        <v>56</v>
      </c>
      <c r="F570" s="4" t="s">
        <v>55</v>
      </c>
      <c r="G570" s="4" t="s">
        <v>25</v>
      </c>
      <c r="H570" s="4" t="s">
        <v>25</v>
      </c>
      <c r="I570" s="5">
        <v>44378</v>
      </c>
      <c r="J570" s="6">
        <v>0</v>
      </c>
      <c r="K570" s="6">
        <v>0</v>
      </c>
      <c r="L570" s="6">
        <v>2.3580000000000001</v>
      </c>
      <c r="M570" s="6">
        <v>0.94320000000000004</v>
      </c>
      <c r="N570" s="6">
        <v>2.3580000000000001</v>
      </c>
      <c r="O570" s="6">
        <v>0.94320000000000004</v>
      </c>
      <c r="P570" s="6">
        <v>0</v>
      </c>
      <c r="Q570" s="4" t="s">
        <v>26</v>
      </c>
      <c r="R570" s="4">
        <v>0</v>
      </c>
      <c r="S570" s="6">
        <v>0</v>
      </c>
      <c r="T570" s="6">
        <v>29</v>
      </c>
      <c r="U570" s="6">
        <v>66</v>
      </c>
      <c r="V570" s="6">
        <f>IF(ISERROR(VLOOKUP($S$570,'TAR FIN'!$A$1:$O$85,15,0)),0,VLOOKUP($S$570,'TAR FIN'!$A$1:$O$85,15,0))</f>
        <v>0</v>
      </c>
      <c r="W570" s="6">
        <f>IF(ISERROR(VLOOKUP($T$570,'TAR FIN'!$A$1:$O$85,15,0)),0,VLOOKUP($T$570,'TAR FIN'!$A$1:$O$85,15,0))</f>
        <v>240.85</v>
      </c>
      <c r="X570" s="6">
        <f>IF(ISERROR(VLOOKUP($U$570,'TAR FIN'!$A$1:$O$85,15,0)),0,VLOOKUP($U$570,'TAR FIN'!$A$1:$O$85,15,0))</f>
        <v>231.7</v>
      </c>
      <c r="Y570" s="6"/>
      <c r="Z570" s="6">
        <f ca="1">('TUSD BE'!$AM$33+'TUSD BF'!$AM$33+'TUSD CVA'!$AM$33)*(1-CUSTOS!$M$38)</f>
        <v>300.89907966262189</v>
      </c>
      <c r="AA570" s="6">
        <f>('TE BE'!$AA$23+'TE BF'!$AA$23+'TE CVA'!$AA$23)*(1-CUSTOS!$M$38)</f>
        <v>198.0053374241497</v>
      </c>
      <c r="AB570" s="6">
        <f>$K$570*$V$570</f>
        <v>0</v>
      </c>
      <c r="AC570" s="6">
        <f>$M$570*$W$570</f>
        <v>227.16972000000001</v>
      </c>
      <c r="AD570" s="6">
        <f>$O$570*$X$570</f>
        <v>218.53943999999998</v>
      </c>
      <c r="AE570" s="6">
        <f>$K$570*$Y$570</f>
        <v>0</v>
      </c>
      <c r="AF570" s="6">
        <f ca="1">$M$570*$Z$570</f>
        <v>283.80801193778495</v>
      </c>
      <c r="AG570" s="6">
        <f>$O$570*$AA$570</f>
        <v>186.75863425845802</v>
      </c>
    </row>
    <row r="571" spans="1:33" ht="11.25" customHeight="1" x14ac:dyDescent="0.25">
      <c r="A571" s="4" t="s">
        <v>21</v>
      </c>
      <c r="B571" s="4" t="s">
        <v>43</v>
      </c>
      <c r="C571" s="4" t="s">
        <v>23</v>
      </c>
      <c r="D571" s="4" t="s">
        <v>44</v>
      </c>
      <c r="E571" s="4" t="s">
        <v>56</v>
      </c>
      <c r="F571" s="4" t="s">
        <v>55</v>
      </c>
      <c r="G571" s="4" t="s">
        <v>25</v>
      </c>
      <c r="H571" s="4" t="s">
        <v>25</v>
      </c>
      <c r="I571" s="5">
        <v>44409</v>
      </c>
      <c r="J571" s="6">
        <v>0</v>
      </c>
      <c r="K571" s="6">
        <v>0</v>
      </c>
      <c r="L571" s="6">
        <v>2.86</v>
      </c>
      <c r="M571" s="6">
        <v>1.1439999999999999</v>
      </c>
      <c r="N571" s="6">
        <v>2.86</v>
      </c>
      <c r="O571" s="6">
        <v>1.1439999999999999</v>
      </c>
      <c r="P571" s="6">
        <v>0</v>
      </c>
      <c r="Q571" s="4" t="s">
        <v>26</v>
      </c>
      <c r="R571" s="4">
        <v>0</v>
      </c>
      <c r="S571" s="6">
        <v>0</v>
      </c>
      <c r="T571" s="6">
        <v>29</v>
      </c>
      <c r="U571" s="6">
        <v>66</v>
      </c>
      <c r="V571" s="6">
        <f>IF(ISERROR(VLOOKUP($S$571,'TAR FIN'!$A$1:$O$85,15,0)),0,VLOOKUP($S$571,'TAR FIN'!$A$1:$O$85,15,0))</f>
        <v>0</v>
      </c>
      <c r="W571" s="6">
        <f>IF(ISERROR(VLOOKUP($T$571,'TAR FIN'!$A$1:$O$85,15,0)),0,VLOOKUP($T$571,'TAR FIN'!$A$1:$O$85,15,0))</f>
        <v>240.85</v>
      </c>
      <c r="X571" s="6">
        <f>IF(ISERROR(VLOOKUP($U$571,'TAR FIN'!$A$1:$O$85,15,0)),0,VLOOKUP($U$571,'TAR FIN'!$A$1:$O$85,15,0))</f>
        <v>231.7</v>
      </c>
      <c r="Y571" s="6"/>
      <c r="Z571" s="6">
        <f ca="1">('TUSD BE'!$AM$33+'TUSD BF'!$AM$33+'TUSD CVA'!$AM$33)*(1-CUSTOS!$M$38)</f>
        <v>300.89907966262189</v>
      </c>
      <c r="AA571" s="6">
        <f>('TE BE'!$AA$23+'TE BF'!$AA$23+'TE CVA'!$AA$23)*(1-CUSTOS!$M$38)</f>
        <v>198.0053374241497</v>
      </c>
      <c r="AB571" s="6">
        <f>$K$571*$V$571</f>
        <v>0</v>
      </c>
      <c r="AC571" s="6">
        <f>$M$571*$W$571</f>
        <v>275.5324</v>
      </c>
      <c r="AD571" s="6">
        <f>$O$571*$X$571</f>
        <v>265.06479999999999</v>
      </c>
      <c r="AE571" s="6">
        <f>$K$571*$Y$571</f>
        <v>0</v>
      </c>
      <c r="AF571" s="6">
        <f ca="1">$M$571*$Z$571</f>
        <v>344.22854713403939</v>
      </c>
      <c r="AG571" s="6">
        <f>$O$571*$AA$571</f>
        <v>226.51810601322725</v>
      </c>
    </row>
    <row r="572" spans="1:33" ht="11.25" customHeight="1" x14ac:dyDescent="0.25">
      <c r="A572" s="4" t="s">
        <v>21</v>
      </c>
      <c r="B572" s="4" t="s">
        <v>43</v>
      </c>
      <c r="C572" s="4" t="s">
        <v>23</v>
      </c>
      <c r="D572" s="4" t="s">
        <v>44</v>
      </c>
      <c r="E572" s="4" t="s">
        <v>56</v>
      </c>
      <c r="F572" s="4" t="s">
        <v>55</v>
      </c>
      <c r="G572" s="4" t="s">
        <v>25</v>
      </c>
      <c r="H572" s="4" t="s">
        <v>25</v>
      </c>
      <c r="I572" s="5">
        <v>44440</v>
      </c>
      <c r="J572" s="6">
        <v>0</v>
      </c>
      <c r="K572" s="6">
        <v>0</v>
      </c>
      <c r="L572" s="6">
        <v>2.6030000000000002</v>
      </c>
      <c r="M572" s="6">
        <v>1.0411999999999999</v>
      </c>
      <c r="N572" s="6">
        <v>2.6030000000000002</v>
      </c>
      <c r="O572" s="6">
        <v>1.0411999999999999</v>
      </c>
      <c r="P572" s="6">
        <v>0</v>
      </c>
      <c r="Q572" s="4" t="s">
        <v>26</v>
      </c>
      <c r="R572" s="4">
        <v>0</v>
      </c>
      <c r="S572" s="6">
        <v>0</v>
      </c>
      <c r="T572" s="6">
        <v>29</v>
      </c>
      <c r="U572" s="6">
        <v>66</v>
      </c>
      <c r="V572" s="6">
        <f>IF(ISERROR(VLOOKUP($S$572,'TAR FIN'!$A$1:$O$85,15,0)),0,VLOOKUP($S$572,'TAR FIN'!$A$1:$O$85,15,0))</f>
        <v>0</v>
      </c>
      <c r="W572" s="6">
        <f>IF(ISERROR(VLOOKUP($T$572,'TAR FIN'!$A$1:$O$85,15,0)),0,VLOOKUP($T$572,'TAR FIN'!$A$1:$O$85,15,0))</f>
        <v>240.85</v>
      </c>
      <c r="X572" s="6">
        <f>IF(ISERROR(VLOOKUP($U$572,'TAR FIN'!$A$1:$O$85,15,0)),0,VLOOKUP($U$572,'TAR FIN'!$A$1:$O$85,15,0))</f>
        <v>231.7</v>
      </c>
      <c r="Y572" s="6"/>
      <c r="Z572" s="6">
        <f ca="1">('TUSD BE'!$AM$33+'TUSD BF'!$AM$33+'TUSD CVA'!$AM$33)*(1-CUSTOS!$M$38)</f>
        <v>300.89907966262189</v>
      </c>
      <c r="AA572" s="6">
        <f>('TE BE'!$AA$23+'TE BF'!$AA$23+'TE CVA'!$AA$23)*(1-CUSTOS!$M$38)</f>
        <v>198.0053374241497</v>
      </c>
      <c r="AB572" s="6">
        <f>$K$572*$V$572</f>
        <v>0</v>
      </c>
      <c r="AC572" s="6">
        <f>$M$572*$W$572</f>
        <v>250.77301999999997</v>
      </c>
      <c r="AD572" s="6">
        <f>$O$572*$X$572</f>
        <v>241.24603999999997</v>
      </c>
      <c r="AE572" s="6">
        <f>$K$572*$Y$572</f>
        <v>0</v>
      </c>
      <c r="AF572" s="6">
        <f ca="1">$M$572*$Z$572</f>
        <v>313.29612174472186</v>
      </c>
      <c r="AG572" s="6">
        <f>$O$572*$AA$572</f>
        <v>206.16315732602465</v>
      </c>
    </row>
    <row r="573" spans="1:33" ht="11.25" customHeight="1" x14ac:dyDescent="0.25">
      <c r="A573" s="4" t="s">
        <v>21</v>
      </c>
      <c r="B573" s="4" t="s">
        <v>43</v>
      </c>
      <c r="C573" s="4" t="s">
        <v>23</v>
      </c>
      <c r="D573" s="4" t="s">
        <v>44</v>
      </c>
      <c r="E573" s="4" t="s">
        <v>56</v>
      </c>
      <c r="F573" s="4" t="s">
        <v>55</v>
      </c>
      <c r="G573" s="4" t="s">
        <v>25</v>
      </c>
      <c r="H573" s="4" t="s">
        <v>25</v>
      </c>
      <c r="I573" s="5">
        <v>44470</v>
      </c>
      <c r="J573" s="6">
        <v>0</v>
      </c>
      <c r="K573" s="6">
        <v>0</v>
      </c>
      <c r="L573" s="6">
        <v>2.6150000000000002</v>
      </c>
      <c r="M573" s="6">
        <v>1.046</v>
      </c>
      <c r="N573" s="6">
        <v>2.6150000000000002</v>
      </c>
      <c r="O573" s="6">
        <v>1.046</v>
      </c>
      <c r="P573" s="6">
        <v>0</v>
      </c>
      <c r="Q573" s="4" t="s">
        <v>26</v>
      </c>
      <c r="R573" s="4">
        <v>0</v>
      </c>
      <c r="S573" s="6">
        <v>0</v>
      </c>
      <c r="T573" s="6">
        <v>29</v>
      </c>
      <c r="U573" s="6">
        <v>66</v>
      </c>
      <c r="V573" s="6">
        <f>IF(ISERROR(VLOOKUP($S$573,'TAR FIN'!$A$1:$O$85,15,0)),0,VLOOKUP($S$573,'TAR FIN'!$A$1:$O$85,15,0))</f>
        <v>0</v>
      </c>
      <c r="W573" s="6">
        <f>IF(ISERROR(VLOOKUP($T$573,'TAR FIN'!$A$1:$O$85,15,0)),0,VLOOKUP($T$573,'TAR FIN'!$A$1:$O$85,15,0))</f>
        <v>240.85</v>
      </c>
      <c r="X573" s="6">
        <f>IF(ISERROR(VLOOKUP($U$573,'TAR FIN'!$A$1:$O$85,15,0)),0,VLOOKUP($U$573,'TAR FIN'!$A$1:$O$85,15,0))</f>
        <v>231.7</v>
      </c>
      <c r="Y573" s="6"/>
      <c r="Z573" s="6">
        <f ca="1">('TUSD BE'!$AM$33+'TUSD BF'!$AM$33+'TUSD CVA'!$AM$33)*(1-CUSTOS!$M$38)</f>
        <v>300.89907966262189</v>
      </c>
      <c r="AA573" s="6">
        <f>('TE BE'!$AA$23+'TE BF'!$AA$23+'TE CVA'!$AA$23)*(1-CUSTOS!$M$38)</f>
        <v>198.0053374241497</v>
      </c>
      <c r="AB573" s="6">
        <f>$K$573*$V$573</f>
        <v>0</v>
      </c>
      <c r="AC573" s="6">
        <f>$M$573*$W$573</f>
        <v>251.92910000000001</v>
      </c>
      <c r="AD573" s="6">
        <f>$O$573*$X$573</f>
        <v>242.35820000000001</v>
      </c>
      <c r="AE573" s="6">
        <f>$K$573*$Y$573</f>
        <v>0</v>
      </c>
      <c r="AF573" s="6">
        <f ca="1">$M$573*$Z$573</f>
        <v>314.74043732710248</v>
      </c>
      <c r="AG573" s="6">
        <f>$O$573*$AA$573</f>
        <v>207.1135829456606</v>
      </c>
    </row>
    <row r="574" spans="1:33" ht="11.25" customHeight="1" x14ac:dyDescent="0.25">
      <c r="A574" s="4" t="s">
        <v>21</v>
      </c>
      <c r="B574" s="4" t="s">
        <v>43</v>
      </c>
      <c r="C574" s="4" t="s">
        <v>23</v>
      </c>
      <c r="D574" s="4" t="s">
        <v>44</v>
      </c>
      <c r="E574" s="4" t="s">
        <v>56</v>
      </c>
      <c r="F574" s="4" t="s">
        <v>55</v>
      </c>
      <c r="G574" s="4" t="s">
        <v>25</v>
      </c>
      <c r="H574" s="4" t="s">
        <v>25</v>
      </c>
      <c r="I574" s="5">
        <v>44501</v>
      </c>
      <c r="J574" s="6">
        <v>0</v>
      </c>
      <c r="K574" s="6">
        <v>0</v>
      </c>
      <c r="L574" s="6">
        <v>2.3199999999999998</v>
      </c>
      <c r="M574" s="6">
        <v>0.92800000000000005</v>
      </c>
      <c r="N574" s="6">
        <v>2.3199999999999998</v>
      </c>
      <c r="O574" s="6">
        <v>0.92800000000000005</v>
      </c>
      <c r="P574" s="6">
        <v>0</v>
      </c>
      <c r="Q574" s="4" t="s">
        <v>26</v>
      </c>
      <c r="R574" s="4">
        <v>0</v>
      </c>
      <c r="S574" s="6">
        <v>0</v>
      </c>
      <c r="T574" s="6">
        <v>29</v>
      </c>
      <c r="U574" s="6">
        <v>66</v>
      </c>
      <c r="V574" s="6">
        <f>IF(ISERROR(VLOOKUP($S$574,'TAR FIN'!$A$1:$O$85,15,0)),0,VLOOKUP($S$574,'TAR FIN'!$A$1:$O$85,15,0))</f>
        <v>0</v>
      </c>
      <c r="W574" s="6">
        <f>IF(ISERROR(VLOOKUP($T$574,'TAR FIN'!$A$1:$O$85,15,0)),0,VLOOKUP($T$574,'TAR FIN'!$A$1:$O$85,15,0))</f>
        <v>240.85</v>
      </c>
      <c r="X574" s="6">
        <f>IF(ISERROR(VLOOKUP($U$574,'TAR FIN'!$A$1:$O$85,15,0)),0,VLOOKUP($U$574,'TAR FIN'!$A$1:$O$85,15,0))</f>
        <v>231.7</v>
      </c>
      <c r="Y574" s="6"/>
      <c r="Z574" s="6">
        <f ca="1">('TUSD BE'!$AM$33+'TUSD BF'!$AM$33+'TUSD CVA'!$AM$33)*(1-CUSTOS!$M$38)</f>
        <v>300.89907966262189</v>
      </c>
      <c r="AA574" s="6">
        <f>('TE BE'!$AA$23+'TE BF'!$AA$23+'TE CVA'!$AA$23)*(1-CUSTOS!$M$38)</f>
        <v>198.0053374241497</v>
      </c>
      <c r="AB574" s="6">
        <f>$K$574*$V$574</f>
        <v>0</v>
      </c>
      <c r="AC574" s="6">
        <f>$M$574*$W$574</f>
        <v>223.50880000000001</v>
      </c>
      <c r="AD574" s="6">
        <f>$O$574*$X$574</f>
        <v>215.01759999999999</v>
      </c>
      <c r="AE574" s="6">
        <f>$K$574*$Y$574</f>
        <v>0</v>
      </c>
      <c r="AF574" s="6">
        <f ca="1">$M$574*$Z$574</f>
        <v>279.23434592691314</v>
      </c>
      <c r="AG574" s="6">
        <f>$O$574*$AA$574</f>
        <v>183.74895312961092</v>
      </c>
    </row>
    <row r="575" spans="1:33" ht="11.25" customHeight="1" x14ac:dyDescent="0.25">
      <c r="A575" s="4" t="s">
        <v>21</v>
      </c>
      <c r="B575" s="4" t="s">
        <v>43</v>
      </c>
      <c r="C575" s="4" t="s">
        <v>23</v>
      </c>
      <c r="D575" s="4" t="s">
        <v>44</v>
      </c>
      <c r="E575" s="4" t="s">
        <v>56</v>
      </c>
      <c r="F575" s="4" t="s">
        <v>55</v>
      </c>
      <c r="G575" s="4" t="s">
        <v>25</v>
      </c>
      <c r="H575" s="4" t="s">
        <v>25</v>
      </c>
      <c r="I575" s="5">
        <v>44531</v>
      </c>
      <c r="J575" s="6">
        <v>0</v>
      </c>
      <c r="K575" s="6">
        <v>0</v>
      </c>
      <c r="L575" s="6">
        <v>2.157</v>
      </c>
      <c r="M575" s="6">
        <v>0.86280000000000001</v>
      </c>
      <c r="N575" s="6">
        <v>2.157</v>
      </c>
      <c r="O575" s="6">
        <v>0.86280000000000001</v>
      </c>
      <c r="P575" s="6">
        <v>0</v>
      </c>
      <c r="Q575" s="4" t="s">
        <v>26</v>
      </c>
      <c r="R575" s="4">
        <v>0</v>
      </c>
      <c r="S575" s="6">
        <v>0</v>
      </c>
      <c r="T575" s="6">
        <v>29</v>
      </c>
      <c r="U575" s="6">
        <v>66</v>
      </c>
      <c r="V575" s="6">
        <f>IF(ISERROR(VLOOKUP($S$575,'TAR FIN'!$A$1:$O$85,15,0)),0,VLOOKUP($S$575,'TAR FIN'!$A$1:$O$85,15,0))</f>
        <v>0</v>
      </c>
      <c r="W575" s="6">
        <f>IF(ISERROR(VLOOKUP($T$575,'TAR FIN'!$A$1:$O$85,15,0)),0,VLOOKUP($T$575,'TAR FIN'!$A$1:$O$85,15,0))</f>
        <v>240.85</v>
      </c>
      <c r="X575" s="6">
        <f>IF(ISERROR(VLOOKUP($U$575,'TAR FIN'!$A$1:$O$85,15,0)),0,VLOOKUP($U$575,'TAR FIN'!$A$1:$O$85,15,0))</f>
        <v>231.7</v>
      </c>
      <c r="Y575" s="6"/>
      <c r="Z575" s="6">
        <f ca="1">('TUSD BE'!$AM$33+'TUSD BF'!$AM$33+'TUSD CVA'!$AM$33)*(1-CUSTOS!$M$38)</f>
        <v>300.89907966262189</v>
      </c>
      <c r="AA575" s="6">
        <f>('TE BE'!$AA$23+'TE BF'!$AA$23+'TE CVA'!$AA$23)*(1-CUSTOS!$M$38)</f>
        <v>198.0053374241497</v>
      </c>
      <c r="AB575" s="6">
        <f>$K$575*$V$575</f>
        <v>0</v>
      </c>
      <c r="AC575" s="6">
        <f>$M$575*$W$575</f>
        <v>207.80537999999999</v>
      </c>
      <c r="AD575" s="6">
        <f>$O$575*$X$575</f>
        <v>199.91075999999998</v>
      </c>
      <c r="AE575" s="6">
        <f>$K$575*$Y$575</f>
        <v>0</v>
      </c>
      <c r="AF575" s="6">
        <f ca="1">$M$575*$Z$575</f>
        <v>259.61572593291015</v>
      </c>
      <c r="AG575" s="6">
        <f>$O$575*$AA$575</f>
        <v>170.83900512955637</v>
      </c>
    </row>
    <row r="576" spans="1:33" ht="11.25" customHeight="1" x14ac:dyDescent="0.25">
      <c r="A576" s="4" t="s">
        <v>21</v>
      </c>
      <c r="B576" s="4" t="s">
        <v>43</v>
      </c>
      <c r="C576" s="4" t="s">
        <v>23</v>
      </c>
      <c r="D576" s="4" t="s">
        <v>44</v>
      </c>
      <c r="E576" s="4" t="s">
        <v>56</v>
      </c>
      <c r="F576" s="4" t="s">
        <v>55</v>
      </c>
      <c r="G576" s="4" t="s">
        <v>25</v>
      </c>
      <c r="H576" s="4" t="s">
        <v>25</v>
      </c>
      <c r="I576" s="5">
        <v>44562</v>
      </c>
      <c r="J576" s="6">
        <v>0</v>
      </c>
      <c r="K576" s="6">
        <v>0</v>
      </c>
      <c r="L576" s="6">
        <v>1.97</v>
      </c>
      <c r="M576" s="6">
        <v>0.78800000000000003</v>
      </c>
      <c r="N576" s="6">
        <v>1.97</v>
      </c>
      <c r="O576" s="6">
        <v>0.78800000000000003</v>
      </c>
      <c r="P576" s="6">
        <v>0</v>
      </c>
      <c r="Q576" s="4" t="s">
        <v>26</v>
      </c>
      <c r="R576" s="4">
        <v>0</v>
      </c>
      <c r="S576" s="6">
        <v>0</v>
      </c>
      <c r="T576" s="6">
        <v>29</v>
      </c>
      <c r="U576" s="6">
        <v>66</v>
      </c>
      <c r="V576" s="6">
        <f>IF(ISERROR(VLOOKUP($S$576,'TAR FIN'!$A$1:$O$85,15,0)),0,VLOOKUP($S$576,'TAR FIN'!$A$1:$O$85,15,0))</f>
        <v>0</v>
      </c>
      <c r="W576" s="6">
        <f>IF(ISERROR(VLOOKUP($T$576,'TAR FIN'!$A$1:$O$85,15,0)),0,VLOOKUP($T$576,'TAR FIN'!$A$1:$O$85,15,0))</f>
        <v>240.85</v>
      </c>
      <c r="X576" s="6">
        <f>IF(ISERROR(VLOOKUP($U$576,'TAR FIN'!$A$1:$O$85,15,0)),0,VLOOKUP($U$576,'TAR FIN'!$A$1:$O$85,15,0))</f>
        <v>231.7</v>
      </c>
      <c r="Y576" s="6"/>
      <c r="Z576" s="6">
        <f ca="1">('TUSD BE'!$AM$33+'TUSD BF'!$AM$33+'TUSD CVA'!$AM$33)*(1-CUSTOS!$M$38)</f>
        <v>300.89907966262189</v>
      </c>
      <c r="AA576" s="6">
        <f>('TE BE'!$AA$23+'TE BF'!$AA$23+'TE CVA'!$AA$23)*(1-CUSTOS!$M$38)</f>
        <v>198.0053374241497</v>
      </c>
      <c r="AB576" s="6">
        <f>$K$576*$V$576</f>
        <v>0</v>
      </c>
      <c r="AC576" s="6">
        <f>$M$576*$W$576</f>
        <v>189.78980000000001</v>
      </c>
      <c r="AD576" s="6">
        <f>$O$576*$X$576</f>
        <v>182.5796</v>
      </c>
      <c r="AE576" s="6">
        <f>$K$576*$Y$576</f>
        <v>0</v>
      </c>
      <c r="AF576" s="6">
        <f ca="1">$M$576*$Z$576</f>
        <v>237.10847477414606</v>
      </c>
      <c r="AG576" s="6">
        <f>$O$576*$AA$576</f>
        <v>156.02820589022997</v>
      </c>
    </row>
    <row r="577" spans="1:33" ht="11.25" customHeight="1" x14ac:dyDescent="0.25">
      <c r="A577" s="4" t="s">
        <v>21</v>
      </c>
      <c r="B577" s="4" t="s">
        <v>43</v>
      </c>
      <c r="C577" s="4" t="s">
        <v>23</v>
      </c>
      <c r="D577" s="4" t="s">
        <v>44</v>
      </c>
      <c r="E577" s="4" t="s">
        <v>56</v>
      </c>
      <c r="F577" s="4" t="s">
        <v>55</v>
      </c>
      <c r="G577" s="4" t="s">
        <v>25</v>
      </c>
      <c r="H577" s="4" t="s">
        <v>25</v>
      </c>
      <c r="I577" s="5">
        <v>44593</v>
      </c>
      <c r="J577" s="6">
        <v>0</v>
      </c>
      <c r="K577" s="6">
        <v>0</v>
      </c>
      <c r="L577" s="6">
        <v>1.798</v>
      </c>
      <c r="M577" s="6">
        <v>0.71919999999999995</v>
      </c>
      <c r="N577" s="6">
        <v>1.798</v>
      </c>
      <c r="O577" s="6">
        <v>0.71919999999999995</v>
      </c>
      <c r="P577" s="6">
        <v>0</v>
      </c>
      <c r="Q577" s="4" t="s">
        <v>26</v>
      </c>
      <c r="R577" s="4">
        <v>0</v>
      </c>
      <c r="S577" s="6">
        <v>0</v>
      </c>
      <c r="T577" s="6">
        <v>29</v>
      </c>
      <c r="U577" s="6">
        <v>66</v>
      </c>
      <c r="V577" s="6">
        <f>IF(ISERROR(VLOOKUP($S$577,'TAR FIN'!$A$1:$O$85,15,0)),0,VLOOKUP($S$577,'TAR FIN'!$A$1:$O$85,15,0))</f>
        <v>0</v>
      </c>
      <c r="W577" s="6">
        <f>IF(ISERROR(VLOOKUP($T$577,'TAR FIN'!$A$1:$O$85,15,0)),0,VLOOKUP($T$577,'TAR FIN'!$A$1:$O$85,15,0))</f>
        <v>240.85</v>
      </c>
      <c r="X577" s="6">
        <f>IF(ISERROR(VLOOKUP($U$577,'TAR FIN'!$A$1:$O$85,15,0)),0,VLOOKUP($U$577,'TAR FIN'!$A$1:$O$85,15,0))</f>
        <v>231.7</v>
      </c>
      <c r="Y577" s="6"/>
      <c r="Z577" s="6">
        <f ca="1">('TUSD BE'!$AM$33+'TUSD BF'!$AM$33+'TUSD CVA'!$AM$33)*(1-CUSTOS!$M$38)</f>
        <v>300.89907966262189</v>
      </c>
      <c r="AA577" s="6">
        <f>('TE BE'!$AA$23+'TE BF'!$AA$23+'TE CVA'!$AA$23)*(1-CUSTOS!$M$38)</f>
        <v>198.0053374241497</v>
      </c>
      <c r="AB577" s="6">
        <f>$K$577*$V$577</f>
        <v>0</v>
      </c>
      <c r="AC577" s="6">
        <f>$M$577*$W$577</f>
        <v>173.21931999999998</v>
      </c>
      <c r="AD577" s="6">
        <f>$O$577*$X$577</f>
        <v>166.63863999999998</v>
      </c>
      <c r="AE577" s="6">
        <f>$K$577*$Y$577</f>
        <v>0</v>
      </c>
      <c r="AF577" s="6">
        <f ca="1">$M$577*$Z$577</f>
        <v>216.40661809335765</v>
      </c>
      <c r="AG577" s="6">
        <f>$O$577*$AA$577</f>
        <v>142.40543867544847</v>
      </c>
    </row>
    <row r="578" spans="1:33" ht="11.25" customHeight="1" x14ac:dyDescent="0.25">
      <c r="A578" s="4" t="s">
        <v>21</v>
      </c>
      <c r="B578" s="4" t="s">
        <v>43</v>
      </c>
      <c r="C578" s="4" t="s">
        <v>23</v>
      </c>
      <c r="D578" s="4" t="s">
        <v>44</v>
      </c>
      <c r="E578" s="4" t="s">
        <v>56</v>
      </c>
      <c r="F578" s="4" t="s">
        <v>55</v>
      </c>
      <c r="G578" s="4" t="s">
        <v>25</v>
      </c>
      <c r="H578" s="4" t="s">
        <v>25</v>
      </c>
      <c r="I578" s="5">
        <v>44621</v>
      </c>
      <c r="J578" s="6">
        <v>0</v>
      </c>
      <c r="K578" s="6">
        <v>0</v>
      </c>
      <c r="L578" s="6">
        <v>1.7749999999999999</v>
      </c>
      <c r="M578" s="6">
        <v>0.71</v>
      </c>
      <c r="N578" s="6">
        <v>1.7749999999999999</v>
      </c>
      <c r="O578" s="6">
        <v>0.71</v>
      </c>
      <c r="P578" s="6">
        <v>0</v>
      </c>
      <c r="Q578" s="4" t="s">
        <v>26</v>
      </c>
      <c r="R578" s="4">
        <v>0</v>
      </c>
      <c r="S578" s="6">
        <v>0</v>
      </c>
      <c r="T578" s="6">
        <v>29</v>
      </c>
      <c r="U578" s="6">
        <v>66</v>
      </c>
      <c r="V578" s="6">
        <f>IF(ISERROR(VLOOKUP($S$578,'TAR FIN'!$A$1:$O$85,15,0)),0,VLOOKUP($S$578,'TAR FIN'!$A$1:$O$85,15,0))</f>
        <v>0</v>
      </c>
      <c r="W578" s="6">
        <f>IF(ISERROR(VLOOKUP($T$578,'TAR FIN'!$A$1:$O$85,15,0)),0,VLOOKUP($T$578,'TAR FIN'!$A$1:$O$85,15,0))</f>
        <v>240.85</v>
      </c>
      <c r="X578" s="6">
        <f>IF(ISERROR(VLOOKUP($U$578,'TAR FIN'!$A$1:$O$85,15,0)),0,VLOOKUP($U$578,'TAR FIN'!$A$1:$O$85,15,0))</f>
        <v>231.7</v>
      </c>
      <c r="Y578" s="6"/>
      <c r="Z578" s="6">
        <f ca="1">('TUSD BE'!$AM$33+'TUSD BF'!$AM$33+'TUSD CVA'!$AM$33)*(1-CUSTOS!$M$38)</f>
        <v>300.89907966262189</v>
      </c>
      <c r="AA578" s="6">
        <f>('TE BE'!$AA$23+'TE BF'!$AA$23+'TE CVA'!$AA$23)*(1-CUSTOS!$M$38)</f>
        <v>198.0053374241497</v>
      </c>
      <c r="AB578" s="6">
        <f>$K$578*$V$578</f>
        <v>0</v>
      </c>
      <c r="AC578" s="6">
        <f>$M$578*$W$578</f>
        <v>171.00349999999997</v>
      </c>
      <c r="AD578" s="6">
        <f>$O$578*$X$578</f>
        <v>164.50699999999998</v>
      </c>
      <c r="AE578" s="6">
        <f>$K$578*$Y$578</f>
        <v>0</v>
      </c>
      <c r="AF578" s="6">
        <f ca="1">$M$578*$Z$578</f>
        <v>213.63834656046154</v>
      </c>
      <c r="AG578" s="6">
        <f>$O$578*$AA$578</f>
        <v>140.58378957114627</v>
      </c>
    </row>
    <row r="579" spans="1:33" ht="11.25" customHeight="1" x14ac:dyDescent="0.25">
      <c r="A579" s="4" t="s">
        <v>21</v>
      </c>
      <c r="B579" s="4" t="s">
        <v>43</v>
      </c>
      <c r="C579" s="4" t="s">
        <v>23</v>
      </c>
      <c r="D579" s="4" t="s">
        <v>44</v>
      </c>
      <c r="E579" s="4" t="s">
        <v>56</v>
      </c>
      <c r="F579" s="4" t="s">
        <v>55</v>
      </c>
      <c r="G579" s="4" t="s">
        <v>25</v>
      </c>
      <c r="H579" s="4" t="s">
        <v>25</v>
      </c>
      <c r="I579" s="5">
        <v>44652</v>
      </c>
      <c r="J579" s="6">
        <v>0</v>
      </c>
      <c r="K579" s="6">
        <v>0</v>
      </c>
      <c r="L579" s="6">
        <v>1.724</v>
      </c>
      <c r="M579" s="6">
        <v>0.68959999999999999</v>
      </c>
      <c r="N579" s="6">
        <v>1.724</v>
      </c>
      <c r="O579" s="6">
        <v>0.68959999999999999</v>
      </c>
      <c r="P579" s="6">
        <v>0</v>
      </c>
      <c r="Q579" s="4" t="s">
        <v>26</v>
      </c>
      <c r="R579" s="4">
        <v>0</v>
      </c>
      <c r="S579" s="6">
        <v>0</v>
      </c>
      <c r="T579" s="6">
        <v>29</v>
      </c>
      <c r="U579" s="6">
        <v>66</v>
      </c>
      <c r="V579" s="6">
        <f>IF(ISERROR(VLOOKUP($S$579,'TAR FIN'!$A$1:$O$85,15,0)),0,VLOOKUP($S$579,'TAR FIN'!$A$1:$O$85,15,0))</f>
        <v>0</v>
      </c>
      <c r="W579" s="6">
        <f>IF(ISERROR(VLOOKUP($T$579,'TAR FIN'!$A$1:$O$85,15,0)),0,VLOOKUP($T$579,'TAR FIN'!$A$1:$O$85,15,0))</f>
        <v>240.85</v>
      </c>
      <c r="X579" s="6">
        <f>IF(ISERROR(VLOOKUP($U$579,'TAR FIN'!$A$1:$O$85,15,0)),0,VLOOKUP($U$579,'TAR FIN'!$A$1:$O$85,15,0))</f>
        <v>231.7</v>
      </c>
      <c r="Y579" s="6"/>
      <c r="Z579" s="6">
        <f ca="1">('TUSD BE'!$AM$33+'TUSD BF'!$AM$33+'TUSD CVA'!$AM$33)*(1-CUSTOS!$M$38)</f>
        <v>300.89907966262189</v>
      </c>
      <c r="AA579" s="6">
        <f>('TE BE'!$AA$23+'TE BF'!$AA$23+'TE CVA'!$AA$23)*(1-CUSTOS!$M$38)</f>
        <v>198.0053374241497</v>
      </c>
      <c r="AB579" s="6">
        <f>$K$579*$V$579</f>
        <v>0</v>
      </c>
      <c r="AC579" s="6">
        <f>$M$579*$W$579</f>
        <v>166.09016</v>
      </c>
      <c r="AD579" s="6">
        <f>$O$579*$X$579</f>
        <v>159.78031999999999</v>
      </c>
      <c r="AE579" s="6">
        <f>$K$579*$Y$579</f>
        <v>0</v>
      </c>
      <c r="AF579" s="6">
        <f ca="1">$M$579*$Z$579</f>
        <v>207.50000533534404</v>
      </c>
      <c r="AG579" s="6">
        <f>$O$579*$AA$579</f>
        <v>136.54448068769364</v>
      </c>
    </row>
    <row r="580" spans="1:33" ht="11.25" customHeight="1" x14ac:dyDescent="0.25">
      <c r="A580" s="4" t="s">
        <v>21</v>
      </c>
      <c r="B580" s="4" t="s">
        <v>43</v>
      </c>
      <c r="C580" s="4" t="s">
        <v>23</v>
      </c>
      <c r="D580" s="4" t="s">
        <v>44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44317</v>
      </c>
      <c r="J580" s="6">
        <v>0</v>
      </c>
      <c r="K580" s="6">
        <v>0</v>
      </c>
      <c r="L580" s="6">
        <v>3126.35</v>
      </c>
      <c r="M580" s="6">
        <v>3126.35</v>
      </c>
      <c r="N580" s="6">
        <v>3126.35</v>
      </c>
      <c r="O580" s="6">
        <v>3126.35</v>
      </c>
      <c r="P580" s="6">
        <v>2694</v>
      </c>
      <c r="Q580" s="4" t="s">
        <v>26</v>
      </c>
      <c r="R580" s="4">
        <v>0</v>
      </c>
      <c r="S580" s="6">
        <v>0</v>
      </c>
      <c r="T580" s="6">
        <v>29</v>
      </c>
      <c r="U580" s="6">
        <v>66</v>
      </c>
      <c r="V580" s="6">
        <f>IF(ISERROR(VLOOKUP($S$580,'TAR FIN'!$A$1:$O$85,15,0)),0,VLOOKUP($S$580,'TAR FIN'!$A$1:$O$85,15,0))</f>
        <v>0</v>
      </c>
      <c r="W580" s="6">
        <f>IF(ISERROR(VLOOKUP($T$580,'TAR FIN'!$A$1:$O$85,15,0)),0,VLOOKUP($T$580,'TAR FIN'!$A$1:$O$85,15,0))</f>
        <v>240.85</v>
      </c>
      <c r="X580" s="6">
        <f>IF(ISERROR(VLOOKUP($U$580,'TAR FIN'!$A$1:$O$85,15,0)),0,VLOOKUP($U$580,'TAR FIN'!$A$1:$O$85,15,0))</f>
        <v>231.7</v>
      </c>
      <c r="Y580" s="6"/>
      <c r="Z580" s="6">
        <f ca="1">('TUSD BE'!$AM$33+'TUSD BF'!$AM$33+'TUSD CVA'!$AM$33)*(1-CUSTOS!$M$38)</f>
        <v>300.89907966262189</v>
      </c>
      <c r="AA580" s="6">
        <f>('TE BE'!$AA$23+'TE BF'!$AA$23+'TE CVA'!$AA$23)*(1-CUSTOS!$M$38)</f>
        <v>198.0053374241497</v>
      </c>
      <c r="AB580" s="6">
        <f>$K$580*$V$580</f>
        <v>0</v>
      </c>
      <c r="AC580" s="6">
        <f>$M$580*$W$580</f>
        <v>752981.39749999996</v>
      </c>
      <c r="AD580" s="6">
        <f>$O$580*$X$580</f>
        <v>724375.29499999993</v>
      </c>
      <c r="AE580" s="6">
        <f>$K$580*$Y$580</f>
        <v>0</v>
      </c>
      <c r="AF580" s="6">
        <f ca="1">$M$580*$Z$580</f>
        <v>940715.83770323789</v>
      </c>
      <c r="AG580" s="6">
        <f>$O$580*$AA$580</f>
        <v>619033.98665599036</v>
      </c>
    </row>
    <row r="581" spans="1:33" ht="11.25" customHeight="1" x14ac:dyDescent="0.25">
      <c r="A581" s="4" t="s">
        <v>27</v>
      </c>
      <c r="B581" s="4" t="s">
        <v>43</v>
      </c>
      <c r="C581" s="4" t="s">
        <v>23</v>
      </c>
      <c r="D581" s="4" t="s">
        <v>44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44317</v>
      </c>
      <c r="J581" s="6">
        <v>0</v>
      </c>
      <c r="K581" s="6">
        <v>0</v>
      </c>
      <c r="L581" s="6">
        <v>-8.8789999999999996</v>
      </c>
      <c r="M581" s="6">
        <v>-8.8789999999999996</v>
      </c>
      <c r="N581" s="6">
        <v>-8.8789999999999996</v>
      </c>
      <c r="O581" s="6">
        <v>-8.8789999999999996</v>
      </c>
      <c r="P581" s="6">
        <v>0</v>
      </c>
      <c r="Q581" s="4" t="s">
        <v>26</v>
      </c>
      <c r="R581" s="4">
        <v>0</v>
      </c>
      <c r="S581" s="6">
        <v>0</v>
      </c>
      <c r="T581" s="6">
        <v>29</v>
      </c>
      <c r="U581" s="6">
        <v>66</v>
      </c>
      <c r="V581" s="6">
        <f>IF(ISERROR(VLOOKUP($S$581,'TAR FIN'!$A$1:$O$85,15,0)),0,VLOOKUP($S$581,'TAR FIN'!$A$1:$O$85,15,0))</f>
        <v>0</v>
      </c>
      <c r="W581" s="6">
        <f>IF(ISERROR(VLOOKUP($T$581,'TAR FIN'!$A$1:$O$85,15,0)),0,VLOOKUP($T$581,'TAR FIN'!$A$1:$O$85,15,0))</f>
        <v>240.85</v>
      </c>
      <c r="X581" s="6">
        <f>IF(ISERROR(VLOOKUP($U$581,'TAR FIN'!$A$1:$O$85,15,0)),0,VLOOKUP($U$581,'TAR FIN'!$A$1:$O$85,15,0))</f>
        <v>231.7</v>
      </c>
      <c r="Y581" s="6"/>
      <c r="Z581" s="6">
        <f ca="1">('TUSD BE'!$AM$33+'TUSD BF'!$AM$33+'TUSD CVA'!$AM$33)*(1-CUSTOS!$M$38)</f>
        <v>300.89907966262189</v>
      </c>
      <c r="AA581" s="6">
        <f>('TE BE'!$AA$23+'TE BF'!$AA$23+'TE CVA'!$AA$23)*(1-CUSTOS!$M$38)</f>
        <v>198.0053374241497</v>
      </c>
      <c r="AB581" s="6">
        <f>$K$581*$V$581</f>
        <v>0</v>
      </c>
      <c r="AC581" s="6">
        <f>$M$581*$W$581</f>
        <v>-2138.5071499999999</v>
      </c>
      <c r="AD581" s="6">
        <f>$O$581*$X$581</f>
        <v>-2057.2642999999998</v>
      </c>
      <c r="AE581" s="6">
        <f>$K$581*$Y$581</f>
        <v>0</v>
      </c>
      <c r="AF581" s="6">
        <f ca="1">$M$581*$Z$581</f>
        <v>-2671.6829283244197</v>
      </c>
      <c r="AG581" s="6">
        <f>$O$581*$AA$581</f>
        <v>-1758.0893909890251</v>
      </c>
    </row>
    <row r="582" spans="1:33" ht="11.25" customHeight="1" x14ac:dyDescent="0.25">
      <c r="A582" s="4" t="s">
        <v>28</v>
      </c>
      <c r="B582" s="4" t="s">
        <v>43</v>
      </c>
      <c r="C582" s="4" t="s">
        <v>23</v>
      </c>
      <c r="D582" s="4" t="s">
        <v>44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44317</v>
      </c>
      <c r="J582" s="6">
        <v>0</v>
      </c>
      <c r="K582" s="6">
        <v>0</v>
      </c>
      <c r="L582" s="6">
        <v>37.948</v>
      </c>
      <c r="M582" s="6">
        <v>37.948</v>
      </c>
      <c r="N582" s="6">
        <v>37.948</v>
      </c>
      <c r="O582" s="6">
        <v>37.948</v>
      </c>
      <c r="P582" s="6">
        <v>66</v>
      </c>
      <c r="Q582" s="4" t="s">
        <v>26</v>
      </c>
      <c r="R582" s="4">
        <v>0</v>
      </c>
      <c r="S582" s="6">
        <v>0</v>
      </c>
      <c r="T582" s="6">
        <v>29</v>
      </c>
      <c r="U582" s="6">
        <v>66</v>
      </c>
      <c r="V582" s="6">
        <f>IF(ISERROR(VLOOKUP($S$582,'TAR FIN'!$A$1:$O$85,15,0)),0,VLOOKUP($S$582,'TAR FIN'!$A$1:$O$85,15,0))</f>
        <v>0</v>
      </c>
      <c r="W582" s="6">
        <f>IF(ISERROR(VLOOKUP($T$582,'TAR FIN'!$A$1:$O$85,15,0)),0,VLOOKUP($T$582,'TAR FIN'!$A$1:$O$85,15,0))</f>
        <v>240.85</v>
      </c>
      <c r="X582" s="6">
        <f>IF(ISERROR(VLOOKUP($U$582,'TAR FIN'!$A$1:$O$85,15,0)),0,VLOOKUP($U$582,'TAR FIN'!$A$1:$O$85,15,0))</f>
        <v>231.7</v>
      </c>
      <c r="Y582" s="6"/>
      <c r="Z582" s="6">
        <f ca="1">('TUSD BE'!$AM$33+'TUSD BF'!$AM$33+'TUSD CVA'!$AM$33)*(1-CUSTOS!$M$38)</f>
        <v>300.89907966262189</v>
      </c>
      <c r="AA582" s="6">
        <f>('TE BE'!$AA$23+'TE BF'!$AA$23+'TE CVA'!$AA$23)*(1-CUSTOS!$M$38)</f>
        <v>198.0053374241497</v>
      </c>
      <c r="AB582" s="6">
        <f>$K$582*$V$582</f>
        <v>0</v>
      </c>
      <c r="AC582" s="6">
        <f>$M$582*$W$582</f>
        <v>9139.7757999999994</v>
      </c>
      <c r="AD582" s="6">
        <f>$O$582*$X$582</f>
        <v>8792.5515999999989</v>
      </c>
      <c r="AE582" s="6">
        <f>$K$582*$Y$582</f>
        <v>0</v>
      </c>
      <c r="AF582" s="6">
        <f ca="1">$M$582*$Z$582</f>
        <v>11418.518275037175</v>
      </c>
      <c r="AG582" s="6">
        <f>$O$582*$AA$582</f>
        <v>7513.9065445716333</v>
      </c>
    </row>
    <row r="583" spans="1:33" ht="11.25" customHeight="1" x14ac:dyDescent="0.25">
      <c r="A583" s="4" t="s">
        <v>21</v>
      </c>
      <c r="B583" s="4" t="s">
        <v>43</v>
      </c>
      <c r="C583" s="4" t="s">
        <v>23</v>
      </c>
      <c r="D583" s="4" t="s">
        <v>44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44348</v>
      </c>
      <c r="J583" s="6">
        <v>0</v>
      </c>
      <c r="K583" s="6">
        <v>0</v>
      </c>
      <c r="L583" s="6">
        <v>2842.0070000000001</v>
      </c>
      <c r="M583" s="6">
        <v>2842.0070000000001</v>
      </c>
      <c r="N583" s="6">
        <v>2842.0070000000001</v>
      </c>
      <c r="O583" s="6">
        <v>2842.0070000000001</v>
      </c>
      <c r="P583" s="6">
        <v>2664</v>
      </c>
      <c r="Q583" s="4" t="s">
        <v>26</v>
      </c>
      <c r="R583" s="4">
        <v>0</v>
      </c>
      <c r="S583" s="6">
        <v>0</v>
      </c>
      <c r="T583" s="6">
        <v>29</v>
      </c>
      <c r="U583" s="6">
        <v>66</v>
      </c>
      <c r="V583" s="6">
        <f>IF(ISERROR(VLOOKUP($S$583,'TAR FIN'!$A$1:$O$85,15,0)),0,VLOOKUP($S$583,'TAR FIN'!$A$1:$O$85,15,0))</f>
        <v>0</v>
      </c>
      <c r="W583" s="6">
        <f>IF(ISERROR(VLOOKUP($T$583,'TAR FIN'!$A$1:$O$85,15,0)),0,VLOOKUP($T$583,'TAR FIN'!$A$1:$O$85,15,0))</f>
        <v>240.85</v>
      </c>
      <c r="X583" s="6">
        <f>IF(ISERROR(VLOOKUP($U$583,'TAR FIN'!$A$1:$O$85,15,0)),0,VLOOKUP($U$583,'TAR FIN'!$A$1:$O$85,15,0))</f>
        <v>231.7</v>
      </c>
      <c r="Y583" s="6"/>
      <c r="Z583" s="6">
        <f ca="1">('TUSD BE'!$AM$33+'TUSD BF'!$AM$33+'TUSD CVA'!$AM$33)*(1-CUSTOS!$M$38)</f>
        <v>300.89907966262189</v>
      </c>
      <c r="AA583" s="6">
        <f>('TE BE'!$AA$23+'TE BF'!$AA$23+'TE CVA'!$AA$23)*(1-CUSTOS!$M$38)</f>
        <v>198.0053374241497</v>
      </c>
      <c r="AB583" s="6">
        <f>$K$583*$V$583</f>
        <v>0</v>
      </c>
      <c r="AC583" s="6">
        <f>$M$583*$W$583</f>
        <v>684497.38595000003</v>
      </c>
      <c r="AD583" s="6">
        <f>$O$583*$X$583</f>
        <v>658493.02189999993</v>
      </c>
      <c r="AE583" s="6">
        <f>$K$583*$Y$583</f>
        <v>0</v>
      </c>
      <c r="AF583" s="6">
        <f ca="1">$M$583*$Z$583</f>
        <v>855157.29069472908</v>
      </c>
      <c r="AG583" s="6">
        <f>$O$583*$AA$583</f>
        <v>562732.55499679549</v>
      </c>
    </row>
    <row r="584" spans="1:33" ht="11.25" customHeight="1" x14ac:dyDescent="0.25">
      <c r="A584" s="4" t="s">
        <v>28</v>
      </c>
      <c r="B584" s="4" t="s">
        <v>43</v>
      </c>
      <c r="C584" s="4" t="s">
        <v>23</v>
      </c>
      <c r="D584" s="4" t="s">
        <v>44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44348</v>
      </c>
      <c r="J584" s="6">
        <v>0</v>
      </c>
      <c r="K584" s="6">
        <v>0</v>
      </c>
      <c r="L584" s="6">
        <v>71.721999999999994</v>
      </c>
      <c r="M584" s="6">
        <v>71.721999999999994</v>
      </c>
      <c r="N584" s="6">
        <v>71.721999999999994</v>
      </c>
      <c r="O584" s="6">
        <v>71.721999999999994</v>
      </c>
      <c r="P584" s="6">
        <v>72</v>
      </c>
      <c r="Q584" s="4" t="s">
        <v>26</v>
      </c>
      <c r="R584" s="4">
        <v>0</v>
      </c>
      <c r="S584" s="6">
        <v>0</v>
      </c>
      <c r="T584" s="6">
        <v>29</v>
      </c>
      <c r="U584" s="6">
        <v>66</v>
      </c>
      <c r="V584" s="6">
        <f>IF(ISERROR(VLOOKUP($S$584,'TAR FIN'!$A$1:$O$85,15,0)),0,VLOOKUP($S$584,'TAR FIN'!$A$1:$O$85,15,0))</f>
        <v>0</v>
      </c>
      <c r="W584" s="6">
        <f>IF(ISERROR(VLOOKUP($T$584,'TAR FIN'!$A$1:$O$85,15,0)),0,VLOOKUP($T$584,'TAR FIN'!$A$1:$O$85,15,0))</f>
        <v>240.85</v>
      </c>
      <c r="X584" s="6">
        <f>IF(ISERROR(VLOOKUP($U$584,'TAR FIN'!$A$1:$O$85,15,0)),0,VLOOKUP($U$584,'TAR FIN'!$A$1:$O$85,15,0))</f>
        <v>231.7</v>
      </c>
      <c r="Y584" s="6"/>
      <c r="Z584" s="6">
        <f ca="1">('TUSD BE'!$AM$33+'TUSD BF'!$AM$33+'TUSD CVA'!$AM$33)*(1-CUSTOS!$M$38)</f>
        <v>300.89907966262189</v>
      </c>
      <c r="AA584" s="6">
        <f>('TE BE'!$AA$23+'TE BF'!$AA$23+'TE CVA'!$AA$23)*(1-CUSTOS!$M$38)</f>
        <v>198.0053374241497</v>
      </c>
      <c r="AB584" s="6">
        <f>$K$584*$V$584</f>
        <v>0</v>
      </c>
      <c r="AC584" s="6">
        <f>$M$584*$W$584</f>
        <v>17274.243699999999</v>
      </c>
      <c r="AD584" s="6">
        <f>$O$584*$X$584</f>
        <v>16617.987399999998</v>
      </c>
      <c r="AE584" s="6">
        <f>$K$584*$Y$584</f>
        <v>0</v>
      </c>
      <c r="AF584" s="6">
        <f ca="1">$M$584*$Z$584</f>
        <v>21581.083791562563</v>
      </c>
      <c r="AG584" s="6">
        <f>$O$584*$AA$584</f>
        <v>14201.338810734864</v>
      </c>
    </row>
    <row r="585" spans="1:33" ht="11.25" customHeight="1" x14ac:dyDescent="0.25">
      <c r="A585" s="4" t="s">
        <v>21</v>
      </c>
      <c r="B585" s="4" t="s">
        <v>43</v>
      </c>
      <c r="C585" s="4" t="s">
        <v>23</v>
      </c>
      <c r="D585" s="4" t="s">
        <v>44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44378</v>
      </c>
      <c r="J585" s="6">
        <v>0</v>
      </c>
      <c r="K585" s="6">
        <v>0</v>
      </c>
      <c r="L585" s="6">
        <v>2702.8150000000001</v>
      </c>
      <c r="M585" s="6">
        <v>2702.8150000000001</v>
      </c>
      <c r="N585" s="6">
        <v>2702.8150000000001</v>
      </c>
      <c r="O585" s="6">
        <v>2702.8150000000001</v>
      </c>
      <c r="P585" s="6">
        <v>2654</v>
      </c>
      <c r="Q585" s="4" t="s">
        <v>26</v>
      </c>
      <c r="R585" s="4">
        <v>0</v>
      </c>
      <c r="S585" s="6">
        <v>0</v>
      </c>
      <c r="T585" s="6">
        <v>29</v>
      </c>
      <c r="U585" s="6">
        <v>66</v>
      </c>
      <c r="V585" s="6">
        <f>IF(ISERROR(VLOOKUP($S$585,'TAR FIN'!$A$1:$O$85,15,0)),0,VLOOKUP($S$585,'TAR FIN'!$A$1:$O$85,15,0))</f>
        <v>0</v>
      </c>
      <c r="W585" s="6">
        <f>IF(ISERROR(VLOOKUP($T$585,'TAR FIN'!$A$1:$O$85,15,0)),0,VLOOKUP($T$585,'TAR FIN'!$A$1:$O$85,15,0))</f>
        <v>240.85</v>
      </c>
      <c r="X585" s="6">
        <f>IF(ISERROR(VLOOKUP($U$585,'TAR FIN'!$A$1:$O$85,15,0)),0,VLOOKUP($U$585,'TAR FIN'!$A$1:$O$85,15,0))</f>
        <v>231.7</v>
      </c>
      <c r="Y585" s="6"/>
      <c r="Z585" s="6">
        <f ca="1">('TUSD BE'!$AM$33+'TUSD BF'!$AM$33+'TUSD CVA'!$AM$33)*(1-CUSTOS!$M$38)</f>
        <v>300.89907966262189</v>
      </c>
      <c r="AA585" s="6">
        <f>('TE BE'!$AA$23+'TE BF'!$AA$23+'TE CVA'!$AA$23)*(1-CUSTOS!$M$38)</f>
        <v>198.0053374241497</v>
      </c>
      <c r="AB585" s="6">
        <f>$K$585*$V$585</f>
        <v>0</v>
      </c>
      <c r="AC585" s="6">
        <f>$M$585*$W$585</f>
        <v>650972.99274999998</v>
      </c>
      <c r="AD585" s="6">
        <f>$O$585*$X$585</f>
        <v>626242.23549999995</v>
      </c>
      <c r="AE585" s="6">
        <f>$K$585*$Y$585</f>
        <v>0</v>
      </c>
      <c r="AF585" s="6">
        <f ca="1">$M$585*$Z$585</f>
        <v>813274.54599832941</v>
      </c>
      <c r="AG585" s="6">
        <f>$O$585*$AA$585</f>
        <v>535171.79607005324</v>
      </c>
    </row>
    <row r="586" spans="1:33" ht="11.25" customHeight="1" x14ac:dyDescent="0.25">
      <c r="A586" s="4" t="s">
        <v>27</v>
      </c>
      <c r="B586" s="4" t="s">
        <v>43</v>
      </c>
      <c r="C586" s="4" t="s">
        <v>23</v>
      </c>
      <c r="D586" s="4" t="s">
        <v>44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44378</v>
      </c>
      <c r="J586" s="6">
        <v>0</v>
      </c>
      <c r="K586" s="6">
        <v>0</v>
      </c>
      <c r="L586" s="6">
        <v>-26.428999999999998</v>
      </c>
      <c r="M586" s="6">
        <v>-26.428999999999998</v>
      </c>
      <c r="N586" s="6">
        <v>-26.428999999999998</v>
      </c>
      <c r="O586" s="6">
        <v>-26.428999999999998</v>
      </c>
      <c r="P586" s="6">
        <v>0</v>
      </c>
      <c r="Q586" s="4" t="s">
        <v>26</v>
      </c>
      <c r="R586" s="4">
        <v>0</v>
      </c>
      <c r="S586" s="6">
        <v>0</v>
      </c>
      <c r="T586" s="6">
        <v>29</v>
      </c>
      <c r="U586" s="6">
        <v>66</v>
      </c>
      <c r="V586" s="6">
        <f>IF(ISERROR(VLOOKUP($S$586,'TAR FIN'!$A$1:$O$85,15,0)),0,VLOOKUP($S$586,'TAR FIN'!$A$1:$O$85,15,0))</f>
        <v>0</v>
      </c>
      <c r="W586" s="6">
        <f>IF(ISERROR(VLOOKUP($T$586,'TAR FIN'!$A$1:$O$85,15,0)),0,VLOOKUP($T$586,'TAR FIN'!$A$1:$O$85,15,0))</f>
        <v>240.85</v>
      </c>
      <c r="X586" s="6">
        <f>IF(ISERROR(VLOOKUP($U$586,'TAR FIN'!$A$1:$O$85,15,0)),0,VLOOKUP($U$586,'TAR FIN'!$A$1:$O$85,15,0))</f>
        <v>231.7</v>
      </c>
      <c r="Y586" s="6"/>
      <c r="Z586" s="6">
        <f ca="1">('TUSD BE'!$AM$33+'TUSD BF'!$AM$33+'TUSD CVA'!$AM$33)*(1-CUSTOS!$M$38)</f>
        <v>300.89907966262189</v>
      </c>
      <c r="AA586" s="6">
        <f>('TE BE'!$AA$23+'TE BF'!$AA$23+'TE CVA'!$AA$23)*(1-CUSTOS!$M$38)</f>
        <v>198.0053374241497</v>
      </c>
      <c r="AB586" s="6">
        <f>$K$586*$V$586</f>
        <v>0</v>
      </c>
      <c r="AC586" s="6">
        <f>$M$586*$W$586</f>
        <v>-6365.4246499999999</v>
      </c>
      <c r="AD586" s="6">
        <f>$O$586*$X$586</f>
        <v>-6123.5992999999989</v>
      </c>
      <c r="AE586" s="6">
        <f>$K$586*$Y$586</f>
        <v>0</v>
      </c>
      <c r="AF586" s="6">
        <f ca="1">$M$586*$Z$586</f>
        <v>-7952.4617764034338</v>
      </c>
      <c r="AG586" s="6">
        <f>$O$586*$AA$586</f>
        <v>-5233.0830627828518</v>
      </c>
    </row>
    <row r="587" spans="1:33" ht="11.25" customHeight="1" x14ac:dyDescent="0.25">
      <c r="A587" s="4" t="s">
        <v>28</v>
      </c>
      <c r="B587" s="4" t="s">
        <v>43</v>
      </c>
      <c r="C587" s="4" t="s">
        <v>23</v>
      </c>
      <c r="D587" s="4" t="s">
        <v>44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44378</v>
      </c>
      <c r="J587" s="6">
        <v>0</v>
      </c>
      <c r="K587" s="6">
        <v>0</v>
      </c>
      <c r="L587" s="6">
        <v>68.347999999999999</v>
      </c>
      <c r="M587" s="6">
        <v>68.347999999999999</v>
      </c>
      <c r="N587" s="6">
        <v>68.347999999999999</v>
      </c>
      <c r="O587" s="6">
        <v>68.347999999999999</v>
      </c>
      <c r="P587" s="6">
        <v>77</v>
      </c>
      <c r="Q587" s="4" t="s">
        <v>26</v>
      </c>
      <c r="R587" s="4">
        <v>0</v>
      </c>
      <c r="S587" s="6">
        <v>0</v>
      </c>
      <c r="T587" s="6">
        <v>29</v>
      </c>
      <c r="U587" s="6">
        <v>66</v>
      </c>
      <c r="V587" s="6">
        <f>IF(ISERROR(VLOOKUP($S$587,'TAR FIN'!$A$1:$O$85,15,0)),0,VLOOKUP($S$587,'TAR FIN'!$A$1:$O$85,15,0))</f>
        <v>0</v>
      </c>
      <c r="W587" s="6">
        <f>IF(ISERROR(VLOOKUP($T$587,'TAR FIN'!$A$1:$O$85,15,0)),0,VLOOKUP($T$587,'TAR FIN'!$A$1:$O$85,15,0))</f>
        <v>240.85</v>
      </c>
      <c r="X587" s="6">
        <f>IF(ISERROR(VLOOKUP($U$587,'TAR FIN'!$A$1:$O$85,15,0)),0,VLOOKUP($U$587,'TAR FIN'!$A$1:$O$85,15,0))</f>
        <v>231.7</v>
      </c>
      <c r="Y587" s="6"/>
      <c r="Z587" s="6">
        <f ca="1">('TUSD BE'!$AM$33+'TUSD BF'!$AM$33+'TUSD CVA'!$AM$33)*(1-CUSTOS!$M$38)</f>
        <v>300.89907966262189</v>
      </c>
      <c r="AA587" s="6">
        <f>('TE BE'!$AA$23+'TE BF'!$AA$23+'TE CVA'!$AA$23)*(1-CUSTOS!$M$38)</f>
        <v>198.0053374241497</v>
      </c>
      <c r="AB587" s="6">
        <f>$K$587*$V$587</f>
        <v>0</v>
      </c>
      <c r="AC587" s="6">
        <f>$M$587*$W$587</f>
        <v>16461.6158</v>
      </c>
      <c r="AD587" s="6">
        <f>$O$587*$X$587</f>
        <v>15836.231599999999</v>
      </c>
      <c r="AE587" s="6">
        <f>$K$587*$Y$587</f>
        <v>0</v>
      </c>
      <c r="AF587" s="6">
        <f ca="1">$M$587*$Z$587</f>
        <v>20565.850296780882</v>
      </c>
      <c r="AG587" s="6">
        <f>$O$587*$AA$587</f>
        <v>13533.268802265784</v>
      </c>
    </row>
    <row r="588" spans="1:33" ht="11.25" customHeight="1" x14ac:dyDescent="0.25">
      <c r="A588" s="4" t="s">
        <v>21</v>
      </c>
      <c r="B588" s="4" t="s">
        <v>43</v>
      </c>
      <c r="C588" s="4" t="s">
        <v>23</v>
      </c>
      <c r="D588" s="4" t="s">
        <v>44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44409</v>
      </c>
      <c r="J588" s="6">
        <v>0</v>
      </c>
      <c r="K588" s="6">
        <v>0</v>
      </c>
      <c r="L588" s="6">
        <v>2804.4450000000002</v>
      </c>
      <c r="M588" s="6">
        <v>2804.4450000000002</v>
      </c>
      <c r="N588" s="6">
        <v>2804.4450000000002</v>
      </c>
      <c r="O588" s="6">
        <v>2804.4450000000002</v>
      </c>
      <c r="P588" s="6">
        <v>2642</v>
      </c>
      <c r="Q588" s="4" t="s">
        <v>26</v>
      </c>
      <c r="R588" s="4">
        <v>0</v>
      </c>
      <c r="S588" s="6">
        <v>0</v>
      </c>
      <c r="T588" s="6">
        <v>29</v>
      </c>
      <c r="U588" s="6">
        <v>66</v>
      </c>
      <c r="V588" s="6">
        <f>IF(ISERROR(VLOOKUP($S$588,'TAR FIN'!$A$1:$O$85,15,0)),0,VLOOKUP($S$588,'TAR FIN'!$A$1:$O$85,15,0))</f>
        <v>0</v>
      </c>
      <c r="W588" s="6">
        <f>IF(ISERROR(VLOOKUP($T$588,'TAR FIN'!$A$1:$O$85,15,0)),0,VLOOKUP($T$588,'TAR FIN'!$A$1:$O$85,15,0))</f>
        <v>240.85</v>
      </c>
      <c r="X588" s="6">
        <f>IF(ISERROR(VLOOKUP($U$588,'TAR FIN'!$A$1:$O$85,15,0)),0,VLOOKUP($U$588,'TAR FIN'!$A$1:$O$85,15,0))</f>
        <v>231.7</v>
      </c>
      <c r="Y588" s="6"/>
      <c r="Z588" s="6">
        <f ca="1">('TUSD BE'!$AM$33+'TUSD BF'!$AM$33+'TUSD CVA'!$AM$33)*(1-CUSTOS!$M$38)</f>
        <v>300.89907966262189</v>
      </c>
      <c r="AA588" s="6">
        <f>('TE BE'!$AA$23+'TE BF'!$AA$23+'TE CVA'!$AA$23)*(1-CUSTOS!$M$38)</f>
        <v>198.0053374241497</v>
      </c>
      <c r="AB588" s="6">
        <f>$K$588*$V$588</f>
        <v>0</v>
      </c>
      <c r="AC588" s="6">
        <f>$M$588*$W$588</f>
        <v>675450.57825000002</v>
      </c>
      <c r="AD588" s="6">
        <f>$O$588*$X$588</f>
        <v>649789.90650000004</v>
      </c>
      <c r="AE588" s="6">
        <f>$K$588*$Y$588</f>
        <v>0</v>
      </c>
      <c r="AF588" s="6">
        <f ca="1">$M$588*$Z$588</f>
        <v>843854.91946444171</v>
      </c>
      <c r="AG588" s="6">
        <f>$O$588*$AA$588</f>
        <v>555295.07851246954</v>
      </c>
    </row>
    <row r="589" spans="1:33" ht="11.25" customHeight="1" x14ac:dyDescent="0.25">
      <c r="A589" s="4" t="s">
        <v>28</v>
      </c>
      <c r="B589" s="4" t="s">
        <v>43</v>
      </c>
      <c r="C589" s="4" t="s">
        <v>23</v>
      </c>
      <c r="D589" s="4" t="s">
        <v>44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44409</v>
      </c>
      <c r="J589" s="6">
        <v>0</v>
      </c>
      <c r="K589" s="6">
        <v>0</v>
      </c>
      <c r="L589" s="6">
        <v>63.024000000000001</v>
      </c>
      <c r="M589" s="6">
        <v>63.024000000000001</v>
      </c>
      <c r="N589" s="6">
        <v>63.024000000000001</v>
      </c>
      <c r="O589" s="6">
        <v>63.024000000000001</v>
      </c>
      <c r="P589" s="6">
        <v>82</v>
      </c>
      <c r="Q589" s="4" t="s">
        <v>26</v>
      </c>
      <c r="R589" s="4">
        <v>0</v>
      </c>
      <c r="S589" s="6">
        <v>0</v>
      </c>
      <c r="T589" s="6">
        <v>29</v>
      </c>
      <c r="U589" s="6">
        <v>66</v>
      </c>
      <c r="V589" s="6">
        <f>IF(ISERROR(VLOOKUP($S$589,'TAR FIN'!$A$1:$O$85,15,0)),0,VLOOKUP($S$589,'TAR FIN'!$A$1:$O$85,15,0))</f>
        <v>0</v>
      </c>
      <c r="W589" s="6">
        <f>IF(ISERROR(VLOOKUP($T$589,'TAR FIN'!$A$1:$O$85,15,0)),0,VLOOKUP($T$589,'TAR FIN'!$A$1:$O$85,15,0))</f>
        <v>240.85</v>
      </c>
      <c r="X589" s="6">
        <f>IF(ISERROR(VLOOKUP($U$589,'TAR FIN'!$A$1:$O$85,15,0)),0,VLOOKUP($U$589,'TAR FIN'!$A$1:$O$85,15,0))</f>
        <v>231.7</v>
      </c>
      <c r="Y589" s="6"/>
      <c r="Z589" s="6">
        <f ca="1">('TUSD BE'!$AM$33+'TUSD BF'!$AM$33+'TUSD CVA'!$AM$33)*(1-CUSTOS!$M$38)</f>
        <v>300.89907966262189</v>
      </c>
      <c r="AA589" s="6">
        <f>('TE BE'!$AA$23+'TE BF'!$AA$23+'TE CVA'!$AA$23)*(1-CUSTOS!$M$38)</f>
        <v>198.0053374241497</v>
      </c>
      <c r="AB589" s="6">
        <f>$K$589*$V$589</f>
        <v>0</v>
      </c>
      <c r="AC589" s="6">
        <f>$M$589*$W$589</f>
        <v>15179.330400000001</v>
      </c>
      <c r="AD589" s="6">
        <f>$O$589*$X$589</f>
        <v>14602.6608</v>
      </c>
      <c r="AE589" s="6">
        <f>$K$589*$Y$589</f>
        <v>0</v>
      </c>
      <c r="AF589" s="6">
        <f ca="1">$M$589*$Z$589</f>
        <v>18963.863596657084</v>
      </c>
      <c r="AG589" s="6">
        <f>$O$589*$AA$589</f>
        <v>12479.08838581961</v>
      </c>
    </row>
    <row r="590" spans="1:33" ht="11.25" customHeight="1" x14ac:dyDescent="0.25">
      <c r="A590" s="4" t="s">
        <v>21</v>
      </c>
      <c r="B590" s="4" t="s">
        <v>43</v>
      </c>
      <c r="C590" s="4" t="s">
        <v>23</v>
      </c>
      <c r="D590" s="4" t="s">
        <v>44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44440</v>
      </c>
      <c r="J590" s="6">
        <v>0</v>
      </c>
      <c r="K590" s="6">
        <v>0</v>
      </c>
      <c r="L590" s="6">
        <v>3273.73</v>
      </c>
      <c r="M590" s="6">
        <v>3273.73</v>
      </c>
      <c r="N590" s="6">
        <v>3273.73</v>
      </c>
      <c r="O590" s="6">
        <v>3273.73</v>
      </c>
      <c r="P590" s="6">
        <v>2629</v>
      </c>
      <c r="Q590" s="4" t="s">
        <v>26</v>
      </c>
      <c r="R590" s="4">
        <v>0</v>
      </c>
      <c r="S590" s="6">
        <v>0</v>
      </c>
      <c r="T590" s="6">
        <v>29</v>
      </c>
      <c r="U590" s="6">
        <v>66</v>
      </c>
      <c r="V590" s="6">
        <f>IF(ISERROR(VLOOKUP($S$590,'TAR FIN'!$A$1:$O$85,15,0)),0,VLOOKUP($S$590,'TAR FIN'!$A$1:$O$85,15,0))</f>
        <v>0</v>
      </c>
      <c r="W590" s="6">
        <f>IF(ISERROR(VLOOKUP($T$590,'TAR FIN'!$A$1:$O$85,15,0)),0,VLOOKUP($T$590,'TAR FIN'!$A$1:$O$85,15,0))</f>
        <v>240.85</v>
      </c>
      <c r="X590" s="6">
        <f>IF(ISERROR(VLOOKUP($U$590,'TAR FIN'!$A$1:$O$85,15,0)),0,VLOOKUP($U$590,'TAR FIN'!$A$1:$O$85,15,0))</f>
        <v>231.7</v>
      </c>
      <c r="Y590" s="6"/>
      <c r="Z590" s="6">
        <f ca="1">('TUSD BE'!$AM$33+'TUSD BF'!$AM$33+'TUSD CVA'!$AM$33)*(1-CUSTOS!$M$38)</f>
        <v>300.89907966262189</v>
      </c>
      <c r="AA590" s="6">
        <f>('TE BE'!$AA$23+'TE BF'!$AA$23+'TE CVA'!$AA$23)*(1-CUSTOS!$M$38)</f>
        <v>198.0053374241497</v>
      </c>
      <c r="AB590" s="6">
        <f>$K$590*$V$590</f>
        <v>0</v>
      </c>
      <c r="AC590" s="6">
        <f>$M$590*$W$590</f>
        <v>788477.87049999996</v>
      </c>
      <c r="AD590" s="6">
        <f>$O$590*$X$590</f>
        <v>758523.24099999992</v>
      </c>
      <c r="AE590" s="6">
        <f>$K$590*$Y$590</f>
        <v>0</v>
      </c>
      <c r="AF590" s="6">
        <f ca="1">$M$590*$Z$590</f>
        <v>985062.3440639152</v>
      </c>
      <c r="AG590" s="6">
        <f>$O$590*$AA$590</f>
        <v>648216.01328556158</v>
      </c>
    </row>
    <row r="591" spans="1:33" ht="11.25" customHeight="1" x14ac:dyDescent="0.25">
      <c r="A591" s="4" t="s">
        <v>28</v>
      </c>
      <c r="B591" s="4" t="s">
        <v>43</v>
      </c>
      <c r="C591" s="4" t="s">
        <v>23</v>
      </c>
      <c r="D591" s="4" t="s">
        <v>44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44440</v>
      </c>
      <c r="J591" s="6">
        <v>0</v>
      </c>
      <c r="K591" s="6">
        <v>0</v>
      </c>
      <c r="L591" s="6">
        <v>65.180999999999997</v>
      </c>
      <c r="M591" s="6">
        <v>65.180999999999997</v>
      </c>
      <c r="N591" s="6">
        <v>65.180999999999997</v>
      </c>
      <c r="O591" s="6">
        <v>65.180999999999997</v>
      </c>
      <c r="P591" s="6">
        <v>80</v>
      </c>
      <c r="Q591" s="4" t="s">
        <v>26</v>
      </c>
      <c r="R591" s="4">
        <v>0</v>
      </c>
      <c r="S591" s="6">
        <v>0</v>
      </c>
      <c r="T591" s="6">
        <v>29</v>
      </c>
      <c r="U591" s="6">
        <v>66</v>
      </c>
      <c r="V591" s="6">
        <f>IF(ISERROR(VLOOKUP($S$591,'TAR FIN'!$A$1:$O$85,15,0)),0,VLOOKUP($S$591,'TAR FIN'!$A$1:$O$85,15,0))</f>
        <v>0</v>
      </c>
      <c r="W591" s="6">
        <f>IF(ISERROR(VLOOKUP($T$591,'TAR FIN'!$A$1:$O$85,15,0)),0,VLOOKUP($T$591,'TAR FIN'!$A$1:$O$85,15,0))</f>
        <v>240.85</v>
      </c>
      <c r="X591" s="6">
        <f>IF(ISERROR(VLOOKUP($U$591,'TAR FIN'!$A$1:$O$85,15,0)),0,VLOOKUP($U$591,'TAR FIN'!$A$1:$O$85,15,0))</f>
        <v>231.7</v>
      </c>
      <c r="Y591" s="6"/>
      <c r="Z591" s="6">
        <f ca="1">('TUSD BE'!$AM$33+'TUSD BF'!$AM$33+'TUSD CVA'!$AM$33)*(1-CUSTOS!$M$38)</f>
        <v>300.89907966262189</v>
      </c>
      <c r="AA591" s="6">
        <f>('TE BE'!$AA$23+'TE BF'!$AA$23+'TE CVA'!$AA$23)*(1-CUSTOS!$M$38)</f>
        <v>198.0053374241497</v>
      </c>
      <c r="AB591" s="6">
        <f>$K$591*$V$591</f>
        <v>0</v>
      </c>
      <c r="AC591" s="6">
        <f>$M$591*$W$591</f>
        <v>15698.843849999999</v>
      </c>
      <c r="AD591" s="6">
        <f>$O$591*$X$591</f>
        <v>15102.437699999999</v>
      </c>
      <c r="AE591" s="6">
        <f>$K$591*$Y$591</f>
        <v>0</v>
      </c>
      <c r="AF591" s="6">
        <f ca="1">$M$591*$Z$591</f>
        <v>19612.902911489356</v>
      </c>
      <c r="AG591" s="6">
        <f>$O$591*$AA$591</f>
        <v>12906.185898643502</v>
      </c>
    </row>
    <row r="592" spans="1:33" ht="11.25" customHeight="1" x14ac:dyDescent="0.25">
      <c r="A592" s="4" t="s">
        <v>21</v>
      </c>
      <c r="B592" s="4" t="s">
        <v>43</v>
      </c>
      <c r="C592" s="4" t="s">
        <v>23</v>
      </c>
      <c r="D592" s="4" t="s">
        <v>44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44470</v>
      </c>
      <c r="J592" s="6">
        <v>0</v>
      </c>
      <c r="K592" s="6">
        <v>0</v>
      </c>
      <c r="L592" s="6">
        <v>3192.11</v>
      </c>
      <c r="M592" s="6">
        <v>3192.11</v>
      </c>
      <c r="N592" s="6">
        <v>3192.11</v>
      </c>
      <c r="O592" s="6">
        <v>3192.11</v>
      </c>
      <c r="P592" s="6">
        <v>2606</v>
      </c>
      <c r="Q592" s="4" t="s">
        <v>26</v>
      </c>
      <c r="R592" s="4">
        <v>0</v>
      </c>
      <c r="S592" s="6">
        <v>0</v>
      </c>
      <c r="T592" s="6">
        <v>29</v>
      </c>
      <c r="U592" s="6">
        <v>66</v>
      </c>
      <c r="V592" s="6">
        <f>IF(ISERROR(VLOOKUP($S$592,'TAR FIN'!$A$1:$O$85,15,0)),0,VLOOKUP($S$592,'TAR FIN'!$A$1:$O$85,15,0))</f>
        <v>0</v>
      </c>
      <c r="W592" s="6">
        <f>IF(ISERROR(VLOOKUP($T$592,'TAR FIN'!$A$1:$O$85,15,0)),0,VLOOKUP($T$592,'TAR FIN'!$A$1:$O$85,15,0))</f>
        <v>240.85</v>
      </c>
      <c r="X592" s="6">
        <f>IF(ISERROR(VLOOKUP($U$592,'TAR FIN'!$A$1:$O$85,15,0)),0,VLOOKUP($U$592,'TAR FIN'!$A$1:$O$85,15,0))</f>
        <v>231.7</v>
      </c>
      <c r="Y592" s="6"/>
      <c r="Z592" s="6">
        <f ca="1">('TUSD BE'!$AM$33+'TUSD BF'!$AM$33+'TUSD CVA'!$AM$33)*(1-CUSTOS!$M$38)</f>
        <v>300.89907966262189</v>
      </c>
      <c r="AA592" s="6">
        <f>('TE BE'!$AA$23+'TE BF'!$AA$23+'TE CVA'!$AA$23)*(1-CUSTOS!$M$38)</f>
        <v>198.0053374241497</v>
      </c>
      <c r="AB592" s="6">
        <f>$K$592*$V$592</f>
        <v>0</v>
      </c>
      <c r="AC592" s="6">
        <f>$M$592*$W$592</f>
        <v>768819.69350000005</v>
      </c>
      <c r="AD592" s="6">
        <f>$O$592*$X$592</f>
        <v>739611.88699999999</v>
      </c>
      <c r="AE592" s="6">
        <f>$K$592*$Y$592</f>
        <v>0</v>
      </c>
      <c r="AF592" s="6">
        <f ca="1">$M$592*$Z$592</f>
        <v>960502.96118185204</v>
      </c>
      <c r="AG592" s="6">
        <f>$O$592*$AA$592</f>
        <v>632054.81764500251</v>
      </c>
    </row>
    <row r="593" spans="1:33" ht="11.25" customHeight="1" x14ac:dyDescent="0.25">
      <c r="A593" s="4" t="s">
        <v>28</v>
      </c>
      <c r="B593" s="4" t="s">
        <v>43</v>
      </c>
      <c r="C593" s="4" t="s">
        <v>23</v>
      </c>
      <c r="D593" s="4" t="s">
        <v>44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44470</v>
      </c>
      <c r="J593" s="6">
        <v>0</v>
      </c>
      <c r="K593" s="6">
        <v>0</v>
      </c>
      <c r="L593" s="6">
        <v>77.048000000000002</v>
      </c>
      <c r="M593" s="6">
        <v>77.048000000000002</v>
      </c>
      <c r="N593" s="6">
        <v>77.048000000000002</v>
      </c>
      <c r="O593" s="6">
        <v>77.048000000000002</v>
      </c>
      <c r="P593" s="6">
        <v>78</v>
      </c>
      <c r="Q593" s="4" t="s">
        <v>26</v>
      </c>
      <c r="R593" s="4">
        <v>0</v>
      </c>
      <c r="S593" s="6">
        <v>0</v>
      </c>
      <c r="T593" s="6">
        <v>29</v>
      </c>
      <c r="U593" s="6">
        <v>66</v>
      </c>
      <c r="V593" s="6">
        <f>IF(ISERROR(VLOOKUP($S$593,'TAR FIN'!$A$1:$O$85,15,0)),0,VLOOKUP($S$593,'TAR FIN'!$A$1:$O$85,15,0))</f>
        <v>0</v>
      </c>
      <c r="W593" s="6">
        <f>IF(ISERROR(VLOOKUP($T$593,'TAR FIN'!$A$1:$O$85,15,0)),0,VLOOKUP($T$593,'TAR FIN'!$A$1:$O$85,15,0))</f>
        <v>240.85</v>
      </c>
      <c r="X593" s="6">
        <f>IF(ISERROR(VLOOKUP($U$593,'TAR FIN'!$A$1:$O$85,15,0)),0,VLOOKUP($U$593,'TAR FIN'!$A$1:$O$85,15,0))</f>
        <v>231.7</v>
      </c>
      <c r="Y593" s="6"/>
      <c r="Z593" s="6">
        <f ca="1">('TUSD BE'!$AM$33+'TUSD BF'!$AM$33+'TUSD CVA'!$AM$33)*(1-CUSTOS!$M$38)</f>
        <v>300.89907966262189</v>
      </c>
      <c r="AA593" s="6">
        <f>('TE BE'!$AA$23+'TE BF'!$AA$23+'TE CVA'!$AA$23)*(1-CUSTOS!$M$38)</f>
        <v>198.0053374241497</v>
      </c>
      <c r="AB593" s="6">
        <f>$K$593*$V$593</f>
        <v>0</v>
      </c>
      <c r="AC593" s="6">
        <f>$M$593*$W$593</f>
        <v>18557.0108</v>
      </c>
      <c r="AD593" s="6">
        <f>$O$593*$X$593</f>
        <v>17852.0216</v>
      </c>
      <c r="AE593" s="6">
        <f>$K$593*$Y$593</f>
        <v>0</v>
      </c>
      <c r="AF593" s="6">
        <f ca="1">$M$593*$Z$593</f>
        <v>23183.67228984569</v>
      </c>
      <c r="AG593" s="6">
        <f>$O$593*$AA$593</f>
        <v>15255.915237855887</v>
      </c>
    </row>
    <row r="594" spans="1:33" ht="11.25" customHeight="1" x14ac:dyDescent="0.25">
      <c r="A594" s="4" t="s">
        <v>21</v>
      </c>
      <c r="B594" s="4" t="s">
        <v>43</v>
      </c>
      <c r="C594" s="4" t="s">
        <v>23</v>
      </c>
      <c r="D594" s="4" t="s">
        <v>44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44501</v>
      </c>
      <c r="J594" s="6">
        <v>0</v>
      </c>
      <c r="K594" s="6">
        <v>0</v>
      </c>
      <c r="L594" s="6">
        <v>2736.4780000000001</v>
      </c>
      <c r="M594" s="6">
        <v>2736.4780000000001</v>
      </c>
      <c r="N594" s="6">
        <v>2736.4780000000001</v>
      </c>
      <c r="O594" s="6">
        <v>2736.4780000000001</v>
      </c>
      <c r="P594" s="6">
        <v>2591</v>
      </c>
      <c r="Q594" s="4" t="s">
        <v>26</v>
      </c>
      <c r="R594" s="4">
        <v>0</v>
      </c>
      <c r="S594" s="6">
        <v>0</v>
      </c>
      <c r="T594" s="6">
        <v>29</v>
      </c>
      <c r="U594" s="6">
        <v>66</v>
      </c>
      <c r="V594" s="6">
        <f>IF(ISERROR(VLOOKUP($S$594,'TAR FIN'!$A$1:$O$85,15,0)),0,VLOOKUP($S$594,'TAR FIN'!$A$1:$O$85,15,0))</f>
        <v>0</v>
      </c>
      <c r="W594" s="6">
        <f>IF(ISERROR(VLOOKUP($T$594,'TAR FIN'!$A$1:$O$85,15,0)),0,VLOOKUP($T$594,'TAR FIN'!$A$1:$O$85,15,0))</f>
        <v>240.85</v>
      </c>
      <c r="X594" s="6">
        <f>IF(ISERROR(VLOOKUP($U$594,'TAR FIN'!$A$1:$O$85,15,0)),0,VLOOKUP($U$594,'TAR FIN'!$A$1:$O$85,15,0))</f>
        <v>231.7</v>
      </c>
      <c r="Y594" s="6"/>
      <c r="Z594" s="6">
        <f ca="1">('TUSD BE'!$AM$33+'TUSD BF'!$AM$33+'TUSD CVA'!$AM$33)*(1-CUSTOS!$M$38)</f>
        <v>300.89907966262189</v>
      </c>
      <c r="AA594" s="6">
        <f>('TE BE'!$AA$23+'TE BF'!$AA$23+'TE CVA'!$AA$23)*(1-CUSTOS!$M$38)</f>
        <v>198.0053374241497</v>
      </c>
      <c r="AB594" s="6">
        <f>$K$594*$V$594</f>
        <v>0</v>
      </c>
      <c r="AC594" s="6">
        <f>$M$594*$W$594</f>
        <v>659080.72629999998</v>
      </c>
      <c r="AD594" s="6">
        <f>$O$594*$X$594</f>
        <v>634041.95259999996</v>
      </c>
      <c r="AE594" s="6">
        <f>$K$594*$Y$594</f>
        <v>0</v>
      </c>
      <c r="AF594" s="6">
        <f ca="1">$M$594*$Z$594</f>
        <v>823403.71171701222</v>
      </c>
      <c r="AG594" s="6">
        <f>$O$594*$AA$594</f>
        <v>541837.24974376231</v>
      </c>
    </row>
    <row r="595" spans="1:33" ht="11.25" customHeight="1" x14ac:dyDescent="0.25">
      <c r="A595" s="4" t="s">
        <v>27</v>
      </c>
      <c r="B595" s="4" t="s">
        <v>43</v>
      </c>
      <c r="C595" s="4" t="s">
        <v>23</v>
      </c>
      <c r="D595" s="4" t="s">
        <v>44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44501</v>
      </c>
      <c r="J595" s="6">
        <v>0</v>
      </c>
      <c r="K595" s="6">
        <v>0</v>
      </c>
      <c r="L595" s="6">
        <v>-9.3810000000000002</v>
      </c>
      <c r="M595" s="6">
        <v>-9.3810000000000002</v>
      </c>
      <c r="N595" s="6">
        <v>-9.3810000000000002</v>
      </c>
      <c r="O595" s="6">
        <v>-9.3810000000000002</v>
      </c>
      <c r="P595" s="6">
        <v>0</v>
      </c>
      <c r="Q595" s="4" t="s">
        <v>26</v>
      </c>
      <c r="R595" s="4">
        <v>0</v>
      </c>
      <c r="S595" s="6">
        <v>0</v>
      </c>
      <c r="T595" s="6">
        <v>29</v>
      </c>
      <c r="U595" s="6">
        <v>66</v>
      </c>
      <c r="V595" s="6">
        <f>IF(ISERROR(VLOOKUP($S$595,'TAR FIN'!$A$1:$O$85,15,0)),0,VLOOKUP($S$595,'TAR FIN'!$A$1:$O$85,15,0))</f>
        <v>0</v>
      </c>
      <c r="W595" s="6">
        <f>IF(ISERROR(VLOOKUP($T$595,'TAR FIN'!$A$1:$O$85,15,0)),0,VLOOKUP($T$595,'TAR FIN'!$A$1:$O$85,15,0))</f>
        <v>240.85</v>
      </c>
      <c r="X595" s="6">
        <f>IF(ISERROR(VLOOKUP($U$595,'TAR FIN'!$A$1:$O$85,15,0)),0,VLOOKUP($U$595,'TAR FIN'!$A$1:$O$85,15,0))</f>
        <v>231.7</v>
      </c>
      <c r="Y595" s="6"/>
      <c r="Z595" s="6">
        <f ca="1">('TUSD BE'!$AM$33+'TUSD BF'!$AM$33+'TUSD CVA'!$AM$33)*(1-CUSTOS!$M$38)</f>
        <v>300.89907966262189</v>
      </c>
      <c r="AA595" s="6">
        <f>('TE BE'!$AA$23+'TE BF'!$AA$23+'TE CVA'!$AA$23)*(1-CUSTOS!$M$38)</f>
        <v>198.0053374241497</v>
      </c>
      <c r="AB595" s="6">
        <f>$K$595*$V$595</f>
        <v>0</v>
      </c>
      <c r="AC595" s="6">
        <f>$M$595*$W$595</f>
        <v>-2259.4138499999999</v>
      </c>
      <c r="AD595" s="6">
        <f>$O$595*$X$595</f>
        <v>-2173.5776999999998</v>
      </c>
      <c r="AE595" s="6">
        <f>$K$595*$Y$595</f>
        <v>0</v>
      </c>
      <c r="AF595" s="6">
        <f ca="1">$M$595*$Z$595</f>
        <v>-2822.7342663150562</v>
      </c>
      <c r="AG595" s="6">
        <f>$O$595*$AA$595</f>
        <v>-1857.4880703759484</v>
      </c>
    </row>
    <row r="596" spans="1:33" ht="11.25" customHeight="1" x14ac:dyDescent="0.25">
      <c r="A596" s="4" t="s">
        <v>28</v>
      </c>
      <c r="B596" s="4" t="s">
        <v>43</v>
      </c>
      <c r="C596" s="4" t="s">
        <v>23</v>
      </c>
      <c r="D596" s="4" t="s">
        <v>44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44501</v>
      </c>
      <c r="J596" s="6">
        <v>0</v>
      </c>
      <c r="K596" s="6">
        <v>0</v>
      </c>
      <c r="L596" s="6">
        <v>90.256</v>
      </c>
      <c r="M596" s="6">
        <v>90.256</v>
      </c>
      <c r="N596" s="6">
        <v>90.256</v>
      </c>
      <c r="O596" s="6">
        <v>90.256</v>
      </c>
      <c r="P596" s="6">
        <v>78</v>
      </c>
      <c r="Q596" s="4" t="s">
        <v>26</v>
      </c>
      <c r="R596" s="4">
        <v>0</v>
      </c>
      <c r="S596" s="6">
        <v>0</v>
      </c>
      <c r="T596" s="6">
        <v>29</v>
      </c>
      <c r="U596" s="6">
        <v>66</v>
      </c>
      <c r="V596" s="6">
        <f>IF(ISERROR(VLOOKUP($S$596,'TAR FIN'!$A$1:$O$85,15,0)),0,VLOOKUP($S$596,'TAR FIN'!$A$1:$O$85,15,0))</f>
        <v>0</v>
      </c>
      <c r="W596" s="6">
        <f>IF(ISERROR(VLOOKUP($T$596,'TAR FIN'!$A$1:$O$85,15,0)),0,VLOOKUP($T$596,'TAR FIN'!$A$1:$O$85,15,0))</f>
        <v>240.85</v>
      </c>
      <c r="X596" s="6">
        <f>IF(ISERROR(VLOOKUP($U$596,'TAR FIN'!$A$1:$O$85,15,0)),0,VLOOKUP($U$596,'TAR FIN'!$A$1:$O$85,15,0))</f>
        <v>231.7</v>
      </c>
      <c r="Y596" s="6"/>
      <c r="Z596" s="6">
        <f ca="1">('TUSD BE'!$AM$33+'TUSD BF'!$AM$33+'TUSD CVA'!$AM$33)*(1-CUSTOS!$M$38)</f>
        <v>300.89907966262189</v>
      </c>
      <c r="AA596" s="6">
        <f>('TE BE'!$AA$23+'TE BF'!$AA$23+'TE CVA'!$AA$23)*(1-CUSTOS!$M$38)</f>
        <v>198.0053374241497</v>
      </c>
      <c r="AB596" s="6">
        <f>$K$596*$V$596</f>
        <v>0</v>
      </c>
      <c r="AC596" s="6">
        <f>$M$596*$W$596</f>
        <v>21738.157599999999</v>
      </c>
      <c r="AD596" s="6">
        <f>$O$596*$X$596</f>
        <v>20912.315199999997</v>
      </c>
      <c r="AE596" s="6">
        <f>$K$596*$Y$596</f>
        <v>0</v>
      </c>
      <c r="AF596" s="6">
        <f ca="1">$M$596*$Z$596</f>
        <v>27157.947334029603</v>
      </c>
      <c r="AG596" s="6">
        <f>$O$596*$AA$596</f>
        <v>17871.169734554056</v>
      </c>
    </row>
    <row r="597" spans="1:33" ht="11.25" customHeight="1" x14ac:dyDescent="0.25">
      <c r="A597" s="4" t="s">
        <v>21</v>
      </c>
      <c r="B597" s="4" t="s">
        <v>43</v>
      </c>
      <c r="C597" s="4" t="s">
        <v>23</v>
      </c>
      <c r="D597" s="4" t="s">
        <v>44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44531</v>
      </c>
      <c r="J597" s="6">
        <v>0</v>
      </c>
      <c r="K597" s="6">
        <v>0</v>
      </c>
      <c r="L597" s="6">
        <v>2746.1570000000002</v>
      </c>
      <c r="M597" s="6">
        <v>2746.1570000000002</v>
      </c>
      <c r="N597" s="6">
        <v>2746.1570000000002</v>
      </c>
      <c r="O597" s="6">
        <v>2746.1570000000002</v>
      </c>
      <c r="P597" s="6">
        <v>2559</v>
      </c>
      <c r="Q597" s="4" t="s">
        <v>26</v>
      </c>
      <c r="R597" s="4">
        <v>0</v>
      </c>
      <c r="S597" s="6">
        <v>0</v>
      </c>
      <c r="T597" s="6">
        <v>29</v>
      </c>
      <c r="U597" s="6">
        <v>66</v>
      </c>
      <c r="V597" s="6">
        <f>IF(ISERROR(VLOOKUP($S$597,'TAR FIN'!$A$1:$O$85,15,0)),0,VLOOKUP($S$597,'TAR FIN'!$A$1:$O$85,15,0))</f>
        <v>0</v>
      </c>
      <c r="W597" s="6">
        <f>IF(ISERROR(VLOOKUP($T$597,'TAR FIN'!$A$1:$O$85,15,0)),0,VLOOKUP($T$597,'TAR FIN'!$A$1:$O$85,15,0))</f>
        <v>240.85</v>
      </c>
      <c r="X597" s="6">
        <f>IF(ISERROR(VLOOKUP($U$597,'TAR FIN'!$A$1:$O$85,15,0)),0,VLOOKUP($U$597,'TAR FIN'!$A$1:$O$85,15,0))</f>
        <v>231.7</v>
      </c>
      <c r="Y597" s="6"/>
      <c r="Z597" s="6">
        <f ca="1">('TUSD BE'!$AM$33+'TUSD BF'!$AM$33+'TUSD CVA'!$AM$33)*(1-CUSTOS!$M$38)</f>
        <v>300.89907966262189</v>
      </c>
      <c r="AA597" s="6">
        <f>('TE BE'!$AA$23+'TE BF'!$AA$23+'TE CVA'!$AA$23)*(1-CUSTOS!$M$38)</f>
        <v>198.0053374241497</v>
      </c>
      <c r="AB597" s="6">
        <f>$K$597*$V$597</f>
        <v>0</v>
      </c>
      <c r="AC597" s="6">
        <f>$M$597*$W$597</f>
        <v>661411.91344999999</v>
      </c>
      <c r="AD597" s="6">
        <f>$O$597*$X$597</f>
        <v>636284.57689999999</v>
      </c>
      <c r="AE597" s="6">
        <f>$K$597*$Y$597</f>
        <v>0</v>
      </c>
      <c r="AF597" s="6">
        <f ca="1">$M$597*$Z$597</f>
        <v>826316.11390906677</v>
      </c>
      <c r="AG597" s="6">
        <f>$O$597*$AA$597</f>
        <v>543753.74340469076</v>
      </c>
    </row>
    <row r="598" spans="1:33" ht="11.25" customHeight="1" x14ac:dyDescent="0.25">
      <c r="A598" s="4" t="s">
        <v>27</v>
      </c>
      <c r="B598" s="4" t="s">
        <v>43</v>
      </c>
      <c r="C598" s="4" t="s">
        <v>23</v>
      </c>
      <c r="D598" s="4" t="s">
        <v>44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44531</v>
      </c>
      <c r="J598" s="6">
        <v>0</v>
      </c>
      <c r="K598" s="6">
        <v>0</v>
      </c>
      <c r="L598" s="6">
        <v>-0.69499999999999995</v>
      </c>
      <c r="M598" s="6">
        <v>-0.69499999999999995</v>
      </c>
      <c r="N598" s="6">
        <v>-0.69499999999999995</v>
      </c>
      <c r="O598" s="6">
        <v>-0.69499999999999995</v>
      </c>
      <c r="P598" s="6">
        <v>0</v>
      </c>
      <c r="Q598" s="4" t="s">
        <v>26</v>
      </c>
      <c r="R598" s="4">
        <v>0</v>
      </c>
      <c r="S598" s="6">
        <v>0</v>
      </c>
      <c r="T598" s="6">
        <v>29</v>
      </c>
      <c r="U598" s="6">
        <v>66</v>
      </c>
      <c r="V598" s="6">
        <f>IF(ISERROR(VLOOKUP($S$598,'TAR FIN'!$A$1:$O$85,15,0)),0,VLOOKUP($S$598,'TAR FIN'!$A$1:$O$85,15,0))</f>
        <v>0</v>
      </c>
      <c r="W598" s="6">
        <f>IF(ISERROR(VLOOKUP($T$598,'TAR FIN'!$A$1:$O$85,15,0)),0,VLOOKUP($T$598,'TAR FIN'!$A$1:$O$85,15,0))</f>
        <v>240.85</v>
      </c>
      <c r="X598" s="6">
        <f>IF(ISERROR(VLOOKUP($U$598,'TAR FIN'!$A$1:$O$85,15,0)),0,VLOOKUP($U$598,'TAR FIN'!$A$1:$O$85,15,0))</f>
        <v>231.7</v>
      </c>
      <c r="Y598" s="6"/>
      <c r="Z598" s="6">
        <f ca="1">('TUSD BE'!$AM$33+'TUSD BF'!$AM$33+'TUSD CVA'!$AM$33)*(1-CUSTOS!$M$38)</f>
        <v>300.89907966262189</v>
      </c>
      <c r="AA598" s="6">
        <f>('TE BE'!$AA$23+'TE BF'!$AA$23+'TE CVA'!$AA$23)*(1-CUSTOS!$M$38)</f>
        <v>198.0053374241497</v>
      </c>
      <c r="AB598" s="6">
        <f>$K$598*$V$598</f>
        <v>0</v>
      </c>
      <c r="AC598" s="6">
        <f>$M$598*$W$598</f>
        <v>-167.39075</v>
      </c>
      <c r="AD598" s="6">
        <f>$O$598*$X$598</f>
        <v>-161.03149999999999</v>
      </c>
      <c r="AE598" s="6">
        <f>$K$598*$Y$598</f>
        <v>0</v>
      </c>
      <c r="AF598" s="6">
        <f ca="1">$M$598*$Z$598</f>
        <v>-209.12486036552221</v>
      </c>
      <c r="AG598" s="6">
        <f>$O$598*$AA$598</f>
        <v>-137.61370950978403</v>
      </c>
    </row>
    <row r="599" spans="1:33" ht="11.25" customHeight="1" x14ac:dyDescent="0.25">
      <c r="A599" s="4" t="s">
        <v>28</v>
      </c>
      <c r="B599" s="4" t="s">
        <v>43</v>
      </c>
      <c r="C599" s="4" t="s">
        <v>23</v>
      </c>
      <c r="D599" s="4" t="s">
        <v>44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44531</v>
      </c>
      <c r="J599" s="6">
        <v>0</v>
      </c>
      <c r="K599" s="6">
        <v>0</v>
      </c>
      <c r="L599" s="6">
        <v>60.594000000000001</v>
      </c>
      <c r="M599" s="6">
        <v>60.594000000000001</v>
      </c>
      <c r="N599" s="6">
        <v>60.594000000000001</v>
      </c>
      <c r="O599" s="6">
        <v>60.594000000000001</v>
      </c>
      <c r="P599" s="6">
        <v>85</v>
      </c>
      <c r="Q599" s="4" t="s">
        <v>26</v>
      </c>
      <c r="R599" s="4">
        <v>0</v>
      </c>
      <c r="S599" s="6">
        <v>0</v>
      </c>
      <c r="T599" s="6">
        <v>29</v>
      </c>
      <c r="U599" s="6">
        <v>66</v>
      </c>
      <c r="V599" s="6">
        <f>IF(ISERROR(VLOOKUP($S$599,'TAR FIN'!$A$1:$O$85,15,0)),0,VLOOKUP($S$599,'TAR FIN'!$A$1:$O$85,15,0))</f>
        <v>0</v>
      </c>
      <c r="W599" s="6">
        <f>IF(ISERROR(VLOOKUP($T$599,'TAR FIN'!$A$1:$O$85,15,0)),0,VLOOKUP($T$599,'TAR FIN'!$A$1:$O$85,15,0))</f>
        <v>240.85</v>
      </c>
      <c r="X599" s="6">
        <f>IF(ISERROR(VLOOKUP($U$599,'TAR FIN'!$A$1:$O$85,15,0)),0,VLOOKUP($U$599,'TAR FIN'!$A$1:$O$85,15,0))</f>
        <v>231.7</v>
      </c>
      <c r="Y599" s="6"/>
      <c r="Z599" s="6">
        <f ca="1">('TUSD BE'!$AM$33+'TUSD BF'!$AM$33+'TUSD CVA'!$AM$33)*(1-CUSTOS!$M$38)</f>
        <v>300.89907966262189</v>
      </c>
      <c r="AA599" s="6">
        <f>('TE BE'!$AA$23+'TE BF'!$AA$23+'TE CVA'!$AA$23)*(1-CUSTOS!$M$38)</f>
        <v>198.0053374241497</v>
      </c>
      <c r="AB599" s="6">
        <f>$K$599*$V$599</f>
        <v>0</v>
      </c>
      <c r="AC599" s="6">
        <f>$M$599*$W$599</f>
        <v>14594.064899999999</v>
      </c>
      <c r="AD599" s="6">
        <f>$O$599*$X$599</f>
        <v>14039.629799999999</v>
      </c>
      <c r="AE599" s="6">
        <f>$K$599*$Y$599</f>
        <v>0</v>
      </c>
      <c r="AF599" s="6">
        <f ca="1">$M$599*$Z$599</f>
        <v>18232.678833076912</v>
      </c>
      <c r="AG599" s="6">
        <f>$O$599*$AA$599</f>
        <v>11997.935415878927</v>
      </c>
    </row>
    <row r="600" spans="1:33" ht="11.25" customHeight="1" x14ac:dyDescent="0.25">
      <c r="A600" s="4" t="s">
        <v>28</v>
      </c>
      <c r="B600" s="4" t="s">
        <v>43</v>
      </c>
      <c r="C600" s="4" t="s">
        <v>23</v>
      </c>
      <c r="D600" s="4" t="s">
        <v>44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44531</v>
      </c>
      <c r="J600" s="6">
        <v>0</v>
      </c>
      <c r="K600" s="6">
        <v>0</v>
      </c>
      <c r="L600" s="6">
        <v>0.1</v>
      </c>
      <c r="M600" s="6">
        <v>0.1</v>
      </c>
      <c r="N600" s="6">
        <v>0.1</v>
      </c>
      <c r="O600" s="6">
        <v>0.1</v>
      </c>
      <c r="P600" s="6">
        <v>1</v>
      </c>
      <c r="Q600" s="4" t="s">
        <v>26</v>
      </c>
      <c r="R600" s="4">
        <v>0</v>
      </c>
      <c r="S600" s="6">
        <v>0</v>
      </c>
      <c r="T600" s="6">
        <v>29</v>
      </c>
      <c r="U600" s="6">
        <v>66</v>
      </c>
      <c r="V600" s="6">
        <f>IF(ISERROR(VLOOKUP($S$600,'TAR FIN'!$A$1:$O$85,15,0)),0,VLOOKUP($S$600,'TAR FIN'!$A$1:$O$85,15,0))</f>
        <v>0</v>
      </c>
      <c r="W600" s="6">
        <f>IF(ISERROR(VLOOKUP($T$600,'TAR FIN'!$A$1:$O$85,15,0)),0,VLOOKUP($T$600,'TAR FIN'!$A$1:$O$85,15,0))</f>
        <v>240.85</v>
      </c>
      <c r="X600" s="6">
        <f>IF(ISERROR(VLOOKUP($U$600,'TAR FIN'!$A$1:$O$85,15,0)),0,VLOOKUP($U$600,'TAR FIN'!$A$1:$O$85,15,0))</f>
        <v>231.7</v>
      </c>
      <c r="Y600" s="6"/>
      <c r="Z600" s="6">
        <f ca="1">('TUSD BE'!$AM$33+'TUSD BF'!$AM$33+'TUSD CVA'!$AM$33)*(1-CUSTOS!$M$38)</f>
        <v>300.89907966262189</v>
      </c>
      <c r="AA600" s="6">
        <f>('TE BE'!$AA$23+'TE BF'!$AA$23+'TE CVA'!$AA$23)*(1-CUSTOS!$M$38)</f>
        <v>198.0053374241497</v>
      </c>
      <c r="AB600" s="6">
        <f>$K$600*$V$600</f>
        <v>0</v>
      </c>
      <c r="AC600" s="6">
        <f>$M$600*$W$600</f>
        <v>24.085000000000001</v>
      </c>
      <c r="AD600" s="6">
        <f>$O$600*$X$600</f>
        <v>23.17</v>
      </c>
      <c r="AE600" s="6">
        <f>$K$600*$Y$600</f>
        <v>0</v>
      </c>
      <c r="AF600" s="6">
        <f ca="1">$M$600*$Z$600</f>
        <v>30.089907966262189</v>
      </c>
      <c r="AG600" s="6">
        <f>$O$600*$AA$600</f>
        <v>19.80053374241497</v>
      </c>
    </row>
    <row r="601" spans="1:33" ht="11.25" customHeight="1" x14ac:dyDescent="0.25">
      <c r="A601" s="4" t="s">
        <v>21</v>
      </c>
      <c r="B601" s="4" t="s">
        <v>43</v>
      </c>
      <c r="C601" s="4" t="s">
        <v>23</v>
      </c>
      <c r="D601" s="4" t="s">
        <v>44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44562</v>
      </c>
      <c r="J601" s="6">
        <v>0</v>
      </c>
      <c r="K601" s="6">
        <v>0</v>
      </c>
      <c r="L601" s="6">
        <v>2649.5590000000002</v>
      </c>
      <c r="M601" s="6">
        <v>2649.5590000000002</v>
      </c>
      <c r="N601" s="6">
        <v>2649.5590000000002</v>
      </c>
      <c r="O601" s="6">
        <v>2649.5590000000002</v>
      </c>
      <c r="P601" s="6">
        <v>2542</v>
      </c>
      <c r="Q601" s="4" t="s">
        <v>26</v>
      </c>
      <c r="R601" s="4">
        <v>0</v>
      </c>
      <c r="S601" s="6">
        <v>0</v>
      </c>
      <c r="T601" s="6">
        <v>29</v>
      </c>
      <c r="U601" s="6">
        <v>66</v>
      </c>
      <c r="V601" s="6">
        <f>IF(ISERROR(VLOOKUP($S$601,'TAR FIN'!$A$1:$O$85,15,0)),0,VLOOKUP($S$601,'TAR FIN'!$A$1:$O$85,15,0))</f>
        <v>0</v>
      </c>
      <c r="W601" s="6">
        <f>IF(ISERROR(VLOOKUP($T$601,'TAR FIN'!$A$1:$O$85,15,0)),0,VLOOKUP($T$601,'TAR FIN'!$A$1:$O$85,15,0))</f>
        <v>240.85</v>
      </c>
      <c r="X601" s="6">
        <f>IF(ISERROR(VLOOKUP($U$601,'TAR FIN'!$A$1:$O$85,15,0)),0,VLOOKUP($U$601,'TAR FIN'!$A$1:$O$85,15,0))</f>
        <v>231.7</v>
      </c>
      <c r="Y601" s="6"/>
      <c r="Z601" s="6">
        <f ca="1">('TUSD BE'!$AM$33+'TUSD BF'!$AM$33+'TUSD CVA'!$AM$33)*(1-CUSTOS!$M$38)</f>
        <v>300.89907966262189</v>
      </c>
      <c r="AA601" s="6">
        <f>('TE BE'!$AA$23+'TE BF'!$AA$23+'TE CVA'!$AA$23)*(1-CUSTOS!$M$38)</f>
        <v>198.0053374241497</v>
      </c>
      <c r="AB601" s="6">
        <f>$K$601*$V$601</f>
        <v>0</v>
      </c>
      <c r="AC601" s="6">
        <f>$M$601*$W$601</f>
        <v>638146.28515000001</v>
      </c>
      <c r="AD601" s="6">
        <f>$O$601*$X$601</f>
        <v>613902.82030000002</v>
      </c>
      <c r="AE601" s="6">
        <f>$K$601*$Y$601</f>
        <v>0</v>
      </c>
      <c r="AF601" s="6">
        <f ca="1">$M$601*$Z$601</f>
        <v>797249.86461181683</v>
      </c>
      <c r="AG601" s="6">
        <f>$O$601*$AA$601</f>
        <v>524626.82382019272</v>
      </c>
    </row>
    <row r="602" spans="1:33" ht="11.25" customHeight="1" x14ac:dyDescent="0.25">
      <c r="A602" s="4" t="s">
        <v>28</v>
      </c>
      <c r="B602" s="4" t="s">
        <v>43</v>
      </c>
      <c r="C602" s="4" t="s">
        <v>23</v>
      </c>
      <c r="D602" s="4" t="s">
        <v>44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44562</v>
      </c>
      <c r="J602" s="6">
        <v>0</v>
      </c>
      <c r="K602" s="6">
        <v>0</v>
      </c>
      <c r="L602" s="6">
        <v>100.426</v>
      </c>
      <c r="M602" s="6">
        <v>100.426</v>
      </c>
      <c r="N602" s="6">
        <v>100.426</v>
      </c>
      <c r="O602" s="6">
        <v>100.426</v>
      </c>
      <c r="P602" s="6">
        <v>89</v>
      </c>
      <c r="Q602" s="4" t="s">
        <v>26</v>
      </c>
      <c r="R602" s="4">
        <v>0</v>
      </c>
      <c r="S602" s="6">
        <v>0</v>
      </c>
      <c r="T602" s="6">
        <v>29</v>
      </c>
      <c r="U602" s="6">
        <v>66</v>
      </c>
      <c r="V602" s="6">
        <f>IF(ISERROR(VLOOKUP($S$602,'TAR FIN'!$A$1:$O$85,15,0)),0,VLOOKUP($S$602,'TAR FIN'!$A$1:$O$85,15,0))</f>
        <v>0</v>
      </c>
      <c r="W602" s="6">
        <f>IF(ISERROR(VLOOKUP($T$602,'TAR FIN'!$A$1:$O$85,15,0)),0,VLOOKUP($T$602,'TAR FIN'!$A$1:$O$85,15,0))</f>
        <v>240.85</v>
      </c>
      <c r="X602" s="6">
        <f>IF(ISERROR(VLOOKUP($U$602,'TAR FIN'!$A$1:$O$85,15,0)),0,VLOOKUP($U$602,'TAR FIN'!$A$1:$O$85,15,0))</f>
        <v>231.7</v>
      </c>
      <c r="Y602" s="6"/>
      <c r="Z602" s="6">
        <f ca="1">('TUSD BE'!$AM$33+'TUSD BF'!$AM$33+'TUSD CVA'!$AM$33)*(1-CUSTOS!$M$38)</f>
        <v>300.89907966262189</v>
      </c>
      <c r="AA602" s="6">
        <f>('TE BE'!$AA$23+'TE BF'!$AA$23+'TE CVA'!$AA$23)*(1-CUSTOS!$M$38)</f>
        <v>198.0053374241497</v>
      </c>
      <c r="AB602" s="6">
        <f>$K$602*$V$602</f>
        <v>0</v>
      </c>
      <c r="AC602" s="6">
        <f>$M$602*$W$602</f>
        <v>24187.6021</v>
      </c>
      <c r="AD602" s="6">
        <f>$O$602*$X$602</f>
        <v>23268.7042</v>
      </c>
      <c r="AE602" s="6">
        <f>$K$602*$Y$602</f>
        <v>0</v>
      </c>
      <c r="AF602" s="6">
        <f ca="1">$M$602*$Z$602</f>
        <v>30218.090974198465</v>
      </c>
      <c r="AG602" s="6">
        <f>$O$602*$AA$602</f>
        <v>19884.884016157659</v>
      </c>
    </row>
    <row r="603" spans="1:33" ht="11.25" customHeight="1" x14ac:dyDescent="0.25">
      <c r="A603" s="4" t="s">
        <v>21</v>
      </c>
      <c r="B603" s="4" t="s">
        <v>43</v>
      </c>
      <c r="C603" s="4" t="s">
        <v>23</v>
      </c>
      <c r="D603" s="4" t="s">
        <v>44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44593</v>
      </c>
      <c r="J603" s="6">
        <v>0</v>
      </c>
      <c r="K603" s="6">
        <v>0</v>
      </c>
      <c r="L603" s="6">
        <v>2711.0680000000002</v>
      </c>
      <c r="M603" s="6">
        <v>2711.0680000000002</v>
      </c>
      <c r="N603" s="6">
        <v>2711.0680000000002</v>
      </c>
      <c r="O603" s="6">
        <v>2711.0680000000002</v>
      </c>
      <c r="P603" s="6">
        <v>2533</v>
      </c>
      <c r="Q603" s="4" t="s">
        <v>26</v>
      </c>
      <c r="R603" s="4">
        <v>0</v>
      </c>
      <c r="S603" s="6">
        <v>0</v>
      </c>
      <c r="T603" s="6">
        <v>29</v>
      </c>
      <c r="U603" s="6">
        <v>66</v>
      </c>
      <c r="V603" s="6">
        <f>IF(ISERROR(VLOOKUP($S$603,'TAR FIN'!$A$1:$O$85,15,0)),0,VLOOKUP($S$603,'TAR FIN'!$A$1:$O$85,15,0))</f>
        <v>0</v>
      </c>
      <c r="W603" s="6">
        <f>IF(ISERROR(VLOOKUP($T$603,'TAR FIN'!$A$1:$O$85,15,0)),0,VLOOKUP($T$603,'TAR FIN'!$A$1:$O$85,15,0))</f>
        <v>240.85</v>
      </c>
      <c r="X603" s="6">
        <f>IF(ISERROR(VLOOKUP($U$603,'TAR FIN'!$A$1:$O$85,15,0)),0,VLOOKUP($U$603,'TAR FIN'!$A$1:$O$85,15,0))</f>
        <v>231.7</v>
      </c>
      <c r="Y603" s="6"/>
      <c r="Z603" s="6">
        <f ca="1">('TUSD BE'!$AM$33+'TUSD BF'!$AM$33+'TUSD CVA'!$AM$33)*(1-CUSTOS!$M$38)</f>
        <v>300.89907966262189</v>
      </c>
      <c r="AA603" s="6">
        <f>('TE BE'!$AA$23+'TE BF'!$AA$23+'TE CVA'!$AA$23)*(1-CUSTOS!$M$38)</f>
        <v>198.0053374241497</v>
      </c>
      <c r="AB603" s="6">
        <f>$K$603*$V$603</f>
        <v>0</v>
      </c>
      <c r="AC603" s="6">
        <f>$M$603*$W$603</f>
        <v>652960.72779999999</v>
      </c>
      <c r="AD603" s="6">
        <f>$O$603*$X$603</f>
        <v>628154.45559999999</v>
      </c>
      <c r="AE603" s="6">
        <f>$K$603*$Y$603</f>
        <v>0</v>
      </c>
      <c r="AF603" s="6">
        <f ca="1">$M$603*$Z$603</f>
        <v>815757.8661027851</v>
      </c>
      <c r="AG603" s="6">
        <f>$O$603*$AA$603</f>
        <v>536805.93411981477</v>
      </c>
    </row>
    <row r="604" spans="1:33" ht="11.25" customHeight="1" x14ac:dyDescent="0.25">
      <c r="A604" s="4" t="s">
        <v>27</v>
      </c>
      <c r="B604" s="4" t="s">
        <v>43</v>
      </c>
      <c r="C604" s="4" t="s">
        <v>23</v>
      </c>
      <c r="D604" s="4" t="s">
        <v>44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44593</v>
      </c>
      <c r="J604" s="6">
        <v>0</v>
      </c>
      <c r="K604" s="6">
        <v>0</v>
      </c>
      <c r="L604" s="6">
        <v>-8.1590000000000007</v>
      </c>
      <c r="M604" s="6">
        <v>-8.1590000000000007</v>
      </c>
      <c r="N604" s="6">
        <v>-8.1590000000000007</v>
      </c>
      <c r="O604" s="6">
        <v>-8.1590000000000007</v>
      </c>
      <c r="P604" s="6">
        <v>0</v>
      </c>
      <c r="Q604" s="4" t="s">
        <v>26</v>
      </c>
      <c r="R604" s="4">
        <v>0</v>
      </c>
      <c r="S604" s="6">
        <v>0</v>
      </c>
      <c r="T604" s="6">
        <v>29</v>
      </c>
      <c r="U604" s="6">
        <v>66</v>
      </c>
      <c r="V604" s="6">
        <f>IF(ISERROR(VLOOKUP($S$604,'TAR FIN'!$A$1:$O$85,15,0)),0,VLOOKUP($S$604,'TAR FIN'!$A$1:$O$85,15,0))</f>
        <v>0</v>
      </c>
      <c r="W604" s="6">
        <f>IF(ISERROR(VLOOKUP($T$604,'TAR FIN'!$A$1:$O$85,15,0)),0,VLOOKUP($T$604,'TAR FIN'!$A$1:$O$85,15,0))</f>
        <v>240.85</v>
      </c>
      <c r="X604" s="6">
        <f>IF(ISERROR(VLOOKUP($U$604,'TAR FIN'!$A$1:$O$85,15,0)),0,VLOOKUP($U$604,'TAR FIN'!$A$1:$O$85,15,0))</f>
        <v>231.7</v>
      </c>
      <c r="Y604" s="6"/>
      <c r="Z604" s="6">
        <f ca="1">('TUSD BE'!$AM$33+'TUSD BF'!$AM$33+'TUSD CVA'!$AM$33)*(1-CUSTOS!$M$38)</f>
        <v>300.89907966262189</v>
      </c>
      <c r="AA604" s="6">
        <f>('TE BE'!$AA$23+'TE BF'!$AA$23+'TE CVA'!$AA$23)*(1-CUSTOS!$M$38)</f>
        <v>198.0053374241497</v>
      </c>
      <c r="AB604" s="6">
        <f>$K$604*$V$604</f>
        <v>0</v>
      </c>
      <c r="AC604" s="6">
        <f>$M$604*$W$604</f>
        <v>-1965.0951500000001</v>
      </c>
      <c r="AD604" s="6">
        <f>$O$604*$X$604</f>
        <v>-1890.4403</v>
      </c>
      <c r="AE604" s="6">
        <f>$K$604*$Y$604</f>
        <v>0</v>
      </c>
      <c r="AF604" s="6">
        <f ca="1">$M$604*$Z$604</f>
        <v>-2455.0355909673322</v>
      </c>
      <c r="AG604" s="6">
        <f>$O$604*$AA$604</f>
        <v>-1615.5255480436376</v>
      </c>
    </row>
    <row r="605" spans="1:33" ht="11.25" customHeight="1" x14ac:dyDescent="0.25">
      <c r="A605" s="4" t="s">
        <v>28</v>
      </c>
      <c r="B605" s="4" t="s">
        <v>43</v>
      </c>
      <c r="C605" s="4" t="s">
        <v>23</v>
      </c>
      <c r="D605" s="4" t="s">
        <v>44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44593</v>
      </c>
      <c r="J605" s="6">
        <v>0</v>
      </c>
      <c r="K605" s="6">
        <v>0</v>
      </c>
      <c r="L605" s="6">
        <v>85.2</v>
      </c>
      <c r="M605" s="6">
        <v>85.2</v>
      </c>
      <c r="N605" s="6">
        <v>85.2</v>
      </c>
      <c r="O605" s="6">
        <v>85.2</v>
      </c>
      <c r="P605" s="6">
        <v>88</v>
      </c>
      <c r="Q605" s="4" t="s">
        <v>26</v>
      </c>
      <c r="R605" s="4">
        <v>0</v>
      </c>
      <c r="S605" s="6">
        <v>0</v>
      </c>
      <c r="T605" s="6">
        <v>29</v>
      </c>
      <c r="U605" s="6">
        <v>66</v>
      </c>
      <c r="V605" s="6">
        <f>IF(ISERROR(VLOOKUP($S$605,'TAR FIN'!$A$1:$O$85,15,0)),0,VLOOKUP($S$605,'TAR FIN'!$A$1:$O$85,15,0))</f>
        <v>0</v>
      </c>
      <c r="W605" s="6">
        <f>IF(ISERROR(VLOOKUP($T$605,'TAR FIN'!$A$1:$O$85,15,0)),0,VLOOKUP($T$605,'TAR FIN'!$A$1:$O$85,15,0))</f>
        <v>240.85</v>
      </c>
      <c r="X605" s="6">
        <f>IF(ISERROR(VLOOKUP($U$605,'TAR FIN'!$A$1:$O$85,15,0)),0,VLOOKUP($U$605,'TAR FIN'!$A$1:$O$85,15,0))</f>
        <v>231.7</v>
      </c>
      <c r="Y605" s="6"/>
      <c r="Z605" s="6">
        <f ca="1">('TUSD BE'!$AM$33+'TUSD BF'!$AM$33+'TUSD CVA'!$AM$33)*(1-CUSTOS!$M$38)</f>
        <v>300.89907966262189</v>
      </c>
      <c r="AA605" s="6">
        <f>('TE BE'!$AA$23+'TE BF'!$AA$23+'TE CVA'!$AA$23)*(1-CUSTOS!$M$38)</f>
        <v>198.0053374241497</v>
      </c>
      <c r="AB605" s="6">
        <f>$K$605*$V$605</f>
        <v>0</v>
      </c>
      <c r="AC605" s="6">
        <f>$M$605*$W$605</f>
        <v>20520.420000000002</v>
      </c>
      <c r="AD605" s="6">
        <f>$O$605*$X$605</f>
        <v>19740.84</v>
      </c>
      <c r="AE605" s="6">
        <f>$K$605*$Y$605</f>
        <v>0</v>
      </c>
      <c r="AF605" s="6">
        <f ca="1">$M$605*$Z$605</f>
        <v>25636.601587255387</v>
      </c>
      <c r="AG605" s="6">
        <f>$O$605*$AA$605</f>
        <v>16870.054748537554</v>
      </c>
    </row>
    <row r="606" spans="1:33" ht="11.25" customHeight="1" x14ac:dyDescent="0.25">
      <c r="A606" s="4" t="s">
        <v>21</v>
      </c>
      <c r="B606" s="4" t="s">
        <v>43</v>
      </c>
      <c r="C606" s="4" t="s">
        <v>23</v>
      </c>
      <c r="D606" s="4" t="s">
        <v>44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44621</v>
      </c>
      <c r="J606" s="6">
        <v>0</v>
      </c>
      <c r="K606" s="6">
        <v>0</v>
      </c>
      <c r="L606" s="6">
        <v>3048.9229999999998</v>
      </c>
      <c r="M606" s="6">
        <v>3048.9229999999998</v>
      </c>
      <c r="N606" s="6">
        <v>3048.9229999999998</v>
      </c>
      <c r="O606" s="6">
        <v>3048.9229999999998</v>
      </c>
      <c r="P606" s="6">
        <v>2484</v>
      </c>
      <c r="Q606" s="4" t="s">
        <v>26</v>
      </c>
      <c r="R606" s="4">
        <v>0</v>
      </c>
      <c r="S606" s="6">
        <v>0</v>
      </c>
      <c r="T606" s="6">
        <v>29</v>
      </c>
      <c r="U606" s="6">
        <v>66</v>
      </c>
      <c r="V606" s="6">
        <f>IF(ISERROR(VLOOKUP($S$606,'TAR FIN'!$A$1:$O$85,15,0)),0,VLOOKUP($S$606,'TAR FIN'!$A$1:$O$85,15,0))</f>
        <v>0</v>
      </c>
      <c r="W606" s="6">
        <f>IF(ISERROR(VLOOKUP($T$606,'TAR FIN'!$A$1:$O$85,15,0)),0,VLOOKUP($T$606,'TAR FIN'!$A$1:$O$85,15,0))</f>
        <v>240.85</v>
      </c>
      <c r="X606" s="6">
        <f>IF(ISERROR(VLOOKUP($U$606,'TAR FIN'!$A$1:$O$85,15,0)),0,VLOOKUP($U$606,'TAR FIN'!$A$1:$O$85,15,0))</f>
        <v>231.7</v>
      </c>
      <c r="Y606" s="6"/>
      <c r="Z606" s="6">
        <f ca="1">('TUSD BE'!$AM$33+'TUSD BF'!$AM$33+'TUSD CVA'!$AM$33)*(1-CUSTOS!$M$38)</f>
        <v>300.89907966262189</v>
      </c>
      <c r="AA606" s="6">
        <f>('TE BE'!$AA$23+'TE BF'!$AA$23+'TE CVA'!$AA$23)*(1-CUSTOS!$M$38)</f>
        <v>198.0053374241497</v>
      </c>
      <c r="AB606" s="6">
        <f>$K$606*$V$606</f>
        <v>0</v>
      </c>
      <c r="AC606" s="6">
        <f>$M$606*$W$606</f>
        <v>734333.10454999993</v>
      </c>
      <c r="AD606" s="6">
        <f>$O$606*$X$606</f>
        <v>706435.45909999986</v>
      </c>
      <c r="AE606" s="6">
        <f>$K$606*$Y$606</f>
        <v>0</v>
      </c>
      <c r="AF606" s="6">
        <f ca="1">$M$606*$Z$606</f>
        <v>917418.12466219999</v>
      </c>
      <c r="AG606" s="6">
        <f>$O$606*$AA$606</f>
        <v>603703.02739525074</v>
      </c>
    </row>
    <row r="607" spans="1:33" ht="11.25" customHeight="1" x14ac:dyDescent="0.25">
      <c r="A607" s="4" t="s">
        <v>27</v>
      </c>
      <c r="B607" s="4" t="s">
        <v>43</v>
      </c>
      <c r="C607" s="4" t="s">
        <v>23</v>
      </c>
      <c r="D607" s="4" t="s">
        <v>44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44621</v>
      </c>
      <c r="J607" s="6">
        <v>0</v>
      </c>
      <c r="K607" s="6">
        <v>0</v>
      </c>
      <c r="L607" s="6">
        <v>0.52500000000000002</v>
      </c>
      <c r="M607" s="6">
        <v>0.52500000000000002</v>
      </c>
      <c r="N607" s="6">
        <v>0.52500000000000002</v>
      </c>
      <c r="O607" s="6">
        <v>0.52500000000000002</v>
      </c>
      <c r="P607" s="6">
        <v>0</v>
      </c>
      <c r="Q607" s="4" t="s">
        <v>26</v>
      </c>
      <c r="R607" s="4">
        <v>0</v>
      </c>
      <c r="S607" s="6">
        <v>0</v>
      </c>
      <c r="T607" s="6">
        <v>29</v>
      </c>
      <c r="U607" s="6">
        <v>66</v>
      </c>
      <c r="V607" s="6">
        <f>IF(ISERROR(VLOOKUP($S$607,'TAR FIN'!$A$1:$O$85,15,0)),0,VLOOKUP($S$607,'TAR FIN'!$A$1:$O$85,15,0))</f>
        <v>0</v>
      </c>
      <c r="W607" s="6">
        <f>IF(ISERROR(VLOOKUP($T$607,'TAR FIN'!$A$1:$O$85,15,0)),0,VLOOKUP($T$607,'TAR FIN'!$A$1:$O$85,15,0))</f>
        <v>240.85</v>
      </c>
      <c r="X607" s="6">
        <f>IF(ISERROR(VLOOKUP($U$607,'TAR FIN'!$A$1:$O$85,15,0)),0,VLOOKUP($U$607,'TAR FIN'!$A$1:$O$85,15,0))</f>
        <v>231.7</v>
      </c>
      <c r="Y607" s="6"/>
      <c r="Z607" s="6">
        <f ca="1">('TUSD BE'!$AM$33+'TUSD BF'!$AM$33+'TUSD CVA'!$AM$33)*(1-CUSTOS!$M$38)</f>
        <v>300.89907966262189</v>
      </c>
      <c r="AA607" s="6">
        <f>('TE BE'!$AA$23+'TE BF'!$AA$23+'TE CVA'!$AA$23)*(1-CUSTOS!$M$38)</f>
        <v>198.0053374241497</v>
      </c>
      <c r="AB607" s="6">
        <f>$K$607*$V$607</f>
        <v>0</v>
      </c>
      <c r="AC607" s="6">
        <f>$M$607*$W$607</f>
        <v>126.44625000000001</v>
      </c>
      <c r="AD607" s="6">
        <f>$O$607*$X$607</f>
        <v>121.6425</v>
      </c>
      <c r="AE607" s="6">
        <f>$K$607*$Y$607</f>
        <v>0</v>
      </c>
      <c r="AF607" s="6">
        <f ca="1">$M$607*$Z$607</f>
        <v>157.9720168228765</v>
      </c>
      <c r="AG607" s="6">
        <f>$O$607*$AA$607</f>
        <v>103.9528021476786</v>
      </c>
    </row>
    <row r="608" spans="1:33" ht="11.25" customHeight="1" x14ac:dyDescent="0.25">
      <c r="A608" s="4" t="s">
        <v>28</v>
      </c>
      <c r="B608" s="4" t="s">
        <v>43</v>
      </c>
      <c r="C608" s="4" t="s">
        <v>23</v>
      </c>
      <c r="D608" s="4" t="s">
        <v>44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44621</v>
      </c>
      <c r="J608" s="6">
        <v>0</v>
      </c>
      <c r="K608" s="6">
        <v>0</v>
      </c>
      <c r="L608" s="6">
        <v>140.86600000000001</v>
      </c>
      <c r="M608" s="6">
        <v>140.86600000000001</v>
      </c>
      <c r="N608" s="6">
        <v>140.86600000000001</v>
      </c>
      <c r="O608" s="6">
        <v>140.86600000000001</v>
      </c>
      <c r="P608" s="6">
        <v>100</v>
      </c>
      <c r="Q608" s="4" t="s">
        <v>26</v>
      </c>
      <c r="R608" s="4">
        <v>0</v>
      </c>
      <c r="S608" s="6">
        <v>0</v>
      </c>
      <c r="T608" s="6">
        <v>29</v>
      </c>
      <c r="U608" s="6">
        <v>66</v>
      </c>
      <c r="V608" s="6">
        <f>IF(ISERROR(VLOOKUP($S$608,'TAR FIN'!$A$1:$O$85,15,0)),0,VLOOKUP($S$608,'TAR FIN'!$A$1:$O$85,15,0))</f>
        <v>0</v>
      </c>
      <c r="W608" s="6">
        <f>IF(ISERROR(VLOOKUP($T$608,'TAR FIN'!$A$1:$O$85,15,0)),0,VLOOKUP($T$608,'TAR FIN'!$A$1:$O$85,15,0))</f>
        <v>240.85</v>
      </c>
      <c r="X608" s="6">
        <f>IF(ISERROR(VLOOKUP($U$608,'TAR FIN'!$A$1:$O$85,15,0)),0,VLOOKUP($U$608,'TAR FIN'!$A$1:$O$85,15,0))</f>
        <v>231.7</v>
      </c>
      <c r="Y608" s="6"/>
      <c r="Z608" s="6">
        <f ca="1">('TUSD BE'!$AM$33+'TUSD BF'!$AM$33+'TUSD CVA'!$AM$33)*(1-CUSTOS!$M$38)</f>
        <v>300.89907966262189</v>
      </c>
      <c r="AA608" s="6">
        <f>('TE BE'!$AA$23+'TE BF'!$AA$23+'TE CVA'!$AA$23)*(1-CUSTOS!$M$38)</f>
        <v>198.0053374241497</v>
      </c>
      <c r="AB608" s="6">
        <f>$K$608*$V$608</f>
        <v>0</v>
      </c>
      <c r="AC608" s="6">
        <f>$M$608*$W$608</f>
        <v>33927.576100000006</v>
      </c>
      <c r="AD608" s="6">
        <f>$O$608*$X$608</f>
        <v>32638.6522</v>
      </c>
      <c r="AE608" s="6">
        <f>$K$608*$Y$608</f>
        <v>0</v>
      </c>
      <c r="AF608" s="6">
        <f ca="1">$M$608*$Z$608</f>
        <v>42386.449755754897</v>
      </c>
      <c r="AG608" s="6">
        <f>$O$608*$AA$608</f>
        <v>27892.219861590274</v>
      </c>
    </row>
    <row r="609" spans="1:33" ht="11.25" customHeight="1" x14ac:dyDescent="0.25">
      <c r="A609" s="4" t="s">
        <v>21</v>
      </c>
      <c r="B609" s="4" t="s">
        <v>43</v>
      </c>
      <c r="C609" s="4" t="s">
        <v>23</v>
      </c>
      <c r="D609" s="4" t="s">
        <v>44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44652</v>
      </c>
      <c r="J609" s="6">
        <v>0</v>
      </c>
      <c r="K609" s="6">
        <v>0</v>
      </c>
      <c r="L609" s="6">
        <v>2867.6010000000001</v>
      </c>
      <c r="M609" s="6">
        <v>2867.6010000000001</v>
      </c>
      <c r="N609" s="6">
        <v>2867.6010000000001</v>
      </c>
      <c r="O609" s="6">
        <v>2867.6010000000001</v>
      </c>
      <c r="P609" s="6">
        <v>2451</v>
      </c>
      <c r="Q609" s="4" t="s">
        <v>26</v>
      </c>
      <c r="R609" s="4">
        <v>0</v>
      </c>
      <c r="S609" s="6">
        <v>0</v>
      </c>
      <c r="T609" s="6">
        <v>29</v>
      </c>
      <c r="U609" s="6">
        <v>66</v>
      </c>
      <c r="V609" s="6">
        <f>IF(ISERROR(VLOOKUP($S$609,'TAR FIN'!$A$1:$O$85,15,0)),0,VLOOKUP($S$609,'TAR FIN'!$A$1:$O$85,15,0))</f>
        <v>0</v>
      </c>
      <c r="W609" s="6">
        <f>IF(ISERROR(VLOOKUP($T$609,'TAR FIN'!$A$1:$O$85,15,0)),0,VLOOKUP($T$609,'TAR FIN'!$A$1:$O$85,15,0))</f>
        <v>240.85</v>
      </c>
      <c r="X609" s="6">
        <f>IF(ISERROR(VLOOKUP($U$609,'TAR FIN'!$A$1:$O$85,15,0)),0,VLOOKUP($U$609,'TAR FIN'!$A$1:$O$85,15,0))</f>
        <v>231.7</v>
      </c>
      <c r="Y609" s="6"/>
      <c r="Z609" s="6">
        <f ca="1">('TUSD BE'!$AM$33+'TUSD BF'!$AM$33+'TUSD CVA'!$AM$33)*(1-CUSTOS!$M$38)</f>
        <v>300.89907966262189</v>
      </c>
      <c r="AA609" s="6">
        <f>('TE BE'!$AA$23+'TE BF'!$AA$23+'TE CVA'!$AA$23)*(1-CUSTOS!$M$38)</f>
        <v>198.0053374241497</v>
      </c>
      <c r="AB609" s="6">
        <f>$K$609*$V$609</f>
        <v>0</v>
      </c>
      <c r="AC609" s="6">
        <f>$M$609*$W$609</f>
        <v>690661.70085000002</v>
      </c>
      <c r="AD609" s="6">
        <f>$O$609*$X$609</f>
        <v>664423.15170000005</v>
      </c>
      <c r="AE609" s="6">
        <f>$K$609*$Y$609</f>
        <v>0</v>
      </c>
      <c r="AF609" s="6">
        <f ca="1">$M$609*$Z$609</f>
        <v>862858.50173961418</v>
      </c>
      <c r="AG609" s="6">
        <f>$O$609*$AA$609</f>
        <v>567800.30360282911</v>
      </c>
    </row>
    <row r="610" spans="1:33" ht="11.25" customHeight="1" x14ac:dyDescent="0.25">
      <c r="A610" s="4" t="s">
        <v>21</v>
      </c>
      <c r="B610" s="4" t="s">
        <v>39</v>
      </c>
      <c r="C610" s="4" t="s">
        <v>37</v>
      </c>
      <c r="D610" s="4" t="s">
        <v>42</v>
      </c>
      <c r="E610" s="4" t="s">
        <v>25</v>
      </c>
      <c r="F610" s="4" t="s">
        <v>25</v>
      </c>
      <c r="G610" s="4" t="s">
        <v>25</v>
      </c>
      <c r="H610" s="4" t="s">
        <v>36</v>
      </c>
      <c r="I610" s="5">
        <v>44317</v>
      </c>
      <c r="J610" s="6">
        <v>0</v>
      </c>
      <c r="K610" s="6">
        <v>0</v>
      </c>
      <c r="L610" s="6">
        <v>1.724</v>
      </c>
      <c r="M610" s="6">
        <v>1.724</v>
      </c>
      <c r="N610" s="6">
        <v>1.724</v>
      </c>
      <c r="O610" s="6">
        <v>1.724</v>
      </c>
      <c r="P610" s="6">
        <v>0</v>
      </c>
      <c r="Q610" s="4" t="s">
        <v>26</v>
      </c>
      <c r="R610" s="4">
        <v>0</v>
      </c>
      <c r="S610" s="6">
        <v>0</v>
      </c>
      <c r="T610" s="6">
        <v>43</v>
      </c>
      <c r="U610" s="6">
        <v>80</v>
      </c>
      <c r="V610" s="6">
        <f>IF(ISERROR(VLOOKUP($S$610,'TAR FIN'!$A$1:$O$85,15,0)),0,VLOOKUP($S$610,'TAR FIN'!$A$1:$O$85,15,0))</f>
        <v>0</v>
      </c>
      <c r="W610" s="6">
        <f>IF(ISERROR(VLOOKUP($T$610,'TAR FIN'!$A$1:$O$85,15,0)),0,VLOOKUP($T$610,'TAR FIN'!$A$1:$O$85,15,0))</f>
        <v>200.63</v>
      </c>
      <c r="X610" s="6">
        <f>IF(ISERROR(VLOOKUP($U$610,'TAR FIN'!$A$1:$O$85,15,0)),0,VLOOKUP($U$610,'TAR FIN'!$A$1:$O$85,15,0))</f>
        <v>263.29000000000002</v>
      </c>
      <c r="Y610" s="6"/>
      <c r="Z610" s="6">
        <f ca="1">('TUSD BE'!$AM$47+'TUSD BF'!$AM$47+'TUSD CVA'!$AM$47)*1</f>
        <v>246.1938177787251</v>
      </c>
      <c r="AA610" s="6">
        <f>('TE BE'!$AA$37+'TE BF'!$AA$37+'TE CVA'!$AA$37)*1</f>
        <v>210.64397598313801</v>
      </c>
      <c r="AB610" s="6">
        <f>$K$610*$V$610</f>
        <v>0</v>
      </c>
      <c r="AC610" s="6">
        <f>$M$610*$W$610</f>
        <v>345.88612000000001</v>
      </c>
      <c r="AD610" s="6">
        <f>$O$610*$X$610</f>
        <v>453.91196000000002</v>
      </c>
      <c r="AE610" s="6">
        <f>$K$610*$Y$610</f>
        <v>0</v>
      </c>
      <c r="AF610" s="6">
        <f ca="1">$M$610*$Z$610</f>
        <v>424.43814185052207</v>
      </c>
      <c r="AG610" s="6">
        <f>$O$610*$AA$610</f>
        <v>363.15021459492993</v>
      </c>
    </row>
    <row r="611" spans="1:33" ht="11.25" customHeight="1" x14ac:dyDescent="0.25">
      <c r="A611" s="4" t="s">
        <v>21</v>
      </c>
      <c r="B611" s="4" t="s">
        <v>39</v>
      </c>
      <c r="C611" s="4" t="s">
        <v>37</v>
      </c>
      <c r="D611" s="4" t="s">
        <v>42</v>
      </c>
      <c r="E611" s="4" t="s">
        <v>25</v>
      </c>
      <c r="F611" s="4" t="s">
        <v>25</v>
      </c>
      <c r="G611" s="4" t="s">
        <v>25</v>
      </c>
      <c r="H611" s="4" t="s">
        <v>36</v>
      </c>
      <c r="I611" s="5">
        <v>44348</v>
      </c>
      <c r="J611" s="6">
        <v>0</v>
      </c>
      <c r="K611" s="6">
        <v>0</v>
      </c>
      <c r="L611" s="6">
        <v>1.5469999999999999</v>
      </c>
      <c r="M611" s="6">
        <v>1.5469999999999999</v>
      </c>
      <c r="N611" s="6">
        <v>1.5469999999999999</v>
      </c>
      <c r="O611" s="6">
        <v>1.5469999999999999</v>
      </c>
      <c r="P611" s="6">
        <v>0</v>
      </c>
      <c r="Q611" s="4" t="s">
        <v>26</v>
      </c>
      <c r="R611" s="4">
        <v>0</v>
      </c>
      <c r="S611" s="6">
        <v>0</v>
      </c>
      <c r="T611" s="6">
        <v>43</v>
      </c>
      <c r="U611" s="6">
        <v>80</v>
      </c>
      <c r="V611" s="6">
        <f>IF(ISERROR(VLOOKUP($S$611,'TAR FIN'!$A$1:$O$85,15,0)),0,VLOOKUP($S$611,'TAR FIN'!$A$1:$O$85,15,0))</f>
        <v>0</v>
      </c>
      <c r="W611" s="6">
        <f>IF(ISERROR(VLOOKUP($T$611,'TAR FIN'!$A$1:$O$85,15,0)),0,VLOOKUP($T$611,'TAR FIN'!$A$1:$O$85,15,0))</f>
        <v>200.63</v>
      </c>
      <c r="X611" s="6">
        <f>IF(ISERROR(VLOOKUP($U$611,'TAR FIN'!$A$1:$O$85,15,0)),0,VLOOKUP($U$611,'TAR FIN'!$A$1:$O$85,15,0))</f>
        <v>263.29000000000002</v>
      </c>
      <c r="Y611" s="6"/>
      <c r="Z611" s="6">
        <f ca="1">('TUSD BE'!$AM$47+'TUSD BF'!$AM$47+'TUSD CVA'!$AM$47)*1</f>
        <v>246.1938177787251</v>
      </c>
      <c r="AA611" s="6">
        <f>('TE BE'!$AA$37+'TE BF'!$AA$37+'TE CVA'!$AA$37)*1</f>
        <v>210.64397598313801</v>
      </c>
      <c r="AB611" s="6">
        <f>$K$611*$V$611</f>
        <v>0</v>
      </c>
      <c r="AC611" s="6">
        <f>$M$611*$W$611</f>
        <v>310.37460999999996</v>
      </c>
      <c r="AD611" s="6">
        <f>$O$611*$X$611</f>
        <v>407.30963000000003</v>
      </c>
      <c r="AE611" s="6">
        <f>$K$611*$Y$611</f>
        <v>0</v>
      </c>
      <c r="AF611" s="6">
        <f ca="1">$M$611*$Z$611</f>
        <v>380.86183610368772</v>
      </c>
      <c r="AG611" s="6">
        <f>$O$611*$AA$611</f>
        <v>325.86623084591446</v>
      </c>
    </row>
    <row r="612" spans="1:33" ht="11.25" customHeight="1" x14ac:dyDescent="0.25">
      <c r="A612" s="4" t="s">
        <v>21</v>
      </c>
      <c r="B612" s="4" t="s">
        <v>39</v>
      </c>
      <c r="C612" s="4" t="s">
        <v>37</v>
      </c>
      <c r="D612" s="4" t="s">
        <v>42</v>
      </c>
      <c r="E612" s="4" t="s">
        <v>25</v>
      </c>
      <c r="F612" s="4" t="s">
        <v>25</v>
      </c>
      <c r="G612" s="4" t="s">
        <v>25</v>
      </c>
      <c r="H612" s="4" t="s">
        <v>36</v>
      </c>
      <c r="I612" s="5">
        <v>44378</v>
      </c>
      <c r="J612" s="6">
        <v>0</v>
      </c>
      <c r="K612" s="6">
        <v>0</v>
      </c>
      <c r="L612" s="6">
        <v>1.603</v>
      </c>
      <c r="M612" s="6">
        <v>1.603</v>
      </c>
      <c r="N612" s="6">
        <v>1.603</v>
      </c>
      <c r="O612" s="6">
        <v>1.603</v>
      </c>
      <c r="P612" s="6">
        <v>0</v>
      </c>
      <c r="Q612" s="4" t="s">
        <v>26</v>
      </c>
      <c r="R612" s="4">
        <v>0</v>
      </c>
      <c r="S612" s="6">
        <v>0</v>
      </c>
      <c r="T612" s="6">
        <v>43</v>
      </c>
      <c r="U612" s="6">
        <v>80</v>
      </c>
      <c r="V612" s="6">
        <f>IF(ISERROR(VLOOKUP($S$612,'TAR FIN'!$A$1:$O$85,15,0)),0,VLOOKUP($S$612,'TAR FIN'!$A$1:$O$85,15,0))</f>
        <v>0</v>
      </c>
      <c r="W612" s="6">
        <f>IF(ISERROR(VLOOKUP($T$612,'TAR FIN'!$A$1:$O$85,15,0)),0,VLOOKUP($T$612,'TAR FIN'!$A$1:$O$85,15,0))</f>
        <v>200.63</v>
      </c>
      <c r="X612" s="6">
        <f>IF(ISERROR(VLOOKUP($U$612,'TAR FIN'!$A$1:$O$85,15,0)),0,VLOOKUP($U$612,'TAR FIN'!$A$1:$O$85,15,0))</f>
        <v>263.29000000000002</v>
      </c>
      <c r="Y612" s="6"/>
      <c r="Z612" s="6">
        <f ca="1">('TUSD BE'!$AM$47+'TUSD BF'!$AM$47+'TUSD CVA'!$AM$47)*1</f>
        <v>246.1938177787251</v>
      </c>
      <c r="AA612" s="6">
        <f>('TE BE'!$AA$37+'TE BF'!$AA$37+'TE CVA'!$AA$37)*1</f>
        <v>210.64397598313801</v>
      </c>
      <c r="AB612" s="6">
        <f>$K$612*$V$612</f>
        <v>0</v>
      </c>
      <c r="AC612" s="6">
        <f>$M$612*$W$612</f>
        <v>321.60989000000001</v>
      </c>
      <c r="AD612" s="6">
        <f>$O$612*$X$612</f>
        <v>422.05387000000002</v>
      </c>
      <c r="AE612" s="6">
        <f>$K$612*$Y$612</f>
        <v>0</v>
      </c>
      <c r="AF612" s="6">
        <f ca="1">$M$612*$Z$612</f>
        <v>394.64868989929636</v>
      </c>
      <c r="AG612" s="6">
        <f>$O$612*$AA$612</f>
        <v>337.66229350097024</v>
      </c>
    </row>
    <row r="613" spans="1:33" ht="11.25" customHeight="1" x14ac:dyDescent="0.25">
      <c r="A613" s="4" t="s">
        <v>21</v>
      </c>
      <c r="B613" s="4" t="s">
        <v>39</v>
      </c>
      <c r="C613" s="4" t="s">
        <v>37</v>
      </c>
      <c r="D613" s="4" t="s">
        <v>42</v>
      </c>
      <c r="E613" s="4" t="s">
        <v>25</v>
      </c>
      <c r="F613" s="4" t="s">
        <v>25</v>
      </c>
      <c r="G613" s="4" t="s">
        <v>25</v>
      </c>
      <c r="H613" s="4" t="s">
        <v>36</v>
      </c>
      <c r="I613" s="5">
        <v>44409</v>
      </c>
      <c r="J613" s="6">
        <v>0</v>
      </c>
      <c r="K613" s="6">
        <v>0</v>
      </c>
      <c r="L613" s="6">
        <v>1.3779999999999999</v>
      </c>
      <c r="M613" s="6">
        <v>1.3779999999999999</v>
      </c>
      <c r="N613" s="6">
        <v>1.3779999999999999</v>
      </c>
      <c r="O613" s="6">
        <v>1.3779999999999999</v>
      </c>
      <c r="P613" s="6">
        <v>0</v>
      </c>
      <c r="Q613" s="4" t="s">
        <v>26</v>
      </c>
      <c r="R613" s="4">
        <v>0</v>
      </c>
      <c r="S613" s="6">
        <v>0</v>
      </c>
      <c r="T613" s="6">
        <v>43</v>
      </c>
      <c r="U613" s="6">
        <v>80</v>
      </c>
      <c r="V613" s="6">
        <f>IF(ISERROR(VLOOKUP($S$613,'TAR FIN'!$A$1:$O$85,15,0)),0,VLOOKUP($S$613,'TAR FIN'!$A$1:$O$85,15,0))</f>
        <v>0</v>
      </c>
      <c r="W613" s="6">
        <f>IF(ISERROR(VLOOKUP($T$613,'TAR FIN'!$A$1:$O$85,15,0)),0,VLOOKUP($T$613,'TAR FIN'!$A$1:$O$85,15,0))</f>
        <v>200.63</v>
      </c>
      <c r="X613" s="6">
        <f>IF(ISERROR(VLOOKUP($U$613,'TAR FIN'!$A$1:$O$85,15,0)),0,VLOOKUP($U$613,'TAR FIN'!$A$1:$O$85,15,0))</f>
        <v>263.29000000000002</v>
      </c>
      <c r="Y613" s="6"/>
      <c r="Z613" s="6">
        <f ca="1">('TUSD BE'!$AM$47+'TUSD BF'!$AM$47+'TUSD CVA'!$AM$47)*1</f>
        <v>246.1938177787251</v>
      </c>
      <c r="AA613" s="6">
        <f>('TE BE'!$AA$37+'TE BF'!$AA$37+'TE CVA'!$AA$37)*1</f>
        <v>210.64397598313801</v>
      </c>
      <c r="AB613" s="6">
        <f>$K$613*$V$613</f>
        <v>0</v>
      </c>
      <c r="AC613" s="6">
        <f>$M$613*$W$613</f>
        <v>276.46813999999995</v>
      </c>
      <c r="AD613" s="6">
        <f>$O$613*$X$613</f>
        <v>362.81362000000001</v>
      </c>
      <c r="AE613" s="6">
        <f>$K$613*$Y$613</f>
        <v>0</v>
      </c>
      <c r="AF613" s="6">
        <f ca="1">$M$613*$Z$613</f>
        <v>339.25508089908317</v>
      </c>
      <c r="AG613" s="6">
        <f>$O$613*$AA$613</f>
        <v>290.26739890476415</v>
      </c>
    </row>
    <row r="614" spans="1:33" ht="11.25" customHeight="1" x14ac:dyDescent="0.25">
      <c r="A614" s="4" t="s">
        <v>21</v>
      </c>
      <c r="B614" s="4" t="s">
        <v>39</v>
      </c>
      <c r="C614" s="4" t="s">
        <v>37</v>
      </c>
      <c r="D614" s="4" t="s">
        <v>42</v>
      </c>
      <c r="E614" s="4" t="s">
        <v>25</v>
      </c>
      <c r="F614" s="4" t="s">
        <v>25</v>
      </c>
      <c r="G614" s="4" t="s">
        <v>25</v>
      </c>
      <c r="H614" s="4" t="s">
        <v>36</v>
      </c>
      <c r="I614" s="5">
        <v>44440</v>
      </c>
      <c r="J614" s="6">
        <v>0</v>
      </c>
      <c r="K614" s="6">
        <v>0</v>
      </c>
      <c r="L614" s="6">
        <v>1.526</v>
      </c>
      <c r="M614" s="6">
        <v>1.526</v>
      </c>
      <c r="N614" s="6">
        <v>1.526</v>
      </c>
      <c r="O614" s="6">
        <v>1.526</v>
      </c>
      <c r="P614" s="6">
        <v>0</v>
      </c>
      <c r="Q614" s="4" t="s">
        <v>26</v>
      </c>
      <c r="R614" s="4">
        <v>0</v>
      </c>
      <c r="S614" s="6">
        <v>0</v>
      </c>
      <c r="T614" s="6">
        <v>43</v>
      </c>
      <c r="U614" s="6">
        <v>80</v>
      </c>
      <c r="V614" s="6">
        <f>IF(ISERROR(VLOOKUP($S$614,'TAR FIN'!$A$1:$O$85,15,0)),0,VLOOKUP($S$614,'TAR FIN'!$A$1:$O$85,15,0))</f>
        <v>0</v>
      </c>
      <c r="W614" s="6">
        <f>IF(ISERROR(VLOOKUP($T$614,'TAR FIN'!$A$1:$O$85,15,0)),0,VLOOKUP($T$614,'TAR FIN'!$A$1:$O$85,15,0))</f>
        <v>200.63</v>
      </c>
      <c r="X614" s="6">
        <f>IF(ISERROR(VLOOKUP($U$614,'TAR FIN'!$A$1:$O$85,15,0)),0,VLOOKUP($U$614,'TAR FIN'!$A$1:$O$85,15,0))</f>
        <v>263.29000000000002</v>
      </c>
      <c r="Y614" s="6"/>
      <c r="Z614" s="6">
        <f ca="1">('TUSD BE'!$AM$47+'TUSD BF'!$AM$47+'TUSD CVA'!$AM$47)*1</f>
        <v>246.1938177787251</v>
      </c>
      <c r="AA614" s="6">
        <f>('TE BE'!$AA$37+'TE BF'!$AA$37+'TE CVA'!$AA$37)*1</f>
        <v>210.64397598313801</v>
      </c>
      <c r="AB614" s="6">
        <f>$K$614*$V$614</f>
        <v>0</v>
      </c>
      <c r="AC614" s="6">
        <f>$M$614*$W$614</f>
        <v>306.16138000000001</v>
      </c>
      <c r="AD614" s="6">
        <f>$O$614*$X$614</f>
        <v>401.78054000000003</v>
      </c>
      <c r="AE614" s="6">
        <f>$K$614*$Y$614</f>
        <v>0</v>
      </c>
      <c r="AF614" s="6">
        <f ca="1">$M$614*$Z$614</f>
        <v>375.6917659303345</v>
      </c>
      <c r="AG614" s="6">
        <f>$O$614*$AA$614</f>
        <v>321.44270735026862</v>
      </c>
    </row>
    <row r="615" spans="1:33" ht="11.25" customHeight="1" x14ac:dyDescent="0.25">
      <c r="A615" s="4" t="s">
        <v>21</v>
      </c>
      <c r="B615" s="4" t="s">
        <v>39</v>
      </c>
      <c r="C615" s="4" t="s">
        <v>37</v>
      </c>
      <c r="D615" s="4" t="s">
        <v>42</v>
      </c>
      <c r="E615" s="4" t="s">
        <v>25</v>
      </c>
      <c r="F615" s="4" t="s">
        <v>25</v>
      </c>
      <c r="G615" s="4" t="s">
        <v>25</v>
      </c>
      <c r="H615" s="4" t="s">
        <v>36</v>
      </c>
      <c r="I615" s="5">
        <v>44470</v>
      </c>
      <c r="J615" s="6">
        <v>0</v>
      </c>
      <c r="K615" s="6">
        <v>0</v>
      </c>
      <c r="L615" s="6">
        <v>1.534</v>
      </c>
      <c r="M615" s="6">
        <v>1.534</v>
      </c>
      <c r="N615" s="6">
        <v>1.534</v>
      </c>
      <c r="O615" s="6">
        <v>1.534</v>
      </c>
      <c r="P615" s="6">
        <v>0</v>
      </c>
      <c r="Q615" s="4" t="s">
        <v>26</v>
      </c>
      <c r="R615" s="4">
        <v>0</v>
      </c>
      <c r="S615" s="6">
        <v>0</v>
      </c>
      <c r="T615" s="6">
        <v>43</v>
      </c>
      <c r="U615" s="6">
        <v>80</v>
      </c>
      <c r="V615" s="6">
        <f>IF(ISERROR(VLOOKUP($S$615,'TAR FIN'!$A$1:$O$85,15,0)),0,VLOOKUP($S$615,'TAR FIN'!$A$1:$O$85,15,0))</f>
        <v>0</v>
      </c>
      <c r="W615" s="6">
        <f>IF(ISERROR(VLOOKUP($T$615,'TAR FIN'!$A$1:$O$85,15,0)),0,VLOOKUP($T$615,'TAR FIN'!$A$1:$O$85,15,0))</f>
        <v>200.63</v>
      </c>
      <c r="X615" s="6">
        <f>IF(ISERROR(VLOOKUP($U$615,'TAR FIN'!$A$1:$O$85,15,0)),0,VLOOKUP($U$615,'TAR FIN'!$A$1:$O$85,15,0))</f>
        <v>263.29000000000002</v>
      </c>
      <c r="Y615" s="6"/>
      <c r="Z615" s="6">
        <f ca="1">('TUSD BE'!$AM$47+'TUSD BF'!$AM$47+'TUSD CVA'!$AM$47)*1</f>
        <v>246.1938177787251</v>
      </c>
      <c r="AA615" s="6">
        <f>('TE BE'!$AA$37+'TE BF'!$AA$37+'TE CVA'!$AA$37)*1</f>
        <v>210.64397598313801</v>
      </c>
      <c r="AB615" s="6">
        <f>$K$615*$V$615</f>
        <v>0</v>
      </c>
      <c r="AC615" s="6">
        <f>$M$615*$W$615</f>
        <v>307.76641999999998</v>
      </c>
      <c r="AD615" s="6">
        <f>$O$615*$X$615</f>
        <v>403.88686000000001</v>
      </c>
      <c r="AE615" s="6">
        <f>$K$615*$Y$615</f>
        <v>0</v>
      </c>
      <c r="AF615" s="6">
        <f ca="1">$M$615*$Z$615</f>
        <v>377.66131647256429</v>
      </c>
      <c r="AG615" s="6">
        <f>$O$615*$AA$615</f>
        <v>323.12785915813373</v>
      </c>
    </row>
    <row r="616" spans="1:33" ht="11.25" customHeight="1" x14ac:dyDescent="0.25">
      <c r="A616" s="4" t="s">
        <v>21</v>
      </c>
      <c r="B616" s="4" t="s">
        <v>39</v>
      </c>
      <c r="C616" s="4" t="s">
        <v>37</v>
      </c>
      <c r="D616" s="4" t="s">
        <v>42</v>
      </c>
      <c r="E616" s="4" t="s">
        <v>25</v>
      </c>
      <c r="F616" s="4" t="s">
        <v>25</v>
      </c>
      <c r="G616" s="4" t="s">
        <v>25</v>
      </c>
      <c r="H616" s="4" t="s">
        <v>36</v>
      </c>
      <c r="I616" s="5">
        <v>44501</v>
      </c>
      <c r="J616" s="6">
        <v>0</v>
      </c>
      <c r="K616" s="6">
        <v>0</v>
      </c>
      <c r="L616" s="6">
        <v>1.647</v>
      </c>
      <c r="M616" s="6">
        <v>1.647</v>
      </c>
      <c r="N616" s="6">
        <v>1.647</v>
      </c>
      <c r="O616" s="6">
        <v>1.647</v>
      </c>
      <c r="P616" s="6">
        <v>0</v>
      </c>
      <c r="Q616" s="4" t="s">
        <v>26</v>
      </c>
      <c r="R616" s="4">
        <v>0</v>
      </c>
      <c r="S616" s="6">
        <v>0</v>
      </c>
      <c r="T616" s="6">
        <v>43</v>
      </c>
      <c r="U616" s="6">
        <v>80</v>
      </c>
      <c r="V616" s="6">
        <f>IF(ISERROR(VLOOKUP($S$616,'TAR FIN'!$A$1:$O$85,15,0)),0,VLOOKUP($S$616,'TAR FIN'!$A$1:$O$85,15,0))</f>
        <v>0</v>
      </c>
      <c r="W616" s="6">
        <f>IF(ISERROR(VLOOKUP($T$616,'TAR FIN'!$A$1:$O$85,15,0)),0,VLOOKUP($T$616,'TAR FIN'!$A$1:$O$85,15,0))</f>
        <v>200.63</v>
      </c>
      <c r="X616" s="6">
        <f>IF(ISERROR(VLOOKUP($U$616,'TAR FIN'!$A$1:$O$85,15,0)),0,VLOOKUP($U$616,'TAR FIN'!$A$1:$O$85,15,0))</f>
        <v>263.29000000000002</v>
      </c>
      <c r="Y616" s="6"/>
      <c r="Z616" s="6">
        <f ca="1">('TUSD BE'!$AM$47+'TUSD BF'!$AM$47+'TUSD CVA'!$AM$47)*1</f>
        <v>246.1938177787251</v>
      </c>
      <c r="AA616" s="6">
        <f>('TE BE'!$AA$37+'TE BF'!$AA$37+'TE CVA'!$AA$37)*1</f>
        <v>210.64397598313801</v>
      </c>
      <c r="AB616" s="6">
        <f>$K$616*$V$616</f>
        <v>0</v>
      </c>
      <c r="AC616" s="6">
        <f>$M$616*$W$616</f>
        <v>330.43761000000001</v>
      </c>
      <c r="AD616" s="6">
        <f>$O$616*$X$616</f>
        <v>433.63863000000003</v>
      </c>
      <c r="AE616" s="6">
        <f>$K$616*$Y$616</f>
        <v>0</v>
      </c>
      <c r="AF616" s="6">
        <f ca="1">$M$616*$Z$616</f>
        <v>405.48121788156027</v>
      </c>
      <c r="AG616" s="6">
        <f>$O$616*$AA$616</f>
        <v>346.93062844422832</v>
      </c>
    </row>
    <row r="617" spans="1:33" ht="11.25" customHeight="1" x14ac:dyDescent="0.25">
      <c r="A617" s="4" t="s">
        <v>21</v>
      </c>
      <c r="B617" s="4" t="s">
        <v>39</v>
      </c>
      <c r="C617" s="4" t="s">
        <v>37</v>
      </c>
      <c r="D617" s="4" t="s">
        <v>42</v>
      </c>
      <c r="E617" s="4" t="s">
        <v>25</v>
      </c>
      <c r="F617" s="4" t="s">
        <v>25</v>
      </c>
      <c r="G617" s="4" t="s">
        <v>25</v>
      </c>
      <c r="H617" s="4" t="s">
        <v>36</v>
      </c>
      <c r="I617" s="5">
        <v>44531</v>
      </c>
      <c r="J617" s="6">
        <v>0</v>
      </c>
      <c r="K617" s="6">
        <v>0</v>
      </c>
      <c r="L617" s="6">
        <v>1.4419999999999999</v>
      </c>
      <c r="M617" s="6">
        <v>1.4419999999999999</v>
      </c>
      <c r="N617" s="6">
        <v>1.4419999999999999</v>
      </c>
      <c r="O617" s="6">
        <v>1.4419999999999999</v>
      </c>
      <c r="P617" s="6">
        <v>0</v>
      </c>
      <c r="Q617" s="4" t="s">
        <v>26</v>
      </c>
      <c r="R617" s="4">
        <v>0</v>
      </c>
      <c r="S617" s="6">
        <v>0</v>
      </c>
      <c r="T617" s="6">
        <v>43</v>
      </c>
      <c r="U617" s="6">
        <v>80</v>
      </c>
      <c r="V617" s="6">
        <f>IF(ISERROR(VLOOKUP($S$617,'TAR FIN'!$A$1:$O$85,15,0)),0,VLOOKUP($S$617,'TAR FIN'!$A$1:$O$85,15,0))</f>
        <v>0</v>
      </c>
      <c r="W617" s="6">
        <f>IF(ISERROR(VLOOKUP($T$617,'TAR FIN'!$A$1:$O$85,15,0)),0,VLOOKUP($T$617,'TAR FIN'!$A$1:$O$85,15,0))</f>
        <v>200.63</v>
      </c>
      <c r="X617" s="6">
        <f>IF(ISERROR(VLOOKUP($U$617,'TAR FIN'!$A$1:$O$85,15,0)),0,VLOOKUP($U$617,'TAR FIN'!$A$1:$O$85,15,0))</f>
        <v>263.29000000000002</v>
      </c>
      <c r="Y617" s="6"/>
      <c r="Z617" s="6">
        <f ca="1">('TUSD BE'!$AM$47+'TUSD BF'!$AM$47+'TUSD CVA'!$AM$47)*1</f>
        <v>246.1938177787251</v>
      </c>
      <c r="AA617" s="6">
        <f>('TE BE'!$AA$37+'TE BF'!$AA$37+'TE CVA'!$AA$37)*1</f>
        <v>210.64397598313801</v>
      </c>
      <c r="AB617" s="6">
        <f>$K$617*$V$617</f>
        <v>0</v>
      </c>
      <c r="AC617" s="6">
        <f>$M$617*$W$617</f>
        <v>289.30845999999997</v>
      </c>
      <c r="AD617" s="6">
        <f>$O$617*$X$617</f>
        <v>379.66417999999999</v>
      </c>
      <c r="AE617" s="6">
        <f>$K$617*$Y$617</f>
        <v>0</v>
      </c>
      <c r="AF617" s="6">
        <f ca="1">$M$617*$Z$617</f>
        <v>355.0114852369216</v>
      </c>
      <c r="AG617" s="6">
        <f>$O$617*$AA$617</f>
        <v>303.74861336768498</v>
      </c>
    </row>
    <row r="618" spans="1:33" ht="11.25" customHeight="1" x14ac:dyDescent="0.25">
      <c r="A618" s="4" t="s">
        <v>21</v>
      </c>
      <c r="B618" s="4" t="s">
        <v>39</v>
      </c>
      <c r="C618" s="4" t="s">
        <v>37</v>
      </c>
      <c r="D618" s="4" t="s">
        <v>42</v>
      </c>
      <c r="E618" s="4" t="s">
        <v>25</v>
      </c>
      <c r="F618" s="4" t="s">
        <v>25</v>
      </c>
      <c r="G618" s="4" t="s">
        <v>25</v>
      </c>
      <c r="H618" s="4" t="s">
        <v>36</v>
      </c>
      <c r="I618" s="5">
        <v>44562</v>
      </c>
      <c r="J618" s="6">
        <v>0</v>
      </c>
      <c r="K618" s="6">
        <v>0</v>
      </c>
      <c r="L618" s="6">
        <v>1.373</v>
      </c>
      <c r="M618" s="6">
        <v>1.373</v>
      </c>
      <c r="N618" s="6">
        <v>1.373</v>
      </c>
      <c r="O618" s="6">
        <v>1.373</v>
      </c>
      <c r="P618" s="6">
        <v>0</v>
      </c>
      <c r="Q618" s="4" t="s">
        <v>26</v>
      </c>
      <c r="R618" s="4">
        <v>0</v>
      </c>
      <c r="S618" s="6">
        <v>0</v>
      </c>
      <c r="T618" s="6">
        <v>43</v>
      </c>
      <c r="U618" s="6">
        <v>80</v>
      </c>
      <c r="V618" s="6">
        <f>IF(ISERROR(VLOOKUP($S$618,'TAR FIN'!$A$1:$O$85,15,0)),0,VLOOKUP($S$618,'TAR FIN'!$A$1:$O$85,15,0))</f>
        <v>0</v>
      </c>
      <c r="W618" s="6">
        <f>IF(ISERROR(VLOOKUP($T$618,'TAR FIN'!$A$1:$O$85,15,0)),0,VLOOKUP($T$618,'TAR FIN'!$A$1:$O$85,15,0))</f>
        <v>200.63</v>
      </c>
      <c r="X618" s="6">
        <f>IF(ISERROR(VLOOKUP($U$618,'TAR FIN'!$A$1:$O$85,15,0)),0,VLOOKUP($U$618,'TAR FIN'!$A$1:$O$85,15,0))</f>
        <v>263.29000000000002</v>
      </c>
      <c r="Y618" s="6"/>
      <c r="Z618" s="6">
        <f ca="1">('TUSD BE'!$AM$47+'TUSD BF'!$AM$47+'TUSD CVA'!$AM$47)*1</f>
        <v>246.1938177787251</v>
      </c>
      <c r="AA618" s="6">
        <f>('TE BE'!$AA$37+'TE BF'!$AA$37+'TE CVA'!$AA$37)*1</f>
        <v>210.64397598313801</v>
      </c>
      <c r="AB618" s="6">
        <f>$K$618*$V$618</f>
        <v>0</v>
      </c>
      <c r="AC618" s="6">
        <f>$M$618*$W$618</f>
        <v>275.46499</v>
      </c>
      <c r="AD618" s="6">
        <f>$O$618*$X$618</f>
        <v>361.49717000000004</v>
      </c>
      <c r="AE618" s="6">
        <f>$K$618*$Y$618</f>
        <v>0</v>
      </c>
      <c r="AF618" s="6">
        <f ca="1">$M$618*$Z$618</f>
        <v>338.02411181018959</v>
      </c>
      <c r="AG618" s="6">
        <f>$O$618*$AA$618</f>
        <v>289.21417902484848</v>
      </c>
    </row>
    <row r="619" spans="1:33" ht="11.25" customHeight="1" x14ac:dyDescent="0.25">
      <c r="A619" s="4" t="s">
        <v>21</v>
      </c>
      <c r="B619" s="4" t="s">
        <v>39</v>
      </c>
      <c r="C619" s="4" t="s">
        <v>37</v>
      </c>
      <c r="D619" s="4" t="s">
        <v>42</v>
      </c>
      <c r="E619" s="4" t="s">
        <v>25</v>
      </c>
      <c r="F619" s="4" t="s">
        <v>25</v>
      </c>
      <c r="G619" s="4" t="s">
        <v>25</v>
      </c>
      <c r="H619" s="4" t="s">
        <v>36</v>
      </c>
      <c r="I619" s="5">
        <v>44593</v>
      </c>
      <c r="J619" s="6">
        <v>0</v>
      </c>
      <c r="K619" s="6">
        <v>0</v>
      </c>
      <c r="L619" s="6">
        <v>1.794</v>
      </c>
      <c r="M619" s="6">
        <v>1.794</v>
      </c>
      <c r="N619" s="6">
        <v>1.794</v>
      </c>
      <c r="O619" s="6">
        <v>1.794</v>
      </c>
      <c r="P619" s="6">
        <v>0</v>
      </c>
      <c r="Q619" s="4" t="s">
        <v>26</v>
      </c>
      <c r="R619" s="4">
        <v>0</v>
      </c>
      <c r="S619" s="6">
        <v>0</v>
      </c>
      <c r="T619" s="6">
        <v>43</v>
      </c>
      <c r="U619" s="6">
        <v>80</v>
      </c>
      <c r="V619" s="6">
        <f>IF(ISERROR(VLOOKUP($S$619,'TAR FIN'!$A$1:$O$85,15,0)),0,VLOOKUP($S$619,'TAR FIN'!$A$1:$O$85,15,0))</f>
        <v>0</v>
      </c>
      <c r="W619" s="6">
        <f>IF(ISERROR(VLOOKUP($T$619,'TAR FIN'!$A$1:$O$85,15,0)),0,VLOOKUP($T$619,'TAR FIN'!$A$1:$O$85,15,0))</f>
        <v>200.63</v>
      </c>
      <c r="X619" s="6">
        <f>IF(ISERROR(VLOOKUP($U$619,'TAR FIN'!$A$1:$O$85,15,0)),0,VLOOKUP($U$619,'TAR FIN'!$A$1:$O$85,15,0))</f>
        <v>263.29000000000002</v>
      </c>
      <c r="Y619" s="6"/>
      <c r="Z619" s="6">
        <f ca="1">('TUSD BE'!$AM$47+'TUSD BF'!$AM$47+'TUSD CVA'!$AM$47)*1</f>
        <v>246.1938177787251</v>
      </c>
      <c r="AA619" s="6">
        <f>('TE BE'!$AA$37+'TE BF'!$AA$37+'TE CVA'!$AA$37)*1</f>
        <v>210.64397598313801</v>
      </c>
      <c r="AB619" s="6">
        <f>$K$619*$V$619</f>
        <v>0</v>
      </c>
      <c r="AC619" s="6">
        <f>$M$619*$W$619</f>
        <v>359.93022000000002</v>
      </c>
      <c r="AD619" s="6">
        <f>$O$619*$X$619</f>
        <v>472.34226000000007</v>
      </c>
      <c r="AE619" s="6">
        <f>$K$619*$Y$619</f>
        <v>0</v>
      </c>
      <c r="AF619" s="6">
        <f ca="1">$M$619*$Z$619</f>
        <v>441.67170909503284</v>
      </c>
      <c r="AG619" s="6">
        <f>$O$619*$AA$619</f>
        <v>377.89529291374959</v>
      </c>
    </row>
    <row r="620" spans="1:33" ht="11.25" customHeight="1" x14ac:dyDescent="0.25">
      <c r="A620" s="4" t="s">
        <v>21</v>
      </c>
      <c r="B620" s="4" t="s">
        <v>39</v>
      </c>
      <c r="C620" s="4" t="s">
        <v>37</v>
      </c>
      <c r="D620" s="4" t="s">
        <v>42</v>
      </c>
      <c r="E620" s="4" t="s">
        <v>25</v>
      </c>
      <c r="F620" s="4" t="s">
        <v>25</v>
      </c>
      <c r="G620" s="4" t="s">
        <v>25</v>
      </c>
      <c r="H620" s="4" t="s">
        <v>36</v>
      </c>
      <c r="I620" s="5">
        <v>44621</v>
      </c>
      <c r="J620" s="6">
        <v>0</v>
      </c>
      <c r="K620" s="6">
        <v>0</v>
      </c>
      <c r="L620" s="6">
        <v>2.0720000000000001</v>
      </c>
      <c r="M620" s="6">
        <v>2.0720000000000001</v>
      </c>
      <c r="N620" s="6">
        <v>2.0720000000000001</v>
      </c>
      <c r="O620" s="6">
        <v>2.0720000000000001</v>
      </c>
      <c r="P620" s="6">
        <v>0</v>
      </c>
      <c r="Q620" s="4" t="s">
        <v>26</v>
      </c>
      <c r="R620" s="4">
        <v>0</v>
      </c>
      <c r="S620" s="6">
        <v>0</v>
      </c>
      <c r="T620" s="6">
        <v>43</v>
      </c>
      <c r="U620" s="6">
        <v>80</v>
      </c>
      <c r="V620" s="6">
        <f>IF(ISERROR(VLOOKUP($S$620,'TAR FIN'!$A$1:$O$85,15,0)),0,VLOOKUP($S$620,'TAR FIN'!$A$1:$O$85,15,0))</f>
        <v>0</v>
      </c>
      <c r="W620" s="6">
        <f>IF(ISERROR(VLOOKUP($T$620,'TAR FIN'!$A$1:$O$85,15,0)),0,VLOOKUP($T$620,'TAR FIN'!$A$1:$O$85,15,0))</f>
        <v>200.63</v>
      </c>
      <c r="X620" s="6">
        <f>IF(ISERROR(VLOOKUP($U$620,'TAR FIN'!$A$1:$O$85,15,0)),0,VLOOKUP($U$620,'TAR FIN'!$A$1:$O$85,15,0))</f>
        <v>263.29000000000002</v>
      </c>
      <c r="Y620" s="6"/>
      <c r="Z620" s="6">
        <f ca="1">('TUSD BE'!$AM$47+'TUSD BF'!$AM$47+'TUSD CVA'!$AM$47)*1</f>
        <v>246.1938177787251</v>
      </c>
      <c r="AA620" s="6">
        <f>('TE BE'!$AA$37+'TE BF'!$AA$37+'TE CVA'!$AA$37)*1</f>
        <v>210.64397598313801</v>
      </c>
      <c r="AB620" s="6">
        <f>$K$620*$V$620</f>
        <v>0</v>
      </c>
      <c r="AC620" s="6">
        <f>$M$620*$W$620</f>
        <v>415.70535999999998</v>
      </c>
      <c r="AD620" s="6">
        <f>$O$620*$X$620</f>
        <v>545.53688000000011</v>
      </c>
      <c r="AE620" s="6">
        <f>$K$620*$Y$620</f>
        <v>0</v>
      </c>
      <c r="AF620" s="6">
        <f ca="1">$M$620*$Z$620</f>
        <v>510.11359043751844</v>
      </c>
      <c r="AG620" s="6">
        <f>$O$620*$AA$620</f>
        <v>436.45431823706195</v>
      </c>
    </row>
    <row r="621" spans="1:33" ht="11.25" customHeight="1" x14ac:dyDescent="0.25">
      <c r="A621" s="4" t="s">
        <v>21</v>
      </c>
      <c r="B621" s="4" t="s">
        <v>39</v>
      </c>
      <c r="C621" s="4" t="s">
        <v>37</v>
      </c>
      <c r="D621" s="4" t="s">
        <v>42</v>
      </c>
      <c r="E621" s="4" t="s">
        <v>25</v>
      </c>
      <c r="F621" s="4" t="s">
        <v>25</v>
      </c>
      <c r="G621" s="4" t="s">
        <v>25</v>
      </c>
      <c r="H621" s="4" t="s">
        <v>36</v>
      </c>
      <c r="I621" s="5">
        <v>44652</v>
      </c>
      <c r="J621" s="6">
        <v>0</v>
      </c>
      <c r="K621" s="6">
        <v>0</v>
      </c>
      <c r="L621" s="6">
        <v>1.32</v>
      </c>
      <c r="M621" s="6">
        <v>1.32</v>
      </c>
      <c r="N621" s="6">
        <v>1.32</v>
      </c>
      <c r="O621" s="6">
        <v>1.32</v>
      </c>
      <c r="P621" s="6">
        <v>0</v>
      </c>
      <c r="Q621" s="4" t="s">
        <v>26</v>
      </c>
      <c r="R621" s="4">
        <v>0</v>
      </c>
      <c r="S621" s="6">
        <v>0</v>
      </c>
      <c r="T621" s="6">
        <v>43</v>
      </c>
      <c r="U621" s="6">
        <v>80</v>
      </c>
      <c r="V621" s="6">
        <f>IF(ISERROR(VLOOKUP($S$621,'TAR FIN'!$A$1:$O$85,15,0)),0,VLOOKUP($S$621,'TAR FIN'!$A$1:$O$85,15,0))</f>
        <v>0</v>
      </c>
      <c r="W621" s="6">
        <f>IF(ISERROR(VLOOKUP($T$621,'TAR FIN'!$A$1:$O$85,15,0)),0,VLOOKUP($T$621,'TAR FIN'!$A$1:$O$85,15,0))</f>
        <v>200.63</v>
      </c>
      <c r="X621" s="6">
        <f>IF(ISERROR(VLOOKUP($U$621,'TAR FIN'!$A$1:$O$85,15,0)),0,VLOOKUP($U$621,'TAR FIN'!$A$1:$O$85,15,0))</f>
        <v>263.29000000000002</v>
      </c>
      <c r="Y621" s="6"/>
      <c r="Z621" s="6">
        <f ca="1">('TUSD BE'!$AM$47+'TUSD BF'!$AM$47+'TUSD CVA'!$AM$47)*1</f>
        <v>246.1938177787251</v>
      </c>
      <c r="AA621" s="6">
        <f>('TE BE'!$AA$37+'TE BF'!$AA$37+'TE CVA'!$AA$37)*1</f>
        <v>210.64397598313801</v>
      </c>
      <c r="AB621" s="6">
        <f>$K$621*$V$621</f>
        <v>0</v>
      </c>
      <c r="AC621" s="6">
        <f>$M$621*$W$621</f>
        <v>264.83159999999998</v>
      </c>
      <c r="AD621" s="6">
        <f>$O$621*$X$621</f>
        <v>347.54280000000006</v>
      </c>
      <c r="AE621" s="6">
        <f>$K$621*$Y$621</f>
        <v>0</v>
      </c>
      <c r="AF621" s="6">
        <f ca="1">$M$621*$Z$621</f>
        <v>324.97583946791713</v>
      </c>
      <c r="AG621" s="6">
        <f>$O$621*$AA$621</f>
        <v>278.05004829774219</v>
      </c>
    </row>
    <row r="622" spans="1:33" ht="11.25" customHeight="1" x14ac:dyDescent="0.25">
      <c r="A622" s="4" t="s">
        <v>21</v>
      </c>
      <c r="B622" s="4" t="s">
        <v>39</v>
      </c>
      <c r="C622" s="4" t="s">
        <v>37</v>
      </c>
      <c r="D622" s="4" t="s">
        <v>42</v>
      </c>
      <c r="E622" s="4" t="s">
        <v>25</v>
      </c>
      <c r="F622" s="4" t="s">
        <v>25</v>
      </c>
      <c r="G622" s="4" t="s">
        <v>25</v>
      </c>
      <c r="H622" s="4" t="s">
        <v>38</v>
      </c>
      <c r="I622" s="5">
        <v>44317</v>
      </c>
      <c r="J622" s="6">
        <v>0</v>
      </c>
      <c r="K622" s="6">
        <v>0</v>
      </c>
      <c r="L622" s="6">
        <v>0.10199999999999999</v>
      </c>
      <c r="M622" s="6">
        <v>0.10199999999999999</v>
      </c>
      <c r="N622" s="6">
        <v>0.10199999999999999</v>
      </c>
      <c r="O622" s="6">
        <v>0.10199999999999999</v>
      </c>
      <c r="P622" s="6">
        <v>0</v>
      </c>
      <c r="Q622" s="4" t="s">
        <v>26</v>
      </c>
      <c r="R622" s="4">
        <v>0</v>
      </c>
      <c r="S622" s="6">
        <v>0</v>
      </c>
      <c r="T622" s="6">
        <v>42</v>
      </c>
      <c r="U622" s="6">
        <v>79</v>
      </c>
      <c r="V622" s="6">
        <f>IF(ISERROR(VLOOKUP($S$622,'TAR FIN'!$A$1:$O$85,15,0)),0,VLOOKUP($S$622,'TAR FIN'!$A$1:$O$85,15,0))</f>
        <v>0</v>
      </c>
      <c r="W622" s="6">
        <f>IF(ISERROR(VLOOKUP($T$622,'TAR FIN'!$A$1:$O$85,15,0)),0,VLOOKUP($T$622,'TAR FIN'!$A$1:$O$85,15,0))</f>
        <v>439.05</v>
      </c>
      <c r="X622" s="6">
        <f>IF(ISERROR(VLOOKUP($U$622,'TAR FIN'!$A$1:$O$85,15,0)),0,VLOOKUP($U$622,'TAR FIN'!$A$1:$O$85,15,0))</f>
        <v>263.29000000000002</v>
      </c>
      <c r="Y622" s="6"/>
      <c r="Z622" s="6">
        <f ca="1">('TUSD BE'!$AM$46+'TUSD BF'!$AM$46+'TUSD CVA'!$AM$46)*1</f>
        <v>487.37844461484588</v>
      </c>
      <c r="AA622" s="6">
        <f>('TE BE'!$AA$36+'TE BF'!$AA$36+'TE CVA'!$AA$36)*1</f>
        <v>210.64397598313801</v>
      </c>
      <c r="AB622" s="6">
        <f>$K$622*$V$622</f>
        <v>0</v>
      </c>
      <c r="AC622" s="6">
        <f>$M$622*$W$622</f>
        <v>44.783099999999997</v>
      </c>
      <c r="AD622" s="6">
        <f>$O$622*$X$622</f>
        <v>26.85558</v>
      </c>
      <c r="AE622" s="6">
        <f>$K$622*$Y$622</f>
        <v>0</v>
      </c>
      <c r="AF622" s="6">
        <f ca="1">$M$622*$Z$622</f>
        <v>49.712601350714273</v>
      </c>
      <c r="AG622" s="6">
        <f>$O$622*$AA$622</f>
        <v>21.485685550280074</v>
      </c>
    </row>
    <row r="623" spans="1:33" ht="11.25" customHeight="1" x14ac:dyDescent="0.25">
      <c r="A623" s="4" t="s">
        <v>21</v>
      </c>
      <c r="B623" s="4" t="s">
        <v>39</v>
      </c>
      <c r="C623" s="4" t="s">
        <v>37</v>
      </c>
      <c r="D623" s="4" t="s">
        <v>42</v>
      </c>
      <c r="E623" s="4" t="s">
        <v>25</v>
      </c>
      <c r="F623" s="4" t="s">
        <v>25</v>
      </c>
      <c r="G623" s="4" t="s">
        <v>25</v>
      </c>
      <c r="H623" s="4" t="s">
        <v>38</v>
      </c>
      <c r="I623" s="5">
        <v>44348</v>
      </c>
      <c r="J623" s="6">
        <v>0</v>
      </c>
      <c r="K623" s="6">
        <v>0</v>
      </c>
      <c r="L623" s="6">
        <v>8.3000000000000004E-2</v>
      </c>
      <c r="M623" s="6">
        <v>8.3000000000000004E-2</v>
      </c>
      <c r="N623" s="6">
        <v>8.3000000000000004E-2</v>
      </c>
      <c r="O623" s="6">
        <v>8.3000000000000004E-2</v>
      </c>
      <c r="P623" s="6">
        <v>0</v>
      </c>
      <c r="Q623" s="4" t="s">
        <v>26</v>
      </c>
      <c r="R623" s="4">
        <v>0</v>
      </c>
      <c r="S623" s="6">
        <v>0</v>
      </c>
      <c r="T623" s="6">
        <v>42</v>
      </c>
      <c r="U623" s="6">
        <v>79</v>
      </c>
      <c r="V623" s="6">
        <f>IF(ISERROR(VLOOKUP($S$623,'TAR FIN'!$A$1:$O$85,15,0)),0,VLOOKUP($S$623,'TAR FIN'!$A$1:$O$85,15,0))</f>
        <v>0</v>
      </c>
      <c r="W623" s="6">
        <f>IF(ISERROR(VLOOKUP($T$623,'TAR FIN'!$A$1:$O$85,15,0)),0,VLOOKUP($T$623,'TAR FIN'!$A$1:$O$85,15,0))</f>
        <v>439.05</v>
      </c>
      <c r="X623" s="6">
        <f>IF(ISERROR(VLOOKUP($U$623,'TAR FIN'!$A$1:$O$85,15,0)),0,VLOOKUP($U$623,'TAR FIN'!$A$1:$O$85,15,0))</f>
        <v>263.29000000000002</v>
      </c>
      <c r="Y623" s="6"/>
      <c r="Z623" s="6">
        <f ca="1">('TUSD BE'!$AM$46+'TUSD BF'!$AM$46+'TUSD CVA'!$AM$46)*1</f>
        <v>487.37844461484588</v>
      </c>
      <c r="AA623" s="6">
        <f>('TE BE'!$AA$36+'TE BF'!$AA$36+'TE CVA'!$AA$36)*1</f>
        <v>210.64397598313801</v>
      </c>
      <c r="AB623" s="6">
        <f>$K$623*$V$623</f>
        <v>0</v>
      </c>
      <c r="AC623" s="6">
        <f>$M$623*$W$623</f>
        <v>36.44115</v>
      </c>
      <c r="AD623" s="6">
        <f>$O$623*$X$623</f>
        <v>21.853070000000002</v>
      </c>
      <c r="AE623" s="6">
        <f>$K$623*$Y$623</f>
        <v>0</v>
      </c>
      <c r="AF623" s="6">
        <f ca="1">$M$623*$Z$623</f>
        <v>40.452410903032209</v>
      </c>
      <c r="AG623" s="6">
        <f>$O$623*$AA$623</f>
        <v>17.483450006600457</v>
      </c>
    </row>
    <row r="624" spans="1:33" ht="11.25" customHeight="1" x14ac:dyDescent="0.25">
      <c r="A624" s="4" t="s">
        <v>21</v>
      </c>
      <c r="B624" s="4" t="s">
        <v>39</v>
      </c>
      <c r="C624" s="4" t="s">
        <v>37</v>
      </c>
      <c r="D624" s="4" t="s">
        <v>42</v>
      </c>
      <c r="E624" s="4" t="s">
        <v>25</v>
      </c>
      <c r="F624" s="4" t="s">
        <v>25</v>
      </c>
      <c r="G624" s="4" t="s">
        <v>25</v>
      </c>
      <c r="H624" s="4" t="s">
        <v>38</v>
      </c>
      <c r="I624" s="5">
        <v>44378</v>
      </c>
      <c r="J624" s="6">
        <v>0</v>
      </c>
      <c r="K624" s="6">
        <v>0</v>
      </c>
      <c r="L624" s="6">
        <v>0.10100000000000001</v>
      </c>
      <c r="M624" s="6">
        <v>0.10100000000000001</v>
      </c>
      <c r="N624" s="6">
        <v>0.10100000000000001</v>
      </c>
      <c r="O624" s="6">
        <v>0.10100000000000001</v>
      </c>
      <c r="P624" s="6">
        <v>0</v>
      </c>
      <c r="Q624" s="4" t="s">
        <v>26</v>
      </c>
      <c r="R624" s="4">
        <v>0</v>
      </c>
      <c r="S624" s="6">
        <v>0</v>
      </c>
      <c r="T624" s="6">
        <v>42</v>
      </c>
      <c r="U624" s="6">
        <v>79</v>
      </c>
      <c r="V624" s="6">
        <f>IF(ISERROR(VLOOKUP($S$624,'TAR FIN'!$A$1:$O$85,15,0)),0,VLOOKUP($S$624,'TAR FIN'!$A$1:$O$85,15,0))</f>
        <v>0</v>
      </c>
      <c r="W624" s="6">
        <f>IF(ISERROR(VLOOKUP($T$624,'TAR FIN'!$A$1:$O$85,15,0)),0,VLOOKUP($T$624,'TAR FIN'!$A$1:$O$85,15,0))</f>
        <v>439.05</v>
      </c>
      <c r="X624" s="6">
        <f>IF(ISERROR(VLOOKUP($U$624,'TAR FIN'!$A$1:$O$85,15,0)),0,VLOOKUP($U$624,'TAR FIN'!$A$1:$O$85,15,0))</f>
        <v>263.29000000000002</v>
      </c>
      <c r="Y624" s="6"/>
      <c r="Z624" s="6">
        <f ca="1">('TUSD BE'!$AM$46+'TUSD BF'!$AM$46+'TUSD CVA'!$AM$46)*1</f>
        <v>487.37844461484588</v>
      </c>
      <c r="AA624" s="6">
        <f>('TE BE'!$AA$36+'TE BF'!$AA$36+'TE CVA'!$AA$36)*1</f>
        <v>210.64397598313801</v>
      </c>
      <c r="AB624" s="6">
        <f>$K$624*$V$624</f>
        <v>0</v>
      </c>
      <c r="AC624" s="6">
        <f>$M$624*$W$624</f>
        <v>44.344050000000003</v>
      </c>
      <c r="AD624" s="6">
        <f>$O$624*$X$624</f>
        <v>26.592290000000006</v>
      </c>
      <c r="AE624" s="6">
        <f>$K$624*$Y$624</f>
        <v>0</v>
      </c>
      <c r="AF624" s="6">
        <f ca="1">$M$624*$Z$624</f>
        <v>49.22522290609944</v>
      </c>
      <c r="AG624" s="6">
        <f>$O$624*$AA$624</f>
        <v>21.275041574296939</v>
      </c>
    </row>
    <row r="625" spans="1:33" ht="11.25" customHeight="1" x14ac:dyDescent="0.25">
      <c r="A625" s="4" t="s">
        <v>21</v>
      </c>
      <c r="B625" s="4" t="s">
        <v>39</v>
      </c>
      <c r="C625" s="4" t="s">
        <v>37</v>
      </c>
      <c r="D625" s="4" t="s">
        <v>42</v>
      </c>
      <c r="E625" s="4" t="s">
        <v>25</v>
      </c>
      <c r="F625" s="4" t="s">
        <v>25</v>
      </c>
      <c r="G625" s="4" t="s">
        <v>25</v>
      </c>
      <c r="H625" s="4" t="s">
        <v>38</v>
      </c>
      <c r="I625" s="5">
        <v>44409</v>
      </c>
      <c r="J625" s="6">
        <v>0</v>
      </c>
      <c r="K625" s="6">
        <v>0</v>
      </c>
      <c r="L625" s="6">
        <v>7.0999999999999994E-2</v>
      </c>
      <c r="M625" s="6">
        <v>7.0999999999999994E-2</v>
      </c>
      <c r="N625" s="6">
        <v>7.0999999999999994E-2</v>
      </c>
      <c r="O625" s="6">
        <v>7.0999999999999994E-2</v>
      </c>
      <c r="P625" s="6">
        <v>0</v>
      </c>
      <c r="Q625" s="4" t="s">
        <v>26</v>
      </c>
      <c r="R625" s="4">
        <v>0</v>
      </c>
      <c r="S625" s="6">
        <v>0</v>
      </c>
      <c r="T625" s="6">
        <v>42</v>
      </c>
      <c r="U625" s="6">
        <v>79</v>
      </c>
      <c r="V625" s="6">
        <f>IF(ISERROR(VLOOKUP($S$625,'TAR FIN'!$A$1:$O$85,15,0)),0,VLOOKUP($S$625,'TAR FIN'!$A$1:$O$85,15,0))</f>
        <v>0</v>
      </c>
      <c r="W625" s="6">
        <f>IF(ISERROR(VLOOKUP($T$625,'TAR FIN'!$A$1:$O$85,15,0)),0,VLOOKUP($T$625,'TAR FIN'!$A$1:$O$85,15,0))</f>
        <v>439.05</v>
      </c>
      <c r="X625" s="6">
        <f>IF(ISERROR(VLOOKUP($U$625,'TAR FIN'!$A$1:$O$85,15,0)),0,VLOOKUP($U$625,'TAR FIN'!$A$1:$O$85,15,0))</f>
        <v>263.29000000000002</v>
      </c>
      <c r="Y625" s="6"/>
      <c r="Z625" s="6">
        <f ca="1">('TUSD BE'!$AM$46+'TUSD BF'!$AM$46+'TUSD CVA'!$AM$46)*1</f>
        <v>487.37844461484588</v>
      </c>
      <c r="AA625" s="6">
        <f>('TE BE'!$AA$36+'TE BF'!$AA$36+'TE CVA'!$AA$36)*1</f>
        <v>210.64397598313801</v>
      </c>
      <c r="AB625" s="6">
        <f>$K$625*$V$625</f>
        <v>0</v>
      </c>
      <c r="AC625" s="6">
        <f>$M$625*$W$625</f>
        <v>31.172549999999998</v>
      </c>
      <c r="AD625" s="6">
        <f>$O$625*$X$625</f>
        <v>18.69359</v>
      </c>
      <c r="AE625" s="6">
        <f>$K$625*$Y$625</f>
        <v>0</v>
      </c>
      <c r="AF625" s="6">
        <f ca="1">$M$625*$Z$625</f>
        <v>34.603869567654051</v>
      </c>
      <c r="AG625" s="6">
        <f>$O$625*$AA$625</f>
        <v>14.955722294802797</v>
      </c>
    </row>
    <row r="626" spans="1:33" ht="11.25" customHeight="1" x14ac:dyDescent="0.25">
      <c r="A626" s="4" t="s">
        <v>21</v>
      </c>
      <c r="B626" s="4" t="s">
        <v>39</v>
      </c>
      <c r="C626" s="4" t="s">
        <v>37</v>
      </c>
      <c r="D626" s="4" t="s">
        <v>42</v>
      </c>
      <c r="E626" s="4" t="s">
        <v>25</v>
      </c>
      <c r="F626" s="4" t="s">
        <v>25</v>
      </c>
      <c r="G626" s="4" t="s">
        <v>25</v>
      </c>
      <c r="H626" s="4" t="s">
        <v>38</v>
      </c>
      <c r="I626" s="5">
        <v>44440</v>
      </c>
      <c r="J626" s="6">
        <v>0</v>
      </c>
      <c r="K626" s="6">
        <v>0</v>
      </c>
      <c r="L626" s="6">
        <v>0.108</v>
      </c>
      <c r="M626" s="6">
        <v>0.108</v>
      </c>
      <c r="N626" s="6">
        <v>0.108</v>
      </c>
      <c r="O626" s="6">
        <v>0.108</v>
      </c>
      <c r="P626" s="6">
        <v>0</v>
      </c>
      <c r="Q626" s="4" t="s">
        <v>26</v>
      </c>
      <c r="R626" s="4">
        <v>0</v>
      </c>
      <c r="S626" s="6">
        <v>0</v>
      </c>
      <c r="T626" s="6">
        <v>42</v>
      </c>
      <c r="U626" s="6">
        <v>79</v>
      </c>
      <c r="V626" s="6">
        <f>IF(ISERROR(VLOOKUP($S$626,'TAR FIN'!$A$1:$O$85,15,0)),0,VLOOKUP($S$626,'TAR FIN'!$A$1:$O$85,15,0))</f>
        <v>0</v>
      </c>
      <c r="W626" s="6">
        <f>IF(ISERROR(VLOOKUP($T$626,'TAR FIN'!$A$1:$O$85,15,0)),0,VLOOKUP($T$626,'TAR FIN'!$A$1:$O$85,15,0))</f>
        <v>439.05</v>
      </c>
      <c r="X626" s="6">
        <f>IF(ISERROR(VLOOKUP($U$626,'TAR FIN'!$A$1:$O$85,15,0)),0,VLOOKUP($U$626,'TAR FIN'!$A$1:$O$85,15,0))</f>
        <v>263.29000000000002</v>
      </c>
      <c r="Y626" s="6"/>
      <c r="Z626" s="6">
        <f ca="1">('TUSD BE'!$AM$46+'TUSD BF'!$AM$46+'TUSD CVA'!$AM$46)*1</f>
        <v>487.37844461484588</v>
      </c>
      <c r="AA626" s="6">
        <f>('TE BE'!$AA$36+'TE BF'!$AA$36+'TE CVA'!$AA$36)*1</f>
        <v>210.64397598313801</v>
      </c>
      <c r="AB626" s="6">
        <f>$K$626*$V$626</f>
        <v>0</v>
      </c>
      <c r="AC626" s="6">
        <f>$M$626*$W$626</f>
        <v>47.417400000000001</v>
      </c>
      <c r="AD626" s="6">
        <f>$O$626*$X$626</f>
        <v>28.435320000000001</v>
      </c>
      <c r="AE626" s="6">
        <f>$K$626*$Y$626</f>
        <v>0</v>
      </c>
      <c r="AF626" s="6">
        <f ca="1">$M$626*$Z$626</f>
        <v>52.636872018403352</v>
      </c>
      <c r="AG626" s="6">
        <f>$O$626*$AA$626</f>
        <v>22.749549406178904</v>
      </c>
    </row>
    <row r="627" spans="1:33" ht="11.25" customHeight="1" x14ac:dyDescent="0.25">
      <c r="A627" s="4" t="s">
        <v>21</v>
      </c>
      <c r="B627" s="4" t="s">
        <v>39</v>
      </c>
      <c r="C627" s="4" t="s">
        <v>37</v>
      </c>
      <c r="D627" s="4" t="s">
        <v>42</v>
      </c>
      <c r="E627" s="4" t="s">
        <v>25</v>
      </c>
      <c r="F627" s="4" t="s">
        <v>25</v>
      </c>
      <c r="G627" s="4" t="s">
        <v>25</v>
      </c>
      <c r="H627" s="4" t="s">
        <v>38</v>
      </c>
      <c r="I627" s="5">
        <v>44470</v>
      </c>
      <c r="J627" s="6">
        <v>0</v>
      </c>
      <c r="K627" s="6">
        <v>0</v>
      </c>
      <c r="L627" s="6">
        <v>9.6000000000000002E-2</v>
      </c>
      <c r="M627" s="6">
        <v>9.6000000000000002E-2</v>
      </c>
      <c r="N627" s="6">
        <v>9.6000000000000002E-2</v>
      </c>
      <c r="O627" s="6">
        <v>9.6000000000000002E-2</v>
      </c>
      <c r="P627" s="6">
        <v>0</v>
      </c>
      <c r="Q627" s="4" t="s">
        <v>26</v>
      </c>
      <c r="R627" s="4">
        <v>0</v>
      </c>
      <c r="S627" s="6">
        <v>0</v>
      </c>
      <c r="T627" s="6">
        <v>42</v>
      </c>
      <c r="U627" s="6">
        <v>79</v>
      </c>
      <c r="V627" s="6">
        <f>IF(ISERROR(VLOOKUP($S$627,'TAR FIN'!$A$1:$O$85,15,0)),0,VLOOKUP($S$627,'TAR FIN'!$A$1:$O$85,15,0))</f>
        <v>0</v>
      </c>
      <c r="W627" s="6">
        <f>IF(ISERROR(VLOOKUP($T$627,'TAR FIN'!$A$1:$O$85,15,0)),0,VLOOKUP($T$627,'TAR FIN'!$A$1:$O$85,15,0))</f>
        <v>439.05</v>
      </c>
      <c r="X627" s="6">
        <f>IF(ISERROR(VLOOKUP($U$627,'TAR FIN'!$A$1:$O$85,15,0)),0,VLOOKUP($U$627,'TAR FIN'!$A$1:$O$85,15,0))</f>
        <v>263.29000000000002</v>
      </c>
      <c r="Y627" s="6"/>
      <c r="Z627" s="6">
        <f ca="1">('TUSD BE'!$AM$46+'TUSD BF'!$AM$46+'TUSD CVA'!$AM$46)*1</f>
        <v>487.37844461484588</v>
      </c>
      <c r="AA627" s="6">
        <f>('TE BE'!$AA$36+'TE BF'!$AA$36+'TE CVA'!$AA$36)*1</f>
        <v>210.64397598313801</v>
      </c>
      <c r="AB627" s="6">
        <f>$K$627*$V$627</f>
        <v>0</v>
      </c>
      <c r="AC627" s="6">
        <f>$M$627*$W$627</f>
        <v>42.148800000000001</v>
      </c>
      <c r="AD627" s="6">
        <f>$O$627*$X$627</f>
        <v>25.275840000000002</v>
      </c>
      <c r="AE627" s="6">
        <f>$K$627*$Y$627</f>
        <v>0</v>
      </c>
      <c r="AF627" s="6">
        <f ca="1">$M$627*$Z$627</f>
        <v>46.788330683025208</v>
      </c>
      <c r="AG627" s="6">
        <f>$O$627*$AA$627</f>
        <v>20.221821694381248</v>
      </c>
    </row>
    <row r="628" spans="1:33" ht="11.25" customHeight="1" x14ac:dyDescent="0.25">
      <c r="A628" s="4" t="s">
        <v>21</v>
      </c>
      <c r="B628" s="4" t="s">
        <v>39</v>
      </c>
      <c r="C628" s="4" t="s">
        <v>37</v>
      </c>
      <c r="D628" s="4" t="s">
        <v>42</v>
      </c>
      <c r="E628" s="4" t="s">
        <v>25</v>
      </c>
      <c r="F628" s="4" t="s">
        <v>25</v>
      </c>
      <c r="G628" s="4" t="s">
        <v>25</v>
      </c>
      <c r="H628" s="4" t="s">
        <v>38</v>
      </c>
      <c r="I628" s="5">
        <v>44501</v>
      </c>
      <c r="J628" s="6">
        <v>0</v>
      </c>
      <c r="K628" s="6">
        <v>0</v>
      </c>
      <c r="L628" s="6">
        <v>0.114</v>
      </c>
      <c r="M628" s="6">
        <v>0.114</v>
      </c>
      <c r="N628" s="6">
        <v>0.114</v>
      </c>
      <c r="O628" s="6">
        <v>0.114</v>
      </c>
      <c r="P628" s="6">
        <v>0</v>
      </c>
      <c r="Q628" s="4" t="s">
        <v>26</v>
      </c>
      <c r="R628" s="4">
        <v>0</v>
      </c>
      <c r="S628" s="6">
        <v>0</v>
      </c>
      <c r="T628" s="6">
        <v>42</v>
      </c>
      <c r="U628" s="6">
        <v>79</v>
      </c>
      <c r="V628" s="6">
        <f>IF(ISERROR(VLOOKUP($S$628,'TAR FIN'!$A$1:$O$85,15,0)),0,VLOOKUP($S$628,'TAR FIN'!$A$1:$O$85,15,0))</f>
        <v>0</v>
      </c>
      <c r="W628" s="6">
        <f>IF(ISERROR(VLOOKUP($T$628,'TAR FIN'!$A$1:$O$85,15,0)),0,VLOOKUP($T$628,'TAR FIN'!$A$1:$O$85,15,0))</f>
        <v>439.05</v>
      </c>
      <c r="X628" s="6">
        <f>IF(ISERROR(VLOOKUP($U$628,'TAR FIN'!$A$1:$O$85,15,0)),0,VLOOKUP($U$628,'TAR FIN'!$A$1:$O$85,15,0))</f>
        <v>263.29000000000002</v>
      </c>
      <c r="Y628" s="6"/>
      <c r="Z628" s="6">
        <f ca="1">('TUSD BE'!$AM$46+'TUSD BF'!$AM$46+'TUSD CVA'!$AM$46)*1</f>
        <v>487.37844461484588</v>
      </c>
      <c r="AA628" s="6">
        <f>('TE BE'!$AA$36+'TE BF'!$AA$36+'TE CVA'!$AA$36)*1</f>
        <v>210.64397598313801</v>
      </c>
      <c r="AB628" s="6">
        <f>$K$628*$V$628</f>
        <v>0</v>
      </c>
      <c r="AC628" s="6">
        <f>$M$628*$W$628</f>
        <v>50.051700000000004</v>
      </c>
      <c r="AD628" s="6">
        <f>$O$628*$X$628</f>
        <v>30.015060000000002</v>
      </c>
      <c r="AE628" s="6">
        <f>$K$628*$Y$628</f>
        <v>0</v>
      </c>
      <c r="AF628" s="6">
        <f ca="1">$M$628*$Z$628</f>
        <v>55.561142686092431</v>
      </c>
      <c r="AG628" s="6">
        <f>$O$628*$AA$628</f>
        <v>24.013413262077734</v>
      </c>
    </row>
    <row r="629" spans="1:33" ht="11.25" customHeight="1" x14ac:dyDescent="0.25">
      <c r="A629" s="4" t="s">
        <v>21</v>
      </c>
      <c r="B629" s="4" t="s">
        <v>39</v>
      </c>
      <c r="C629" s="4" t="s">
        <v>37</v>
      </c>
      <c r="D629" s="4" t="s">
        <v>42</v>
      </c>
      <c r="E629" s="4" t="s">
        <v>25</v>
      </c>
      <c r="F629" s="4" t="s">
        <v>25</v>
      </c>
      <c r="G629" s="4" t="s">
        <v>25</v>
      </c>
      <c r="H629" s="4" t="s">
        <v>38</v>
      </c>
      <c r="I629" s="5">
        <v>44531</v>
      </c>
      <c r="J629" s="6">
        <v>0</v>
      </c>
      <c r="K629" s="6">
        <v>0</v>
      </c>
      <c r="L629" s="6">
        <v>9.2999999999999999E-2</v>
      </c>
      <c r="M629" s="6">
        <v>9.2999999999999999E-2</v>
      </c>
      <c r="N629" s="6">
        <v>9.2999999999999999E-2</v>
      </c>
      <c r="O629" s="6">
        <v>9.2999999999999999E-2</v>
      </c>
      <c r="P629" s="6">
        <v>0</v>
      </c>
      <c r="Q629" s="4" t="s">
        <v>26</v>
      </c>
      <c r="R629" s="4">
        <v>0</v>
      </c>
      <c r="S629" s="6">
        <v>0</v>
      </c>
      <c r="T629" s="6">
        <v>42</v>
      </c>
      <c r="U629" s="6">
        <v>79</v>
      </c>
      <c r="V629" s="6">
        <f>IF(ISERROR(VLOOKUP($S$629,'TAR FIN'!$A$1:$O$85,15,0)),0,VLOOKUP($S$629,'TAR FIN'!$A$1:$O$85,15,0))</f>
        <v>0</v>
      </c>
      <c r="W629" s="6">
        <f>IF(ISERROR(VLOOKUP($T$629,'TAR FIN'!$A$1:$O$85,15,0)),0,VLOOKUP($T$629,'TAR FIN'!$A$1:$O$85,15,0))</f>
        <v>439.05</v>
      </c>
      <c r="X629" s="6">
        <f>IF(ISERROR(VLOOKUP($U$629,'TAR FIN'!$A$1:$O$85,15,0)),0,VLOOKUP($U$629,'TAR FIN'!$A$1:$O$85,15,0))</f>
        <v>263.29000000000002</v>
      </c>
      <c r="Y629" s="6"/>
      <c r="Z629" s="6">
        <f ca="1">('TUSD BE'!$AM$46+'TUSD BF'!$AM$46+'TUSD CVA'!$AM$46)*1</f>
        <v>487.37844461484588</v>
      </c>
      <c r="AA629" s="6">
        <f>('TE BE'!$AA$36+'TE BF'!$AA$36+'TE CVA'!$AA$36)*1</f>
        <v>210.64397598313801</v>
      </c>
      <c r="AB629" s="6">
        <f>$K$629*$V$629</f>
        <v>0</v>
      </c>
      <c r="AC629" s="6">
        <f>$M$629*$W$629</f>
        <v>40.831650000000003</v>
      </c>
      <c r="AD629" s="6">
        <f>$O$629*$X$629</f>
        <v>24.485970000000002</v>
      </c>
      <c r="AE629" s="6">
        <f>$K$629*$Y$629</f>
        <v>0</v>
      </c>
      <c r="AF629" s="6">
        <f ca="1">$M$629*$Z$629</f>
        <v>45.326195349180665</v>
      </c>
      <c r="AG629" s="6">
        <f>$O$629*$AA$629</f>
        <v>19.589889766431835</v>
      </c>
    </row>
    <row r="630" spans="1:33" ht="11.25" customHeight="1" x14ac:dyDescent="0.25">
      <c r="A630" s="4" t="s">
        <v>21</v>
      </c>
      <c r="B630" s="4" t="s">
        <v>39</v>
      </c>
      <c r="C630" s="4" t="s">
        <v>37</v>
      </c>
      <c r="D630" s="4" t="s">
        <v>42</v>
      </c>
      <c r="E630" s="4" t="s">
        <v>25</v>
      </c>
      <c r="F630" s="4" t="s">
        <v>25</v>
      </c>
      <c r="G630" s="4" t="s">
        <v>25</v>
      </c>
      <c r="H630" s="4" t="s">
        <v>38</v>
      </c>
      <c r="I630" s="5">
        <v>44562</v>
      </c>
      <c r="J630" s="6">
        <v>0</v>
      </c>
      <c r="K630" s="6">
        <v>0</v>
      </c>
      <c r="L630" s="6">
        <v>8.7999999999999995E-2</v>
      </c>
      <c r="M630" s="6">
        <v>8.7999999999999995E-2</v>
      </c>
      <c r="N630" s="6">
        <v>8.7999999999999995E-2</v>
      </c>
      <c r="O630" s="6">
        <v>8.7999999999999995E-2</v>
      </c>
      <c r="P630" s="6">
        <v>0</v>
      </c>
      <c r="Q630" s="4" t="s">
        <v>26</v>
      </c>
      <c r="R630" s="4">
        <v>0</v>
      </c>
      <c r="S630" s="6">
        <v>0</v>
      </c>
      <c r="T630" s="6">
        <v>42</v>
      </c>
      <c r="U630" s="6">
        <v>79</v>
      </c>
      <c r="V630" s="6">
        <f>IF(ISERROR(VLOOKUP($S$630,'TAR FIN'!$A$1:$O$85,15,0)),0,VLOOKUP($S$630,'TAR FIN'!$A$1:$O$85,15,0))</f>
        <v>0</v>
      </c>
      <c r="W630" s="6">
        <f>IF(ISERROR(VLOOKUP($T$630,'TAR FIN'!$A$1:$O$85,15,0)),0,VLOOKUP($T$630,'TAR FIN'!$A$1:$O$85,15,0))</f>
        <v>439.05</v>
      </c>
      <c r="X630" s="6">
        <f>IF(ISERROR(VLOOKUP($U$630,'TAR FIN'!$A$1:$O$85,15,0)),0,VLOOKUP($U$630,'TAR FIN'!$A$1:$O$85,15,0))</f>
        <v>263.29000000000002</v>
      </c>
      <c r="Y630" s="6"/>
      <c r="Z630" s="6">
        <f ca="1">('TUSD BE'!$AM$46+'TUSD BF'!$AM$46+'TUSD CVA'!$AM$46)*1</f>
        <v>487.37844461484588</v>
      </c>
      <c r="AA630" s="6">
        <f>('TE BE'!$AA$36+'TE BF'!$AA$36+'TE CVA'!$AA$36)*1</f>
        <v>210.64397598313801</v>
      </c>
      <c r="AB630" s="6">
        <f>$K$630*$V$630</f>
        <v>0</v>
      </c>
      <c r="AC630" s="6">
        <f>$M$630*$W$630</f>
        <v>38.636400000000002</v>
      </c>
      <c r="AD630" s="6">
        <f>$O$630*$X$630</f>
        <v>23.169520000000002</v>
      </c>
      <c r="AE630" s="6">
        <f>$K$630*$Y$630</f>
        <v>0</v>
      </c>
      <c r="AF630" s="6">
        <f ca="1">$M$630*$Z$630</f>
        <v>42.889303126106434</v>
      </c>
      <c r="AG630" s="6">
        <f>$O$630*$AA$630</f>
        <v>18.536669886516144</v>
      </c>
    </row>
    <row r="631" spans="1:33" ht="11.25" customHeight="1" x14ac:dyDescent="0.25">
      <c r="A631" s="4" t="s">
        <v>21</v>
      </c>
      <c r="B631" s="4" t="s">
        <v>39</v>
      </c>
      <c r="C631" s="4" t="s">
        <v>37</v>
      </c>
      <c r="D631" s="4" t="s">
        <v>42</v>
      </c>
      <c r="E631" s="4" t="s">
        <v>25</v>
      </c>
      <c r="F631" s="4" t="s">
        <v>25</v>
      </c>
      <c r="G631" s="4" t="s">
        <v>25</v>
      </c>
      <c r="H631" s="4" t="s">
        <v>38</v>
      </c>
      <c r="I631" s="5">
        <v>44593</v>
      </c>
      <c r="J631" s="6">
        <v>0</v>
      </c>
      <c r="K631" s="6">
        <v>0</v>
      </c>
      <c r="L631" s="6">
        <v>0.13200000000000001</v>
      </c>
      <c r="M631" s="6">
        <v>0.13200000000000001</v>
      </c>
      <c r="N631" s="6">
        <v>0.13200000000000001</v>
      </c>
      <c r="O631" s="6">
        <v>0.13200000000000001</v>
      </c>
      <c r="P631" s="6">
        <v>0</v>
      </c>
      <c r="Q631" s="4" t="s">
        <v>26</v>
      </c>
      <c r="R631" s="4">
        <v>0</v>
      </c>
      <c r="S631" s="6">
        <v>0</v>
      </c>
      <c r="T631" s="6">
        <v>42</v>
      </c>
      <c r="U631" s="6">
        <v>79</v>
      </c>
      <c r="V631" s="6">
        <f>IF(ISERROR(VLOOKUP($S$631,'TAR FIN'!$A$1:$O$85,15,0)),0,VLOOKUP($S$631,'TAR FIN'!$A$1:$O$85,15,0))</f>
        <v>0</v>
      </c>
      <c r="W631" s="6">
        <f>IF(ISERROR(VLOOKUP($T$631,'TAR FIN'!$A$1:$O$85,15,0)),0,VLOOKUP($T$631,'TAR FIN'!$A$1:$O$85,15,0))</f>
        <v>439.05</v>
      </c>
      <c r="X631" s="6">
        <f>IF(ISERROR(VLOOKUP($U$631,'TAR FIN'!$A$1:$O$85,15,0)),0,VLOOKUP($U$631,'TAR FIN'!$A$1:$O$85,15,0))</f>
        <v>263.29000000000002</v>
      </c>
      <c r="Y631" s="6"/>
      <c r="Z631" s="6">
        <f ca="1">('TUSD BE'!$AM$46+'TUSD BF'!$AM$46+'TUSD CVA'!$AM$46)*1</f>
        <v>487.37844461484588</v>
      </c>
      <c r="AA631" s="6">
        <f>('TE BE'!$AA$36+'TE BF'!$AA$36+'TE CVA'!$AA$36)*1</f>
        <v>210.64397598313801</v>
      </c>
      <c r="AB631" s="6">
        <f>$K$631*$V$631</f>
        <v>0</v>
      </c>
      <c r="AC631" s="6">
        <f>$M$631*$W$631</f>
        <v>57.954600000000006</v>
      </c>
      <c r="AD631" s="6">
        <f>$O$631*$X$631</f>
        <v>34.754280000000001</v>
      </c>
      <c r="AE631" s="6">
        <f>$K$631*$Y$631</f>
        <v>0</v>
      </c>
      <c r="AF631" s="6">
        <f ca="1">$M$631*$Z$631</f>
        <v>64.333954689159654</v>
      </c>
      <c r="AG631" s="6">
        <f>$O$631*$AA$631</f>
        <v>27.805004829774219</v>
      </c>
    </row>
    <row r="632" spans="1:33" ht="11.25" customHeight="1" x14ac:dyDescent="0.25">
      <c r="A632" s="4" t="s">
        <v>21</v>
      </c>
      <c r="B632" s="4" t="s">
        <v>39</v>
      </c>
      <c r="C632" s="4" t="s">
        <v>37</v>
      </c>
      <c r="D632" s="4" t="s">
        <v>42</v>
      </c>
      <c r="E632" s="4" t="s">
        <v>25</v>
      </c>
      <c r="F632" s="4" t="s">
        <v>25</v>
      </c>
      <c r="G632" s="4" t="s">
        <v>25</v>
      </c>
      <c r="H632" s="4" t="s">
        <v>38</v>
      </c>
      <c r="I632" s="5">
        <v>44621</v>
      </c>
      <c r="J632" s="6">
        <v>0</v>
      </c>
      <c r="K632" s="6">
        <v>0</v>
      </c>
      <c r="L632" s="6">
        <v>0.15</v>
      </c>
      <c r="M632" s="6">
        <v>0.15</v>
      </c>
      <c r="N632" s="6">
        <v>0.15</v>
      </c>
      <c r="O632" s="6">
        <v>0.15</v>
      </c>
      <c r="P632" s="6">
        <v>0</v>
      </c>
      <c r="Q632" s="4" t="s">
        <v>26</v>
      </c>
      <c r="R632" s="4">
        <v>0</v>
      </c>
      <c r="S632" s="6">
        <v>0</v>
      </c>
      <c r="T632" s="6">
        <v>42</v>
      </c>
      <c r="U632" s="6">
        <v>79</v>
      </c>
      <c r="V632" s="6">
        <f>IF(ISERROR(VLOOKUP($S$632,'TAR FIN'!$A$1:$O$85,15,0)),0,VLOOKUP($S$632,'TAR FIN'!$A$1:$O$85,15,0))</f>
        <v>0</v>
      </c>
      <c r="W632" s="6">
        <f>IF(ISERROR(VLOOKUP($T$632,'TAR FIN'!$A$1:$O$85,15,0)),0,VLOOKUP($T$632,'TAR FIN'!$A$1:$O$85,15,0))</f>
        <v>439.05</v>
      </c>
      <c r="X632" s="6">
        <f>IF(ISERROR(VLOOKUP($U$632,'TAR FIN'!$A$1:$O$85,15,0)),0,VLOOKUP($U$632,'TAR FIN'!$A$1:$O$85,15,0))</f>
        <v>263.29000000000002</v>
      </c>
      <c r="Y632" s="6"/>
      <c r="Z632" s="6">
        <f ca="1">('TUSD BE'!$AM$46+'TUSD BF'!$AM$46+'TUSD CVA'!$AM$46)*1</f>
        <v>487.37844461484588</v>
      </c>
      <c r="AA632" s="6">
        <f>('TE BE'!$AA$36+'TE BF'!$AA$36+'TE CVA'!$AA$36)*1</f>
        <v>210.64397598313801</v>
      </c>
      <c r="AB632" s="6">
        <f>$K$632*$V$632</f>
        <v>0</v>
      </c>
      <c r="AC632" s="6">
        <f>$M$632*$W$632</f>
        <v>65.857500000000002</v>
      </c>
      <c r="AD632" s="6">
        <f>$O$632*$X$632</f>
        <v>39.493500000000004</v>
      </c>
      <c r="AE632" s="6">
        <f>$K$632*$Y$632</f>
        <v>0</v>
      </c>
      <c r="AF632" s="6">
        <f ca="1">$M$632*$Z$632</f>
        <v>73.106766692226884</v>
      </c>
      <c r="AG632" s="6">
        <f>$O$632*$AA$632</f>
        <v>31.596596397470698</v>
      </c>
    </row>
    <row r="633" spans="1:33" ht="11.25" customHeight="1" x14ac:dyDescent="0.25">
      <c r="A633" s="4" t="s">
        <v>21</v>
      </c>
      <c r="B633" s="4" t="s">
        <v>39</v>
      </c>
      <c r="C633" s="4" t="s">
        <v>37</v>
      </c>
      <c r="D633" s="4" t="s">
        <v>42</v>
      </c>
      <c r="E633" s="4" t="s">
        <v>25</v>
      </c>
      <c r="F633" s="4" t="s">
        <v>25</v>
      </c>
      <c r="G633" s="4" t="s">
        <v>25</v>
      </c>
      <c r="H633" s="4" t="s">
        <v>38</v>
      </c>
      <c r="I633" s="5">
        <v>44652</v>
      </c>
      <c r="J633" s="6">
        <v>0</v>
      </c>
      <c r="K633" s="6">
        <v>0</v>
      </c>
      <c r="L633" s="6">
        <v>9.1999999999999998E-2</v>
      </c>
      <c r="M633" s="6">
        <v>9.1999999999999998E-2</v>
      </c>
      <c r="N633" s="6">
        <v>9.1999999999999998E-2</v>
      </c>
      <c r="O633" s="6">
        <v>9.1999999999999998E-2</v>
      </c>
      <c r="P633" s="6">
        <v>0</v>
      </c>
      <c r="Q633" s="4" t="s">
        <v>26</v>
      </c>
      <c r="R633" s="4">
        <v>0</v>
      </c>
      <c r="S633" s="6">
        <v>0</v>
      </c>
      <c r="T633" s="6">
        <v>42</v>
      </c>
      <c r="U633" s="6">
        <v>79</v>
      </c>
      <c r="V633" s="6">
        <f>IF(ISERROR(VLOOKUP($S$633,'TAR FIN'!$A$1:$O$85,15,0)),0,VLOOKUP($S$633,'TAR FIN'!$A$1:$O$85,15,0))</f>
        <v>0</v>
      </c>
      <c r="W633" s="6">
        <f>IF(ISERROR(VLOOKUP($T$633,'TAR FIN'!$A$1:$O$85,15,0)),0,VLOOKUP($T$633,'TAR FIN'!$A$1:$O$85,15,0))</f>
        <v>439.05</v>
      </c>
      <c r="X633" s="6">
        <f>IF(ISERROR(VLOOKUP($U$633,'TAR FIN'!$A$1:$O$85,15,0)),0,VLOOKUP($U$633,'TAR FIN'!$A$1:$O$85,15,0))</f>
        <v>263.29000000000002</v>
      </c>
      <c r="Y633" s="6"/>
      <c r="Z633" s="6">
        <f ca="1">('TUSD BE'!$AM$46+'TUSD BF'!$AM$46+'TUSD CVA'!$AM$46)*1</f>
        <v>487.37844461484588</v>
      </c>
      <c r="AA633" s="6">
        <f>('TE BE'!$AA$36+'TE BF'!$AA$36+'TE CVA'!$AA$36)*1</f>
        <v>210.64397598313801</v>
      </c>
      <c r="AB633" s="6">
        <f>$K$633*$V$633</f>
        <v>0</v>
      </c>
      <c r="AC633" s="6">
        <f>$M$633*$W$633</f>
        <v>40.392600000000002</v>
      </c>
      <c r="AD633" s="6">
        <f>$O$633*$X$633</f>
        <v>24.22268</v>
      </c>
      <c r="AE633" s="6">
        <f>$K$633*$Y$633</f>
        <v>0</v>
      </c>
      <c r="AF633" s="6">
        <f ca="1">$M$633*$Z$633</f>
        <v>44.838816904565817</v>
      </c>
      <c r="AG633" s="6">
        <f>$O$633*$AA$633</f>
        <v>19.379245790448696</v>
      </c>
    </row>
    <row r="634" spans="1:33" ht="11.25" customHeight="1" x14ac:dyDescent="0.25">
      <c r="A634" s="4" t="s">
        <v>21</v>
      </c>
      <c r="B634" s="4" t="s">
        <v>39</v>
      </c>
      <c r="C634" s="4" t="s">
        <v>37</v>
      </c>
      <c r="D634" s="4" t="s">
        <v>42</v>
      </c>
      <c r="E634" s="4" t="s">
        <v>25</v>
      </c>
      <c r="F634" s="4" t="s">
        <v>25</v>
      </c>
      <c r="G634" s="4" t="s">
        <v>25</v>
      </c>
      <c r="H634" s="4" t="s">
        <v>35</v>
      </c>
      <c r="I634" s="5">
        <v>44317</v>
      </c>
      <c r="J634" s="6">
        <v>0</v>
      </c>
      <c r="K634" s="6">
        <v>0</v>
      </c>
      <c r="L634" s="6">
        <v>0.06</v>
      </c>
      <c r="M634" s="6">
        <v>0.06</v>
      </c>
      <c r="N634" s="6">
        <v>0.06</v>
      </c>
      <c r="O634" s="6">
        <v>0.06</v>
      </c>
      <c r="P634" s="6">
        <v>0</v>
      </c>
      <c r="Q634" s="4" t="s">
        <v>26</v>
      </c>
      <c r="R634" s="4">
        <v>0</v>
      </c>
      <c r="S634" s="6">
        <v>0</v>
      </c>
      <c r="T634" s="6">
        <v>41</v>
      </c>
      <c r="U634" s="6">
        <v>78</v>
      </c>
      <c r="V634" s="6">
        <f>IF(ISERROR(VLOOKUP($S$634,'TAR FIN'!$A$1:$O$85,15,0)),0,VLOOKUP($S$634,'TAR FIN'!$A$1:$O$85,15,0))</f>
        <v>0</v>
      </c>
      <c r="W634" s="6">
        <f>IF(ISERROR(VLOOKUP($T$634,'TAR FIN'!$A$1:$O$85,15,0)),0,VLOOKUP($T$634,'TAR FIN'!$A$1:$O$85,15,0))</f>
        <v>677.47</v>
      </c>
      <c r="X634" s="6">
        <f>IF(ISERROR(VLOOKUP($U$634,'TAR FIN'!$A$1:$O$85,15,0)),0,VLOOKUP($U$634,'TAR FIN'!$A$1:$O$85,15,0))</f>
        <v>263.29000000000002</v>
      </c>
      <c r="Y634" s="6"/>
      <c r="Z634" s="6">
        <f ca="1">('TUSD BE'!$AM$45+'TUSD BF'!$AM$45+'TUSD CVA'!$AM$45)*1</f>
        <v>728.56310689239194</v>
      </c>
      <c r="AA634" s="6">
        <f>('TE BE'!$AA$35+'TE BF'!$AA$35+'TE CVA'!$AA$35)*1</f>
        <v>210.64397598313801</v>
      </c>
      <c r="AB634" s="6">
        <f>$K$634*$V$634</f>
        <v>0</v>
      </c>
      <c r="AC634" s="6">
        <f>$M$634*$W$634</f>
        <v>40.648200000000003</v>
      </c>
      <c r="AD634" s="6">
        <f>$O$634*$X$634</f>
        <v>15.797400000000001</v>
      </c>
      <c r="AE634" s="6">
        <f>$K$634*$Y$634</f>
        <v>0</v>
      </c>
      <c r="AF634" s="6">
        <f ca="1">$M$634*$Z$634</f>
        <v>43.713786413543517</v>
      </c>
      <c r="AG634" s="6">
        <f>$O$634*$AA$634</f>
        <v>12.63863855898828</v>
      </c>
    </row>
    <row r="635" spans="1:33" ht="11.25" customHeight="1" x14ac:dyDescent="0.25">
      <c r="A635" s="4" t="s">
        <v>21</v>
      </c>
      <c r="B635" s="4" t="s">
        <v>39</v>
      </c>
      <c r="C635" s="4" t="s">
        <v>37</v>
      </c>
      <c r="D635" s="4" t="s">
        <v>42</v>
      </c>
      <c r="E635" s="4" t="s">
        <v>25</v>
      </c>
      <c r="F635" s="4" t="s">
        <v>25</v>
      </c>
      <c r="G635" s="4" t="s">
        <v>25</v>
      </c>
      <c r="H635" s="4" t="s">
        <v>35</v>
      </c>
      <c r="I635" s="5">
        <v>44348</v>
      </c>
      <c r="J635" s="6">
        <v>0</v>
      </c>
      <c r="K635" s="6">
        <v>0</v>
      </c>
      <c r="L635" s="6">
        <v>0.14299999999999999</v>
      </c>
      <c r="M635" s="6">
        <v>0.14299999999999999</v>
      </c>
      <c r="N635" s="6">
        <v>0.14299999999999999</v>
      </c>
      <c r="O635" s="6">
        <v>0.14299999999999999</v>
      </c>
      <c r="P635" s="6">
        <v>0</v>
      </c>
      <c r="Q635" s="4" t="s">
        <v>26</v>
      </c>
      <c r="R635" s="4">
        <v>0</v>
      </c>
      <c r="S635" s="6">
        <v>0</v>
      </c>
      <c r="T635" s="6">
        <v>41</v>
      </c>
      <c r="U635" s="6">
        <v>78</v>
      </c>
      <c r="V635" s="6">
        <f>IF(ISERROR(VLOOKUP($S$635,'TAR FIN'!$A$1:$O$85,15,0)),0,VLOOKUP($S$635,'TAR FIN'!$A$1:$O$85,15,0))</f>
        <v>0</v>
      </c>
      <c r="W635" s="6">
        <f>IF(ISERROR(VLOOKUP($T$635,'TAR FIN'!$A$1:$O$85,15,0)),0,VLOOKUP($T$635,'TAR FIN'!$A$1:$O$85,15,0))</f>
        <v>677.47</v>
      </c>
      <c r="X635" s="6">
        <f>IF(ISERROR(VLOOKUP($U$635,'TAR FIN'!$A$1:$O$85,15,0)),0,VLOOKUP($U$635,'TAR FIN'!$A$1:$O$85,15,0))</f>
        <v>263.29000000000002</v>
      </c>
      <c r="Y635" s="6"/>
      <c r="Z635" s="6">
        <f ca="1">('TUSD BE'!$AM$45+'TUSD BF'!$AM$45+'TUSD CVA'!$AM$45)*1</f>
        <v>728.56310689239194</v>
      </c>
      <c r="AA635" s="6">
        <f>('TE BE'!$AA$35+'TE BF'!$AA$35+'TE CVA'!$AA$35)*1</f>
        <v>210.64397598313801</v>
      </c>
      <c r="AB635" s="6">
        <f>$K$635*$V$635</f>
        <v>0</v>
      </c>
      <c r="AC635" s="6">
        <f>$M$635*$W$635</f>
        <v>96.878209999999996</v>
      </c>
      <c r="AD635" s="6">
        <f>$O$635*$X$635</f>
        <v>37.650469999999999</v>
      </c>
      <c r="AE635" s="6">
        <f>$K$635*$Y$635</f>
        <v>0</v>
      </c>
      <c r="AF635" s="6">
        <f ca="1">$M$635*$Z$635</f>
        <v>104.18452428561204</v>
      </c>
      <c r="AG635" s="6">
        <f>$O$635*$AA$635</f>
        <v>30.122088565588733</v>
      </c>
    </row>
    <row r="636" spans="1:33" ht="11.25" customHeight="1" x14ac:dyDescent="0.25">
      <c r="A636" s="4" t="s">
        <v>21</v>
      </c>
      <c r="B636" s="4" t="s">
        <v>39</v>
      </c>
      <c r="C636" s="4" t="s">
        <v>37</v>
      </c>
      <c r="D636" s="4" t="s">
        <v>42</v>
      </c>
      <c r="E636" s="4" t="s">
        <v>25</v>
      </c>
      <c r="F636" s="4" t="s">
        <v>25</v>
      </c>
      <c r="G636" s="4" t="s">
        <v>25</v>
      </c>
      <c r="H636" s="4" t="s">
        <v>35</v>
      </c>
      <c r="I636" s="5">
        <v>44378</v>
      </c>
      <c r="J636" s="6">
        <v>0</v>
      </c>
      <c r="K636" s="6">
        <v>0</v>
      </c>
      <c r="L636" s="6">
        <v>4.2000000000000003E-2</v>
      </c>
      <c r="M636" s="6">
        <v>4.2000000000000003E-2</v>
      </c>
      <c r="N636" s="6">
        <v>4.2000000000000003E-2</v>
      </c>
      <c r="O636" s="6">
        <v>4.2000000000000003E-2</v>
      </c>
      <c r="P636" s="6">
        <v>0</v>
      </c>
      <c r="Q636" s="4" t="s">
        <v>26</v>
      </c>
      <c r="R636" s="4">
        <v>0</v>
      </c>
      <c r="S636" s="6">
        <v>0</v>
      </c>
      <c r="T636" s="6">
        <v>41</v>
      </c>
      <c r="U636" s="6">
        <v>78</v>
      </c>
      <c r="V636" s="6">
        <f>IF(ISERROR(VLOOKUP($S$636,'TAR FIN'!$A$1:$O$85,15,0)),0,VLOOKUP($S$636,'TAR FIN'!$A$1:$O$85,15,0))</f>
        <v>0</v>
      </c>
      <c r="W636" s="6">
        <f>IF(ISERROR(VLOOKUP($T$636,'TAR FIN'!$A$1:$O$85,15,0)),0,VLOOKUP($T$636,'TAR FIN'!$A$1:$O$85,15,0))</f>
        <v>677.47</v>
      </c>
      <c r="X636" s="6">
        <f>IF(ISERROR(VLOOKUP($U$636,'TAR FIN'!$A$1:$O$85,15,0)),0,VLOOKUP($U$636,'TAR FIN'!$A$1:$O$85,15,0))</f>
        <v>263.29000000000002</v>
      </c>
      <c r="Y636" s="6"/>
      <c r="Z636" s="6">
        <f ca="1">('TUSD BE'!$AM$45+'TUSD BF'!$AM$45+'TUSD CVA'!$AM$45)*1</f>
        <v>728.56310689239194</v>
      </c>
      <c r="AA636" s="6">
        <f>('TE BE'!$AA$35+'TE BF'!$AA$35+'TE CVA'!$AA$35)*1</f>
        <v>210.64397598313801</v>
      </c>
      <c r="AB636" s="6">
        <f>$K$636*$V$636</f>
        <v>0</v>
      </c>
      <c r="AC636" s="6">
        <f>$M$636*$W$636</f>
        <v>28.453740000000003</v>
      </c>
      <c r="AD636" s="6">
        <f>$O$636*$X$636</f>
        <v>11.058180000000002</v>
      </c>
      <c r="AE636" s="6">
        <f>$K$636*$Y$636</f>
        <v>0</v>
      </c>
      <c r="AF636" s="6">
        <f ca="1">$M$636*$Z$636</f>
        <v>30.599650489480464</v>
      </c>
      <c r="AG636" s="6">
        <f>$O$636*$AA$636</f>
        <v>8.8470469912917959</v>
      </c>
    </row>
    <row r="637" spans="1:33" ht="11.25" customHeight="1" x14ac:dyDescent="0.25">
      <c r="A637" s="4" t="s">
        <v>21</v>
      </c>
      <c r="B637" s="4" t="s">
        <v>39</v>
      </c>
      <c r="C637" s="4" t="s">
        <v>37</v>
      </c>
      <c r="D637" s="4" t="s">
        <v>42</v>
      </c>
      <c r="E637" s="4" t="s">
        <v>25</v>
      </c>
      <c r="F637" s="4" t="s">
        <v>25</v>
      </c>
      <c r="G637" s="4" t="s">
        <v>25</v>
      </c>
      <c r="H637" s="4" t="s">
        <v>35</v>
      </c>
      <c r="I637" s="5">
        <v>44409</v>
      </c>
      <c r="J637" s="6">
        <v>0</v>
      </c>
      <c r="K637" s="6">
        <v>0</v>
      </c>
      <c r="L637" s="6">
        <v>4.5999999999999999E-2</v>
      </c>
      <c r="M637" s="6">
        <v>4.5999999999999999E-2</v>
      </c>
      <c r="N637" s="6">
        <v>4.5999999999999999E-2</v>
      </c>
      <c r="O637" s="6">
        <v>4.5999999999999999E-2</v>
      </c>
      <c r="P637" s="6">
        <v>0</v>
      </c>
      <c r="Q637" s="4" t="s">
        <v>26</v>
      </c>
      <c r="R637" s="4">
        <v>0</v>
      </c>
      <c r="S637" s="6">
        <v>0</v>
      </c>
      <c r="T637" s="6">
        <v>41</v>
      </c>
      <c r="U637" s="6">
        <v>78</v>
      </c>
      <c r="V637" s="6">
        <f>IF(ISERROR(VLOOKUP($S$637,'TAR FIN'!$A$1:$O$85,15,0)),0,VLOOKUP($S$637,'TAR FIN'!$A$1:$O$85,15,0))</f>
        <v>0</v>
      </c>
      <c r="W637" s="6">
        <f>IF(ISERROR(VLOOKUP($T$637,'TAR FIN'!$A$1:$O$85,15,0)),0,VLOOKUP($T$637,'TAR FIN'!$A$1:$O$85,15,0))</f>
        <v>677.47</v>
      </c>
      <c r="X637" s="6">
        <f>IF(ISERROR(VLOOKUP($U$637,'TAR FIN'!$A$1:$O$85,15,0)),0,VLOOKUP($U$637,'TAR FIN'!$A$1:$O$85,15,0))</f>
        <v>263.29000000000002</v>
      </c>
      <c r="Y637" s="6"/>
      <c r="Z637" s="6">
        <f ca="1">('TUSD BE'!$AM$45+'TUSD BF'!$AM$45+'TUSD CVA'!$AM$45)*1</f>
        <v>728.56310689239194</v>
      </c>
      <c r="AA637" s="6">
        <f>('TE BE'!$AA$35+'TE BF'!$AA$35+'TE CVA'!$AA$35)*1</f>
        <v>210.64397598313801</v>
      </c>
      <c r="AB637" s="6">
        <f>$K$637*$V$637</f>
        <v>0</v>
      </c>
      <c r="AC637" s="6">
        <f>$M$637*$W$637</f>
        <v>31.163620000000002</v>
      </c>
      <c r="AD637" s="6">
        <f>$O$637*$X$637</f>
        <v>12.11134</v>
      </c>
      <c r="AE637" s="6">
        <f>$K$637*$Y$637</f>
        <v>0</v>
      </c>
      <c r="AF637" s="6">
        <f ca="1">$M$637*$Z$637</f>
        <v>33.513902917050032</v>
      </c>
      <c r="AG637" s="6">
        <f>$O$637*$AA$637</f>
        <v>9.6896228952243479</v>
      </c>
    </row>
    <row r="638" spans="1:33" ht="11.25" customHeight="1" x14ac:dyDescent="0.25">
      <c r="A638" s="4" t="s">
        <v>21</v>
      </c>
      <c r="B638" s="4" t="s">
        <v>39</v>
      </c>
      <c r="C638" s="4" t="s">
        <v>37</v>
      </c>
      <c r="D638" s="4" t="s">
        <v>42</v>
      </c>
      <c r="E638" s="4" t="s">
        <v>25</v>
      </c>
      <c r="F638" s="4" t="s">
        <v>25</v>
      </c>
      <c r="G638" s="4" t="s">
        <v>25</v>
      </c>
      <c r="H638" s="4" t="s">
        <v>35</v>
      </c>
      <c r="I638" s="5">
        <v>44440</v>
      </c>
      <c r="J638" s="6">
        <v>0</v>
      </c>
      <c r="K638" s="6">
        <v>0</v>
      </c>
      <c r="L638" s="6">
        <v>100.008</v>
      </c>
      <c r="M638" s="6">
        <v>100.008</v>
      </c>
      <c r="N638" s="6">
        <v>100.008</v>
      </c>
      <c r="O638" s="6">
        <v>100.008</v>
      </c>
      <c r="P638" s="6">
        <v>0</v>
      </c>
      <c r="Q638" s="4" t="s">
        <v>26</v>
      </c>
      <c r="R638" s="4">
        <v>0</v>
      </c>
      <c r="S638" s="6">
        <v>0</v>
      </c>
      <c r="T638" s="6">
        <v>41</v>
      </c>
      <c r="U638" s="6">
        <v>78</v>
      </c>
      <c r="V638" s="6">
        <f>IF(ISERROR(VLOOKUP($S$638,'TAR FIN'!$A$1:$O$85,15,0)),0,VLOOKUP($S$638,'TAR FIN'!$A$1:$O$85,15,0))</f>
        <v>0</v>
      </c>
      <c r="W638" s="6">
        <f>IF(ISERROR(VLOOKUP($T$638,'TAR FIN'!$A$1:$O$85,15,0)),0,VLOOKUP($T$638,'TAR FIN'!$A$1:$O$85,15,0))</f>
        <v>677.47</v>
      </c>
      <c r="X638" s="6">
        <f>IF(ISERROR(VLOOKUP($U$638,'TAR FIN'!$A$1:$O$85,15,0)),0,VLOOKUP($U$638,'TAR FIN'!$A$1:$O$85,15,0))</f>
        <v>263.29000000000002</v>
      </c>
      <c r="Y638" s="6"/>
      <c r="Z638" s="6">
        <f ca="1">('TUSD BE'!$AM$45+'TUSD BF'!$AM$45+'TUSD CVA'!$AM$45)*1</f>
        <v>728.56310689239194</v>
      </c>
      <c r="AA638" s="6">
        <f>('TE BE'!$AA$35+'TE BF'!$AA$35+'TE CVA'!$AA$35)*1</f>
        <v>210.64397598313801</v>
      </c>
      <c r="AB638" s="6">
        <f>$K$638*$V$638</f>
        <v>0</v>
      </c>
      <c r="AC638" s="6">
        <f>$M$638*$W$638</f>
        <v>67752.419760000004</v>
      </c>
      <c r="AD638" s="6">
        <f>$O$638*$X$638</f>
        <v>26331.106320000003</v>
      </c>
      <c r="AE638" s="6">
        <f>$K$638*$Y$638</f>
        <v>0</v>
      </c>
      <c r="AF638" s="6">
        <f ca="1">$M$638*$Z$638</f>
        <v>72862.139194094329</v>
      </c>
      <c r="AG638" s="6">
        <f>$O$638*$AA$638</f>
        <v>21066.082750121666</v>
      </c>
    </row>
    <row r="639" spans="1:33" ht="11.25" customHeight="1" x14ac:dyDescent="0.25">
      <c r="A639" s="4" t="s">
        <v>27</v>
      </c>
      <c r="B639" s="4" t="s">
        <v>39</v>
      </c>
      <c r="C639" s="4" t="s">
        <v>37</v>
      </c>
      <c r="D639" s="4" t="s">
        <v>42</v>
      </c>
      <c r="E639" s="4" t="s">
        <v>25</v>
      </c>
      <c r="F639" s="4" t="s">
        <v>25</v>
      </c>
      <c r="G639" s="4" t="s">
        <v>25</v>
      </c>
      <c r="H639" s="4" t="s">
        <v>35</v>
      </c>
      <c r="I639" s="5">
        <v>44440</v>
      </c>
      <c r="J639" s="6">
        <v>0</v>
      </c>
      <c r="K639" s="6">
        <v>0</v>
      </c>
      <c r="L639" s="6">
        <v>-99.962999999999994</v>
      </c>
      <c r="M639" s="6">
        <v>-99.962999999999994</v>
      </c>
      <c r="N639" s="6">
        <v>-99.962999999999994</v>
      </c>
      <c r="O639" s="6">
        <v>-99.962999999999994</v>
      </c>
      <c r="P639" s="6">
        <v>0</v>
      </c>
      <c r="Q639" s="4" t="s">
        <v>26</v>
      </c>
      <c r="R639" s="4">
        <v>0</v>
      </c>
      <c r="S639" s="6">
        <v>0</v>
      </c>
      <c r="T639" s="6">
        <v>41</v>
      </c>
      <c r="U639" s="6">
        <v>78</v>
      </c>
      <c r="V639" s="6">
        <f>IF(ISERROR(VLOOKUP($S$639,'TAR FIN'!$A$1:$O$85,15,0)),0,VLOOKUP($S$639,'TAR FIN'!$A$1:$O$85,15,0))</f>
        <v>0</v>
      </c>
      <c r="W639" s="6">
        <f>IF(ISERROR(VLOOKUP($T$639,'TAR FIN'!$A$1:$O$85,15,0)),0,VLOOKUP($T$639,'TAR FIN'!$A$1:$O$85,15,0))</f>
        <v>677.47</v>
      </c>
      <c r="X639" s="6">
        <f>IF(ISERROR(VLOOKUP($U$639,'TAR FIN'!$A$1:$O$85,15,0)),0,VLOOKUP($U$639,'TAR FIN'!$A$1:$O$85,15,0))</f>
        <v>263.29000000000002</v>
      </c>
      <c r="Y639" s="6"/>
      <c r="Z639" s="6">
        <f ca="1">('TUSD BE'!$AM$45+'TUSD BF'!$AM$45+'TUSD CVA'!$AM$45)*1</f>
        <v>728.56310689239194</v>
      </c>
      <c r="AA639" s="6">
        <f>('TE BE'!$AA$35+'TE BF'!$AA$35+'TE CVA'!$AA$35)*1</f>
        <v>210.64397598313801</v>
      </c>
      <c r="AB639" s="6">
        <f>$K$639*$V$639</f>
        <v>0</v>
      </c>
      <c r="AC639" s="6">
        <f>$M$639*$W$639</f>
        <v>-67721.933609999993</v>
      </c>
      <c r="AD639" s="6">
        <f>$O$639*$X$639</f>
        <v>-26319.258270000002</v>
      </c>
      <c r="AE639" s="6">
        <f>$K$639*$Y$639</f>
        <v>0</v>
      </c>
      <c r="AF639" s="6">
        <f ca="1">$M$639*$Z$639</f>
        <v>-72829.353854284171</v>
      </c>
      <c r="AG639" s="6">
        <f>$O$639*$AA$639</f>
        <v>-21056.603771202423</v>
      </c>
    </row>
    <row r="640" spans="1:33" ht="11.25" customHeight="1" x14ac:dyDescent="0.25">
      <c r="A640" s="4" t="s">
        <v>21</v>
      </c>
      <c r="B640" s="4" t="s">
        <v>39</v>
      </c>
      <c r="C640" s="4" t="s">
        <v>37</v>
      </c>
      <c r="D640" s="4" t="s">
        <v>42</v>
      </c>
      <c r="E640" s="4" t="s">
        <v>25</v>
      </c>
      <c r="F640" s="4" t="s">
        <v>25</v>
      </c>
      <c r="G640" s="4" t="s">
        <v>25</v>
      </c>
      <c r="H640" s="4" t="s">
        <v>35</v>
      </c>
      <c r="I640" s="5">
        <v>44470</v>
      </c>
      <c r="J640" s="6">
        <v>0</v>
      </c>
      <c r="K640" s="6">
        <v>0</v>
      </c>
      <c r="L640" s="6">
        <v>6.0999999999999999E-2</v>
      </c>
      <c r="M640" s="6">
        <v>6.0999999999999999E-2</v>
      </c>
      <c r="N640" s="6">
        <v>6.0999999999999999E-2</v>
      </c>
      <c r="O640" s="6">
        <v>6.0999999999999999E-2</v>
      </c>
      <c r="P640" s="6">
        <v>0</v>
      </c>
      <c r="Q640" s="4" t="s">
        <v>26</v>
      </c>
      <c r="R640" s="4">
        <v>0</v>
      </c>
      <c r="S640" s="6">
        <v>0</v>
      </c>
      <c r="T640" s="6">
        <v>41</v>
      </c>
      <c r="U640" s="6">
        <v>78</v>
      </c>
      <c r="V640" s="6">
        <f>IF(ISERROR(VLOOKUP($S$640,'TAR FIN'!$A$1:$O$85,15,0)),0,VLOOKUP($S$640,'TAR FIN'!$A$1:$O$85,15,0))</f>
        <v>0</v>
      </c>
      <c r="W640" s="6">
        <f>IF(ISERROR(VLOOKUP($T$640,'TAR FIN'!$A$1:$O$85,15,0)),0,VLOOKUP($T$640,'TAR FIN'!$A$1:$O$85,15,0))</f>
        <v>677.47</v>
      </c>
      <c r="X640" s="6">
        <f>IF(ISERROR(VLOOKUP($U$640,'TAR FIN'!$A$1:$O$85,15,0)),0,VLOOKUP($U$640,'TAR FIN'!$A$1:$O$85,15,0))</f>
        <v>263.29000000000002</v>
      </c>
      <c r="Y640" s="6"/>
      <c r="Z640" s="6">
        <f ca="1">('TUSD BE'!$AM$45+'TUSD BF'!$AM$45+'TUSD CVA'!$AM$45)*1</f>
        <v>728.56310689239194</v>
      </c>
      <c r="AA640" s="6">
        <f>('TE BE'!$AA$35+'TE BF'!$AA$35+'TE CVA'!$AA$35)*1</f>
        <v>210.64397598313801</v>
      </c>
      <c r="AB640" s="6">
        <f>$K$640*$V$640</f>
        <v>0</v>
      </c>
      <c r="AC640" s="6">
        <f>$M$640*$W$640</f>
        <v>41.325670000000002</v>
      </c>
      <c r="AD640" s="6">
        <f>$O$640*$X$640</f>
        <v>16.060690000000001</v>
      </c>
      <c r="AE640" s="6">
        <f>$K$640*$Y$640</f>
        <v>0</v>
      </c>
      <c r="AF640" s="6">
        <f ca="1">$M$640*$Z$640</f>
        <v>44.442349520435904</v>
      </c>
      <c r="AG640" s="6">
        <f>$O$640*$AA$640</f>
        <v>12.849282534971419</v>
      </c>
    </row>
    <row r="641" spans="1:33" ht="11.25" customHeight="1" x14ac:dyDescent="0.25">
      <c r="A641" s="4" t="s">
        <v>21</v>
      </c>
      <c r="B641" s="4" t="s">
        <v>39</v>
      </c>
      <c r="C641" s="4" t="s">
        <v>37</v>
      </c>
      <c r="D641" s="4" t="s">
        <v>42</v>
      </c>
      <c r="E641" s="4" t="s">
        <v>25</v>
      </c>
      <c r="F641" s="4" t="s">
        <v>25</v>
      </c>
      <c r="G641" s="4" t="s">
        <v>25</v>
      </c>
      <c r="H641" s="4" t="s">
        <v>35</v>
      </c>
      <c r="I641" s="5">
        <v>44501</v>
      </c>
      <c r="J641" s="6">
        <v>0</v>
      </c>
      <c r="K641" s="6">
        <v>0</v>
      </c>
      <c r="L641" s="6">
        <v>6.5000000000000002E-2</v>
      </c>
      <c r="M641" s="6">
        <v>6.5000000000000002E-2</v>
      </c>
      <c r="N641" s="6">
        <v>6.5000000000000002E-2</v>
      </c>
      <c r="O641" s="6">
        <v>6.5000000000000002E-2</v>
      </c>
      <c r="P641" s="6">
        <v>0</v>
      </c>
      <c r="Q641" s="4" t="s">
        <v>26</v>
      </c>
      <c r="R641" s="4">
        <v>0</v>
      </c>
      <c r="S641" s="6">
        <v>0</v>
      </c>
      <c r="T641" s="6">
        <v>41</v>
      </c>
      <c r="U641" s="6">
        <v>78</v>
      </c>
      <c r="V641" s="6">
        <f>IF(ISERROR(VLOOKUP($S$641,'TAR FIN'!$A$1:$O$85,15,0)),0,VLOOKUP($S$641,'TAR FIN'!$A$1:$O$85,15,0))</f>
        <v>0</v>
      </c>
      <c r="W641" s="6">
        <f>IF(ISERROR(VLOOKUP($T$641,'TAR FIN'!$A$1:$O$85,15,0)),0,VLOOKUP($T$641,'TAR FIN'!$A$1:$O$85,15,0))</f>
        <v>677.47</v>
      </c>
      <c r="X641" s="6">
        <f>IF(ISERROR(VLOOKUP($U$641,'TAR FIN'!$A$1:$O$85,15,0)),0,VLOOKUP($U$641,'TAR FIN'!$A$1:$O$85,15,0))</f>
        <v>263.29000000000002</v>
      </c>
      <c r="Y641" s="6"/>
      <c r="Z641" s="6">
        <f ca="1">('TUSD BE'!$AM$45+'TUSD BF'!$AM$45+'TUSD CVA'!$AM$45)*1</f>
        <v>728.56310689239194</v>
      </c>
      <c r="AA641" s="6">
        <f>('TE BE'!$AA$35+'TE BF'!$AA$35+'TE CVA'!$AA$35)*1</f>
        <v>210.64397598313801</v>
      </c>
      <c r="AB641" s="6">
        <f>$K$641*$V$641</f>
        <v>0</v>
      </c>
      <c r="AC641" s="6">
        <f>$M$641*$W$641</f>
        <v>44.035550000000001</v>
      </c>
      <c r="AD641" s="6">
        <f>$O$641*$X$641</f>
        <v>17.113850000000003</v>
      </c>
      <c r="AE641" s="6">
        <f>$K$641*$Y$641</f>
        <v>0</v>
      </c>
      <c r="AF641" s="6">
        <f ca="1">$M$641*$Z$641</f>
        <v>47.356601948005476</v>
      </c>
      <c r="AG641" s="6">
        <f>$O$641*$AA$641</f>
        <v>13.691858438903971</v>
      </c>
    </row>
    <row r="642" spans="1:33" ht="11.25" customHeight="1" x14ac:dyDescent="0.25">
      <c r="A642" s="4" t="s">
        <v>21</v>
      </c>
      <c r="B642" s="4" t="s">
        <v>39</v>
      </c>
      <c r="C642" s="4" t="s">
        <v>37</v>
      </c>
      <c r="D642" s="4" t="s">
        <v>42</v>
      </c>
      <c r="E642" s="4" t="s">
        <v>25</v>
      </c>
      <c r="F642" s="4" t="s">
        <v>25</v>
      </c>
      <c r="G642" s="4" t="s">
        <v>25</v>
      </c>
      <c r="H642" s="4" t="s">
        <v>35</v>
      </c>
      <c r="I642" s="5">
        <v>44531</v>
      </c>
      <c r="J642" s="6">
        <v>0</v>
      </c>
      <c r="K642" s="6">
        <v>0</v>
      </c>
      <c r="L642" s="6">
        <v>6.4000000000000001E-2</v>
      </c>
      <c r="M642" s="6">
        <v>6.4000000000000001E-2</v>
      </c>
      <c r="N642" s="6">
        <v>6.4000000000000001E-2</v>
      </c>
      <c r="O642" s="6">
        <v>6.4000000000000001E-2</v>
      </c>
      <c r="P642" s="6">
        <v>0</v>
      </c>
      <c r="Q642" s="4" t="s">
        <v>26</v>
      </c>
      <c r="R642" s="4">
        <v>0</v>
      </c>
      <c r="S642" s="6">
        <v>0</v>
      </c>
      <c r="T642" s="6">
        <v>41</v>
      </c>
      <c r="U642" s="6">
        <v>78</v>
      </c>
      <c r="V642" s="6">
        <f>IF(ISERROR(VLOOKUP($S$642,'TAR FIN'!$A$1:$O$85,15,0)),0,VLOOKUP($S$642,'TAR FIN'!$A$1:$O$85,15,0))</f>
        <v>0</v>
      </c>
      <c r="W642" s="6">
        <f>IF(ISERROR(VLOOKUP($T$642,'TAR FIN'!$A$1:$O$85,15,0)),0,VLOOKUP($T$642,'TAR FIN'!$A$1:$O$85,15,0))</f>
        <v>677.47</v>
      </c>
      <c r="X642" s="6">
        <f>IF(ISERROR(VLOOKUP($U$642,'TAR FIN'!$A$1:$O$85,15,0)),0,VLOOKUP($U$642,'TAR FIN'!$A$1:$O$85,15,0))</f>
        <v>263.29000000000002</v>
      </c>
      <c r="Y642" s="6"/>
      <c r="Z642" s="6">
        <f ca="1">('TUSD BE'!$AM$45+'TUSD BF'!$AM$45+'TUSD CVA'!$AM$45)*1</f>
        <v>728.56310689239194</v>
      </c>
      <c r="AA642" s="6">
        <f>('TE BE'!$AA$35+'TE BF'!$AA$35+'TE CVA'!$AA$35)*1</f>
        <v>210.64397598313801</v>
      </c>
      <c r="AB642" s="6">
        <f>$K$642*$V$642</f>
        <v>0</v>
      </c>
      <c r="AC642" s="6">
        <f>$M$642*$W$642</f>
        <v>43.358080000000001</v>
      </c>
      <c r="AD642" s="6">
        <f>$O$642*$X$642</f>
        <v>16.850560000000002</v>
      </c>
      <c r="AE642" s="6">
        <f>$K$642*$Y$642</f>
        <v>0</v>
      </c>
      <c r="AF642" s="6">
        <f ca="1">$M$642*$Z$642</f>
        <v>46.628038841113089</v>
      </c>
      <c r="AG642" s="6">
        <f>$O$642*$AA$642</f>
        <v>13.481214462920832</v>
      </c>
    </row>
    <row r="643" spans="1:33" ht="11.25" customHeight="1" x14ac:dyDescent="0.25">
      <c r="A643" s="4" t="s">
        <v>21</v>
      </c>
      <c r="B643" s="4" t="s">
        <v>39</v>
      </c>
      <c r="C643" s="4" t="s">
        <v>37</v>
      </c>
      <c r="D643" s="4" t="s">
        <v>42</v>
      </c>
      <c r="E643" s="4" t="s">
        <v>25</v>
      </c>
      <c r="F643" s="4" t="s">
        <v>25</v>
      </c>
      <c r="G643" s="4" t="s">
        <v>25</v>
      </c>
      <c r="H643" s="4" t="s">
        <v>35</v>
      </c>
      <c r="I643" s="5">
        <v>44562</v>
      </c>
      <c r="J643" s="6">
        <v>0</v>
      </c>
      <c r="K643" s="6">
        <v>0</v>
      </c>
      <c r="L643" s="6">
        <v>5.8999999999999997E-2</v>
      </c>
      <c r="M643" s="6">
        <v>5.8999999999999997E-2</v>
      </c>
      <c r="N643" s="6">
        <v>5.8999999999999997E-2</v>
      </c>
      <c r="O643" s="6">
        <v>5.8999999999999997E-2</v>
      </c>
      <c r="P643" s="6">
        <v>0</v>
      </c>
      <c r="Q643" s="4" t="s">
        <v>26</v>
      </c>
      <c r="R643" s="4">
        <v>0</v>
      </c>
      <c r="S643" s="6">
        <v>0</v>
      </c>
      <c r="T643" s="6">
        <v>41</v>
      </c>
      <c r="U643" s="6">
        <v>78</v>
      </c>
      <c r="V643" s="6">
        <f>IF(ISERROR(VLOOKUP($S$643,'TAR FIN'!$A$1:$O$85,15,0)),0,VLOOKUP($S$643,'TAR FIN'!$A$1:$O$85,15,0))</f>
        <v>0</v>
      </c>
      <c r="W643" s="6">
        <f>IF(ISERROR(VLOOKUP($T$643,'TAR FIN'!$A$1:$O$85,15,0)),0,VLOOKUP($T$643,'TAR FIN'!$A$1:$O$85,15,0))</f>
        <v>677.47</v>
      </c>
      <c r="X643" s="6">
        <f>IF(ISERROR(VLOOKUP($U$643,'TAR FIN'!$A$1:$O$85,15,0)),0,VLOOKUP($U$643,'TAR FIN'!$A$1:$O$85,15,0))</f>
        <v>263.29000000000002</v>
      </c>
      <c r="Y643" s="6"/>
      <c r="Z643" s="6">
        <f ca="1">('TUSD BE'!$AM$45+'TUSD BF'!$AM$45+'TUSD CVA'!$AM$45)*1</f>
        <v>728.56310689239194</v>
      </c>
      <c r="AA643" s="6">
        <f>('TE BE'!$AA$35+'TE BF'!$AA$35+'TE CVA'!$AA$35)*1</f>
        <v>210.64397598313801</v>
      </c>
      <c r="AB643" s="6">
        <f>$K$643*$V$643</f>
        <v>0</v>
      </c>
      <c r="AC643" s="6">
        <f>$M$643*$W$643</f>
        <v>39.970729999999996</v>
      </c>
      <c r="AD643" s="6">
        <f>$O$643*$X$643</f>
        <v>15.53411</v>
      </c>
      <c r="AE643" s="6">
        <f>$K$643*$Y$643</f>
        <v>0</v>
      </c>
      <c r="AF643" s="6">
        <f ca="1">$M$643*$Z$643</f>
        <v>42.985223306651122</v>
      </c>
      <c r="AG643" s="6">
        <f>$O$643*$AA$643</f>
        <v>12.427994583005141</v>
      </c>
    </row>
    <row r="644" spans="1:33" ht="11.25" customHeight="1" x14ac:dyDescent="0.25">
      <c r="A644" s="4" t="s">
        <v>21</v>
      </c>
      <c r="B644" s="4" t="s">
        <v>39</v>
      </c>
      <c r="C644" s="4" t="s">
        <v>37</v>
      </c>
      <c r="D644" s="4" t="s">
        <v>42</v>
      </c>
      <c r="E644" s="4" t="s">
        <v>25</v>
      </c>
      <c r="F644" s="4" t="s">
        <v>25</v>
      </c>
      <c r="G644" s="4" t="s">
        <v>25</v>
      </c>
      <c r="H644" s="4" t="s">
        <v>35</v>
      </c>
      <c r="I644" s="5">
        <v>44593</v>
      </c>
      <c r="J644" s="6">
        <v>0</v>
      </c>
      <c r="K644" s="6">
        <v>0</v>
      </c>
      <c r="L644" s="6">
        <v>7.1999999999999995E-2</v>
      </c>
      <c r="M644" s="6">
        <v>7.1999999999999995E-2</v>
      </c>
      <c r="N644" s="6">
        <v>7.1999999999999995E-2</v>
      </c>
      <c r="O644" s="6">
        <v>7.1999999999999995E-2</v>
      </c>
      <c r="P644" s="6">
        <v>0</v>
      </c>
      <c r="Q644" s="4" t="s">
        <v>26</v>
      </c>
      <c r="R644" s="4">
        <v>0</v>
      </c>
      <c r="S644" s="6">
        <v>0</v>
      </c>
      <c r="T644" s="6">
        <v>41</v>
      </c>
      <c r="U644" s="6">
        <v>78</v>
      </c>
      <c r="V644" s="6">
        <f>IF(ISERROR(VLOOKUP($S$644,'TAR FIN'!$A$1:$O$85,15,0)),0,VLOOKUP($S$644,'TAR FIN'!$A$1:$O$85,15,0))</f>
        <v>0</v>
      </c>
      <c r="W644" s="6">
        <f>IF(ISERROR(VLOOKUP($T$644,'TAR FIN'!$A$1:$O$85,15,0)),0,VLOOKUP($T$644,'TAR FIN'!$A$1:$O$85,15,0))</f>
        <v>677.47</v>
      </c>
      <c r="X644" s="6">
        <f>IF(ISERROR(VLOOKUP($U$644,'TAR FIN'!$A$1:$O$85,15,0)),0,VLOOKUP($U$644,'TAR FIN'!$A$1:$O$85,15,0))</f>
        <v>263.29000000000002</v>
      </c>
      <c r="Y644" s="6"/>
      <c r="Z644" s="6">
        <f ca="1">('TUSD BE'!$AM$45+'TUSD BF'!$AM$45+'TUSD CVA'!$AM$45)*1</f>
        <v>728.56310689239194</v>
      </c>
      <c r="AA644" s="6">
        <f>('TE BE'!$AA$35+'TE BF'!$AA$35+'TE CVA'!$AA$35)*1</f>
        <v>210.64397598313801</v>
      </c>
      <c r="AB644" s="6">
        <f>$K$644*$V$644</f>
        <v>0</v>
      </c>
      <c r="AC644" s="6">
        <f>$M$644*$W$644</f>
        <v>48.777839999999998</v>
      </c>
      <c r="AD644" s="6">
        <f>$O$644*$X$644</f>
        <v>18.956880000000002</v>
      </c>
      <c r="AE644" s="6">
        <f>$K$644*$Y$644</f>
        <v>0</v>
      </c>
      <c r="AF644" s="6">
        <f ca="1">$M$644*$Z$644</f>
        <v>52.456543696252218</v>
      </c>
      <c r="AG644" s="6">
        <f>$O$644*$AA$644</f>
        <v>15.166366270785936</v>
      </c>
    </row>
    <row r="645" spans="1:33" ht="11.25" customHeight="1" x14ac:dyDescent="0.25">
      <c r="A645" s="4" t="s">
        <v>21</v>
      </c>
      <c r="B645" s="4" t="s">
        <v>39</v>
      </c>
      <c r="C645" s="4" t="s">
        <v>37</v>
      </c>
      <c r="D645" s="4" t="s">
        <v>42</v>
      </c>
      <c r="E645" s="4" t="s">
        <v>25</v>
      </c>
      <c r="F645" s="4" t="s">
        <v>25</v>
      </c>
      <c r="G645" s="4" t="s">
        <v>25</v>
      </c>
      <c r="H645" s="4" t="s">
        <v>35</v>
      </c>
      <c r="I645" s="5">
        <v>44621</v>
      </c>
      <c r="J645" s="6">
        <v>0</v>
      </c>
      <c r="K645" s="6">
        <v>0</v>
      </c>
      <c r="L645" s="6">
        <v>9.5000000000000001E-2</v>
      </c>
      <c r="M645" s="6">
        <v>9.5000000000000001E-2</v>
      </c>
      <c r="N645" s="6">
        <v>9.5000000000000001E-2</v>
      </c>
      <c r="O645" s="6">
        <v>9.5000000000000001E-2</v>
      </c>
      <c r="P645" s="6">
        <v>0</v>
      </c>
      <c r="Q645" s="4" t="s">
        <v>26</v>
      </c>
      <c r="R645" s="4">
        <v>0</v>
      </c>
      <c r="S645" s="6">
        <v>0</v>
      </c>
      <c r="T645" s="6">
        <v>41</v>
      </c>
      <c r="U645" s="6">
        <v>78</v>
      </c>
      <c r="V645" s="6">
        <f>IF(ISERROR(VLOOKUP($S$645,'TAR FIN'!$A$1:$O$85,15,0)),0,VLOOKUP($S$645,'TAR FIN'!$A$1:$O$85,15,0))</f>
        <v>0</v>
      </c>
      <c r="W645" s="6">
        <f>IF(ISERROR(VLOOKUP($T$645,'TAR FIN'!$A$1:$O$85,15,0)),0,VLOOKUP($T$645,'TAR FIN'!$A$1:$O$85,15,0))</f>
        <v>677.47</v>
      </c>
      <c r="X645" s="6">
        <f>IF(ISERROR(VLOOKUP($U$645,'TAR FIN'!$A$1:$O$85,15,0)),0,VLOOKUP($U$645,'TAR FIN'!$A$1:$O$85,15,0))</f>
        <v>263.29000000000002</v>
      </c>
      <c r="Y645" s="6"/>
      <c r="Z645" s="6">
        <f ca="1">('TUSD BE'!$AM$45+'TUSD BF'!$AM$45+'TUSD CVA'!$AM$45)*1</f>
        <v>728.56310689239194</v>
      </c>
      <c r="AA645" s="6">
        <f>('TE BE'!$AA$35+'TE BF'!$AA$35+'TE CVA'!$AA$35)*1</f>
        <v>210.64397598313801</v>
      </c>
      <c r="AB645" s="6">
        <f>$K$645*$V$645</f>
        <v>0</v>
      </c>
      <c r="AC645" s="6">
        <f>$M$645*$W$645</f>
        <v>64.359650000000002</v>
      </c>
      <c r="AD645" s="6">
        <f>$O$645*$X$645</f>
        <v>25.012550000000001</v>
      </c>
      <c r="AE645" s="6">
        <f>$K$645*$Y$645</f>
        <v>0</v>
      </c>
      <c r="AF645" s="6">
        <f ca="1">$M$645*$Z$645</f>
        <v>69.213495154777235</v>
      </c>
      <c r="AG645" s="6">
        <f>$O$645*$AA$645</f>
        <v>20.011177718398113</v>
      </c>
    </row>
    <row r="646" spans="1:33" ht="11.25" customHeight="1" x14ac:dyDescent="0.25">
      <c r="A646" s="4" t="s">
        <v>21</v>
      </c>
      <c r="B646" s="4" t="s">
        <v>39</v>
      </c>
      <c r="C646" s="4" t="s">
        <v>37</v>
      </c>
      <c r="D646" s="4" t="s">
        <v>42</v>
      </c>
      <c r="E646" s="4" t="s">
        <v>25</v>
      </c>
      <c r="F646" s="4" t="s">
        <v>25</v>
      </c>
      <c r="G646" s="4" t="s">
        <v>25</v>
      </c>
      <c r="H646" s="4" t="s">
        <v>35</v>
      </c>
      <c r="I646" s="5">
        <v>44652</v>
      </c>
      <c r="J646" s="6">
        <v>0</v>
      </c>
      <c r="K646" s="6">
        <v>0</v>
      </c>
      <c r="L646" s="6">
        <v>5.2999999999999999E-2</v>
      </c>
      <c r="M646" s="6">
        <v>5.2999999999999999E-2</v>
      </c>
      <c r="N646" s="6">
        <v>5.2999999999999999E-2</v>
      </c>
      <c r="O646" s="6">
        <v>5.2999999999999999E-2</v>
      </c>
      <c r="P646" s="6">
        <v>0</v>
      </c>
      <c r="Q646" s="4" t="s">
        <v>26</v>
      </c>
      <c r="R646" s="4">
        <v>0</v>
      </c>
      <c r="S646" s="6">
        <v>0</v>
      </c>
      <c r="T646" s="6">
        <v>41</v>
      </c>
      <c r="U646" s="6">
        <v>78</v>
      </c>
      <c r="V646" s="6">
        <f>IF(ISERROR(VLOOKUP($S$646,'TAR FIN'!$A$1:$O$85,15,0)),0,VLOOKUP($S$646,'TAR FIN'!$A$1:$O$85,15,0))</f>
        <v>0</v>
      </c>
      <c r="W646" s="6">
        <f>IF(ISERROR(VLOOKUP($T$646,'TAR FIN'!$A$1:$O$85,15,0)),0,VLOOKUP($T$646,'TAR FIN'!$A$1:$O$85,15,0))</f>
        <v>677.47</v>
      </c>
      <c r="X646" s="6">
        <f>IF(ISERROR(VLOOKUP($U$646,'TAR FIN'!$A$1:$O$85,15,0)),0,VLOOKUP($U$646,'TAR FIN'!$A$1:$O$85,15,0))</f>
        <v>263.29000000000002</v>
      </c>
      <c r="Y646" s="6"/>
      <c r="Z646" s="6">
        <f ca="1">('TUSD BE'!$AM$45+'TUSD BF'!$AM$45+'TUSD CVA'!$AM$45)*1</f>
        <v>728.56310689239194</v>
      </c>
      <c r="AA646" s="6">
        <f>('TE BE'!$AA$35+'TE BF'!$AA$35+'TE CVA'!$AA$35)*1</f>
        <v>210.64397598313801</v>
      </c>
      <c r="AB646" s="6">
        <f>$K$646*$V$646</f>
        <v>0</v>
      </c>
      <c r="AC646" s="6">
        <f>$M$646*$W$646</f>
        <v>35.905909999999999</v>
      </c>
      <c r="AD646" s="6">
        <f>$O$646*$X$646</f>
        <v>13.954370000000001</v>
      </c>
      <c r="AE646" s="6">
        <f>$K$646*$Y$646</f>
        <v>0</v>
      </c>
      <c r="AF646" s="6">
        <f ca="1">$M$646*$Z$646</f>
        <v>38.613844665296774</v>
      </c>
      <c r="AG646" s="6">
        <f>$O$646*$AA$646</f>
        <v>11.164130727106315</v>
      </c>
    </row>
    <row r="647" spans="1:33" ht="11.25" customHeight="1" x14ac:dyDescent="0.25">
      <c r="A647" s="4" t="s">
        <v>21</v>
      </c>
      <c r="B647" s="4" t="s">
        <v>39</v>
      </c>
      <c r="C647" s="4" t="s">
        <v>23</v>
      </c>
      <c r="D647" s="4" t="s">
        <v>42</v>
      </c>
      <c r="E647" s="4" t="s">
        <v>25</v>
      </c>
      <c r="F647" s="4" t="s">
        <v>25</v>
      </c>
      <c r="G647" s="4" t="s">
        <v>25</v>
      </c>
      <c r="H647" s="4" t="s">
        <v>25</v>
      </c>
      <c r="I647" s="5">
        <v>44317</v>
      </c>
      <c r="J647" s="6">
        <v>0</v>
      </c>
      <c r="K647" s="6">
        <v>0</v>
      </c>
      <c r="L647" s="6">
        <v>902.12599999999998</v>
      </c>
      <c r="M647" s="6">
        <v>902.12599999999998</v>
      </c>
      <c r="N647" s="6">
        <v>902.12599999999998</v>
      </c>
      <c r="O647" s="6">
        <v>902.12599999999998</v>
      </c>
      <c r="P647" s="6">
        <v>1048</v>
      </c>
      <c r="Q647" s="4" t="s">
        <v>26</v>
      </c>
      <c r="R647" s="4">
        <v>0</v>
      </c>
      <c r="S647" s="6">
        <v>0</v>
      </c>
      <c r="T647" s="6">
        <v>44</v>
      </c>
      <c r="U647" s="6">
        <v>81</v>
      </c>
      <c r="V647" s="6">
        <f>IF(ISERROR(VLOOKUP($S$647,'TAR FIN'!$A$1:$O$85,15,0)),0,VLOOKUP($S$647,'TAR FIN'!$A$1:$O$85,15,0))</f>
        <v>0</v>
      </c>
      <c r="W647" s="6">
        <f>IF(ISERROR(VLOOKUP($T$647,'TAR FIN'!$A$1:$O$85,15,0)),0,VLOOKUP($T$647,'TAR FIN'!$A$1:$O$85,15,0))</f>
        <v>273.69</v>
      </c>
      <c r="X647" s="6">
        <f>IF(ISERROR(VLOOKUP($U$647,'TAR FIN'!$A$1:$O$85,15,0)),0,VLOOKUP($U$647,'TAR FIN'!$A$1:$O$85,15,0))</f>
        <v>263.29000000000002</v>
      </c>
      <c r="Y647" s="6"/>
      <c r="Z647" s="6">
        <f ca="1">('TUSD BE'!$AM$48+'TUSD BF'!$AM$48+'TUSD CVA'!$AM$48)*1</f>
        <v>320.1054038964063</v>
      </c>
      <c r="AA647" s="6">
        <f>('TE BE'!$AA$38+'TE BF'!$AA$38+'TE CVA'!$AA$38)*1</f>
        <v>210.64397598313801</v>
      </c>
      <c r="AB647" s="6">
        <f>$K$647*$V$647</f>
        <v>0</v>
      </c>
      <c r="AC647" s="6">
        <f>$M$647*$W$647</f>
        <v>246902.86494</v>
      </c>
      <c r="AD647" s="6">
        <f>$O$647*$X$647</f>
        <v>237520.75454000002</v>
      </c>
      <c r="AE647" s="6">
        <f>$K$647*$Y$647</f>
        <v>0</v>
      </c>
      <c r="AF647" s="6">
        <f ca="1">$M$647*$Z$647</f>
        <v>288775.40759544942</v>
      </c>
      <c r="AG647" s="6">
        <f>$O$647*$AA$647</f>
        <v>190027.40747776435</v>
      </c>
    </row>
    <row r="648" spans="1:33" ht="11.25" customHeight="1" x14ac:dyDescent="0.25">
      <c r="A648" s="4" t="s">
        <v>28</v>
      </c>
      <c r="B648" s="4" t="s">
        <v>39</v>
      </c>
      <c r="C648" s="4" t="s">
        <v>23</v>
      </c>
      <c r="D648" s="4" t="s">
        <v>42</v>
      </c>
      <c r="E648" s="4" t="s">
        <v>25</v>
      </c>
      <c r="F648" s="4" t="s">
        <v>25</v>
      </c>
      <c r="G648" s="4" t="s">
        <v>25</v>
      </c>
      <c r="H648" s="4" t="s">
        <v>25</v>
      </c>
      <c r="I648" s="5">
        <v>44317</v>
      </c>
      <c r="J648" s="6">
        <v>0</v>
      </c>
      <c r="K648" s="6">
        <v>0</v>
      </c>
      <c r="L648" s="6">
        <v>38.594000000000001</v>
      </c>
      <c r="M648" s="6">
        <v>38.594000000000001</v>
      </c>
      <c r="N648" s="6">
        <v>38.594000000000001</v>
      </c>
      <c r="O648" s="6">
        <v>38.594000000000001</v>
      </c>
      <c r="P648" s="6">
        <v>78</v>
      </c>
      <c r="Q648" s="4" t="s">
        <v>26</v>
      </c>
      <c r="R648" s="4">
        <v>0</v>
      </c>
      <c r="S648" s="6">
        <v>0</v>
      </c>
      <c r="T648" s="6">
        <v>44</v>
      </c>
      <c r="U648" s="6">
        <v>81</v>
      </c>
      <c r="V648" s="6">
        <f>IF(ISERROR(VLOOKUP($S$648,'TAR FIN'!$A$1:$O$85,15,0)),0,VLOOKUP($S$648,'TAR FIN'!$A$1:$O$85,15,0))</f>
        <v>0</v>
      </c>
      <c r="W648" s="6">
        <f>IF(ISERROR(VLOOKUP($T$648,'TAR FIN'!$A$1:$O$85,15,0)),0,VLOOKUP($T$648,'TAR FIN'!$A$1:$O$85,15,0))</f>
        <v>273.69</v>
      </c>
      <c r="X648" s="6">
        <f>IF(ISERROR(VLOOKUP($U$648,'TAR FIN'!$A$1:$O$85,15,0)),0,VLOOKUP($U$648,'TAR FIN'!$A$1:$O$85,15,0))</f>
        <v>263.29000000000002</v>
      </c>
      <c r="Y648" s="6"/>
      <c r="Z648" s="6">
        <f ca="1">('TUSD BE'!$AM$48+'TUSD BF'!$AM$48+'TUSD CVA'!$AM$48)*1</f>
        <v>320.1054038964063</v>
      </c>
      <c r="AA648" s="6">
        <f>('TE BE'!$AA$38+'TE BF'!$AA$38+'TE CVA'!$AA$38)*1</f>
        <v>210.64397598313801</v>
      </c>
      <c r="AB648" s="6">
        <f>$K$648*$V$648</f>
        <v>0</v>
      </c>
      <c r="AC648" s="6">
        <f>$M$648*$W$648</f>
        <v>10562.791859999999</v>
      </c>
      <c r="AD648" s="6">
        <f>$O$648*$X$648</f>
        <v>10161.414260000001</v>
      </c>
      <c r="AE648" s="6">
        <f>$K$648*$Y$648</f>
        <v>0</v>
      </c>
      <c r="AF648" s="6">
        <f ca="1">$M$648*$Z$648</f>
        <v>12354.147957977904</v>
      </c>
      <c r="AG648" s="6">
        <f>$O$648*$AA$648</f>
        <v>8129.5936090932282</v>
      </c>
    </row>
    <row r="649" spans="1:33" ht="11.25" customHeight="1" x14ac:dyDescent="0.25">
      <c r="A649" s="4" t="s">
        <v>21</v>
      </c>
      <c r="B649" s="4" t="s">
        <v>39</v>
      </c>
      <c r="C649" s="4" t="s">
        <v>23</v>
      </c>
      <c r="D649" s="4" t="s">
        <v>42</v>
      </c>
      <c r="E649" s="4" t="s">
        <v>25</v>
      </c>
      <c r="F649" s="4" t="s">
        <v>25</v>
      </c>
      <c r="G649" s="4" t="s">
        <v>25</v>
      </c>
      <c r="H649" s="4" t="s">
        <v>25</v>
      </c>
      <c r="I649" s="5">
        <v>44348</v>
      </c>
      <c r="J649" s="6">
        <v>0</v>
      </c>
      <c r="K649" s="6">
        <v>0</v>
      </c>
      <c r="L649" s="6">
        <v>909.96299999999997</v>
      </c>
      <c r="M649" s="6">
        <v>909.96299999999997</v>
      </c>
      <c r="N649" s="6">
        <v>909.96299999999997</v>
      </c>
      <c r="O649" s="6">
        <v>909.96299999999997</v>
      </c>
      <c r="P649" s="6">
        <v>1049</v>
      </c>
      <c r="Q649" s="4" t="s">
        <v>26</v>
      </c>
      <c r="R649" s="4">
        <v>0</v>
      </c>
      <c r="S649" s="6">
        <v>0</v>
      </c>
      <c r="T649" s="6">
        <v>44</v>
      </c>
      <c r="U649" s="6">
        <v>81</v>
      </c>
      <c r="V649" s="6">
        <f>IF(ISERROR(VLOOKUP($S$649,'TAR FIN'!$A$1:$O$85,15,0)),0,VLOOKUP($S$649,'TAR FIN'!$A$1:$O$85,15,0))</f>
        <v>0</v>
      </c>
      <c r="W649" s="6">
        <f>IF(ISERROR(VLOOKUP($T$649,'TAR FIN'!$A$1:$O$85,15,0)),0,VLOOKUP($T$649,'TAR FIN'!$A$1:$O$85,15,0))</f>
        <v>273.69</v>
      </c>
      <c r="X649" s="6">
        <f>IF(ISERROR(VLOOKUP($U$649,'TAR FIN'!$A$1:$O$85,15,0)),0,VLOOKUP($U$649,'TAR FIN'!$A$1:$O$85,15,0))</f>
        <v>263.29000000000002</v>
      </c>
      <c r="Y649" s="6"/>
      <c r="Z649" s="6">
        <f ca="1">('TUSD BE'!$AM$48+'TUSD BF'!$AM$48+'TUSD CVA'!$AM$48)*1</f>
        <v>320.1054038964063</v>
      </c>
      <c r="AA649" s="6">
        <f>('TE BE'!$AA$38+'TE BF'!$AA$38+'TE CVA'!$AA$38)*1</f>
        <v>210.64397598313801</v>
      </c>
      <c r="AB649" s="6">
        <f>$K$649*$V$649</f>
        <v>0</v>
      </c>
      <c r="AC649" s="6">
        <f>$M$649*$W$649</f>
        <v>249047.77346999999</v>
      </c>
      <c r="AD649" s="6">
        <f>$O$649*$X$649</f>
        <v>239584.15827000001</v>
      </c>
      <c r="AE649" s="6">
        <f>$K$649*$Y$649</f>
        <v>0</v>
      </c>
      <c r="AF649" s="6">
        <f ca="1">$M$649*$Z$649</f>
        <v>291284.07364578557</v>
      </c>
      <c r="AG649" s="6">
        <f>$O$649*$AA$649</f>
        <v>191678.2243175442</v>
      </c>
    </row>
    <row r="650" spans="1:33" ht="11.25" customHeight="1" x14ac:dyDescent="0.25">
      <c r="A650" s="4" t="s">
        <v>28</v>
      </c>
      <c r="B650" s="4" t="s">
        <v>39</v>
      </c>
      <c r="C650" s="4" t="s">
        <v>23</v>
      </c>
      <c r="D650" s="4" t="s">
        <v>42</v>
      </c>
      <c r="E650" s="4" t="s">
        <v>25</v>
      </c>
      <c r="F650" s="4" t="s">
        <v>25</v>
      </c>
      <c r="G650" s="4" t="s">
        <v>25</v>
      </c>
      <c r="H650" s="4" t="s">
        <v>25</v>
      </c>
      <c r="I650" s="5">
        <v>44348</v>
      </c>
      <c r="J650" s="6">
        <v>0</v>
      </c>
      <c r="K650" s="6">
        <v>0</v>
      </c>
      <c r="L650" s="6">
        <v>52.569000000000003</v>
      </c>
      <c r="M650" s="6">
        <v>52.569000000000003</v>
      </c>
      <c r="N650" s="6">
        <v>52.569000000000003</v>
      </c>
      <c r="O650" s="6">
        <v>52.569000000000003</v>
      </c>
      <c r="P650" s="6">
        <v>77</v>
      </c>
      <c r="Q650" s="4" t="s">
        <v>26</v>
      </c>
      <c r="R650" s="4">
        <v>0</v>
      </c>
      <c r="S650" s="6">
        <v>0</v>
      </c>
      <c r="T650" s="6">
        <v>44</v>
      </c>
      <c r="U650" s="6">
        <v>81</v>
      </c>
      <c r="V650" s="6">
        <f>IF(ISERROR(VLOOKUP($S$650,'TAR FIN'!$A$1:$O$85,15,0)),0,VLOOKUP($S$650,'TAR FIN'!$A$1:$O$85,15,0))</f>
        <v>0</v>
      </c>
      <c r="W650" s="6">
        <f>IF(ISERROR(VLOOKUP($T$650,'TAR FIN'!$A$1:$O$85,15,0)),0,VLOOKUP($T$650,'TAR FIN'!$A$1:$O$85,15,0))</f>
        <v>273.69</v>
      </c>
      <c r="X650" s="6">
        <f>IF(ISERROR(VLOOKUP($U$650,'TAR FIN'!$A$1:$O$85,15,0)),0,VLOOKUP($U$650,'TAR FIN'!$A$1:$O$85,15,0))</f>
        <v>263.29000000000002</v>
      </c>
      <c r="Y650" s="6"/>
      <c r="Z650" s="6">
        <f ca="1">('TUSD BE'!$AM$48+'TUSD BF'!$AM$48+'TUSD CVA'!$AM$48)*1</f>
        <v>320.1054038964063</v>
      </c>
      <c r="AA650" s="6">
        <f>('TE BE'!$AA$38+'TE BF'!$AA$38+'TE CVA'!$AA$38)*1</f>
        <v>210.64397598313801</v>
      </c>
      <c r="AB650" s="6">
        <f>$K$650*$V$650</f>
        <v>0</v>
      </c>
      <c r="AC650" s="6">
        <f>$M$650*$W$650</f>
        <v>14387.609610000001</v>
      </c>
      <c r="AD650" s="6">
        <f>$O$650*$X$650</f>
        <v>13840.892010000001</v>
      </c>
      <c r="AE650" s="6">
        <f>$K$650*$Y$650</f>
        <v>0</v>
      </c>
      <c r="AF650" s="6">
        <f ca="1">$M$650*$Z$650</f>
        <v>16827.620977430182</v>
      </c>
      <c r="AG650" s="6">
        <f>$O$650*$AA$650</f>
        <v>11073.343173457582</v>
      </c>
    </row>
    <row r="651" spans="1:33" ht="11.25" customHeight="1" x14ac:dyDescent="0.25">
      <c r="A651" s="4" t="s">
        <v>21</v>
      </c>
      <c r="B651" s="4" t="s">
        <v>39</v>
      </c>
      <c r="C651" s="4" t="s">
        <v>23</v>
      </c>
      <c r="D651" s="4" t="s">
        <v>42</v>
      </c>
      <c r="E651" s="4" t="s">
        <v>25</v>
      </c>
      <c r="F651" s="4" t="s">
        <v>25</v>
      </c>
      <c r="G651" s="4" t="s">
        <v>25</v>
      </c>
      <c r="H651" s="4" t="s">
        <v>25</v>
      </c>
      <c r="I651" s="5">
        <v>44378</v>
      </c>
      <c r="J651" s="6">
        <v>0</v>
      </c>
      <c r="K651" s="6">
        <v>0</v>
      </c>
      <c r="L651" s="6">
        <v>878.39</v>
      </c>
      <c r="M651" s="6">
        <v>878.39</v>
      </c>
      <c r="N651" s="6">
        <v>878.39</v>
      </c>
      <c r="O651" s="6">
        <v>878.39</v>
      </c>
      <c r="P651" s="6">
        <v>1051</v>
      </c>
      <c r="Q651" s="4" t="s">
        <v>26</v>
      </c>
      <c r="R651" s="4">
        <v>0</v>
      </c>
      <c r="S651" s="6">
        <v>0</v>
      </c>
      <c r="T651" s="6">
        <v>44</v>
      </c>
      <c r="U651" s="6">
        <v>81</v>
      </c>
      <c r="V651" s="6">
        <f>IF(ISERROR(VLOOKUP($S$651,'TAR FIN'!$A$1:$O$85,15,0)),0,VLOOKUP($S$651,'TAR FIN'!$A$1:$O$85,15,0))</f>
        <v>0</v>
      </c>
      <c r="W651" s="6">
        <f>IF(ISERROR(VLOOKUP($T$651,'TAR FIN'!$A$1:$O$85,15,0)),0,VLOOKUP($T$651,'TAR FIN'!$A$1:$O$85,15,0))</f>
        <v>273.69</v>
      </c>
      <c r="X651" s="6">
        <f>IF(ISERROR(VLOOKUP($U$651,'TAR FIN'!$A$1:$O$85,15,0)),0,VLOOKUP($U$651,'TAR FIN'!$A$1:$O$85,15,0))</f>
        <v>263.29000000000002</v>
      </c>
      <c r="Y651" s="6"/>
      <c r="Z651" s="6">
        <f ca="1">('TUSD BE'!$AM$48+'TUSD BF'!$AM$48+'TUSD CVA'!$AM$48)*1</f>
        <v>320.1054038964063</v>
      </c>
      <c r="AA651" s="6">
        <f>('TE BE'!$AA$38+'TE BF'!$AA$38+'TE CVA'!$AA$38)*1</f>
        <v>210.64397598313801</v>
      </c>
      <c r="AB651" s="6">
        <f>$K$651*$V$651</f>
        <v>0</v>
      </c>
      <c r="AC651" s="6">
        <f>$M$651*$W$651</f>
        <v>240406.55909999998</v>
      </c>
      <c r="AD651" s="6">
        <f>$O$651*$X$651</f>
        <v>231271.30310000002</v>
      </c>
      <c r="AE651" s="6">
        <f>$K$651*$Y$651</f>
        <v>0</v>
      </c>
      <c r="AF651" s="6">
        <f ca="1">$M$651*$Z$651</f>
        <v>281177.38572856435</v>
      </c>
      <c r="AG651" s="6">
        <f>$O$651*$AA$651</f>
        <v>185027.56206382858</v>
      </c>
    </row>
    <row r="652" spans="1:33" ht="11.25" customHeight="1" x14ac:dyDescent="0.25">
      <c r="A652" s="4" t="s">
        <v>28</v>
      </c>
      <c r="B652" s="4" t="s">
        <v>39</v>
      </c>
      <c r="C652" s="4" t="s">
        <v>23</v>
      </c>
      <c r="D652" s="4" t="s">
        <v>42</v>
      </c>
      <c r="E652" s="4" t="s">
        <v>25</v>
      </c>
      <c r="F652" s="4" t="s">
        <v>25</v>
      </c>
      <c r="G652" s="4" t="s">
        <v>25</v>
      </c>
      <c r="H652" s="4" t="s">
        <v>25</v>
      </c>
      <c r="I652" s="5">
        <v>44378</v>
      </c>
      <c r="J652" s="6">
        <v>0</v>
      </c>
      <c r="K652" s="6">
        <v>0</v>
      </c>
      <c r="L652" s="6">
        <v>45.752000000000002</v>
      </c>
      <c r="M652" s="6">
        <v>45.752000000000002</v>
      </c>
      <c r="N652" s="6">
        <v>45.752000000000002</v>
      </c>
      <c r="O652" s="6">
        <v>45.752000000000002</v>
      </c>
      <c r="P652" s="6">
        <v>78</v>
      </c>
      <c r="Q652" s="4" t="s">
        <v>26</v>
      </c>
      <c r="R652" s="4">
        <v>0</v>
      </c>
      <c r="S652" s="6">
        <v>0</v>
      </c>
      <c r="T652" s="6">
        <v>44</v>
      </c>
      <c r="U652" s="6">
        <v>81</v>
      </c>
      <c r="V652" s="6">
        <f>IF(ISERROR(VLOOKUP($S$652,'TAR FIN'!$A$1:$O$85,15,0)),0,VLOOKUP($S$652,'TAR FIN'!$A$1:$O$85,15,0))</f>
        <v>0</v>
      </c>
      <c r="W652" s="6">
        <f>IF(ISERROR(VLOOKUP($T$652,'TAR FIN'!$A$1:$O$85,15,0)),0,VLOOKUP($T$652,'TAR FIN'!$A$1:$O$85,15,0))</f>
        <v>273.69</v>
      </c>
      <c r="X652" s="6">
        <f>IF(ISERROR(VLOOKUP($U$652,'TAR FIN'!$A$1:$O$85,15,0)),0,VLOOKUP($U$652,'TAR FIN'!$A$1:$O$85,15,0))</f>
        <v>263.29000000000002</v>
      </c>
      <c r="Y652" s="6"/>
      <c r="Z652" s="6">
        <f ca="1">('TUSD BE'!$AM$48+'TUSD BF'!$AM$48+'TUSD CVA'!$AM$48)*1</f>
        <v>320.1054038964063</v>
      </c>
      <c r="AA652" s="6">
        <f>('TE BE'!$AA$38+'TE BF'!$AA$38+'TE CVA'!$AA$38)*1</f>
        <v>210.64397598313801</v>
      </c>
      <c r="AB652" s="6">
        <f>$K$652*$V$652</f>
        <v>0</v>
      </c>
      <c r="AC652" s="6">
        <f>$M$652*$W$652</f>
        <v>12521.864880000001</v>
      </c>
      <c r="AD652" s="6">
        <f>$O$652*$X$652</f>
        <v>12046.044080000001</v>
      </c>
      <c r="AE652" s="6">
        <f>$K$652*$Y$652</f>
        <v>0</v>
      </c>
      <c r="AF652" s="6">
        <f ca="1">$M$652*$Z$652</f>
        <v>14645.462439068382</v>
      </c>
      <c r="AG652" s="6">
        <f>$O$652*$AA$652</f>
        <v>9637.3831891805312</v>
      </c>
    </row>
    <row r="653" spans="1:33" ht="11.25" customHeight="1" x14ac:dyDescent="0.25">
      <c r="A653" s="4" t="s">
        <v>21</v>
      </c>
      <c r="B653" s="4" t="s">
        <v>39</v>
      </c>
      <c r="C653" s="4" t="s">
        <v>23</v>
      </c>
      <c r="D653" s="4" t="s">
        <v>42</v>
      </c>
      <c r="E653" s="4" t="s">
        <v>25</v>
      </c>
      <c r="F653" s="4" t="s">
        <v>25</v>
      </c>
      <c r="G653" s="4" t="s">
        <v>25</v>
      </c>
      <c r="H653" s="4" t="s">
        <v>25</v>
      </c>
      <c r="I653" s="5">
        <v>44409</v>
      </c>
      <c r="J653" s="6">
        <v>0</v>
      </c>
      <c r="K653" s="6">
        <v>0</v>
      </c>
      <c r="L653" s="6">
        <v>952.27800000000002</v>
      </c>
      <c r="M653" s="6">
        <v>952.27800000000002</v>
      </c>
      <c r="N653" s="6">
        <v>952.27800000000002</v>
      </c>
      <c r="O653" s="6">
        <v>952.27800000000002</v>
      </c>
      <c r="P653" s="6">
        <v>1050</v>
      </c>
      <c r="Q653" s="4" t="s">
        <v>26</v>
      </c>
      <c r="R653" s="4">
        <v>0</v>
      </c>
      <c r="S653" s="6">
        <v>0</v>
      </c>
      <c r="T653" s="6">
        <v>44</v>
      </c>
      <c r="U653" s="6">
        <v>81</v>
      </c>
      <c r="V653" s="6">
        <f>IF(ISERROR(VLOOKUP($S$653,'TAR FIN'!$A$1:$O$85,15,0)),0,VLOOKUP($S$653,'TAR FIN'!$A$1:$O$85,15,0))</f>
        <v>0</v>
      </c>
      <c r="W653" s="6">
        <f>IF(ISERROR(VLOOKUP($T$653,'TAR FIN'!$A$1:$O$85,15,0)),0,VLOOKUP($T$653,'TAR FIN'!$A$1:$O$85,15,0))</f>
        <v>273.69</v>
      </c>
      <c r="X653" s="6">
        <f>IF(ISERROR(VLOOKUP($U$653,'TAR FIN'!$A$1:$O$85,15,0)),0,VLOOKUP($U$653,'TAR FIN'!$A$1:$O$85,15,0))</f>
        <v>263.29000000000002</v>
      </c>
      <c r="Y653" s="6"/>
      <c r="Z653" s="6">
        <f ca="1">('TUSD BE'!$AM$48+'TUSD BF'!$AM$48+'TUSD CVA'!$AM$48)*1</f>
        <v>320.1054038964063</v>
      </c>
      <c r="AA653" s="6">
        <f>('TE BE'!$AA$38+'TE BF'!$AA$38+'TE CVA'!$AA$38)*1</f>
        <v>210.64397598313801</v>
      </c>
      <c r="AB653" s="6">
        <f>$K$653*$V$653</f>
        <v>0</v>
      </c>
      <c r="AC653" s="6">
        <f>$M$653*$W$653</f>
        <v>260628.96582000001</v>
      </c>
      <c r="AD653" s="6">
        <f>$O$653*$X$653</f>
        <v>250725.27462000001</v>
      </c>
      <c r="AE653" s="6">
        <f>$K$653*$Y$653</f>
        <v>0</v>
      </c>
      <c r="AF653" s="6">
        <f ca="1">$M$653*$Z$653</f>
        <v>304829.33381166199</v>
      </c>
      <c r="AG653" s="6">
        <f>$O$653*$AA$653</f>
        <v>200591.62416127071</v>
      </c>
    </row>
    <row r="654" spans="1:33" ht="11.25" customHeight="1" x14ac:dyDescent="0.25">
      <c r="A654" s="4" t="s">
        <v>28</v>
      </c>
      <c r="B654" s="4" t="s">
        <v>39</v>
      </c>
      <c r="C654" s="4" t="s">
        <v>23</v>
      </c>
      <c r="D654" s="4" t="s">
        <v>42</v>
      </c>
      <c r="E654" s="4" t="s">
        <v>25</v>
      </c>
      <c r="F654" s="4" t="s">
        <v>25</v>
      </c>
      <c r="G654" s="4" t="s">
        <v>25</v>
      </c>
      <c r="H654" s="4" t="s">
        <v>25</v>
      </c>
      <c r="I654" s="5">
        <v>44409</v>
      </c>
      <c r="J654" s="6">
        <v>0</v>
      </c>
      <c r="K654" s="6">
        <v>0</v>
      </c>
      <c r="L654" s="6">
        <v>40.167999999999999</v>
      </c>
      <c r="M654" s="6">
        <v>40.167999999999999</v>
      </c>
      <c r="N654" s="6">
        <v>40.167999999999999</v>
      </c>
      <c r="O654" s="6">
        <v>40.167999999999999</v>
      </c>
      <c r="P654" s="6">
        <v>79</v>
      </c>
      <c r="Q654" s="4" t="s">
        <v>26</v>
      </c>
      <c r="R654" s="4">
        <v>0</v>
      </c>
      <c r="S654" s="6">
        <v>0</v>
      </c>
      <c r="T654" s="6">
        <v>44</v>
      </c>
      <c r="U654" s="6">
        <v>81</v>
      </c>
      <c r="V654" s="6">
        <f>IF(ISERROR(VLOOKUP($S$654,'TAR FIN'!$A$1:$O$85,15,0)),0,VLOOKUP($S$654,'TAR FIN'!$A$1:$O$85,15,0))</f>
        <v>0</v>
      </c>
      <c r="W654" s="6">
        <f>IF(ISERROR(VLOOKUP($T$654,'TAR FIN'!$A$1:$O$85,15,0)),0,VLOOKUP($T$654,'TAR FIN'!$A$1:$O$85,15,0))</f>
        <v>273.69</v>
      </c>
      <c r="X654" s="6">
        <f>IF(ISERROR(VLOOKUP($U$654,'TAR FIN'!$A$1:$O$85,15,0)),0,VLOOKUP($U$654,'TAR FIN'!$A$1:$O$85,15,0))</f>
        <v>263.29000000000002</v>
      </c>
      <c r="Y654" s="6"/>
      <c r="Z654" s="6">
        <f ca="1">('TUSD BE'!$AM$48+'TUSD BF'!$AM$48+'TUSD CVA'!$AM$48)*1</f>
        <v>320.1054038964063</v>
      </c>
      <c r="AA654" s="6">
        <f>('TE BE'!$AA$38+'TE BF'!$AA$38+'TE CVA'!$AA$38)*1</f>
        <v>210.64397598313801</v>
      </c>
      <c r="AB654" s="6">
        <f>$K$654*$V$654</f>
        <v>0</v>
      </c>
      <c r="AC654" s="6">
        <f>$M$654*$W$654</f>
        <v>10993.57992</v>
      </c>
      <c r="AD654" s="6">
        <f>$O$654*$X$654</f>
        <v>10575.83272</v>
      </c>
      <c r="AE654" s="6">
        <f>$K$654*$Y$654</f>
        <v>0</v>
      </c>
      <c r="AF654" s="6">
        <f ca="1">$M$654*$Z$654</f>
        <v>12857.993863710848</v>
      </c>
      <c r="AG654" s="6">
        <f>$O$654*$AA$654</f>
        <v>8461.1472272906867</v>
      </c>
    </row>
    <row r="655" spans="1:33" ht="11.25" customHeight="1" x14ac:dyDescent="0.25">
      <c r="A655" s="4" t="s">
        <v>21</v>
      </c>
      <c r="B655" s="4" t="s">
        <v>39</v>
      </c>
      <c r="C655" s="4" t="s">
        <v>23</v>
      </c>
      <c r="D655" s="4" t="s">
        <v>42</v>
      </c>
      <c r="E655" s="4" t="s">
        <v>25</v>
      </c>
      <c r="F655" s="4" t="s">
        <v>25</v>
      </c>
      <c r="G655" s="4" t="s">
        <v>25</v>
      </c>
      <c r="H655" s="4" t="s">
        <v>25</v>
      </c>
      <c r="I655" s="5">
        <v>44440</v>
      </c>
      <c r="J655" s="6">
        <v>0</v>
      </c>
      <c r="K655" s="6">
        <v>0</v>
      </c>
      <c r="L655" s="6">
        <v>1089.5509999999999</v>
      </c>
      <c r="M655" s="6">
        <v>1089.5509999999999</v>
      </c>
      <c r="N655" s="6">
        <v>1089.5509999999999</v>
      </c>
      <c r="O655" s="6">
        <v>1089.5509999999999</v>
      </c>
      <c r="P655" s="6">
        <v>1053</v>
      </c>
      <c r="Q655" s="4" t="s">
        <v>26</v>
      </c>
      <c r="R655" s="4">
        <v>0</v>
      </c>
      <c r="S655" s="6">
        <v>0</v>
      </c>
      <c r="T655" s="6">
        <v>44</v>
      </c>
      <c r="U655" s="6">
        <v>81</v>
      </c>
      <c r="V655" s="6">
        <f>IF(ISERROR(VLOOKUP($S$655,'TAR FIN'!$A$1:$O$85,15,0)),0,VLOOKUP($S$655,'TAR FIN'!$A$1:$O$85,15,0))</f>
        <v>0</v>
      </c>
      <c r="W655" s="6">
        <f>IF(ISERROR(VLOOKUP($T$655,'TAR FIN'!$A$1:$O$85,15,0)),0,VLOOKUP($T$655,'TAR FIN'!$A$1:$O$85,15,0))</f>
        <v>273.69</v>
      </c>
      <c r="X655" s="6">
        <f>IF(ISERROR(VLOOKUP($U$655,'TAR FIN'!$A$1:$O$85,15,0)),0,VLOOKUP($U$655,'TAR FIN'!$A$1:$O$85,15,0))</f>
        <v>263.29000000000002</v>
      </c>
      <c r="Y655" s="6"/>
      <c r="Z655" s="6">
        <f ca="1">('TUSD BE'!$AM$48+'TUSD BF'!$AM$48+'TUSD CVA'!$AM$48)*1</f>
        <v>320.1054038964063</v>
      </c>
      <c r="AA655" s="6">
        <f>('TE BE'!$AA$38+'TE BF'!$AA$38+'TE CVA'!$AA$38)*1</f>
        <v>210.64397598313801</v>
      </c>
      <c r="AB655" s="6">
        <f>$K$655*$V$655</f>
        <v>0</v>
      </c>
      <c r="AC655" s="6">
        <f>$M$655*$W$655</f>
        <v>298199.21318999998</v>
      </c>
      <c r="AD655" s="6">
        <f>$O$655*$X$655</f>
        <v>286867.88279</v>
      </c>
      <c r="AE655" s="6">
        <f>$K$655*$Y$655</f>
        <v>0</v>
      </c>
      <c r="AF655" s="6">
        <f ca="1">$M$655*$Z$655</f>
        <v>348771.16292073333</v>
      </c>
      <c r="AG655" s="6">
        <f>$O$655*$AA$655</f>
        <v>229507.35467640398</v>
      </c>
    </row>
    <row r="656" spans="1:33" ht="11.25" customHeight="1" x14ac:dyDescent="0.25">
      <c r="A656" s="4" t="s">
        <v>28</v>
      </c>
      <c r="B656" s="4" t="s">
        <v>39</v>
      </c>
      <c r="C656" s="4" t="s">
        <v>23</v>
      </c>
      <c r="D656" s="4" t="s">
        <v>42</v>
      </c>
      <c r="E656" s="4" t="s">
        <v>25</v>
      </c>
      <c r="F656" s="4" t="s">
        <v>25</v>
      </c>
      <c r="G656" s="4" t="s">
        <v>25</v>
      </c>
      <c r="H656" s="4" t="s">
        <v>25</v>
      </c>
      <c r="I656" s="5">
        <v>44440</v>
      </c>
      <c r="J656" s="6">
        <v>0</v>
      </c>
      <c r="K656" s="6">
        <v>0</v>
      </c>
      <c r="L656" s="6">
        <v>45.203000000000003</v>
      </c>
      <c r="M656" s="6">
        <v>45.203000000000003</v>
      </c>
      <c r="N656" s="6">
        <v>45.203000000000003</v>
      </c>
      <c r="O656" s="6">
        <v>45.203000000000003</v>
      </c>
      <c r="P656" s="6">
        <v>80</v>
      </c>
      <c r="Q656" s="4" t="s">
        <v>26</v>
      </c>
      <c r="R656" s="4">
        <v>0</v>
      </c>
      <c r="S656" s="6">
        <v>0</v>
      </c>
      <c r="T656" s="6">
        <v>44</v>
      </c>
      <c r="U656" s="6">
        <v>81</v>
      </c>
      <c r="V656" s="6">
        <f>IF(ISERROR(VLOOKUP($S$656,'TAR FIN'!$A$1:$O$85,15,0)),0,VLOOKUP($S$656,'TAR FIN'!$A$1:$O$85,15,0))</f>
        <v>0</v>
      </c>
      <c r="W656" s="6">
        <f>IF(ISERROR(VLOOKUP($T$656,'TAR FIN'!$A$1:$O$85,15,0)),0,VLOOKUP($T$656,'TAR FIN'!$A$1:$O$85,15,0))</f>
        <v>273.69</v>
      </c>
      <c r="X656" s="6">
        <f>IF(ISERROR(VLOOKUP($U$656,'TAR FIN'!$A$1:$O$85,15,0)),0,VLOOKUP($U$656,'TAR FIN'!$A$1:$O$85,15,0))</f>
        <v>263.29000000000002</v>
      </c>
      <c r="Y656" s="6"/>
      <c r="Z656" s="6">
        <f ca="1">('TUSD BE'!$AM$48+'TUSD BF'!$AM$48+'TUSD CVA'!$AM$48)*1</f>
        <v>320.1054038964063</v>
      </c>
      <c r="AA656" s="6">
        <f>('TE BE'!$AA$38+'TE BF'!$AA$38+'TE CVA'!$AA$38)*1</f>
        <v>210.64397598313801</v>
      </c>
      <c r="AB656" s="6">
        <f>$K$656*$V$656</f>
        <v>0</v>
      </c>
      <c r="AC656" s="6">
        <f>$M$656*$W$656</f>
        <v>12371.60907</v>
      </c>
      <c r="AD656" s="6">
        <f>$O$656*$X$656</f>
        <v>11901.497870000001</v>
      </c>
      <c r="AE656" s="6">
        <f>$K$656*$Y$656</f>
        <v>0</v>
      </c>
      <c r="AF656" s="6">
        <f ca="1">$M$656*$Z$656</f>
        <v>14469.724572329254</v>
      </c>
      <c r="AG656" s="6">
        <f>$O$656*$AA$656</f>
        <v>9521.7396463657878</v>
      </c>
    </row>
    <row r="657" spans="1:33" ht="11.25" customHeight="1" x14ac:dyDescent="0.25">
      <c r="A657" s="4" t="s">
        <v>21</v>
      </c>
      <c r="B657" s="4" t="s">
        <v>39</v>
      </c>
      <c r="C657" s="4" t="s">
        <v>23</v>
      </c>
      <c r="D657" s="4" t="s">
        <v>42</v>
      </c>
      <c r="E657" s="4" t="s">
        <v>25</v>
      </c>
      <c r="F657" s="4" t="s">
        <v>25</v>
      </c>
      <c r="G657" s="4" t="s">
        <v>25</v>
      </c>
      <c r="H657" s="4" t="s">
        <v>25</v>
      </c>
      <c r="I657" s="5">
        <v>44470</v>
      </c>
      <c r="J657" s="6">
        <v>0</v>
      </c>
      <c r="K657" s="6">
        <v>0</v>
      </c>
      <c r="L657" s="6">
        <v>1142.2860000000001</v>
      </c>
      <c r="M657" s="6">
        <v>1142.2860000000001</v>
      </c>
      <c r="N657" s="6">
        <v>1142.2860000000001</v>
      </c>
      <c r="O657" s="6">
        <v>1142.2860000000001</v>
      </c>
      <c r="P657" s="6">
        <v>1056</v>
      </c>
      <c r="Q657" s="4" t="s">
        <v>26</v>
      </c>
      <c r="R657" s="4">
        <v>0</v>
      </c>
      <c r="S657" s="6">
        <v>0</v>
      </c>
      <c r="T657" s="6">
        <v>44</v>
      </c>
      <c r="U657" s="6">
        <v>81</v>
      </c>
      <c r="V657" s="6">
        <f>IF(ISERROR(VLOOKUP($S$657,'TAR FIN'!$A$1:$O$85,15,0)),0,VLOOKUP($S$657,'TAR FIN'!$A$1:$O$85,15,0))</f>
        <v>0</v>
      </c>
      <c r="W657" s="6">
        <f>IF(ISERROR(VLOOKUP($T$657,'TAR FIN'!$A$1:$O$85,15,0)),0,VLOOKUP($T$657,'TAR FIN'!$A$1:$O$85,15,0))</f>
        <v>273.69</v>
      </c>
      <c r="X657" s="6">
        <f>IF(ISERROR(VLOOKUP($U$657,'TAR FIN'!$A$1:$O$85,15,0)),0,VLOOKUP($U$657,'TAR FIN'!$A$1:$O$85,15,0))</f>
        <v>263.29000000000002</v>
      </c>
      <c r="Y657" s="6"/>
      <c r="Z657" s="6">
        <f ca="1">('TUSD BE'!$AM$48+'TUSD BF'!$AM$48+'TUSD CVA'!$AM$48)*1</f>
        <v>320.1054038964063</v>
      </c>
      <c r="AA657" s="6">
        <f>('TE BE'!$AA$38+'TE BF'!$AA$38+'TE CVA'!$AA$38)*1</f>
        <v>210.64397598313801</v>
      </c>
      <c r="AB657" s="6">
        <f>$K$657*$V$657</f>
        <v>0</v>
      </c>
      <c r="AC657" s="6">
        <f>$M$657*$W$657</f>
        <v>312632.25534000003</v>
      </c>
      <c r="AD657" s="6">
        <f>$O$657*$X$657</f>
        <v>300752.48094000004</v>
      </c>
      <c r="AE657" s="6">
        <f>$K$657*$Y$657</f>
        <v>0</v>
      </c>
      <c r="AF657" s="6">
        <f ca="1">$M$657*$Z$657</f>
        <v>365651.92139521037</v>
      </c>
      <c r="AG657" s="6">
        <f>$O$657*$AA$657</f>
        <v>240615.66474987479</v>
      </c>
    </row>
    <row r="658" spans="1:33" ht="11.25" customHeight="1" x14ac:dyDescent="0.25">
      <c r="A658" s="4" t="s">
        <v>28</v>
      </c>
      <c r="B658" s="4" t="s">
        <v>39</v>
      </c>
      <c r="C658" s="4" t="s">
        <v>23</v>
      </c>
      <c r="D658" s="4" t="s">
        <v>42</v>
      </c>
      <c r="E658" s="4" t="s">
        <v>25</v>
      </c>
      <c r="F658" s="4" t="s">
        <v>25</v>
      </c>
      <c r="G658" s="4" t="s">
        <v>25</v>
      </c>
      <c r="H658" s="4" t="s">
        <v>25</v>
      </c>
      <c r="I658" s="5">
        <v>44470</v>
      </c>
      <c r="J658" s="6">
        <v>0</v>
      </c>
      <c r="K658" s="6">
        <v>0</v>
      </c>
      <c r="L658" s="6">
        <v>52.01</v>
      </c>
      <c r="M658" s="6">
        <v>52.01</v>
      </c>
      <c r="N658" s="6">
        <v>52.01</v>
      </c>
      <c r="O658" s="6">
        <v>52.01</v>
      </c>
      <c r="P658" s="6">
        <v>80</v>
      </c>
      <c r="Q658" s="4" t="s">
        <v>26</v>
      </c>
      <c r="R658" s="4">
        <v>0</v>
      </c>
      <c r="S658" s="6">
        <v>0</v>
      </c>
      <c r="T658" s="6">
        <v>44</v>
      </c>
      <c r="U658" s="6">
        <v>81</v>
      </c>
      <c r="V658" s="6">
        <f>IF(ISERROR(VLOOKUP($S$658,'TAR FIN'!$A$1:$O$85,15,0)),0,VLOOKUP($S$658,'TAR FIN'!$A$1:$O$85,15,0))</f>
        <v>0</v>
      </c>
      <c r="W658" s="6">
        <f>IF(ISERROR(VLOOKUP($T$658,'TAR FIN'!$A$1:$O$85,15,0)),0,VLOOKUP($T$658,'TAR FIN'!$A$1:$O$85,15,0))</f>
        <v>273.69</v>
      </c>
      <c r="X658" s="6">
        <f>IF(ISERROR(VLOOKUP($U$658,'TAR FIN'!$A$1:$O$85,15,0)),0,VLOOKUP($U$658,'TAR FIN'!$A$1:$O$85,15,0))</f>
        <v>263.29000000000002</v>
      </c>
      <c r="Y658" s="6"/>
      <c r="Z658" s="6">
        <f ca="1">('TUSD BE'!$AM$48+'TUSD BF'!$AM$48+'TUSD CVA'!$AM$48)*1</f>
        <v>320.1054038964063</v>
      </c>
      <c r="AA658" s="6">
        <f>('TE BE'!$AA$38+'TE BF'!$AA$38+'TE CVA'!$AA$38)*1</f>
        <v>210.64397598313801</v>
      </c>
      <c r="AB658" s="6">
        <f>$K$658*$V$658</f>
        <v>0</v>
      </c>
      <c r="AC658" s="6">
        <f>$M$658*$W$658</f>
        <v>14234.616899999999</v>
      </c>
      <c r="AD658" s="6">
        <f>$O$658*$X$658</f>
        <v>13693.7129</v>
      </c>
      <c r="AE658" s="6">
        <f>$K$658*$Y$658</f>
        <v>0</v>
      </c>
      <c r="AF658" s="6">
        <f ca="1">$M$658*$Z$658</f>
        <v>16648.682056652091</v>
      </c>
      <c r="AG658" s="6">
        <f>$O$658*$AA$658</f>
        <v>10955.593190883008</v>
      </c>
    </row>
    <row r="659" spans="1:33" ht="11.25" customHeight="1" x14ac:dyDescent="0.25">
      <c r="A659" s="4" t="s">
        <v>21</v>
      </c>
      <c r="B659" s="4" t="s">
        <v>39</v>
      </c>
      <c r="C659" s="4" t="s">
        <v>23</v>
      </c>
      <c r="D659" s="4" t="s">
        <v>42</v>
      </c>
      <c r="E659" s="4" t="s">
        <v>25</v>
      </c>
      <c r="F659" s="4" t="s">
        <v>25</v>
      </c>
      <c r="G659" s="4" t="s">
        <v>25</v>
      </c>
      <c r="H659" s="4" t="s">
        <v>25</v>
      </c>
      <c r="I659" s="5">
        <v>44501</v>
      </c>
      <c r="J659" s="6">
        <v>0</v>
      </c>
      <c r="K659" s="6">
        <v>0</v>
      </c>
      <c r="L659" s="6">
        <v>1120.029</v>
      </c>
      <c r="M659" s="6">
        <v>1120.029</v>
      </c>
      <c r="N659" s="6">
        <v>1120.029</v>
      </c>
      <c r="O659" s="6">
        <v>1120.029</v>
      </c>
      <c r="P659" s="6">
        <v>1057</v>
      </c>
      <c r="Q659" s="4" t="s">
        <v>26</v>
      </c>
      <c r="R659" s="4">
        <v>0</v>
      </c>
      <c r="S659" s="6">
        <v>0</v>
      </c>
      <c r="T659" s="6">
        <v>44</v>
      </c>
      <c r="U659" s="6">
        <v>81</v>
      </c>
      <c r="V659" s="6">
        <f>IF(ISERROR(VLOOKUP($S$659,'TAR FIN'!$A$1:$O$85,15,0)),0,VLOOKUP($S$659,'TAR FIN'!$A$1:$O$85,15,0))</f>
        <v>0</v>
      </c>
      <c r="W659" s="6">
        <f>IF(ISERROR(VLOOKUP($T$659,'TAR FIN'!$A$1:$O$85,15,0)),0,VLOOKUP($T$659,'TAR FIN'!$A$1:$O$85,15,0))</f>
        <v>273.69</v>
      </c>
      <c r="X659" s="6">
        <f>IF(ISERROR(VLOOKUP($U$659,'TAR FIN'!$A$1:$O$85,15,0)),0,VLOOKUP($U$659,'TAR FIN'!$A$1:$O$85,15,0))</f>
        <v>263.29000000000002</v>
      </c>
      <c r="Y659" s="6"/>
      <c r="Z659" s="6">
        <f ca="1">('TUSD BE'!$AM$48+'TUSD BF'!$AM$48+'TUSD CVA'!$AM$48)*1</f>
        <v>320.1054038964063</v>
      </c>
      <c r="AA659" s="6">
        <f>('TE BE'!$AA$38+'TE BF'!$AA$38+'TE CVA'!$AA$38)*1</f>
        <v>210.64397598313801</v>
      </c>
      <c r="AB659" s="6">
        <f>$K$659*$V$659</f>
        <v>0</v>
      </c>
      <c r="AC659" s="6">
        <f>$M$659*$W$659</f>
        <v>306540.73700999998</v>
      </c>
      <c r="AD659" s="6">
        <f>$O$659*$X$659</f>
        <v>294892.43541000003</v>
      </c>
      <c r="AE659" s="6">
        <f>$K$659*$Y$659</f>
        <v>0</v>
      </c>
      <c r="AF659" s="6">
        <f ca="1">$M$659*$Z$659</f>
        <v>358527.33542068803</v>
      </c>
      <c r="AG659" s="6">
        <f>$O$659*$AA$659</f>
        <v>235927.36177641808</v>
      </c>
    </row>
    <row r="660" spans="1:33" ht="11.25" customHeight="1" x14ac:dyDescent="0.25">
      <c r="A660" s="4" t="s">
        <v>28</v>
      </c>
      <c r="B660" s="4" t="s">
        <v>39</v>
      </c>
      <c r="C660" s="4" t="s">
        <v>23</v>
      </c>
      <c r="D660" s="4" t="s">
        <v>42</v>
      </c>
      <c r="E660" s="4" t="s">
        <v>25</v>
      </c>
      <c r="F660" s="4" t="s">
        <v>25</v>
      </c>
      <c r="G660" s="4" t="s">
        <v>25</v>
      </c>
      <c r="H660" s="4" t="s">
        <v>25</v>
      </c>
      <c r="I660" s="5">
        <v>44501</v>
      </c>
      <c r="J660" s="6">
        <v>0</v>
      </c>
      <c r="K660" s="6">
        <v>0</v>
      </c>
      <c r="L660" s="6">
        <v>41.081000000000003</v>
      </c>
      <c r="M660" s="6">
        <v>41.081000000000003</v>
      </c>
      <c r="N660" s="6">
        <v>41.081000000000003</v>
      </c>
      <c r="O660" s="6">
        <v>41.081000000000003</v>
      </c>
      <c r="P660" s="6">
        <v>84</v>
      </c>
      <c r="Q660" s="4" t="s">
        <v>26</v>
      </c>
      <c r="R660" s="4">
        <v>0</v>
      </c>
      <c r="S660" s="6">
        <v>0</v>
      </c>
      <c r="T660" s="6">
        <v>44</v>
      </c>
      <c r="U660" s="6">
        <v>81</v>
      </c>
      <c r="V660" s="6">
        <f>IF(ISERROR(VLOOKUP($S$660,'TAR FIN'!$A$1:$O$85,15,0)),0,VLOOKUP($S$660,'TAR FIN'!$A$1:$O$85,15,0))</f>
        <v>0</v>
      </c>
      <c r="W660" s="6">
        <f>IF(ISERROR(VLOOKUP($T$660,'TAR FIN'!$A$1:$O$85,15,0)),0,VLOOKUP($T$660,'TAR FIN'!$A$1:$O$85,15,0))</f>
        <v>273.69</v>
      </c>
      <c r="X660" s="6">
        <f>IF(ISERROR(VLOOKUP($U$660,'TAR FIN'!$A$1:$O$85,15,0)),0,VLOOKUP($U$660,'TAR FIN'!$A$1:$O$85,15,0))</f>
        <v>263.29000000000002</v>
      </c>
      <c r="Y660" s="6"/>
      <c r="Z660" s="6">
        <f ca="1">('TUSD BE'!$AM$48+'TUSD BF'!$AM$48+'TUSD CVA'!$AM$48)*1</f>
        <v>320.1054038964063</v>
      </c>
      <c r="AA660" s="6">
        <f>('TE BE'!$AA$38+'TE BF'!$AA$38+'TE CVA'!$AA$38)*1</f>
        <v>210.64397598313801</v>
      </c>
      <c r="AB660" s="6">
        <f>$K$660*$V$660</f>
        <v>0</v>
      </c>
      <c r="AC660" s="6">
        <f>$M$660*$W$660</f>
        <v>11243.45889</v>
      </c>
      <c r="AD660" s="6">
        <f>$O$660*$X$660</f>
        <v>10816.216490000003</v>
      </c>
      <c r="AE660" s="6">
        <f>$K$660*$Y$660</f>
        <v>0</v>
      </c>
      <c r="AF660" s="6">
        <f ca="1">$M$660*$Z$660</f>
        <v>13150.250097468268</v>
      </c>
      <c r="AG660" s="6">
        <f>$O$660*$AA$660</f>
        <v>8653.4651773632922</v>
      </c>
    </row>
    <row r="661" spans="1:33" ht="11.25" customHeight="1" x14ac:dyDescent="0.25">
      <c r="A661" s="4" t="s">
        <v>21</v>
      </c>
      <c r="B661" s="4" t="s">
        <v>39</v>
      </c>
      <c r="C661" s="4" t="s">
        <v>23</v>
      </c>
      <c r="D661" s="4" t="s">
        <v>42</v>
      </c>
      <c r="E661" s="4" t="s">
        <v>25</v>
      </c>
      <c r="F661" s="4" t="s">
        <v>25</v>
      </c>
      <c r="G661" s="4" t="s">
        <v>25</v>
      </c>
      <c r="H661" s="4" t="s">
        <v>25</v>
      </c>
      <c r="I661" s="5">
        <v>44531</v>
      </c>
      <c r="J661" s="6">
        <v>0</v>
      </c>
      <c r="K661" s="6">
        <v>0</v>
      </c>
      <c r="L661" s="6">
        <v>1102.1210000000001</v>
      </c>
      <c r="M661" s="6">
        <v>1102.1210000000001</v>
      </c>
      <c r="N661" s="6">
        <v>1102.1210000000001</v>
      </c>
      <c r="O661" s="6">
        <v>1102.1210000000001</v>
      </c>
      <c r="P661" s="6">
        <v>1059</v>
      </c>
      <c r="Q661" s="4" t="s">
        <v>26</v>
      </c>
      <c r="R661" s="4">
        <v>0</v>
      </c>
      <c r="S661" s="6">
        <v>0</v>
      </c>
      <c r="T661" s="6">
        <v>44</v>
      </c>
      <c r="U661" s="6">
        <v>81</v>
      </c>
      <c r="V661" s="6">
        <f>IF(ISERROR(VLOOKUP($S$661,'TAR FIN'!$A$1:$O$85,15,0)),0,VLOOKUP($S$661,'TAR FIN'!$A$1:$O$85,15,0))</f>
        <v>0</v>
      </c>
      <c r="W661" s="6">
        <f>IF(ISERROR(VLOOKUP($T$661,'TAR FIN'!$A$1:$O$85,15,0)),0,VLOOKUP($T$661,'TAR FIN'!$A$1:$O$85,15,0))</f>
        <v>273.69</v>
      </c>
      <c r="X661" s="6">
        <f>IF(ISERROR(VLOOKUP($U$661,'TAR FIN'!$A$1:$O$85,15,0)),0,VLOOKUP($U$661,'TAR FIN'!$A$1:$O$85,15,0))</f>
        <v>263.29000000000002</v>
      </c>
      <c r="Y661" s="6"/>
      <c r="Z661" s="6">
        <f ca="1">('TUSD BE'!$AM$48+'TUSD BF'!$AM$48+'TUSD CVA'!$AM$48)*1</f>
        <v>320.1054038964063</v>
      </c>
      <c r="AA661" s="6">
        <f>('TE BE'!$AA$38+'TE BF'!$AA$38+'TE CVA'!$AA$38)*1</f>
        <v>210.64397598313801</v>
      </c>
      <c r="AB661" s="6">
        <f>$K$661*$V$661</f>
        <v>0</v>
      </c>
      <c r="AC661" s="6">
        <f>$M$661*$W$661</f>
        <v>301639.49649000005</v>
      </c>
      <c r="AD661" s="6">
        <f>$O$661*$X$661</f>
        <v>290177.43809000007</v>
      </c>
      <c r="AE661" s="6">
        <f>$K$661*$Y$661</f>
        <v>0</v>
      </c>
      <c r="AF661" s="6">
        <f ca="1">$M$661*$Z$661</f>
        <v>352794.88784771122</v>
      </c>
      <c r="AG661" s="6">
        <f>$O$661*$AA$661</f>
        <v>232155.14945451205</v>
      </c>
    </row>
    <row r="662" spans="1:33" ht="11.25" customHeight="1" x14ac:dyDescent="0.25">
      <c r="A662" s="4" t="s">
        <v>28</v>
      </c>
      <c r="B662" s="4" t="s">
        <v>39</v>
      </c>
      <c r="C662" s="4" t="s">
        <v>23</v>
      </c>
      <c r="D662" s="4" t="s">
        <v>42</v>
      </c>
      <c r="E662" s="4" t="s">
        <v>25</v>
      </c>
      <c r="F662" s="4" t="s">
        <v>25</v>
      </c>
      <c r="G662" s="4" t="s">
        <v>25</v>
      </c>
      <c r="H662" s="4" t="s">
        <v>25</v>
      </c>
      <c r="I662" s="5">
        <v>44531</v>
      </c>
      <c r="J662" s="6">
        <v>0</v>
      </c>
      <c r="K662" s="6">
        <v>0</v>
      </c>
      <c r="L662" s="6">
        <v>40.497999999999998</v>
      </c>
      <c r="M662" s="6">
        <v>40.497999999999998</v>
      </c>
      <c r="N662" s="6">
        <v>40.497999999999998</v>
      </c>
      <c r="O662" s="6">
        <v>40.497999999999998</v>
      </c>
      <c r="P662" s="6">
        <v>82</v>
      </c>
      <c r="Q662" s="4" t="s">
        <v>26</v>
      </c>
      <c r="R662" s="4">
        <v>0</v>
      </c>
      <c r="S662" s="6">
        <v>0</v>
      </c>
      <c r="T662" s="6">
        <v>44</v>
      </c>
      <c r="U662" s="6">
        <v>81</v>
      </c>
      <c r="V662" s="6">
        <f>IF(ISERROR(VLOOKUP($S$662,'TAR FIN'!$A$1:$O$85,15,0)),0,VLOOKUP($S$662,'TAR FIN'!$A$1:$O$85,15,0))</f>
        <v>0</v>
      </c>
      <c r="W662" s="6">
        <f>IF(ISERROR(VLOOKUP($T$662,'TAR FIN'!$A$1:$O$85,15,0)),0,VLOOKUP($T$662,'TAR FIN'!$A$1:$O$85,15,0))</f>
        <v>273.69</v>
      </c>
      <c r="X662" s="6">
        <f>IF(ISERROR(VLOOKUP($U$662,'TAR FIN'!$A$1:$O$85,15,0)),0,VLOOKUP($U$662,'TAR FIN'!$A$1:$O$85,15,0))</f>
        <v>263.29000000000002</v>
      </c>
      <c r="Y662" s="6"/>
      <c r="Z662" s="6">
        <f ca="1">('TUSD BE'!$AM$48+'TUSD BF'!$AM$48+'TUSD CVA'!$AM$48)*1</f>
        <v>320.1054038964063</v>
      </c>
      <c r="AA662" s="6">
        <f>('TE BE'!$AA$38+'TE BF'!$AA$38+'TE CVA'!$AA$38)*1</f>
        <v>210.64397598313801</v>
      </c>
      <c r="AB662" s="6">
        <f>$K$662*$V$662</f>
        <v>0</v>
      </c>
      <c r="AC662" s="6">
        <f>$M$662*$W$662</f>
        <v>11083.89762</v>
      </c>
      <c r="AD662" s="6">
        <f>$O$662*$X$662</f>
        <v>10662.718420000001</v>
      </c>
      <c r="AE662" s="6">
        <f>$K$662*$Y$662</f>
        <v>0</v>
      </c>
      <c r="AF662" s="6">
        <f ca="1">$M$662*$Z$662</f>
        <v>12963.628646996662</v>
      </c>
      <c r="AG662" s="6">
        <f>$O$662*$AA$662</f>
        <v>8530.6597393651227</v>
      </c>
    </row>
    <row r="663" spans="1:33" ht="11.25" customHeight="1" x14ac:dyDescent="0.25">
      <c r="A663" s="4" t="s">
        <v>21</v>
      </c>
      <c r="B663" s="4" t="s">
        <v>39</v>
      </c>
      <c r="C663" s="4" t="s">
        <v>23</v>
      </c>
      <c r="D663" s="4" t="s">
        <v>42</v>
      </c>
      <c r="E663" s="4" t="s">
        <v>25</v>
      </c>
      <c r="F663" s="4" t="s">
        <v>25</v>
      </c>
      <c r="G663" s="4" t="s">
        <v>25</v>
      </c>
      <c r="H663" s="4" t="s">
        <v>25</v>
      </c>
      <c r="I663" s="5">
        <v>44562</v>
      </c>
      <c r="J663" s="6">
        <v>0</v>
      </c>
      <c r="K663" s="6">
        <v>0</v>
      </c>
      <c r="L663" s="6">
        <v>1089.5229999999999</v>
      </c>
      <c r="M663" s="6">
        <v>1089.5229999999999</v>
      </c>
      <c r="N663" s="6">
        <v>1089.5229999999999</v>
      </c>
      <c r="O663" s="6">
        <v>1089.5229999999999</v>
      </c>
      <c r="P663" s="6">
        <v>1056</v>
      </c>
      <c r="Q663" s="4" t="s">
        <v>26</v>
      </c>
      <c r="R663" s="4">
        <v>0</v>
      </c>
      <c r="S663" s="6">
        <v>0</v>
      </c>
      <c r="T663" s="6">
        <v>44</v>
      </c>
      <c r="U663" s="6">
        <v>81</v>
      </c>
      <c r="V663" s="6">
        <f>IF(ISERROR(VLOOKUP($S$663,'TAR FIN'!$A$1:$O$85,15,0)),0,VLOOKUP($S$663,'TAR FIN'!$A$1:$O$85,15,0))</f>
        <v>0</v>
      </c>
      <c r="W663" s="6">
        <f>IF(ISERROR(VLOOKUP($T$663,'TAR FIN'!$A$1:$O$85,15,0)),0,VLOOKUP($T$663,'TAR FIN'!$A$1:$O$85,15,0))</f>
        <v>273.69</v>
      </c>
      <c r="X663" s="6">
        <f>IF(ISERROR(VLOOKUP($U$663,'TAR FIN'!$A$1:$O$85,15,0)),0,VLOOKUP($U$663,'TAR FIN'!$A$1:$O$85,15,0))</f>
        <v>263.29000000000002</v>
      </c>
      <c r="Y663" s="6"/>
      <c r="Z663" s="6">
        <f ca="1">('TUSD BE'!$AM$48+'TUSD BF'!$AM$48+'TUSD CVA'!$AM$48)*1</f>
        <v>320.1054038964063</v>
      </c>
      <c r="AA663" s="6">
        <f>('TE BE'!$AA$38+'TE BF'!$AA$38+'TE CVA'!$AA$38)*1</f>
        <v>210.64397598313801</v>
      </c>
      <c r="AB663" s="6">
        <f>$K$663*$V$663</f>
        <v>0</v>
      </c>
      <c r="AC663" s="6">
        <f>$M$663*$W$663</f>
        <v>298191.54986999999</v>
      </c>
      <c r="AD663" s="6">
        <f>$O$663*$X$663</f>
        <v>286860.51066999999</v>
      </c>
      <c r="AE663" s="6">
        <f>$K$663*$Y$663</f>
        <v>0</v>
      </c>
      <c r="AF663" s="6">
        <f ca="1">$M$663*$Z$663</f>
        <v>348762.19996942423</v>
      </c>
      <c r="AG663" s="6">
        <f>$O$663*$AA$663</f>
        <v>229501.45664507645</v>
      </c>
    </row>
    <row r="664" spans="1:33" ht="11.25" customHeight="1" x14ac:dyDescent="0.25">
      <c r="A664" s="4" t="s">
        <v>28</v>
      </c>
      <c r="B664" s="4" t="s">
        <v>39</v>
      </c>
      <c r="C664" s="4" t="s">
        <v>23</v>
      </c>
      <c r="D664" s="4" t="s">
        <v>42</v>
      </c>
      <c r="E664" s="4" t="s">
        <v>25</v>
      </c>
      <c r="F664" s="4" t="s">
        <v>25</v>
      </c>
      <c r="G664" s="4" t="s">
        <v>25</v>
      </c>
      <c r="H664" s="4" t="s">
        <v>25</v>
      </c>
      <c r="I664" s="5">
        <v>44562</v>
      </c>
      <c r="J664" s="6">
        <v>0</v>
      </c>
      <c r="K664" s="6">
        <v>0</v>
      </c>
      <c r="L664" s="6">
        <v>44.49</v>
      </c>
      <c r="M664" s="6">
        <v>44.49</v>
      </c>
      <c r="N664" s="6">
        <v>44.49</v>
      </c>
      <c r="O664" s="6">
        <v>44.49</v>
      </c>
      <c r="P664" s="6">
        <v>83</v>
      </c>
      <c r="Q664" s="4" t="s">
        <v>26</v>
      </c>
      <c r="R664" s="4">
        <v>0</v>
      </c>
      <c r="S664" s="6">
        <v>0</v>
      </c>
      <c r="T664" s="6">
        <v>44</v>
      </c>
      <c r="U664" s="6">
        <v>81</v>
      </c>
      <c r="V664" s="6">
        <f>IF(ISERROR(VLOOKUP($S$664,'TAR FIN'!$A$1:$O$85,15,0)),0,VLOOKUP($S$664,'TAR FIN'!$A$1:$O$85,15,0))</f>
        <v>0</v>
      </c>
      <c r="W664" s="6">
        <f>IF(ISERROR(VLOOKUP($T$664,'TAR FIN'!$A$1:$O$85,15,0)),0,VLOOKUP($T$664,'TAR FIN'!$A$1:$O$85,15,0))</f>
        <v>273.69</v>
      </c>
      <c r="X664" s="6">
        <f>IF(ISERROR(VLOOKUP($U$664,'TAR FIN'!$A$1:$O$85,15,0)),0,VLOOKUP($U$664,'TAR FIN'!$A$1:$O$85,15,0))</f>
        <v>263.29000000000002</v>
      </c>
      <c r="Y664" s="6"/>
      <c r="Z664" s="6">
        <f ca="1">('TUSD BE'!$AM$48+'TUSD BF'!$AM$48+'TUSD CVA'!$AM$48)*1</f>
        <v>320.1054038964063</v>
      </c>
      <c r="AA664" s="6">
        <f>('TE BE'!$AA$38+'TE BF'!$AA$38+'TE CVA'!$AA$38)*1</f>
        <v>210.64397598313801</v>
      </c>
      <c r="AB664" s="6">
        <f>$K$664*$V$664</f>
        <v>0</v>
      </c>
      <c r="AC664" s="6">
        <f>$M$664*$W$664</f>
        <v>12176.4681</v>
      </c>
      <c r="AD664" s="6">
        <f>$O$664*$X$664</f>
        <v>11713.772100000002</v>
      </c>
      <c r="AE664" s="6">
        <f>$K$664*$Y$664</f>
        <v>0</v>
      </c>
      <c r="AF664" s="6">
        <f ca="1">$M$664*$Z$664</f>
        <v>14241.489419351117</v>
      </c>
      <c r="AG664" s="6">
        <f>$O$664*$AA$664</f>
        <v>9371.5504914898102</v>
      </c>
    </row>
    <row r="665" spans="1:33" ht="11.25" customHeight="1" x14ac:dyDescent="0.25">
      <c r="A665" s="4" t="s">
        <v>21</v>
      </c>
      <c r="B665" s="4" t="s">
        <v>39</v>
      </c>
      <c r="C665" s="4" t="s">
        <v>23</v>
      </c>
      <c r="D665" s="4" t="s">
        <v>42</v>
      </c>
      <c r="E665" s="4" t="s">
        <v>25</v>
      </c>
      <c r="F665" s="4" t="s">
        <v>25</v>
      </c>
      <c r="G665" s="4" t="s">
        <v>25</v>
      </c>
      <c r="H665" s="4" t="s">
        <v>25</v>
      </c>
      <c r="I665" s="5">
        <v>44593</v>
      </c>
      <c r="J665" s="6">
        <v>0</v>
      </c>
      <c r="K665" s="6">
        <v>0</v>
      </c>
      <c r="L665" s="6">
        <v>1139.3879999999999</v>
      </c>
      <c r="M665" s="6">
        <v>1139.3879999999999</v>
      </c>
      <c r="N665" s="6">
        <v>1139.3879999999999</v>
      </c>
      <c r="O665" s="6">
        <v>1139.3879999999999</v>
      </c>
      <c r="P665" s="6">
        <v>1050</v>
      </c>
      <c r="Q665" s="4" t="s">
        <v>26</v>
      </c>
      <c r="R665" s="4">
        <v>0</v>
      </c>
      <c r="S665" s="6">
        <v>0</v>
      </c>
      <c r="T665" s="6">
        <v>44</v>
      </c>
      <c r="U665" s="6">
        <v>81</v>
      </c>
      <c r="V665" s="6">
        <f>IF(ISERROR(VLOOKUP($S$665,'TAR FIN'!$A$1:$O$85,15,0)),0,VLOOKUP($S$665,'TAR FIN'!$A$1:$O$85,15,0))</f>
        <v>0</v>
      </c>
      <c r="W665" s="6">
        <f>IF(ISERROR(VLOOKUP($T$665,'TAR FIN'!$A$1:$O$85,15,0)),0,VLOOKUP($T$665,'TAR FIN'!$A$1:$O$85,15,0))</f>
        <v>273.69</v>
      </c>
      <c r="X665" s="6">
        <f>IF(ISERROR(VLOOKUP($U$665,'TAR FIN'!$A$1:$O$85,15,0)),0,VLOOKUP($U$665,'TAR FIN'!$A$1:$O$85,15,0))</f>
        <v>263.29000000000002</v>
      </c>
      <c r="Y665" s="6"/>
      <c r="Z665" s="6">
        <f ca="1">('TUSD BE'!$AM$48+'TUSD BF'!$AM$48+'TUSD CVA'!$AM$48)*1</f>
        <v>320.1054038964063</v>
      </c>
      <c r="AA665" s="6">
        <f>('TE BE'!$AA$38+'TE BF'!$AA$38+'TE CVA'!$AA$38)*1</f>
        <v>210.64397598313801</v>
      </c>
      <c r="AB665" s="6">
        <f>$K$665*$V$665</f>
        <v>0</v>
      </c>
      <c r="AC665" s="6">
        <f>$M$665*$W$665</f>
        <v>311839.10171999998</v>
      </c>
      <c r="AD665" s="6">
        <f>$O$665*$X$665</f>
        <v>299989.46652000002</v>
      </c>
      <c r="AE665" s="6">
        <f>$K$665*$Y$665</f>
        <v>0</v>
      </c>
      <c r="AF665" s="6">
        <f ca="1">$M$665*$Z$665</f>
        <v>364724.25593471853</v>
      </c>
      <c r="AG665" s="6">
        <f>$O$665*$AA$665</f>
        <v>240005.21850747563</v>
      </c>
    </row>
    <row r="666" spans="1:33" ht="11.25" customHeight="1" x14ac:dyDescent="0.25">
      <c r="A666" s="4" t="s">
        <v>28</v>
      </c>
      <c r="B666" s="4" t="s">
        <v>39</v>
      </c>
      <c r="C666" s="4" t="s">
        <v>23</v>
      </c>
      <c r="D666" s="4" t="s">
        <v>42</v>
      </c>
      <c r="E666" s="4" t="s">
        <v>25</v>
      </c>
      <c r="F666" s="4" t="s">
        <v>25</v>
      </c>
      <c r="G666" s="4" t="s">
        <v>25</v>
      </c>
      <c r="H666" s="4" t="s">
        <v>25</v>
      </c>
      <c r="I666" s="5">
        <v>44593</v>
      </c>
      <c r="J666" s="6">
        <v>0</v>
      </c>
      <c r="K666" s="6">
        <v>0</v>
      </c>
      <c r="L666" s="6">
        <v>52.466000000000001</v>
      </c>
      <c r="M666" s="6">
        <v>52.466000000000001</v>
      </c>
      <c r="N666" s="6">
        <v>52.466000000000001</v>
      </c>
      <c r="O666" s="6">
        <v>52.466000000000001</v>
      </c>
      <c r="P666" s="6">
        <v>84</v>
      </c>
      <c r="Q666" s="4" t="s">
        <v>26</v>
      </c>
      <c r="R666" s="4">
        <v>0</v>
      </c>
      <c r="S666" s="6">
        <v>0</v>
      </c>
      <c r="T666" s="6">
        <v>44</v>
      </c>
      <c r="U666" s="6">
        <v>81</v>
      </c>
      <c r="V666" s="6">
        <f>IF(ISERROR(VLOOKUP($S$666,'TAR FIN'!$A$1:$O$85,15,0)),0,VLOOKUP($S$666,'TAR FIN'!$A$1:$O$85,15,0))</f>
        <v>0</v>
      </c>
      <c r="W666" s="6">
        <f>IF(ISERROR(VLOOKUP($T$666,'TAR FIN'!$A$1:$O$85,15,0)),0,VLOOKUP($T$666,'TAR FIN'!$A$1:$O$85,15,0))</f>
        <v>273.69</v>
      </c>
      <c r="X666" s="6">
        <f>IF(ISERROR(VLOOKUP($U$666,'TAR FIN'!$A$1:$O$85,15,0)),0,VLOOKUP($U$666,'TAR FIN'!$A$1:$O$85,15,0))</f>
        <v>263.29000000000002</v>
      </c>
      <c r="Y666" s="6"/>
      <c r="Z666" s="6">
        <f ca="1">('TUSD BE'!$AM$48+'TUSD BF'!$AM$48+'TUSD CVA'!$AM$48)*1</f>
        <v>320.1054038964063</v>
      </c>
      <c r="AA666" s="6">
        <f>('TE BE'!$AA$38+'TE BF'!$AA$38+'TE CVA'!$AA$38)*1</f>
        <v>210.64397598313801</v>
      </c>
      <c r="AB666" s="6">
        <f>$K$666*$V$666</f>
        <v>0</v>
      </c>
      <c r="AC666" s="6">
        <f>$M$666*$W$666</f>
        <v>14359.419540000001</v>
      </c>
      <c r="AD666" s="6">
        <f>$O$666*$X$666</f>
        <v>13813.773140000001</v>
      </c>
      <c r="AE666" s="6">
        <f>$K$666*$Y$666</f>
        <v>0</v>
      </c>
      <c r="AF666" s="6">
        <f ca="1">$M$666*$Z$666</f>
        <v>16794.650120828854</v>
      </c>
      <c r="AG666" s="6">
        <f>$O$666*$AA$666</f>
        <v>11051.646843931319</v>
      </c>
    </row>
    <row r="667" spans="1:33" ht="11.25" customHeight="1" x14ac:dyDescent="0.25">
      <c r="A667" s="4" t="s">
        <v>21</v>
      </c>
      <c r="B667" s="4" t="s">
        <v>39</v>
      </c>
      <c r="C667" s="4" t="s">
        <v>23</v>
      </c>
      <c r="D667" s="4" t="s">
        <v>42</v>
      </c>
      <c r="E667" s="4" t="s">
        <v>25</v>
      </c>
      <c r="F667" s="4" t="s">
        <v>25</v>
      </c>
      <c r="G667" s="4" t="s">
        <v>25</v>
      </c>
      <c r="H667" s="4" t="s">
        <v>25</v>
      </c>
      <c r="I667" s="5">
        <v>44621</v>
      </c>
      <c r="J667" s="6">
        <v>0</v>
      </c>
      <c r="K667" s="6">
        <v>0</v>
      </c>
      <c r="L667" s="6">
        <v>1257.308</v>
      </c>
      <c r="M667" s="6">
        <v>1257.308</v>
      </c>
      <c r="N667" s="6">
        <v>1257.308</v>
      </c>
      <c r="O667" s="6">
        <v>1257.308</v>
      </c>
      <c r="P667" s="6">
        <v>1047</v>
      </c>
      <c r="Q667" s="4" t="s">
        <v>26</v>
      </c>
      <c r="R667" s="4">
        <v>0</v>
      </c>
      <c r="S667" s="6">
        <v>0</v>
      </c>
      <c r="T667" s="6">
        <v>44</v>
      </c>
      <c r="U667" s="6">
        <v>81</v>
      </c>
      <c r="V667" s="6">
        <f>IF(ISERROR(VLOOKUP($S$667,'TAR FIN'!$A$1:$O$85,15,0)),0,VLOOKUP($S$667,'TAR FIN'!$A$1:$O$85,15,0))</f>
        <v>0</v>
      </c>
      <c r="W667" s="6">
        <f>IF(ISERROR(VLOOKUP($T$667,'TAR FIN'!$A$1:$O$85,15,0)),0,VLOOKUP($T$667,'TAR FIN'!$A$1:$O$85,15,0))</f>
        <v>273.69</v>
      </c>
      <c r="X667" s="6">
        <f>IF(ISERROR(VLOOKUP($U$667,'TAR FIN'!$A$1:$O$85,15,0)),0,VLOOKUP($U$667,'TAR FIN'!$A$1:$O$85,15,0))</f>
        <v>263.29000000000002</v>
      </c>
      <c r="Y667" s="6"/>
      <c r="Z667" s="6">
        <f ca="1">('TUSD BE'!$AM$48+'TUSD BF'!$AM$48+'TUSD CVA'!$AM$48)*1</f>
        <v>320.1054038964063</v>
      </c>
      <c r="AA667" s="6">
        <f>('TE BE'!$AA$38+'TE BF'!$AA$38+'TE CVA'!$AA$38)*1</f>
        <v>210.64397598313801</v>
      </c>
      <c r="AB667" s="6">
        <f>$K$667*$V$667</f>
        <v>0</v>
      </c>
      <c r="AC667" s="6">
        <f>$M$667*$W$667</f>
        <v>344112.62651999999</v>
      </c>
      <c r="AD667" s="6">
        <f>$O$667*$X$667</f>
        <v>331036.62332000001</v>
      </c>
      <c r="AE667" s="6">
        <f>$K$667*$Y$667</f>
        <v>0</v>
      </c>
      <c r="AF667" s="6">
        <f ca="1">$M$667*$Z$667</f>
        <v>402471.0851621828</v>
      </c>
      <c r="AG667" s="6">
        <f>$O$667*$AA$667</f>
        <v>264844.35615540727</v>
      </c>
    </row>
    <row r="668" spans="1:33" ht="11.25" customHeight="1" x14ac:dyDescent="0.25">
      <c r="A668" s="4" t="s">
        <v>28</v>
      </c>
      <c r="B668" s="4" t="s">
        <v>39</v>
      </c>
      <c r="C668" s="4" t="s">
        <v>23</v>
      </c>
      <c r="D668" s="4" t="s">
        <v>42</v>
      </c>
      <c r="E668" s="4" t="s">
        <v>25</v>
      </c>
      <c r="F668" s="4" t="s">
        <v>25</v>
      </c>
      <c r="G668" s="4" t="s">
        <v>25</v>
      </c>
      <c r="H668" s="4" t="s">
        <v>25</v>
      </c>
      <c r="I668" s="5">
        <v>44621</v>
      </c>
      <c r="J668" s="6">
        <v>0</v>
      </c>
      <c r="K668" s="6">
        <v>0</v>
      </c>
      <c r="L668" s="6">
        <v>59.981000000000002</v>
      </c>
      <c r="M668" s="6">
        <v>59.981000000000002</v>
      </c>
      <c r="N668" s="6">
        <v>59.981000000000002</v>
      </c>
      <c r="O668" s="6">
        <v>59.981000000000002</v>
      </c>
      <c r="P668" s="6">
        <v>91</v>
      </c>
      <c r="Q668" s="4" t="s">
        <v>26</v>
      </c>
      <c r="R668" s="4">
        <v>0</v>
      </c>
      <c r="S668" s="6">
        <v>0</v>
      </c>
      <c r="T668" s="6">
        <v>44</v>
      </c>
      <c r="U668" s="6">
        <v>81</v>
      </c>
      <c r="V668" s="6">
        <f>IF(ISERROR(VLOOKUP($S$668,'TAR FIN'!$A$1:$O$85,15,0)),0,VLOOKUP($S$668,'TAR FIN'!$A$1:$O$85,15,0))</f>
        <v>0</v>
      </c>
      <c r="W668" s="6">
        <f>IF(ISERROR(VLOOKUP($T$668,'TAR FIN'!$A$1:$O$85,15,0)),0,VLOOKUP($T$668,'TAR FIN'!$A$1:$O$85,15,0))</f>
        <v>273.69</v>
      </c>
      <c r="X668" s="6">
        <f>IF(ISERROR(VLOOKUP($U$668,'TAR FIN'!$A$1:$O$85,15,0)),0,VLOOKUP($U$668,'TAR FIN'!$A$1:$O$85,15,0))</f>
        <v>263.29000000000002</v>
      </c>
      <c r="Y668" s="6"/>
      <c r="Z668" s="6">
        <f ca="1">('TUSD BE'!$AM$48+'TUSD BF'!$AM$48+'TUSD CVA'!$AM$48)*1</f>
        <v>320.1054038964063</v>
      </c>
      <c r="AA668" s="6">
        <f>('TE BE'!$AA$38+'TE BF'!$AA$38+'TE CVA'!$AA$38)*1</f>
        <v>210.64397598313801</v>
      </c>
      <c r="AB668" s="6">
        <f>$K$668*$V$668</f>
        <v>0</v>
      </c>
      <c r="AC668" s="6">
        <f>$M$668*$W$668</f>
        <v>16416.19989</v>
      </c>
      <c r="AD668" s="6">
        <f>$O$668*$X$668</f>
        <v>15792.397490000001</v>
      </c>
      <c r="AE668" s="6">
        <f>$K$668*$Y$668</f>
        <v>0</v>
      </c>
      <c r="AF668" s="6">
        <f ca="1">$M$668*$Z$668</f>
        <v>19200.242231110347</v>
      </c>
      <c r="AG668" s="6">
        <f>$O$668*$AA$668</f>
        <v>12634.636323444602</v>
      </c>
    </row>
    <row r="669" spans="1:33" ht="11.25" customHeight="1" x14ac:dyDescent="0.25">
      <c r="A669" s="4" t="s">
        <v>21</v>
      </c>
      <c r="B669" s="4" t="s">
        <v>39</v>
      </c>
      <c r="C669" s="4" t="s">
        <v>23</v>
      </c>
      <c r="D669" s="4" t="s">
        <v>42</v>
      </c>
      <c r="E669" s="4" t="s">
        <v>25</v>
      </c>
      <c r="F669" s="4" t="s">
        <v>25</v>
      </c>
      <c r="G669" s="4" t="s">
        <v>25</v>
      </c>
      <c r="H669" s="4" t="s">
        <v>25</v>
      </c>
      <c r="I669" s="5">
        <v>44652</v>
      </c>
      <c r="J669" s="6">
        <v>0</v>
      </c>
      <c r="K669" s="6">
        <v>0</v>
      </c>
      <c r="L669" s="6">
        <v>1256.636</v>
      </c>
      <c r="M669" s="6">
        <v>1256.636</v>
      </c>
      <c r="N669" s="6">
        <v>1256.636</v>
      </c>
      <c r="O669" s="6">
        <v>1256.636</v>
      </c>
      <c r="P669" s="6">
        <v>1055</v>
      </c>
      <c r="Q669" s="4" t="s">
        <v>26</v>
      </c>
      <c r="R669" s="4">
        <v>0</v>
      </c>
      <c r="S669" s="6">
        <v>0</v>
      </c>
      <c r="T669" s="6">
        <v>44</v>
      </c>
      <c r="U669" s="6">
        <v>81</v>
      </c>
      <c r="V669" s="6">
        <f>IF(ISERROR(VLOOKUP($S$669,'TAR FIN'!$A$1:$O$85,15,0)),0,VLOOKUP($S$669,'TAR FIN'!$A$1:$O$85,15,0))</f>
        <v>0</v>
      </c>
      <c r="W669" s="6">
        <f>IF(ISERROR(VLOOKUP($T$669,'TAR FIN'!$A$1:$O$85,15,0)),0,VLOOKUP($T$669,'TAR FIN'!$A$1:$O$85,15,0))</f>
        <v>273.69</v>
      </c>
      <c r="X669" s="6">
        <f>IF(ISERROR(VLOOKUP($U$669,'TAR FIN'!$A$1:$O$85,15,0)),0,VLOOKUP($U$669,'TAR FIN'!$A$1:$O$85,15,0))</f>
        <v>263.29000000000002</v>
      </c>
      <c r="Y669" s="6"/>
      <c r="Z669" s="6">
        <f ca="1">('TUSD BE'!$AM$48+'TUSD BF'!$AM$48+'TUSD CVA'!$AM$48)*1</f>
        <v>320.1054038964063</v>
      </c>
      <c r="AA669" s="6">
        <f>('TE BE'!$AA$38+'TE BF'!$AA$38+'TE CVA'!$AA$38)*1</f>
        <v>210.64397598313801</v>
      </c>
      <c r="AB669" s="6">
        <f>$K$669*$V$669</f>
        <v>0</v>
      </c>
      <c r="AC669" s="6">
        <f>$M$669*$W$669</f>
        <v>343928.70684</v>
      </c>
      <c r="AD669" s="6">
        <f>$O$669*$X$669</f>
        <v>330859.69244000001</v>
      </c>
      <c r="AE669" s="6">
        <f>$K$669*$Y$669</f>
        <v>0</v>
      </c>
      <c r="AF669" s="6">
        <f ca="1">$M$669*$Z$669</f>
        <v>402255.97433076444</v>
      </c>
      <c r="AG669" s="6">
        <f>$O$669*$AA$669</f>
        <v>264702.80340354663</v>
      </c>
    </row>
    <row r="670" spans="1:33" ht="11.25" customHeight="1" x14ac:dyDescent="0.25">
      <c r="A670" s="4" t="s">
        <v>21</v>
      </c>
      <c r="B670" s="4" t="s">
        <v>39</v>
      </c>
      <c r="C670" s="4" t="s">
        <v>23</v>
      </c>
      <c r="D670" s="4" t="s">
        <v>52</v>
      </c>
      <c r="E670" s="4" t="s">
        <v>25</v>
      </c>
      <c r="F670" s="4" t="s">
        <v>25</v>
      </c>
      <c r="G670" s="4" t="s">
        <v>25</v>
      </c>
      <c r="H670" s="4" t="s">
        <v>25</v>
      </c>
      <c r="I670" s="5">
        <v>44317</v>
      </c>
      <c r="J670" s="6">
        <v>0</v>
      </c>
      <c r="K670" s="6">
        <v>0</v>
      </c>
      <c r="L670" s="6">
        <v>14.512</v>
      </c>
      <c r="M670" s="6">
        <v>14.512</v>
      </c>
      <c r="N670" s="6">
        <v>14.512</v>
      </c>
      <c r="O670" s="6">
        <v>14.512</v>
      </c>
      <c r="P670" s="6">
        <v>7</v>
      </c>
      <c r="Q670" s="4" t="s">
        <v>26</v>
      </c>
      <c r="R670" s="4">
        <v>0</v>
      </c>
      <c r="S670" s="6">
        <v>0</v>
      </c>
      <c r="T670" s="6">
        <v>44</v>
      </c>
      <c r="U670" s="6">
        <v>81</v>
      </c>
      <c r="V670" s="6">
        <f>IF(ISERROR(VLOOKUP($S$670,'TAR FIN'!$A$1:$O$85,15,0)),0,VLOOKUP($S$670,'TAR FIN'!$A$1:$O$85,15,0))</f>
        <v>0</v>
      </c>
      <c r="W670" s="6">
        <f>IF(ISERROR(VLOOKUP($T$670,'TAR FIN'!$A$1:$O$85,15,0)),0,VLOOKUP($T$670,'TAR FIN'!$A$1:$O$85,15,0))</f>
        <v>273.69</v>
      </c>
      <c r="X670" s="6">
        <f>IF(ISERROR(VLOOKUP($U$670,'TAR FIN'!$A$1:$O$85,15,0)),0,VLOOKUP($U$670,'TAR FIN'!$A$1:$O$85,15,0))</f>
        <v>263.29000000000002</v>
      </c>
      <c r="Y670" s="6"/>
      <c r="Z670" s="6">
        <f ca="1">('TUSD BE'!$AM$48+'TUSD BF'!$AM$48+'TUSD CVA'!$AM$48)*1</f>
        <v>320.1054038964063</v>
      </c>
      <c r="AA670" s="6">
        <f>('TE BE'!$AA$38+'TE BF'!$AA$38+'TE CVA'!$AA$38)*1</f>
        <v>210.64397598313801</v>
      </c>
      <c r="AB670" s="6">
        <f>$K$670*$V$670</f>
        <v>0</v>
      </c>
      <c r="AC670" s="6">
        <f>$M$670*$W$670</f>
        <v>3971.78928</v>
      </c>
      <c r="AD670" s="6">
        <f>$O$670*$X$670</f>
        <v>3820.8644800000006</v>
      </c>
      <c r="AE670" s="6">
        <f>$K$670*$Y$670</f>
        <v>0</v>
      </c>
      <c r="AF670" s="6">
        <f ca="1">$M$670*$Z$670</f>
        <v>4645.3696213446483</v>
      </c>
      <c r="AG670" s="6">
        <f>$O$670*$AA$670</f>
        <v>3056.8653794672987</v>
      </c>
    </row>
    <row r="671" spans="1:33" ht="11.25" customHeight="1" x14ac:dyDescent="0.25">
      <c r="A671" s="4" t="s">
        <v>21</v>
      </c>
      <c r="B671" s="4" t="s">
        <v>39</v>
      </c>
      <c r="C671" s="4" t="s">
        <v>23</v>
      </c>
      <c r="D671" s="4" t="s">
        <v>52</v>
      </c>
      <c r="E671" s="4" t="s">
        <v>25</v>
      </c>
      <c r="F671" s="4" t="s">
        <v>25</v>
      </c>
      <c r="G671" s="4" t="s">
        <v>25</v>
      </c>
      <c r="H671" s="4" t="s">
        <v>25</v>
      </c>
      <c r="I671" s="5">
        <v>44348</v>
      </c>
      <c r="J671" s="6">
        <v>0</v>
      </c>
      <c r="K671" s="6">
        <v>0</v>
      </c>
      <c r="L671" s="6">
        <v>15.015000000000001</v>
      </c>
      <c r="M671" s="6">
        <v>15.015000000000001</v>
      </c>
      <c r="N671" s="6">
        <v>15.015000000000001</v>
      </c>
      <c r="O671" s="6">
        <v>15.015000000000001</v>
      </c>
      <c r="P671" s="6">
        <v>7</v>
      </c>
      <c r="Q671" s="4" t="s">
        <v>26</v>
      </c>
      <c r="R671" s="4">
        <v>0</v>
      </c>
      <c r="S671" s="6">
        <v>0</v>
      </c>
      <c r="T671" s="6">
        <v>44</v>
      </c>
      <c r="U671" s="6">
        <v>81</v>
      </c>
      <c r="V671" s="6">
        <f>IF(ISERROR(VLOOKUP($S$671,'TAR FIN'!$A$1:$O$85,15,0)),0,VLOOKUP($S$671,'TAR FIN'!$A$1:$O$85,15,0))</f>
        <v>0</v>
      </c>
      <c r="W671" s="6">
        <f>IF(ISERROR(VLOOKUP($T$671,'TAR FIN'!$A$1:$O$85,15,0)),0,VLOOKUP($T$671,'TAR FIN'!$A$1:$O$85,15,0))</f>
        <v>273.69</v>
      </c>
      <c r="X671" s="6">
        <f>IF(ISERROR(VLOOKUP($U$671,'TAR FIN'!$A$1:$O$85,15,0)),0,VLOOKUP($U$671,'TAR FIN'!$A$1:$O$85,15,0))</f>
        <v>263.29000000000002</v>
      </c>
      <c r="Y671" s="6"/>
      <c r="Z671" s="6">
        <f ca="1">('TUSD BE'!$AM$48+'TUSD BF'!$AM$48+'TUSD CVA'!$AM$48)*1</f>
        <v>320.1054038964063</v>
      </c>
      <c r="AA671" s="6">
        <f>('TE BE'!$AA$38+'TE BF'!$AA$38+'TE CVA'!$AA$38)*1</f>
        <v>210.64397598313801</v>
      </c>
      <c r="AB671" s="6">
        <f>$K$671*$V$671</f>
        <v>0</v>
      </c>
      <c r="AC671" s="6">
        <f>$M$671*$W$671</f>
        <v>4109.4553500000002</v>
      </c>
      <c r="AD671" s="6">
        <f>$O$671*$X$671</f>
        <v>3953.2993500000002</v>
      </c>
      <c r="AE671" s="6">
        <f>$K$671*$Y$671</f>
        <v>0</v>
      </c>
      <c r="AF671" s="6">
        <f ca="1">$M$671*$Z$671</f>
        <v>4806.3826395045407</v>
      </c>
      <c r="AG671" s="6">
        <f>$O$671*$AA$671</f>
        <v>3162.8192993868174</v>
      </c>
    </row>
    <row r="672" spans="1:33" ht="11.25" customHeight="1" x14ac:dyDescent="0.25">
      <c r="A672" s="4" t="s">
        <v>21</v>
      </c>
      <c r="B672" s="4" t="s">
        <v>39</v>
      </c>
      <c r="C672" s="4" t="s">
        <v>23</v>
      </c>
      <c r="D672" s="4" t="s">
        <v>52</v>
      </c>
      <c r="E672" s="4" t="s">
        <v>25</v>
      </c>
      <c r="F672" s="4" t="s">
        <v>25</v>
      </c>
      <c r="G672" s="4" t="s">
        <v>25</v>
      </c>
      <c r="H672" s="4" t="s">
        <v>25</v>
      </c>
      <c r="I672" s="5">
        <v>44378</v>
      </c>
      <c r="J672" s="6">
        <v>0</v>
      </c>
      <c r="K672" s="6">
        <v>0</v>
      </c>
      <c r="L672" s="6">
        <v>12.273999999999999</v>
      </c>
      <c r="M672" s="6">
        <v>12.273999999999999</v>
      </c>
      <c r="N672" s="6">
        <v>12.273999999999999</v>
      </c>
      <c r="O672" s="6">
        <v>12.273999999999999</v>
      </c>
      <c r="P672" s="6">
        <v>7</v>
      </c>
      <c r="Q672" s="4" t="s">
        <v>26</v>
      </c>
      <c r="R672" s="4">
        <v>0</v>
      </c>
      <c r="S672" s="6">
        <v>0</v>
      </c>
      <c r="T672" s="6">
        <v>44</v>
      </c>
      <c r="U672" s="6">
        <v>81</v>
      </c>
      <c r="V672" s="6">
        <f>IF(ISERROR(VLOOKUP($S$672,'TAR FIN'!$A$1:$O$85,15,0)),0,VLOOKUP($S$672,'TAR FIN'!$A$1:$O$85,15,0))</f>
        <v>0</v>
      </c>
      <c r="W672" s="6">
        <f>IF(ISERROR(VLOOKUP($T$672,'TAR FIN'!$A$1:$O$85,15,0)),0,VLOOKUP($T$672,'TAR FIN'!$A$1:$O$85,15,0))</f>
        <v>273.69</v>
      </c>
      <c r="X672" s="6">
        <f>IF(ISERROR(VLOOKUP($U$672,'TAR FIN'!$A$1:$O$85,15,0)),0,VLOOKUP($U$672,'TAR FIN'!$A$1:$O$85,15,0))</f>
        <v>263.29000000000002</v>
      </c>
      <c r="Y672" s="6"/>
      <c r="Z672" s="6">
        <f ca="1">('TUSD BE'!$AM$48+'TUSD BF'!$AM$48+'TUSD CVA'!$AM$48)*1</f>
        <v>320.1054038964063</v>
      </c>
      <c r="AA672" s="6">
        <f>('TE BE'!$AA$38+'TE BF'!$AA$38+'TE CVA'!$AA$38)*1</f>
        <v>210.64397598313801</v>
      </c>
      <c r="AB672" s="6">
        <f>$K$672*$V$672</f>
        <v>0</v>
      </c>
      <c r="AC672" s="6">
        <f>$M$672*$W$672</f>
        <v>3359.2710599999996</v>
      </c>
      <c r="AD672" s="6">
        <f>$O$672*$X$672</f>
        <v>3231.6214599999998</v>
      </c>
      <c r="AE672" s="6">
        <f>$K$672*$Y$672</f>
        <v>0</v>
      </c>
      <c r="AF672" s="6">
        <f ca="1">$M$672*$Z$672</f>
        <v>3928.9737274244908</v>
      </c>
      <c r="AG672" s="6">
        <f>$O$672*$AA$672</f>
        <v>2585.4441612170358</v>
      </c>
    </row>
    <row r="673" spans="1:33" ht="11.25" customHeight="1" x14ac:dyDescent="0.25">
      <c r="A673" s="4" t="s">
        <v>21</v>
      </c>
      <c r="B673" s="4" t="s">
        <v>39</v>
      </c>
      <c r="C673" s="4" t="s">
        <v>23</v>
      </c>
      <c r="D673" s="4" t="s">
        <v>52</v>
      </c>
      <c r="E673" s="4" t="s">
        <v>25</v>
      </c>
      <c r="F673" s="4" t="s">
        <v>25</v>
      </c>
      <c r="G673" s="4" t="s">
        <v>25</v>
      </c>
      <c r="H673" s="4" t="s">
        <v>25</v>
      </c>
      <c r="I673" s="5">
        <v>44409</v>
      </c>
      <c r="J673" s="6">
        <v>0</v>
      </c>
      <c r="K673" s="6">
        <v>0</v>
      </c>
      <c r="L673" s="6">
        <v>11.89</v>
      </c>
      <c r="M673" s="6">
        <v>11.89</v>
      </c>
      <c r="N673" s="6">
        <v>11.89</v>
      </c>
      <c r="O673" s="6">
        <v>11.89</v>
      </c>
      <c r="P673" s="6">
        <v>7</v>
      </c>
      <c r="Q673" s="4" t="s">
        <v>26</v>
      </c>
      <c r="R673" s="4">
        <v>0</v>
      </c>
      <c r="S673" s="6">
        <v>0</v>
      </c>
      <c r="T673" s="6">
        <v>44</v>
      </c>
      <c r="U673" s="6">
        <v>81</v>
      </c>
      <c r="V673" s="6">
        <f>IF(ISERROR(VLOOKUP($S$673,'TAR FIN'!$A$1:$O$85,15,0)),0,VLOOKUP($S$673,'TAR FIN'!$A$1:$O$85,15,0))</f>
        <v>0</v>
      </c>
      <c r="W673" s="6">
        <f>IF(ISERROR(VLOOKUP($T$673,'TAR FIN'!$A$1:$O$85,15,0)),0,VLOOKUP($T$673,'TAR FIN'!$A$1:$O$85,15,0))</f>
        <v>273.69</v>
      </c>
      <c r="X673" s="6">
        <f>IF(ISERROR(VLOOKUP($U$673,'TAR FIN'!$A$1:$O$85,15,0)),0,VLOOKUP($U$673,'TAR FIN'!$A$1:$O$85,15,0))</f>
        <v>263.29000000000002</v>
      </c>
      <c r="Y673" s="6"/>
      <c r="Z673" s="6">
        <f ca="1">('TUSD BE'!$AM$48+'TUSD BF'!$AM$48+'TUSD CVA'!$AM$48)*1</f>
        <v>320.1054038964063</v>
      </c>
      <c r="AA673" s="6">
        <f>('TE BE'!$AA$38+'TE BF'!$AA$38+'TE CVA'!$AA$38)*1</f>
        <v>210.64397598313801</v>
      </c>
      <c r="AB673" s="6">
        <f>$K$673*$V$673</f>
        <v>0</v>
      </c>
      <c r="AC673" s="6">
        <f>$M$673*$W$673</f>
        <v>3254.1741000000002</v>
      </c>
      <c r="AD673" s="6">
        <f>$O$673*$X$673</f>
        <v>3130.5181000000002</v>
      </c>
      <c r="AE673" s="6">
        <f>$K$673*$Y$673</f>
        <v>0</v>
      </c>
      <c r="AF673" s="6">
        <f ca="1">$M$673*$Z$673</f>
        <v>3806.0532523282709</v>
      </c>
      <c r="AG673" s="6">
        <f>$O$673*$AA$673</f>
        <v>2504.5568744395109</v>
      </c>
    </row>
    <row r="674" spans="1:33" ht="11.25" customHeight="1" x14ac:dyDescent="0.25">
      <c r="A674" s="4" t="s">
        <v>21</v>
      </c>
      <c r="B674" s="4" t="s">
        <v>39</v>
      </c>
      <c r="C674" s="4" t="s">
        <v>23</v>
      </c>
      <c r="D674" s="4" t="s">
        <v>52</v>
      </c>
      <c r="E674" s="4" t="s">
        <v>25</v>
      </c>
      <c r="F674" s="4" t="s">
        <v>25</v>
      </c>
      <c r="G674" s="4" t="s">
        <v>25</v>
      </c>
      <c r="H674" s="4" t="s">
        <v>25</v>
      </c>
      <c r="I674" s="5">
        <v>44440</v>
      </c>
      <c r="J674" s="6">
        <v>0</v>
      </c>
      <c r="K674" s="6">
        <v>0</v>
      </c>
      <c r="L674" s="6">
        <v>16.198</v>
      </c>
      <c r="M674" s="6">
        <v>16.198</v>
      </c>
      <c r="N674" s="6">
        <v>16.198</v>
      </c>
      <c r="O674" s="6">
        <v>16.198</v>
      </c>
      <c r="P674" s="6">
        <v>7</v>
      </c>
      <c r="Q674" s="4" t="s">
        <v>26</v>
      </c>
      <c r="R674" s="4">
        <v>0</v>
      </c>
      <c r="S674" s="6">
        <v>0</v>
      </c>
      <c r="T674" s="6">
        <v>44</v>
      </c>
      <c r="U674" s="6">
        <v>81</v>
      </c>
      <c r="V674" s="6">
        <f>IF(ISERROR(VLOOKUP($S$674,'TAR FIN'!$A$1:$O$85,15,0)),0,VLOOKUP($S$674,'TAR FIN'!$A$1:$O$85,15,0))</f>
        <v>0</v>
      </c>
      <c r="W674" s="6">
        <f>IF(ISERROR(VLOOKUP($T$674,'TAR FIN'!$A$1:$O$85,15,0)),0,VLOOKUP($T$674,'TAR FIN'!$A$1:$O$85,15,0))</f>
        <v>273.69</v>
      </c>
      <c r="X674" s="6">
        <f>IF(ISERROR(VLOOKUP($U$674,'TAR FIN'!$A$1:$O$85,15,0)),0,VLOOKUP($U$674,'TAR FIN'!$A$1:$O$85,15,0))</f>
        <v>263.29000000000002</v>
      </c>
      <c r="Y674" s="6"/>
      <c r="Z674" s="6">
        <f ca="1">('TUSD BE'!$AM$48+'TUSD BF'!$AM$48+'TUSD CVA'!$AM$48)*1</f>
        <v>320.1054038964063</v>
      </c>
      <c r="AA674" s="6">
        <f>('TE BE'!$AA$38+'TE BF'!$AA$38+'TE CVA'!$AA$38)*1</f>
        <v>210.64397598313801</v>
      </c>
      <c r="AB674" s="6">
        <f>$K$674*$V$674</f>
        <v>0</v>
      </c>
      <c r="AC674" s="6">
        <f>$M$674*$W$674</f>
        <v>4433.2306200000003</v>
      </c>
      <c r="AD674" s="6">
        <f>$O$674*$X$674</f>
        <v>4264.77142</v>
      </c>
      <c r="AE674" s="6">
        <f>$K$674*$Y$674</f>
        <v>0</v>
      </c>
      <c r="AF674" s="6">
        <f ca="1">$M$674*$Z$674</f>
        <v>5185.067332313989</v>
      </c>
      <c r="AG674" s="6">
        <f>$O$674*$AA$674</f>
        <v>3412.0111229748695</v>
      </c>
    </row>
    <row r="675" spans="1:33" ht="11.25" customHeight="1" x14ac:dyDescent="0.25">
      <c r="A675" s="4" t="s">
        <v>21</v>
      </c>
      <c r="B675" s="4" t="s">
        <v>39</v>
      </c>
      <c r="C675" s="4" t="s">
        <v>23</v>
      </c>
      <c r="D675" s="4" t="s">
        <v>52</v>
      </c>
      <c r="E675" s="4" t="s">
        <v>25</v>
      </c>
      <c r="F675" s="4" t="s">
        <v>25</v>
      </c>
      <c r="G675" s="4" t="s">
        <v>25</v>
      </c>
      <c r="H675" s="4" t="s">
        <v>25</v>
      </c>
      <c r="I675" s="5">
        <v>44470</v>
      </c>
      <c r="J675" s="6">
        <v>0</v>
      </c>
      <c r="K675" s="6">
        <v>0</v>
      </c>
      <c r="L675" s="6">
        <v>12.519</v>
      </c>
      <c r="M675" s="6">
        <v>12.519</v>
      </c>
      <c r="N675" s="6">
        <v>12.519</v>
      </c>
      <c r="O675" s="6">
        <v>12.519</v>
      </c>
      <c r="P675" s="6">
        <v>7</v>
      </c>
      <c r="Q675" s="4" t="s">
        <v>26</v>
      </c>
      <c r="R675" s="4">
        <v>0</v>
      </c>
      <c r="S675" s="6">
        <v>0</v>
      </c>
      <c r="T675" s="6">
        <v>44</v>
      </c>
      <c r="U675" s="6">
        <v>81</v>
      </c>
      <c r="V675" s="6">
        <f>IF(ISERROR(VLOOKUP($S$675,'TAR FIN'!$A$1:$O$85,15,0)),0,VLOOKUP($S$675,'TAR FIN'!$A$1:$O$85,15,0))</f>
        <v>0</v>
      </c>
      <c r="W675" s="6">
        <f>IF(ISERROR(VLOOKUP($T$675,'TAR FIN'!$A$1:$O$85,15,0)),0,VLOOKUP($T$675,'TAR FIN'!$A$1:$O$85,15,0))</f>
        <v>273.69</v>
      </c>
      <c r="X675" s="6">
        <f>IF(ISERROR(VLOOKUP($U$675,'TAR FIN'!$A$1:$O$85,15,0)),0,VLOOKUP($U$675,'TAR FIN'!$A$1:$O$85,15,0))</f>
        <v>263.29000000000002</v>
      </c>
      <c r="Y675" s="6"/>
      <c r="Z675" s="6">
        <f ca="1">('TUSD BE'!$AM$48+'TUSD BF'!$AM$48+'TUSD CVA'!$AM$48)*1</f>
        <v>320.1054038964063</v>
      </c>
      <c r="AA675" s="6">
        <f>('TE BE'!$AA$38+'TE BF'!$AA$38+'TE CVA'!$AA$38)*1</f>
        <v>210.64397598313801</v>
      </c>
      <c r="AB675" s="6">
        <f>$K$675*$V$675</f>
        <v>0</v>
      </c>
      <c r="AC675" s="6">
        <f>$M$675*$W$675</f>
        <v>3426.3251100000002</v>
      </c>
      <c r="AD675" s="6">
        <f>$O$675*$X$675</f>
        <v>3296.1275100000003</v>
      </c>
      <c r="AE675" s="6">
        <f>$K$675*$Y$675</f>
        <v>0</v>
      </c>
      <c r="AF675" s="6">
        <f ca="1">$M$675*$Z$675</f>
        <v>4007.3995513791106</v>
      </c>
      <c r="AG675" s="6">
        <f>$O$675*$AA$675</f>
        <v>2637.0519353329046</v>
      </c>
    </row>
    <row r="676" spans="1:33" ht="11.25" customHeight="1" x14ac:dyDescent="0.25">
      <c r="A676" s="4" t="s">
        <v>21</v>
      </c>
      <c r="B676" s="4" t="s">
        <v>39</v>
      </c>
      <c r="C676" s="4" t="s">
        <v>23</v>
      </c>
      <c r="D676" s="4" t="s">
        <v>52</v>
      </c>
      <c r="E676" s="4" t="s">
        <v>25</v>
      </c>
      <c r="F676" s="4" t="s">
        <v>25</v>
      </c>
      <c r="G676" s="4" t="s">
        <v>25</v>
      </c>
      <c r="H676" s="4" t="s">
        <v>25</v>
      </c>
      <c r="I676" s="5">
        <v>44501</v>
      </c>
      <c r="J676" s="6">
        <v>0</v>
      </c>
      <c r="K676" s="6">
        <v>0</v>
      </c>
      <c r="L676" s="6">
        <v>13.663</v>
      </c>
      <c r="M676" s="6">
        <v>13.663</v>
      </c>
      <c r="N676" s="6">
        <v>13.663</v>
      </c>
      <c r="O676" s="6">
        <v>13.663</v>
      </c>
      <c r="P676" s="6">
        <v>7</v>
      </c>
      <c r="Q676" s="4" t="s">
        <v>26</v>
      </c>
      <c r="R676" s="4">
        <v>0</v>
      </c>
      <c r="S676" s="6">
        <v>0</v>
      </c>
      <c r="T676" s="6">
        <v>44</v>
      </c>
      <c r="U676" s="6">
        <v>81</v>
      </c>
      <c r="V676" s="6">
        <f>IF(ISERROR(VLOOKUP($S$676,'TAR FIN'!$A$1:$O$85,15,0)),0,VLOOKUP($S$676,'TAR FIN'!$A$1:$O$85,15,0))</f>
        <v>0</v>
      </c>
      <c r="W676" s="6">
        <f>IF(ISERROR(VLOOKUP($T$676,'TAR FIN'!$A$1:$O$85,15,0)),0,VLOOKUP($T$676,'TAR FIN'!$A$1:$O$85,15,0))</f>
        <v>273.69</v>
      </c>
      <c r="X676" s="6">
        <f>IF(ISERROR(VLOOKUP($U$676,'TAR FIN'!$A$1:$O$85,15,0)),0,VLOOKUP($U$676,'TAR FIN'!$A$1:$O$85,15,0))</f>
        <v>263.29000000000002</v>
      </c>
      <c r="Y676" s="6"/>
      <c r="Z676" s="6">
        <f ca="1">('TUSD BE'!$AM$48+'TUSD BF'!$AM$48+'TUSD CVA'!$AM$48)*1</f>
        <v>320.1054038964063</v>
      </c>
      <c r="AA676" s="6">
        <f>('TE BE'!$AA$38+'TE BF'!$AA$38+'TE CVA'!$AA$38)*1</f>
        <v>210.64397598313801</v>
      </c>
      <c r="AB676" s="6">
        <f>$K$676*$V$676</f>
        <v>0</v>
      </c>
      <c r="AC676" s="6">
        <f>$M$676*$W$676</f>
        <v>3739.4264699999999</v>
      </c>
      <c r="AD676" s="6">
        <f>$O$676*$X$676</f>
        <v>3597.3312700000001</v>
      </c>
      <c r="AE676" s="6">
        <f>$K$676*$Y$676</f>
        <v>0</v>
      </c>
      <c r="AF676" s="6">
        <f ca="1">$M$676*$Z$676</f>
        <v>4373.6001334365992</v>
      </c>
      <c r="AG676" s="6">
        <f>$O$676*$AA$676</f>
        <v>2878.0286438576145</v>
      </c>
    </row>
    <row r="677" spans="1:33" ht="11.25" customHeight="1" x14ac:dyDescent="0.25">
      <c r="A677" s="4" t="s">
        <v>21</v>
      </c>
      <c r="B677" s="4" t="s">
        <v>39</v>
      </c>
      <c r="C677" s="4" t="s">
        <v>23</v>
      </c>
      <c r="D677" s="4" t="s">
        <v>52</v>
      </c>
      <c r="E677" s="4" t="s">
        <v>25</v>
      </c>
      <c r="F677" s="4" t="s">
        <v>25</v>
      </c>
      <c r="G677" s="4" t="s">
        <v>25</v>
      </c>
      <c r="H677" s="4" t="s">
        <v>25</v>
      </c>
      <c r="I677" s="5">
        <v>44531</v>
      </c>
      <c r="J677" s="6">
        <v>0</v>
      </c>
      <c r="K677" s="6">
        <v>0</v>
      </c>
      <c r="L677" s="6">
        <v>14.968</v>
      </c>
      <c r="M677" s="6">
        <v>14.968</v>
      </c>
      <c r="N677" s="6">
        <v>14.968</v>
      </c>
      <c r="O677" s="6">
        <v>14.968</v>
      </c>
      <c r="P677" s="6">
        <v>7</v>
      </c>
      <c r="Q677" s="4" t="s">
        <v>26</v>
      </c>
      <c r="R677" s="4">
        <v>0</v>
      </c>
      <c r="S677" s="6">
        <v>0</v>
      </c>
      <c r="T677" s="6">
        <v>44</v>
      </c>
      <c r="U677" s="6">
        <v>81</v>
      </c>
      <c r="V677" s="6">
        <f>IF(ISERROR(VLOOKUP($S$677,'TAR FIN'!$A$1:$O$85,15,0)),0,VLOOKUP($S$677,'TAR FIN'!$A$1:$O$85,15,0))</f>
        <v>0</v>
      </c>
      <c r="W677" s="6">
        <f>IF(ISERROR(VLOOKUP($T$677,'TAR FIN'!$A$1:$O$85,15,0)),0,VLOOKUP($T$677,'TAR FIN'!$A$1:$O$85,15,0))</f>
        <v>273.69</v>
      </c>
      <c r="X677" s="6">
        <f>IF(ISERROR(VLOOKUP($U$677,'TAR FIN'!$A$1:$O$85,15,0)),0,VLOOKUP($U$677,'TAR FIN'!$A$1:$O$85,15,0))</f>
        <v>263.29000000000002</v>
      </c>
      <c r="Y677" s="6"/>
      <c r="Z677" s="6">
        <f ca="1">('TUSD BE'!$AM$48+'TUSD BF'!$AM$48+'TUSD CVA'!$AM$48)*1</f>
        <v>320.1054038964063</v>
      </c>
      <c r="AA677" s="6">
        <f>('TE BE'!$AA$38+'TE BF'!$AA$38+'TE CVA'!$AA$38)*1</f>
        <v>210.64397598313801</v>
      </c>
      <c r="AB677" s="6">
        <f>$K$677*$V$677</f>
        <v>0</v>
      </c>
      <c r="AC677" s="6">
        <f>$M$677*$W$677</f>
        <v>4096.5919199999998</v>
      </c>
      <c r="AD677" s="6">
        <f>$O$677*$X$677</f>
        <v>3940.9247200000004</v>
      </c>
      <c r="AE677" s="6">
        <f>$K$677*$Y$677</f>
        <v>0</v>
      </c>
      <c r="AF677" s="6">
        <f ca="1">$M$677*$Z$677</f>
        <v>4791.3376855214092</v>
      </c>
      <c r="AG677" s="6">
        <f>$O$677*$AA$677</f>
        <v>3152.9190325156096</v>
      </c>
    </row>
    <row r="678" spans="1:33" ht="11.25" customHeight="1" x14ac:dyDescent="0.25">
      <c r="A678" s="4" t="s">
        <v>21</v>
      </c>
      <c r="B678" s="4" t="s">
        <v>39</v>
      </c>
      <c r="C678" s="4" t="s">
        <v>23</v>
      </c>
      <c r="D678" s="4" t="s">
        <v>52</v>
      </c>
      <c r="E678" s="4" t="s">
        <v>25</v>
      </c>
      <c r="F678" s="4" t="s">
        <v>25</v>
      </c>
      <c r="G678" s="4" t="s">
        <v>25</v>
      </c>
      <c r="H678" s="4" t="s">
        <v>25</v>
      </c>
      <c r="I678" s="5">
        <v>44562</v>
      </c>
      <c r="J678" s="6">
        <v>0</v>
      </c>
      <c r="K678" s="6">
        <v>0</v>
      </c>
      <c r="L678" s="6">
        <v>13.377000000000001</v>
      </c>
      <c r="M678" s="6">
        <v>13.377000000000001</v>
      </c>
      <c r="N678" s="6">
        <v>13.377000000000001</v>
      </c>
      <c r="O678" s="6">
        <v>13.377000000000001</v>
      </c>
      <c r="P678" s="6">
        <v>7</v>
      </c>
      <c r="Q678" s="4" t="s">
        <v>26</v>
      </c>
      <c r="R678" s="4">
        <v>0</v>
      </c>
      <c r="S678" s="6">
        <v>0</v>
      </c>
      <c r="T678" s="6">
        <v>44</v>
      </c>
      <c r="U678" s="6">
        <v>81</v>
      </c>
      <c r="V678" s="6">
        <f>IF(ISERROR(VLOOKUP($S$678,'TAR FIN'!$A$1:$O$85,15,0)),0,VLOOKUP($S$678,'TAR FIN'!$A$1:$O$85,15,0))</f>
        <v>0</v>
      </c>
      <c r="W678" s="6">
        <f>IF(ISERROR(VLOOKUP($T$678,'TAR FIN'!$A$1:$O$85,15,0)),0,VLOOKUP($T$678,'TAR FIN'!$A$1:$O$85,15,0))</f>
        <v>273.69</v>
      </c>
      <c r="X678" s="6">
        <f>IF(ISERROR(VLOOKUP($U$678,'TAR FIN'!$A$1:$O$85,15,0)),0,VLOOKUP($U$678,'TAR FIN'!$A$1:$O$85,15,0))</f>
        <v>263.29000000000002</v>
      </c>
      <c r="Y678" s="6"/>
      <c r="Z678" s="6">
        <f ca="1">('TUSD BE'!$AM$48+'TUSD BF'!$AM$48+'TUSD CVA'!$AM$48)*1</f>
        <v>320.1054038964063</v>
      </c>
      <c r="AA678" s="6">
        <f>('TE BE'!$AA$38+'TE BF'!$AA$38+'TE CVA'!$AA$38)*1</f>
        <v>210.64397598313801</v>
      </c>
      <c r="AB678" s="6">
        <f>$K$678*$V$678</f>
        <v>0</v>
      </c>
      <c r="AC678" s="6">
        <f>$M$678*$W$678</f>
        <v>3661.1511300000002</v>
      </c>
      <c r="AD678" s="6">
        <f>$O$678*$X$678</f>
        <v>3522.0303300000005</v>
      </c>
      <c r="AE678" s="6">
        <f>$K$678*$Y$678</f>
        <v>0</v>
      </c>
      <c r="AF678" s="6">
        <f ca="1">$M$678*$Z$678</f>
        <v>4282.049987922227</v>
      </c>
      <c r="AG678" s="6">
        <f>$O$678*$AA$678</f>
        <v>2817.7844667264371</v>
      </c>
    </row>
    <row r="679" spans="1:33" ht="11.25" customHeight="1" x14ac:dyDescent="0.25">
      <c r="A679" s="4" t="s">
        <v>21</v>
      </c>
      <c r="B679" s="4" t="s">
        <v>39</v>
      </c>
      <c r="C679" s="4" t="s">
        <v>23</v>
      </c>
      <c r="D679" s="4" t="s">
        <v>52</v>
      </c>
      <c r="E679" s="4" t="s">
        <v>25</v>
      </c>
      <c r="F679" s="4" t="s">
        <v>25</v>
      </c>
      <c r="G679" s="4" t="s">
        <v>25</v>
      </c>
      <c r="H679" s="4" t="s">
        <v>25</v>
      </c>
      <c r="I679" s="5">
        <v>44593</v>
      </c>
      <c r="J679" s="6">
        <v>0</v>
      </c>
      <c r="K679" s="6">
        <v>0</v>
      </c>
      <c r="L679" s="6">
        <v>13.865</v>
      </c>
      <c r="M679" s="6">
        <v>13.865</v>
      </c>
      <c r="N679" s="6">
        <v>13.865</v>
      </c>
      <c r="O679" s="6">
        <v>13.865</v>
      </c>
      <c r="P679" s="6">
        <v>7</v>
      </c>
      <c r="Q679" s="4" t="s">
        <v>26</v>
      </c>
      <c r="R679" s="4">
        <v>0</v>
      </c>
      <c r="S679" s="6">
        <v>0</v>
      </c>
      <c r="T679" s="6">
        <v>44</v>
      </c>
      <c r="U679" s="6">
        <v>81</v>
      </c>
      <c r="V679" s="6">
        <f>IF(ISERROR(VLOOKUP($S$679,'TAR FIN'!$A$1:$O$85,15,0)),0,VLOOKUP($S$679,'TAR FIN'!$A$1:$O$85,15,0))</f>
        <v>0</v>
      </c>
      <c r="W679" s="6">
        <f>IF(ISERROR(VLOOKUP($T$679,'TAR FIN'!$A$1:$O$85,15,0)),0,VLOOKUP($T$679,'TAR FIN'!$A$1:$O$85,15,0))</f>
        <v>273.69</v>
      </c>
      <c r="X679" s="6">
        <f>IF(ISERROR(VLOOKUP($U$679,'TAR FIN'!$A$1:$O$85,15,0)),0,VLOOKUP($U$679,'TAR FIN'!$A$1:$O$85,15,0))</f>
        <v>263.29000000000002</v>
      </c>
      <c r="Y679" s="6"/>
      <c r="Z679" s="6">
        <f ca="1">('TUSD BE'!$AM$48+'TUSD BF'!$AM$48+'TUSD CVA'!$AM$48)*1</f>
        <v>320.1054038964063</v>
      </c>
      <c r="AA679" s="6">
        <f>('TE BE'!$AA$38+'TE BF'!$AA$38+'TE CVA'!$AA$38)*1</f>
        <v>210.64397598313801</v>
      </c>
      <c r="AB679" s="6">
        <f>$K$679*$V$679</f>
        <v>0</v>
      </c>
      <c r="AC679" s="6">
        <f>$M$679*$W$679</f>
        <v>3794.7118500000001</v>
      </c>
      <c r="AD679" s="6">
        <f>$O$679*$X$679</f>
        <v>3650.5158500000002</v>
      </c>
      <c r="AE679" s="6">
        <f>$K$679*$Y$679</f>
        <v>0</v>
      </c>
      <c r="AF679" s="6">
        <f ca="1">$M$679*$Z$679</f>
        <v>4438.2614250236738</v>
      </c>
      <c r="AG679" s="6">
        <f>$O$679*$AA$679</f>
        <v>2920.5787270062083</v>
      </c>
    </row>
    <row r="680" spans="1:33" ht="11.25" customHeight="1" x14ac:dyDescent="0.25">
      <c r="A680" s="4" t="s">
        <v>21</v>
      </c>
      <c r="B680" s="4" t="s">
        <v>39</v>
      </c>
      <c r="C680" s="4" t="s">
        <v>23</v>
      </c>
      <c r="D680" s="4" t="s">
        <v>52</v>
      </c>
      <c r="E680" s="4" t="s">
        <v>25</v>
      </c>
      <c r="F680" s="4" t="s">
        <v>25</v>
      </c>
      <c r="G680" s="4" t="s">
        <v>25</v>
      </c>
      <c r="H680" s="4" t="s">
        <v>25</v>
      </c>
      <c r="I680" s="5">
        <v>44621</v>
      </c>
      <c r="J680" s="6">
        <v>0</v>
      </c>
      <c r="K680" s="6">
        <v>0</v>
      </c>
      <c r="L680" s="6">
        <v>17.029</v>
      </c>
      <c r="M680" s="6">
        <v>17.029</v>
      </c>
      <c r="N680" s="6">
        <v>17.029</v>
      </c>
      <c r="O680" s="6">
        <v>17.029</v>
      </c>
      <c r="P680" s="6">
        <v>7</v>
      </c>
      <c r="Q680" s="4" t="s">
        <v>26</v>
      </c>
      <c r="R680" s="4">
        <v>0</v>
      </c>
      <c r="S680" s="6">
        <v>0</v>
      </c>
      <c r="T680" s="6">
        <v>44</v>
      </c>
      <c r="U680" s="6">
        <v>81</v>
      </c>
      <c r="V680" s="6">
        <f>IF(ISERROR(VLOOKUP($S$680,'TAR FIN'!$A$1:$O$85,15,0)),0,VLOOKUP($S$680,'TAR FIN'!$A$1:$O$85,15,0))</f>
        <v>0</v>
      </c>
      <c r="W680" s="6">
        <f>IF(ISERROR(VLOOKUP($T$680,'TAR FIN'!$A$1:$O$85,15,0)),0,VLOOKUP($T$680,'TAR FIN'!$A$1:$O$85,15,0))</f>
        <v>273.69</v>
      </c>
      <c r="X680" s="6">
        <f>IF(ISERROR(VLOOKUP($U$680,'TAR FIN'!$A$1:$O$85,15,0)),0,VLOOKUP($U$680,'TAR FIN'!$A$1:$O$85,15,0))</f>
        <v>263.29000000000002</v>
      </c>
      <c r="Y680" s="6"/>
      <c r="Z680" s="6">
        <f ca="1">('TUSD BE'!$AM$48+'TUSD BF'!$AM$48+'TUSD CVA'!$AM$48)*1</f>
        <v>320.1054038964063</v>
      </c>
      <c r="AA680" s="6">
        <f>('TE BE'!$AA$38+'TE BF'!$AA$38+'TE CVA'!$AA$38)*1</f>
        <v>210.64397598313801</v>
      </c>
      <c r="AB680" s="6">
        <f>$K$680*$V$680</f>
        <v>0</v>
      </c>
      <c r="AC680" s="6">
        <f>$M$680*$W$680</f>
        <v>4660.6670100000001</v>
      </c>
      <c r="AD680" s="6">
        <f>$O$680*$X$680</f>
        <v>4483.5654100000002</v>
      </c>
      <c r="AE680" s="6">
        <f>$K$680*$Y$680</f>
        <v>0</v>
      </c>
      <c r="AF680" s="6">
        <f ca="1">$M$680*$Z$680</f>
        <v>5451.0749229519033</v>
      </c>
      <c r="AG680" s="6">
        <f>$O$680*$AA$680</f>
        <v>3587.056267016857</v>
      </c>
    </row>
    <row r="681" spans="1:33" ht="11.25" customHeight="1" x14ac:dyDescent="0.25">
      <c r="A681" s="4" t="s">
        <v>21</v>
      </c>
      <c r="B681" s="4" t="s">
        <v>39</v>
      </c>
      <c r="C681" s="4" t="s">
        <v>23</v>
      </c>
      <c r="D681" s="4" t="s">
        <v>52</v>
      </c>
      <c r="E681" s="4" t="s">
        <v>25</v>
      </c>
      <c r="F681" s="4" t="s">
        <v>25</v>
      </c>
      <c r="G681" s="4" t="s">
        <v>25</v>
      </c>
      <c r="H681" s="4" t="s">
        <v>25</v>
      </c>
      <c r="I681" s="5">
        <v>44652</v>
      </c>
      <c r="J681" s="6">
        <v>0</v>
      </c>
      <c r="K681" s="6">
        <v>0</v>
      </c>
      <c r="L681" s="6">
        <v>14.18</v>
      </c>
      <c r="M681" s="6">
        <v>14.18</v>
      </c>
      <c r="N681" s="6">
        <v>14.18</v>
      </c>
      <c r="O681" s="6">
        <v>14.18</v>
      </c>
      <c r="P681" s="6">
        <v>7</v>
      </c>
      <c r="Q681" s="4" t="s">
        <v>26</v>
      </c>
      <c r="R681" s="4">
        <v>0</v>
      </c>
      <c r="S681" s="6">
        <v>0</v>
      </c>
      <c r="T681" s="6">
        <v>44</v>
      </c>
      <c r="U681" s="6">
        <v>81</v>
      </c>
      <c r="V681" s="6">
        <f>IF(ISERROR(VLOOKUP($S$681,'TAR FIN'!$A$1:$O$85,15,0)),0,VLOOKUP($S$681,'TAR FIN'!$A$1:$O$85,15,0))</f>
        <v>0</v>
      </c>
      <c r="W681" s="6">
        <f>IF(ISERROR(VLOOKUP($T$681,'TAR FIN'!$A$1:$O$85,15,0)),0,VLOOKUP($T$681,'TAR FIN'!$A$1:$O$85,15,0))</f>
        <v>273.69</v>
      </c>
      <c r="X681" s="6">
        <f>IF(ISERROR(VLOOKUP($U$681,'TAR FIN'!$A$1:$O$85,15,0)),0,VLOOKUP($U$681,'TAR FIN'!$A$1:$O$85,15,0))</f>
        <v>263.29000000000002</v>
      </c>
      <c r="Y681" s="6"/>
      <c r="Z681" s="6">
        <f ca="1">('TUSD BE'!$AM$48+'TUSD BF'!$AM$48+'TUSD CVA'!$AM$48)*1</f>
        <v>320.1054038964063</v>
      </c>
      <c r="AA681" s="6">
        <f>('TE BE'!$AA$38+'TE BF'!$AA$38+'TE CVA'!$AA$38)*1</f>
        <v>210.64397598313801</v>
      </c>
      <c r="AB681" s="6">
        <f>$K$681*$V$681</f>
        <v>0</v>
      </c>
      <c r="AC681" s="6">
        <f>$M$681*$W$681</f>
        <v>3880.9241999999999</v>
      </c>
      <c r="AD681" s="6">
        <f>$O$681*$X$681</f>
        <v>3733.4522000000002</v>
      </c>
      <c r="AE681" s="6">
        <f>$K$681*$Y$681</f>
        <v>0</v>
      </c>
      <c r="AF681" s="6">
        <f ca="1">$M$681*$Z$681</f>
        <v>4539.0946272510409</v>
      </c>
      <c r="AG681" s="6">
        <f>$O$681*$AA$681</f>
        <v>2986.9315794408967</v>
      </c>
    </row>
    <row r="682" spans="1:33" ht="11.25" customHeight="1" x14ac:dyDescent="0.25">
      <c r="A682" s="4" t="s">
        <v>21</v>
      </c>
      <c r="B682" s="4" t="s">
        <v>39</v>
      </c>
      <c r="C682" s="4" t="s">
        <v>23</v>
      </c>
      <c r="D682" s="4" t="s">
        <v>40</v>
      </c>
      <c r="E682" s="4" t="s">
        <v>25</v>
      </c>
      <c r="F682" s="4" t="s">
        <v>25</v>
      </c>
      <c r="G682" s="4" t="s">
        <v>25</v>
      </c>
      <c r="H682" s="4" t="s">
        <v>25</v>
      </c>
      <c r="I682" s="5">
        <v>44317</v>
      </c>
      <c r="J682" s="6">
        <v>0</v>
      </c>
      <c r="K682" s="6">
        <v>0</v>
      </c>
      <c r="L682" s="6">
        <v>87.825000000000003</v>
      </c>
      <c r="M682" s="6">
        <v>87.825000000000003</v>
      </c>
      <c r="N682" s="6">
        <v>87.825000000000003</v>
      </c>
      <c r="O682" s="6">
        <v>87.825000000000003</v>
      </c>
      <c r="P682" s="6">
        <v>39</v>
      </c>
      <c r="Q682" s="4" t="s">
        <v>26</v>
      </c>
      <c r="R682" s="4">
        <v>0</v>
      </c>
      <c r="S682" s="6">
        <v>0</v>
      </c>
      <c r="T682" s="6">
        <v>44</v>
      </c>
      <c r="U682" s="6">
        <v>81</v>
      </c>
      <c r="V682" s="6">
        <f>IF(ISERROR(VLOOKUP($S$682,'TAR FIN'!$A$1:$O$85,15,0)),0,VLOOKUP($S$682,'TAR FIN'!$A$1:$O$85,15,0))</f>
        <v>0</v>
      </c>
      <c r="W682" s="6">
        <f>IF(ISERROR(VLOOKUP($T$682,'TAR FIN'!$A$1:$O$85,15,0)),0,VLOOKUP($T$682,'TAR FIN'!$A$1:$O$85,15,0))</f>
        <v>273.69</v>
      </c>
      <c r="X682" s="6">
        <f>IF(ISERROR(VLOOKUP($U$682,'TAR FIN'!$A$1:$O$85,15,0)),0,VLOOKUP($U$682,'TAR FIN'!$A$1:$O$85,15,0))</f>
        <v>263.29000000000002</v>
      </c>
      <c r="Y682" s="6"/>
      <c r="Z682" s="6">
        <f ca="1">('TUSD BE'!$AM$48+'TUSD BF'!$AM$48+'TUSD CVA'!$AM$48)*1</f>
        <v>320.1054038964063</v>
      </c>
      <c r="AA682" s="6">
        <f>('TE BE'!$AA$38+'TE BF'!$AA$38+'TE CVA'!$AA$38)*1</f>
        <v>210.64397598313801</v>
      </c>
      <c r="AB682" s="6">
        <f>$K$682*$V$682</f>
        <v>0</v>
      </c>
      <c r="AC682" s="6">
        <f>$M$682*$W$682</f>
        <v>24036.824250000001</v>
      </c>
      <c r="AD682" s="6">
        <f>$O$682*$X$682</f>
        <v>23123.444250000004</v>
      </c>
      <c r="AE682" s="6">
        <f>$K$682*$Y$682</f>
        <v>0</v>
      </c>
      <c r="AF682" s="6">
        <f ca="1">$M$682*$Z$682</f>
        <v>28113.257097201884</v>
      </c>
      <c r="AG682" s="6">
        <f>$O$682*$AA$682</f>
        <v>18499.807190719097</v>
      </c>
    </row>
    <row r="683" spans="1:33" ht="11.25" customHeight="1" x14ac:dyDescent="0.25">
      <c r="A683" s="4" t="s">
        <v>28</v>
      </c>
      <c r="B683" s="4" t="s">
        <v>39</v>
      </c>
      <c r="C683" s="4" t="s">
        <v>23</v>
      </c>
      <c r="D683" s="4" t="s">
        <v>40</v>
      </c>
      <c r="E683" s="4" t="s">
        <v>25</v>
      </c>
      <c r="F683" s="4" t="s">
        <v>25</v>
      </c>
      <c r="G683" s="4" t="s">
        <v>25</v>
      </c>
      <c r="H683" s="4" t="s">
        <v>25</v>
      </c>
      <c r="I683" s="5">
        <v>44317</v>
      </c>
      <c r="J683" s="6">
        <v>0</v>
      </c>
      <c r="K683" s="6">
        <v>0</v>
      </c>
      <c r="L683" s="6">
        <v>0.1</v>
      </c>
      <c r="M683" s="6">
        <v>0.1</v>
      </c>
      <c r="N683" s="6">
        <v>0.1</v>
      </c>
      <c r="O683" s="6">
        <v>0.1</v>
      </c>
      <c r="P683" s="6">
        <v>1</v>
      </c>
      <c r="Q683" s="4" t="s">
        <v>26</v>
      </c>
      <c r="R683" s="4">
        <v>0</v>
      </c>
      <c r="S683" s="6">
        <v>0</v>
      </c>
      <c r="T683" s="6">
        <v>44</v>
      </c>
      <c r="U683" s="6">
        <v>81</v>
      </c>
      <c r="V683" s="6">
        <f>IF(ISERROR(VLOOKUP($S$683,'TAR FIN'!$A$1:$O$85,15,0)),0,VLOOKUP($S$683,'TAR FIN'!$A$1:$O$85,15,0))</f>
        <v>0</v>
      </c>
      <c r="W683" s="6">
        <f>IF(ISERROR(VLOOKUP($T$683,'TAR FIN'!$A$1:$O$85,15,0)),0,VLOOKUP($T$683,'TAR FIN'!$A$1:$O$85,15,0))</f>
        <v>273.69</v>
      </c>
      <c r="X683" s="6">
        <f>IF(ISERROR(VLOOKUP($U$683,'TAR FIN'!$A$1:$O$85,15,0)),0,VLOOKUP($U$683,'TAR FIN'!$A$1:$O$85,15,0))</f>
        <v>263.29000000000002</v>
      </c>
      <c r="Y683" s="6"/>
      <c r="Z683" s="6">
        <f ca="1">('TUSD BE'!$AM$48+'TUSD BF'!$AM$48+'TUSD CVA'!$AM$48)*1</f>
        <v>320.1054038964063</v>
      </c>
      <c r="AA683" s="6">
        <f>('TE BE'!$AA$38+'TE BF'!$AA$38+'TE CVA'!$AA$38)*1</f>
        <v>210.64397598313801</v>
      </c>
      <c r="AB683" s="6">
        <f>$K$683*$V$683</f>
        <v>0</v>
      </c>
      <c r="AC683" s="6">
        <f>$M$683*$W$683</f>
        <v>27.369</v>
      </c>
      <c r="AD683" s="6">
        <f>$O$683*$X$683</f>
        <v>26.329000000000004</v>
      </c>
      <c r="AE683" s="6">
        <f>$K$683*$Y$683</f>
        <v>0</v>
      </c>
      <c r="AF683" s="6">
        <f ca="1">$M$683*$Z$683</f>
        <v>32.010540389640632</v>
      </c>
      <c r="AG683" s="6">
        <f>$O$683*$AA$683</f>
        <v>21.064397598313803</v>
      </c>
    </row>
    <row r="684" spans="1:33" ht="11.25" customHeight="1" x14ac:dyDescent="0.25">
      <c r="A684" s="4" t="s">
        <v>21</v>
      </c>
      <c r="B684" s="4" t="s">
        <v>39</v>
      </c>
      <c r="C684" s="4" t="s">
        <v>23</v>
      </c>
      <c r="D684" s="4" t="s">
        <v>40</v>
      </c>
      <c r="E684" s="4" t="s">
        <v>25</v>
      </c>
      <c r="F684" s="4" t="s">
        <v>25</v>
      </c>
      <c r="G684" s="4" t="s">
        <v>25</v>
      </c>
      <c r="H684" s="4" t="s">
        <v>25</v>
      </c>
      <c r="I684" s="5">
        <v>44348</v>
      </c>
      <c r="J684" s="6">
        <v>0</v>
      </c>
      <c r="K684" s="6">
        <v>0</v>
      </c>
      <c r="L684" s="6">
        <v>85.387</v>
      </c>
      <c r="M684" s="6">
        <v>85.387</v>
      </c>
      <c r="N684" s="6">
        <v>85.387</v>
      </c>
      <c r="O684" s="6">
        <v>85.387</v>
      </c>
      <c r="P684" s="6">
        <v>39</v>
      </c>
      <c r="Q684" s="4" t="s">
        <v>26</v>
      </c>
      <c r="R684" s="4">
        <v>0</v>
      </c>
      <c r="S684" s="6">
        <v>0</v>
      </c>
      <c r="T684" s="6">
        <v>44</v>
      </c>
      <c r="U684" s="6">
        <v>81</v>
      </c>
      <c r="V684" s="6">
        <f>IF(ISERROR(VLOOKUP($S$684,'TAR FIN'!$A$1:$O$85,15,0)),0,VLOOKUP($S$684,'TAR FIN'!$A$1:$O$85,15,0))</f>
        <v>0</v>
      </c>
      <c r="W684" s="6">
        <f>IF(ISERROR(VLOOKUP($T$684,'TAR FIN'!$A$1:$O$85,15,0)),0,VLOOKUP($T$684,'TAR FIN'!$A$1:$O$85,15,0))</f>
        <v>273.69</v>
      </c>
      <c r="X684" s="6">
        <f>IF(ISERROR(VLOOKUP($U$684,'TAR FIN'!$A$1:$O$85,15,0)),0,VLOOKUP($U$684,'TAR FIN'!$A$1:$O$85,15,0))</f>
        <v>263.29000000000002</v>
      </c>
      <c r="Y684" s="6"/>
      <c r="Z684" s="6">
        <f ca="1">('TUSD BE'!$AM$48+'TUSD BF'!$AM$48+'TUSD CVA'!$AM$48)*1</f>
        <v>320.1054038964063</v>
      </c>
      <c r="AA684" s="6">
        <f>('TE BE'!$AA$38+'TE BF'!$AA$38+'TE CVA'!$AA$38)*1</f>
        <v>210.64397598313801</v>
      </c>
      <c r="AB684" s="6">
        <f>$K$684*$V$684</f>
        <v>0</v>
      </c>
      <c r="AC684" s="6">
        <f>$M$684*$W$684</f>
        <v>23369.568029999999</v>
      </c>
      <c r="AD684" s="6">
        <f>$O$684*$X$684</f>
        <v>22481.543230000003</v>
      </c>
      <c r="AE684" s="6">
        <f>$K$684*$Y$684</f>
        <v>0</v>
      </c>
      <c r="AF684" s="6">
        <f ca="1">$M$684*$Z$684</f>
        <v>27332.840122502446</v>
      </c>
      <c r="AG684" s="6">
        <f>$O$684*$AA$684</f>
        <v>17986.257177272204</v>
      </c>
    </row>
    <row r="685" spans="1:33" ht="11.25" customHeight="1" x14ac:dyDescent="0.25">
      <c r="A685" s="4" t="s">
        <v>28</v>
      </c>
      <c r="B685" s="4" t="s">
        <v>39</v>
      </c>
      <c r="C685" s="4" t="s">
        <v>23</v>
      </c>
      <c r="D685" s="4" t="s">
        <v>40</v>
      </c>
      <c r="E685" s="4" t="s">
        <v>25</v>
      </c>
      <c r="F685" s="4" t="s">
        <v>25</v>
      </c>
      <c r="G685" s="4" t="s">
        <v>25</v>
      </c>
      <c r="H685" s="4" t="s">
        <v>25</v>
      </c>
      <c r="I685" s="5">
        <v>44348</v>
      </c>
      <c r="J685" s="6">
        <v>0</v>
      </c>
      <c r="K685" s="6">
        <v>0</v>
      </c>
      <c r="L685" s="6">
        <v>0.1</v>
      </c>
      <c r="M685" s="6">
        <v>0.1</v>
      </c>
      <c r="N685" s="6">
        <v>0.1</v>
      </c>
      <c r="O685" s="6">
        <v>0.1</v>
      </c>
      <c r="P685" s="6">
        <v>1</v>
      </c>
      <c r="Q685" s="4" t="s">
        <v>26</v>
      </c>
      <c r="R685" s="4">
        <v>0</v>
      </c>
      <c r="S685" s="6">
        <v>0</v>
      </c>
      <c r="T685" s="6">
        <v>44</v>
      </c>
      <c r="U685" s="6">
        <v>81</v>
      </c>
      <c r="V685" s="6">
        <f>IF(ISERROR(VLOOKUP($S$685,'TAR FIN'!$A$1:$O$85,15,0)),0,VLOOKUP($S$685,'TAR FIN'!$A$1:$O$85,15,0))</f>
        <v>0</v>
      </c>
      <c r="W685" s="6">
        <f>IF(ISERROR(VLOOKUP($T$685,'TAR FIN'!$A$1:$O$85,15,0)),0,VLOOKUP($T$685,'TAR FIN'!$A$1:$O$85,15,0))</f>
        <v>273.69</v>
      </c>
      <c r="X685" s="6">
        <f>IF(ISERROR(VLOOKUP($U$685,'TAR FIN'!$A$1:$O$85,15,0)),0,VLOOKUP($U$685,'TAR FIN'!$A$1:$O$85,15,0))</f>
        <v>263.29000000000002</v>
      </c>
      <c r="Y685" s="6"/>
      <c r="Z685" s="6">
        <f ca="1">('TUSD BE'!$AM$48+'TUSD BF'!$AM$48+'TUSD CVA'!$AM$48)*1</f>
        <v>320.1054038964063</v>
      </c>
      <c r="AA685" s="6">
        <f>('TE BE'!$AA$38+'TE BF'!$AA$38+'TE CVA'!$AA$38)*1</f>
        <v>210.64397598313801</v>
      </c>
      <c r="AB685" s="6">
        <f>$K$685*$V$685</f>
        <v>0</v>
      </c>
      <c r="AC685" s="6">
        <f>$M$685*$W$685</f>
        <v>27.369</v>
      </c>
      <c r="AD685" s="6">
        <f>$O$685*$X$685</f>
        <v>26.329000000000004</v>
      </c>
      <c r="AE685" s="6">
        <f>$K$685*$Y$685</f>
        <v>0</v>
      </c>
      <c r="AF685" s="6">
        <f ca="1">$M$685*$Z$685</f>
        <v>32.010540389640632</v>
      </c>
      <c r="AG685" s="6">
        <f>$O$685*$AA$685</f>
        <v>21.064397598313803</v>
      </c>
    </row>
    <row r="686" spans="1:33" ht="11.25" customHeight="1" x14ac:dyDescent="0.25">
      <c r="A686" s="4" t="s">
        <v>21</v>
      </c>
      <c r="B686" s="4" t="s">
        <v>39</v>
      </c>
      <c r="C686" s="4" t="s">
        <v>23</v>
      </c>
      <c r="D686" s="4" t="s">
        <v>40</v>
      </c>
      <c r="E686" s="4" t="s">
        <v>25</v>
      </c>
      <c r="F686" s="4" t="s">
        <v>25</v>
      </c>
      <c r="G686" s="4" t="s">
        <v>25</v>
      </c>
      <c r="H686" s="4" t="s">
        <v>25</v>
      </c>
      <c r="I686" s="5">
        <v>44378</v>
      </c>
      <c r="J686" s="6">
        <v>0</v>
      </c>
      <c r="K686" s="6">
        <v>0</v>
      </c>
      <c r="L686" s="6">
        <v>83.837000000000003</v>
      </c>
      <c r="M686" s="6">
        <v>83.837000000000003</v>
      </c>
      <c r="N686" s="6">
        <v>83.837000000000003</v>
      </c>
      <c r="O686" s="6">
        <v>83.837000000000003</v>
      </c>
      <c r="P686" s="6">
        <v>38</v>
      </c>
      <c r="Q686" s="4" t="s">
        <v>26</v>
      </c>
      <c r="R686" s="4">
        <v>0</v>
      </c>
      <c r="S686" s="6">
        <v>0</v>
      </c>
      <c r="T686" s="6">
        <v>44</v>
      </c>
      <c r="U686" s="6">
        <v>81</v>
      </c>
      <c r="V686" s="6">
        <f>IF(ISERROR(VLOOKUP($S$686,'TAR FIN'!$A$1:$O$85,15,0)),0,VLOOKUP($S$686,'TAR FIN'!$A$1:$O$85,15,0))</f>
        <v>0</v>
      </c>
      <c r="W686" s="6">
        <f>IF(ISERROR(VLOOKUP($T$686,'TAR FIN'!$A$1:$O$85,15,0)),0,VLOOKUP($T$686,'TAR FIN'!$A$1:$O$85,15,0))</f>
        <v>273.69</v>
      </c>
      <c r="X686" s="6">
        <f>IF(ISERROR(VLOOKUP($U$686,'TAR FIN'!$A$1:$O$85,15,0)),0,VLOOKUP($U$686,'TAR FIN'!$A$1:$O$85,15,0))</f>
        <v>263.29000000000002</v>
      </c>
      <c r="Y686" s="6"/>
      <c r="Z686" s="6">
        <f ca="1">('TUSD BE'!$AM$48+'TUSD BF'!$AM$48+'TUSD CVA'!$AM$48)*1</f>
        <v>320.1054038964063</v>
      </c>
      <c r="AA686" s="6">
        <f>('TE BE'!$AA$38+'TE BF'!$AA$38+'TE CVA'!$AA$38)*1</f>
        <v>210.64397598313801</v>
      </c>
      <c r="AB686" s="6">
        <f>$K$686*$V$686</f>
        <v>0</v>
      </c>
      <c r="AC686" s="6">
        <f>$M$686*$W$686</f>
        <v>22945.348529999999</v>
      </c>
      <c r="AD686" s="6">
        <f>$O$686*$X$686</f>
        <v>22073.443730000003</v>
      </c>
      <c r="AE686" s="6">
        <f>$K$686*$Y$686</f>
        <v>0</v>
      </c>
      <c r="AF686" s="6">
        <f ca="1">$M$686*$Z$686</f>
        <v>26836.676746463017</v>
      </c>
      <c r="AG686" s="6">
        <f>$O$686*$AA$686</f>
        <v>17659.759014498341</v>
      </c>
    </row>
    <row r="687" spans="1:33" ht="11.25" customHeight="1" x14ac:dyDescent="0.25">
      <c r="A687" s="4" t="s">
        <v>28</v>
      </c>
      <c r="B687" s="4" t="s">
        <v>39</v>
      </c>
      <c r="C687" s="4" t="s">
        <v>23</v>
      </c>
      <c r="D687" s="4" t="s">
        <v>40</v>
      </c>
      <c r="E687" s="4" t="s">
        <v>25</v>
      </c>
      <c r="F687" s="4" t="s">
        <v>25</v>
      </c>
      <c r="G687" s="4" t="s">
        <v>25</v>
      </c>
      <c r="H687" s="4" t="s">
        <v>25</v>
      </c>
      <c r="I687" s="5">
        <v>44378</v>
      </c>
      <c r="J687" s="6">
        <v>0</v>
      </c>
      <c r="K687" s="6">
        <v>0</v>
      </c>
      <c r="L687" s="6">
        <v>0.1</v>
      </c>
      <c r="M687" s="6">
        <v>0.1</v>
      </c>
      <c r="N687" s="6">
        <v>0.1</v>
      </c>
      <c r="O687" s="6">
        <v>0.1</v>
      </c>
      <c r="P687" s="6">
        <v>1</v>
      </c>
      <c r="Q687" s="4" t="s">
        <v>26</v>
      </c>
      <c r="R687" s="4">
        <v>0</v>
      </c>
      <c r="S687" s="6">
        <v>0</v>
      </c>
      <c r="T687" s="6">
        <v>44</v>
      </c>
      <c r="U687" s="6">
        <v>81</v>
      </c>
      <c r="V687" s="6">
        <f>IF(ISERROR(VLOOKUP($S$687,'TAR FIN'!$A$1:$O$85,15,0)),0,VLOOKUP($S$687,'TAR FIN'!$A$1:$O$85,15,0))</f>
        <v>0</v>
      </c>
      <c r="W687" s="6">
        <f>IF(ISERROR(VLOOKUP($T$687,'TAR FIN'!$A$1:$O$85,15,0)),0,VLOOKUP($T$687,'TAR FIN'!$A$1:$O$85,15,0))</f>
        <v>273.69</v>
      </c>
      <c r="X687" s="6">
        <f>IF(ISERROR(VLOOKUP($U$687,'TAR FIN'!$A$1:$O$85,15,0)),0,VLOOKUP($U$687,'TAR FIN'!$A$1:$O$85,15,0))</f>
        <v>263.29000000000002</v>
      </c>
      <c r="Y687" s="6"/>
      <c r="Z687" s="6">
        <f ca="1">('TUSD BE'!$AM$48+'TUSD BF'!$AM$48+'TUSD CVA'!$AM$48)*1</f>
        <v>320.1054038964063</v>
      </c>
      <c r="AA687" s="6">
        <f>('TE BE'!$AA$38+'TE BF'!$AA$38+'TE CVA'!$AA$38)*1</f>
        <v>210.64397598313801</v>
      </c>
      <c r="AB687" s="6">
        <f>$K$687*$V$687</f>
        <v>0</v>
      </c>
      <c r="AC687" s="6">
        <f>$M$687*$W$687</f>
        <v>27.369</v>
      </c>
      <c r="AD687" s="6">
        <f>$O$687*$X$687</f>
        <v>26.329000000000004</v>
      </c>
      <c r="AE687" s="6">
        <f>$K$687*$Y$687</f>
        <v>0</v>
      </c>
      <c r="AF687" s="6">
        <f ca="1">$M$687*$Z$687</f>
        <v>32.010540389640632</v>
      </c>
      <c r="AG687" s="6">
        <f>$O$687*$AA$687</f>
        <v>21.064397598313803</v>
      </c>
    </row>
    <row r="688" spans="1:33" ht="11.25" customHeight="1" x14ac:dyDescent="0.25">
      <c r="A688" s="4" t="s">
        <v>21</v>
      </c>
      <c r="B688" s="4" t="s">
        <v>39</v>
      </c>
      <c r="C688" s="4" t="s">
        <v>23</v>
      </c>
      <c r="D688" s="4" t="s">
        <v>40</v>
      </c>
      <c r="E688" s="4" t="s">
        <v>25</v>
      </c>
      <c r="F688" s="4" t="s">
        <v>25</v>
      </c>
      <c r="G688" s="4" t="s">
        <v>25</v>
      </c>
      <c r="H688" s="4" t="s">
        <v>25</v>
      </c>
      <c r="I688" s="5">
        <v>44409</v>
      </c>
      <c r="J688" s="6">
        <v>0</v>
      </c>
      <c r="K688" s="6">
        <v>0</v>
      </c>
      <c r="L688" s="6">
        <v>89.876999999999995</v>
      </c>
      <c r="M688" s="6">
        <v>89.876999999999995</v>
      </c>
      <c r="N688" s="6">
        <v>89.876999999999995</v>
      </c>
      <c r="O688" s="6">
        <v>89.876999999999995</v>
      </c>
      <c r="P688" s="6">
        <v>38</v>
      </c>
      <c r="Q688" s="4" t="s">
        <v>26</v>
      </c>
      <c r="R688" s="4">
        <v>0</v>
      </c>
      <c r="S688" s="6">
        <v>0</v>
      </c>
      <c r="T688" s="6">
        <v>44</v>
      </c>
      <c r="U688" s="6">
        <v>81</v>
      </c>
      <c r="V688" s="6">
        <f>IF(ISERROR(VLOOKUP($S$688,'TAR FIN'!$A$1:$O$85,15,0)),0,VLOOKUP($S$688,'TAR FIN'!$A$1:$O$85,15,0))</f>
        <v>0</v>
      </c>
      <c r="W688" s="6">
        <f>IF(ISERROR(VLOOKUP($T$688,'TAR FIN'!$A$1:$O$85,15,0)),0,VLOOKUP($T$688,'TAR FIN'!$A$1:$O$85,15,0))</f>
        <v>273.69</v>
      </c>
      <c r="X688" s="6">
        <f>IF(ISERROR(VLOOKUP($U$688,'TAR FIN'!$A$1:$O$85,15,0)),0,VLOOKUP($U$688,'TAR FIN'!$A$1:$O$85,15,0))</f>
        <v>263.29000000000002</v>
      </c>
      <c r="Y688" s="6"/>
      <c r="Z688" s="6">
        <f ca="1">('TUSD BE'!$AM$48+'TUSD BF'!$AM$48+'TUSD CVA'!$AM$48)*1</f>
        <v>320.1054038964063</v>
      </c>
      <c r="AA688" s="6">
        <f>('TE BE'!$AA$38+'TE BF'!$AA$38+'TE CVA'!$AA$38)*1</f>
        <v>210.64397598313801</v>
      </c>
      <c r="AB688" s="6">
        <f>$K$688*$V$688</f>
        <v>0</v>
      </c>
      <c r="AC688" s="6">
        <f>$M$688*$W$688</f>
        <v>24598.436129999998</v>
      </c>
      <c r="AD688" s="6">
        <f>$O$688*$X$688</f>
        <v>23663.715329999999</v>
      </c>
      <c r="AE688" s="6">
        <f>$K$688*$Y$688</f>
        <v>0</v>
      </c>
      <c r="AF688" s="6">
        <f ca="1">$M$688*$Z$688</f>
        <v>28770.113385997309</v>
      </c>
      <c r="AG688" s="6">
        <f>$O$688*$AA$688</f>
        <v>18932.048629436493</v>
      </c>
    </row>
    <row r="689" spans="1:33" ht="11.25" customHeight="1" x14ac:dyDescent="0.25">
      <c r="A689" s="4" t="s">
        <v>28</v>
      </c>
      <c r="B689" s="4" t="s">
        <v>39</v>
      </c>
      <c r="C689" s="4" t="s">
        <v>23</v>
      </c>
      <c r="D689" s="4" t="s">
        <v>40</v>
      </c>
      <c r="E689" s="4" t="s">
        <v>25</v>
      </c>
      <c r="F689" s="4" t="s">
        <v>25</v>
      </c>
      <c r="G689" s="4" t="s">
        <v>25</v>
      </c>
      <c r="H689" s="4" t="s">
        <v>25</v>
      </c>
      <c r="I689" s="5">
        <v>44409</v>
      </c>
      <c r="J689" s="6">
        <v>0</v>
      </c>
      <c r="K689" s="6">
        <v>0</v>
      </c>
      <c r="L689" s="6">
        <v>0.1</v>
      </c>
      <c r="M689" s="6">
        <v>0.1</v>
      </c>
      <c r="N689" s="6">
        <v>0.1</v>
      </c>
      <c r="O689" s="6">
        <v>0.1</v>
      </c>
      <c r="P689" s="6">
        <v>1</v>
      </c>
      <c r="Q689" s="4" t="s">
        <v>26</v>
      </c>
      <c r="R689" s="4">
        <v>0</v>
      </c>
      <c r="S689" s="6">
        <v>0</v>
      </c>
      <c r="T689" s="6">
        <v>44</v>
      </c>
      <c r="U689" s="6">
        <v>81</v>
      </c>
      <c r="V689" s="6">
        <f>IF(ISERROR(VLOOKUP($S$689,'TAR FIN'!$A$1:$O$85,15,0)),0,VLOOKUP($S$689,'TAR FIN'!$A$1:$O$85,15,0))</f>
        <v>0</v>
      </c>
      <c r="W689" s="6">
        <f>IF(ISERROR(VLOOKUP($T$689,'TAR FIN'!$A$1:$O$85,15,0)),0,VLOOKUP($T$689,'TAR FIN'!$A$1:$O$85,15,0))</f>
        <v>273.69</v>
      </c>
      <c r="X689" s="6">
        <f>IF(ISERROR(VLOOKUP($U$689,'TAR FIN'!$A$1:$O$85,15,0)),0,VLOOKUP($U$689,'TAR FIN'!$A$1:$O$85,15,0))</f>
        <v>263.29000000000002</v>
      </c>
      <c r="Y689" s="6"/>
      <c r="Z689" s="6">
        <f ca="1">('TUSD BE'!$AM$48+'TUSD BF'!$AM$48+'TUSD CVA'!$AM$48)*1</f>
        <v>320.1054038964063</v>
      </c>
      <c r="AA689" s="6">
        <f>('TE BE'!$AA$38+'TE BF'!$AA$38+'TE CVA'!$AA$38)*1</f>
        <v>210.64397598313801</v>
      </c>
      <c r="AB689" s="6">
        <f>$K$689*$V$689</f>
        <v>0</v>
      </c>
      <c r="AC689" s="6">
        <f>$M$689*$W$689</f>
        <v>27.369</v>
      </c>
      <c r="AD689" s="6">
        <f>$O$689*$X$689</f>
        <v>26.329000000000004</v>
      </c>
      <c r="AE689" s="6">
        <f>$K$689*$Y$689</f>
        <v>0</v>
      </c>
      <c r="AF689" s="6">
        <f ca="1">$M$689*$Z$689</f>
        <v>32.010540389640632</v>
      </c>
      <c r="AG689" s="6">
        <f>$O$689*$AA$689</f>
        <v>21.064397598313803</v>
      </c>
    </row>
    <row r="690" spans="1:33" ht="11.25" customHeight="1" x14ac:dyDescent="0.25">
      <c r="A690" s="4" t="s">
        <v>21</v>
      </c>
      <c r="B690" s="4" t="s">
        <v>39</v>
      </c>
      <c r="C690" s="4" t="s">
        <v>23</v>
      </c>
      <c r="D690" s="4" t="s">
        <v>40</v>
      </c>
      <c r="E690" s="4" t="s">
        <v>25</v>
      </c>
      <c r="F690" s="4" t="s">
        <v>25</v>
      </c>
      <c r="G690" s="4" t="s">
        <v>25</v>
      </c>
      <c r="H690" s="4" t="s">
        <v>25</v>
      </c>
      <c r="I690" s="5">
        <v>44440</v>
      </c>
      <c r="J690" s="6">
        <v>0</v>
      </c>
      <c r="K690" s="6">
        <v>0</v>
      </c>
      <c r="L690" s="6">
        <v>98.241</v>
      </c>
      <c r="M690" s="6">
        <v>98.241</v>
      </c>
      <c r="N690" s="6">
        <v>98.241</v>
      </c>
      <c r="O690" s="6">
        <v>98.241</v>
      </c>
      <c r="P690" s="6">
        <v>38</v>
      </c>
      <c r="Q690" s="4" t="s">
        <v>26</v>
      </c>
      <c r="R690" s="4">
        <v>0</v>
      </c>
      <c r="S690" s="6">
        <v>0</v>
      </c>
      <c r="T690" s="6">
        <v>44</v>
      </c>
      <c r="U690" s="6">
        <v>81</v>
      </c>
      <c r="V690" s="6">
        <f>IF(ISERROR(VLOOKUP($S$690,'TAR FIN'!$A$1:$O$85,15,0)),0,VLOOKUP($S$690,'TAR FIN'!$A$1:$O$85,15,0))</f>
        <v>0</v>
      </c>
      <c r="W690" s="6">
        <f>IF(ISERROR(VLOOKUP($T$690,'TAR FIN'!$A$1:$O$85,15,0)),0,VLOOKUP($T$690,'TAR FIN'!$A$1:$O$85,15,0))</f>
        <v>273.69</v>
      </c>
      <c r="X690" s="6">
        <f>IF(ISERROR(VLOOKUP($U$690,'TAR FIN'!$A$1:$O$85,15,0)),0,VLOOKUP($U$690,'TAR FIN'!$A$1:$O$85,15,0))</f>
        <v>263.29000000000002</v>
      </c>
      <c r="Y690" s="6"/>
      <c r="Z690" s="6">
        <f ca="1">('TUSD BE'!$AM$48+'TUSD BF'!$AM$48+'TUSD CVA'!$AM$48)*1</f>
        <v>320.1054038964063</v>
      </c>
      <c r="AA690" s="6">
        <f>('TE BE'!$AA$38+'TE BF'!$AA$38+'TE CVA'!$AA$38)*1</f>
        <v>210.64397598313801</v>
      </c>
      <c r="AB690" s="6">
        <f>$K$690*$V$690</f>
        <v>0</v>
      </c>
      <c r="AC690" s="6">
        <f>$M$690*$W$690</f>
        <v>26887.579290000001</v>
      </c>
      <c r="AD690" s="6">
        <f>$O$690*$X$690</f>
        <v>25865.872890000002</v>
      </c>
      <c r="AE690" s="6">
        <f>$K$690*$Y$690</f>
        <v>0</v>
      </c>
      <c r="AF690" s="6">
        <f ca="1">$M$690*$Z$690</f>
        <v>31447.474984186851</v>
      </c>
      <c r="AG690" s="6">
        <f>$O$690*$AA$690</f>
        <v>20693.874844559461</v>
      </c>
    </row>
    <row r="691" spans="1:33" ht="11.25" customHeight="1" x14ac:dyDescent="0.25">
      <c r="A691" s="4" t="s">
        <v>28</v>
      </c>
      <c r="B691" s="4" t="s">
        <v>39</v>
      </c>
      <c r="C691" s="4" t="s">
        <v>23</v>
      </c>
      <c r="D691" s="4" t="s">
        <v>40</v>
      </c>
      <c r="E691" s="4" t="s">
        <v>25</v>
      </c>
      <c r="F691" s="4" t="s">
        <v>25</v>
      </c>
      <c r="G691" s="4" t="s">
        <v>25</v>
      </c>
      <c r="H691" s="4" t="s">
        <v>25</v>
      </c>
      <c r="I691" s="5">
        <v>44440</v>
      </c>
      <c r="J691" s="6">
        <v>0</v>
      </c>
      <c r="K691" s="6">
        <v>0</v>
      </c>
      <c r="L691" s="6">
        <v>0.1</v>
      </c>
      <c r="M691" s="6">
        <v>0.1</v>
      </c>
      <c r="N691" s="6">
        <v>0.1</v>
      </c>
      <c r="O691" s="6">
        <v>0.1</v>
      </c>
      <c r="P691" s="6">
        <v>1</v>
      </c>
      <c r="Q691" s="4" t="s">
        <v>26</v>
      </c>
      <c r="R691" s="4">
        <v>0</v>
      </c>
      <c r="S691" s="6">
        <v>0</v>
      </c>
      <c r="T691" s="6">
        <v>44</v>
      </c>
      <c r="U691" s="6">
        <v>81</v>
      </c>
      <c r="V691" s="6">
        <f>IF(ISERROR(VLOOKUP($S$691,'TAR FIN'!$A$1:$O$85,15,0)),0,VLOOKUP($S$691,'TAR FIN'!$A$1:$O$85,15,0))</f>
        <v>0</v>
      </c>
      <c r="W691" s="6">
        <f>IF(ISERROR(VLOOKUP($T$691,'TAR FIN'!$A$1:$O$85,15,0)),0,VLOOKUP($T$691,'TAR FIN'!$A$1:$O$85,15,0))</f>
        <v>273.69</v>
      </c>
      <c r="X691" s="6">
        <f>IF(ISERROR(VLOOKUP($U$691,'TAR FIN'!$A$1:$O$85,15,0)),0,VLOOKUP($U$691,'TAR FIN'!$A$1:$O$85,15,0))</f>
        <v>263.29000000000002</v>
      </c>
      <c r="Y691" s="6"/>
      <c r="Z691" s="6">
        <f ca="1">('TUSD BE'!$AM$48+'TUSD BF'!$AM$48+'TUSD CVA'!$AM$48)*1</f>
        <v>320.1054038964063</v>
      </c>
      <c r="AA691" s="6">
        <f>('TE BE'!$AA$38+'TE BF'!$AA$38+'TE CVA'!$AA$38)*1</f>
        <v>210.64397598313801</v>
      </c>
      <c r="AB691" s="6">
        <f>$K$691*$V$691</f>
        <v>0</v>
      </c>
      <c r="AC691" s="6">
        <f>$M$691*$W$691</f>
        <v>27.369</v>
      </c>
      <c r="AD691" s="6">
        <f>$O$691*$X$691</f>
        <v>26.329000000000004</v>
      </c>
      <c r="AE691" s="6">
        <f>$K$691*$Y$691</f>
        <v>0</v>
      </c>
      <c r="AF691" s="6">
        <f ca="1">$M$691*$Z$691</f>
        <v>32.010540389640632</v>
      </c>
      <c r="AG691" s="6">
        <f>$O$691*$AA$691</f>
        <v>21.064397598313803</v>
      </c>
    </row>
    <row r="692" spans="1:33" ht="11.25" customHeight="1" x14ac:dyDescent="0.25">
      <c r="A692" s="4" t="s">
        <v>21</v>
      </c>
      <c r="B692" s="4" t="s">
        <v>39</v>
      </c>
      <c r="C692" s="4" t="s">
        <v>23</v>
      </c>
      <c r="D692" s="4" t="s">
        <v>40</v>
      </c>
      <c r="E692" s="4" t="s">
        <v>25</v>
      </c>
      <c r="F692" s="4" t="s">
        <v>25</v>
      </c>
      <c r="G692" s="4" t="s">
        <v>25</v>
      </c>
      <c r="H692" s="4" t="s">
        <v>25</v>
      </c>
      <c r="I692" s="5">
        <v>44470</v>
      </c>
      <c r="J692" s="6">
        <v>0</v>
      </c>
      <c r="K692" s="6">
        <v>0</v>
      </c>
      <c r="L692" s="6">
        <v>108.854</v>
      </c>
      <c r="M692" s="6">
        <v>108.854</v>
      </c>
      <c r="N692" s="6">
        <v>108.854</v>
      </c>
      <c r="O692" s="6">
        <v>108.854</v>
      </c>
      <c r="P692" s="6">
        <v>42</v>
      </c>
      <c r="Q692" s="4" t="s">
        <v>26</v>
      </c>
      <c r="R692" s="4">
        <v>0</v>
      </c>
      <c r="S692" s="6">
        <v>0</v>
      </c>
      <c r="T692" s="6">
        <v>44</v>
      </c>
      <c r="U692" s="6">
        <v>81</v>
      </c>
      <c r="V692" s="6">
        <f>IF(ISERROR(VLOOKUP($S$692,'TAR FIN'!$A$1:$O$85,15,0)),0,VLOOKUP($S$692,'TAR FIN'!$A$1:$O$85,15,0))</f>
        <v>0</v>
      </c>
      <c r="W692" s="6">
        <f>IF(ISERROR(VLOOKUP($T$692,'TAR FIN'!$A$1:$O$85,15,0)),0,VLOOKUP($T$692,'TAR FIN'!$A$1:$O$85,15,0))</f>
        <v>273.69</v>
      </c>
      <c r="X692" s="6">
        <f>IF(ISERROR(VLOOKUP($U$692,'TAR FIN'!$A$1:$O$85,15,0)),0,VLOOKUP($U$692,'TAR FIN'!$A$1:$O$85,15,0))</f>
        <v>263.29000000000002</v>
      </c>
      <c r="Y692" s="6"/>
      <c r="Z692" s="6">
        <f ca="1">('TUSD BE'!$AM$48+'TUSD BF'!$AM$48+'TUSD CVA'!$AM$48)*1</f>
        <v>320.1054038964063</v>
      </c>
      <c r="AA692" s="6">
        <f>('TE BE'!$AA$38+'TE BF'!$AA$38+'TE CVA'!$AA$38)*1</f>
        <v>210.64397598313801</v>
      </c>
      <c r="AB692" s="6">
        <f>$K$692*$V$692</f>
        <v>0</v>
      </c>
      <c r="AC692" s="6">
        <f>$M$692*$W$692</f>
        <v>29792.251260000001</v>
      </c>
      <c r="AD692" s="6">
        <f>$O$692*$X$692</f>
        <v>28660.169660000003</v>
      </c>
      <c r="AE692" s="6">
        <f>$K$692*$Y$692</f>
        <v>0</v>
      </c>
      <c r="AF692" s="6">
        <f ca="1">$M$692*$Z$692</f>
        <v>34844.753635739413</v>
      </c>
      <c r="AG692" s="6">
        <f>$O$692*$AA$692</f>
        <v>22929.439361668505</v>
      </c>
    </row>
    <row r="693" spans="1:33" ht="11.25" customHeight="1" x14ac:dyDescent="0.25">
      <c r="A693" s="4" t="s">
        <v>28</v>
      </c>
      <c r="B693" s="4" t="s">
        <v>39</v>
      </c>
      <c r="C693" s="4" t="s">
        <v>23</v>
      </c>
      <c r="D693" s="4" t="s">
        <v>40</v>
      </c>
      <c r="E693" s="4" t="s">
        <v>25</v>
      </c>
      <c r="F693" s="4" t="s">
        <v>25</v>
      </c>
      <c r="G693" s="4" t="s">
        <v>25</v>
      </c>
      <c r="H693" s="4" t="s">
        <v>25</v>
      </c>
      <c r="I693" s="5">
        <v>44470</v>
      </c>
      <c r="J693" s="6">
        <v>0</v>
      </c>
      <c r="K693" s="6">
        <v>0</v>
      </c>
      <c r="L693" s="6">
        <v>0.3</v>
      </c>
      <c r="M693" s="6">
        <v>0.3</v>
      </c>
      <c r="N693" s="6">
        <v>0.3</v>
      </c>
      <c r="O693" s="6">
        <v>0.3</v>
      </c>
      <c r="P693" s="6">
        <v>3</v>
      </c>
      <c r="Q693" s="4" t="s">
        <v>26</v>
      </c>
      <c r="R693" s="4">
        <v>0</v>
      </c>
      <c r="S693" s="6">
        <v>0</v>
      </c>
      <c r="T693" s="6">
        <v>44</v>
      </c>
      <c r="U693" s="6">
        <v>81</v>
      </c>
      <c r="V693" s="6">
        <f>IF(ISERROR(VLOOKUP($S$693,'TAR FIN'!$A$1:$O$85,15,0)),0,VLOOKUP($S$693,'TAR FIN'!$A$1:$O$85,15,0))</f>
        <v>0</v>
      </c>
      <c r="W693" s="6">
        <f>IF(ISERROR(VLOOKUP($T$693,'TAR FIN'!$A$1:$O$85,15,0)),0,VLOOKUP($T$693,'TAR FIN'!$A$1:$O$85,15,0))</f>
        <v>273.69</v>
      </c>
      <c r="X693" s="6">
        <f>IF(ISERROR(VLOOKUP($U$693,'TAR FIN'!$A$1:$O$85,15,0)),0,VLOOKUP($U$693,'TAR FIN'!$A$1:$O$85,15,0))</f>
        <v>263.29000000000002</v>
      </c>
      <c r="Y693" s="6"/>
      <c r="Z693" s="6">
        <f ca="1">('TUSD BE'!$AM$48+'TUSD BF'!$AM$48+'TUSD CVA'!$AM$48)*1</f>
        <v>320.1054038964063</v>
      </c>
      <c r="AA693" s="6">
        <f>('TE BE'!$AA$38+'TE BF'!$AA$38+'TE CVA'!$AA$38)*1</f>
        <v>210.64397598313801</v>
      </c>
      <c r="AB693" s="6">
        <f>$K$693*$V$693</f>
        <v>0</v>
      </c>
      <c r="AC693" s="6">
        <f>$M$693*$W$693</f>
        <v>82.106999999999999</v>
      </c>
      <c r="AD693" s="6">
        <f>$O$693*$X$693</f>
        <v>78.987000000000009</v>
      </c>
      <c r="AE693" s="6">
        <f>$K$693*$Y$693</f>
        <v>0</v>
      </c>
      <c r="AF693" s="6">
        <f ca="1">$M$693*$Z$693</f>
        <v>96.031621168921887</v>
      </c>
      <c r="AG693" s="6">
        <f>$O$693*$AA$693</f>
        <v>63.193192794941396</v>
      </c>
    </row>
    <row r="694" spans="1:33" ht="11.25" customHeight="1" x14ac:dyDescent="0.25">
      <c r="A694" s="4" t="s">
        <v>21</v>
      </c>
      <c r="B694" s="4" t="s">
        <v>39</v>
      </c>
      <c r="C694" s="4" t="s">
        <v>23</v>
      </c>
      <c r="D694" s="4" t="s">
        <v>40</v>
      </c>
      <c r="E694" s="4" t="s">
        <v>25</v>
      </c>
      <c r="F694" s="4" t="s">
        <v>25</v>
      </c>
      <c r="G694" s="4" t="s">
        <v>25</v>
      </c>
      <c r="H694" s="4" t="s">
        <v>25</v>
      </c>
      <c r="I694" s="5">
        <v>44501</v>
      </c>
      <c r="J694" s="6">
        <v>0</v>
      </c>
      <c r="K694" s="6">
        <v>0</v>
      </c>
      <c r="L694" s="6">
        <v>110.777</v>
      </c>
      <c r="M694" s="6">
        <v>110.777</v>
      </c>
      <c r="N694" s="6">
        <v>110.777</v>
      </c>
      <c r="O694" s="6">
        <v>110.777</v>
      </c>
      <c r="P694" s="6">
        <v>41</v>
      </c>
      <c r="Q694" s="4" t="s">
        <v>26</v>
      </c>
      <c r="R694" s="4">
        <v>0</v>
      </c>
      <c r="S694" s="6">
        <v>0</v>
      </c>
      <c r="T694" s="6">
        <v>44</v>
      </c>
      <c r="U694" s="6">
        <v>81</v>
      </c>
      <c r="V694" s="6">
        <f>IF(ISERROR(VLOOKUP($S$694,'TAR FIN'!$A$1:$O$85,15,0)),0,VLOOKUP($S$694,'TAR FIN'!$A$1:$O$85,15,0))</f>
        <v>0</v>
      </c>
      <c r="W694" s="6">
        <f>IF(ISERROR(VLOOKUP($T$694,'TAR FIN'!$A$1:$O$85,15,0)),0,VLOOKUP($T$694,'TAR FIN'!$A$1:$O$85,15,0))</f>
        <v>273.69</v>
      </c>
      <c r="X694" s="6">
        <f>IF(ISERROR(VLOOKUP($U$694,'TAR FIN'!$A$1:$O$85,15,0)),0,VLOOKUP($U$694,'TAR FIN'!$A$1:$O$85,15,0))</f>
        <v>263.29000000000002</v>
      </c>
      <c r="Y694" s="6"/>
      <c r="Z694" s="6">
        <f ca="1">('TUSD BE'!$AM$48+'TUSD BF'!$AM$48+'TUSD CVA'!$AM$48)*1</f>
        <v>320.1054038964063</v>
      </c>
      <c r="AA694" s="6">
        <f>('TE BE'!$AA$38+'TE BF'!$AA$38+'TE CVA'!$AA$38)*1</f>
        <v>210.64397598313801</v>
      </c>
      <c r="AB694" s="6">
        <f>$K$694*$V$694</f>
        <v>0</v>
      </c>
      <c r="AC694" s="6">
        <f>$M$694*$W$694</f>
        <v>30318.557130000001</v>
      </c>
      <c r="AD694" s="6">
        <f>$O$694*$X$694</f>
        <v>29166.476330000001</v>
      </c>
      <c r="AE694" s="6">
        <f>$K$694*$Y$694</f>
        <v>0</v>
      </c>
      <c r="AF694" s="6">
        <f ca="1">$M$694*$Z$694</f>
        <v>35460.3163274322</v>
      </c>
      <c r="AG694" s="6">
        <f>$O$694*$AA$694</f>
        <v>23334.507727484081</v>
      </c>
    </row>
    <row r="695" spans="1:33" ht="11.25" customHeight="1" x14ac:dyDescent="0.25">
      <c r="A695" s="4" t="s">
        <v>28</v>
      </c>
      <c r="B695" s="4" t="s">
        <v>39</v>
      </c>
      <c r="C695" s="4" t="s">
        <v>23</v>
      </c>
      <c r="D695" s="4" t="s">
        <v>40</v>
      </c>
      <c r="E695" s="4" t="s">
        <v>25</v>
      </c>
      <c r="F695" s="4" t="s">
        <v>25</v>
      </c>
      <c r="G695" s="4" t="s">
        <v>25</v>
      </c>
      <c r="H695" s="4" t="s">
        <v>25</v>
      </c>
      <c r="I695" s="5">
        <v>44501</v>
      </c>
      <c r="J695" s="6">
        <v>0</v>
      </c>
      <c r="K695" s="6">
        <v>0</v>
      </c>
      <c r="L695" s="6">
        <v>0.3</v>
      </c>
      <c r="M695" s="6">
        <v>0.3</v>
      </c>
      <c r="N695" s="6">
        <v>0.3</v>
      </c>
      <c r="O695" s="6">
        <v>0.3</v>
      </c>
      <c r="P695" s="6">
        <v>3</v>
      </c>
      <c r="Q695" s="4" t="s">
        <v>26</v>
      </c>
      <c r="R695" s="4">
        <v>0</v>
      </c>
      <c r="S695" s="6">
        <v>0</v>
      </c>
      <c r="T695" s="6">
        <v>44</v>
      </c>
      <c r="U695" s="6">
        <v>81</v>
      </c>
      <c r="V695" s="6">
        <f>IF(ISERROR(VLOOKUP($S$695,'TAR FIN'!$A$1:$O$85,15,0)),0,VLOOKUP($S$695,'TAR FIN'!$A$1:$O$85,15,0))</f>
        <v>0</v>
      </c>
      <c r="W695" s="6">
        <f>IF(ISERROR(VLOOKUP($T$695,'TAR FIN'!$A$1:$O$85,15,0)),0,VLOOKUP($T$695,'TAR FIN'!$A$1:$O$85,15,0))</f>
        <v>273.69</v>
      </c>
      <c r="X695" s="6">
        <f>IF(ISERROR(VLOOKUP($U$695,'TAR FIN'!$A$1:$O$85,15,0)),0,VLOOKUP($U$695,'TAR FIN'!$A$1:$O$85,15,0))</f>
        <v>263.29000000000002</v>
      </c>
      <c r="Y695" s="6"/>
      <c r="Z695" s="6">
        <f ca="1">('TUSD BE'!$AM$48+'TUSD BF'!$AM$48+'TUSD CVA'!$AM$48)*1</f>
        <v>320.1054038964063</v>
      </c>
      <c r="AA695" s="6">
        <f>('TE BE'!$AA$38+'TE BF'!$AA$38+'TE CVA'!$AA$38)*1</f>
        <v>210.64397598313801</v>
      </c>
      <c r="AB695" s="6">
        <f>$K$695*$V$695</f>
        <v>0</v>
      </c>
      <c r="AC695" s="6">
        <f>$M$695*$W$695</f>
        <v>82.106999999999999</v>
      </c>
      <c r="AD695" s="6">
        <f>$O$695*$X$695</f>
        <v>78.987000000000009</v>
      </c>
      <c r="AE695" s="6">
        <f>$K$695*$Y$695</f>
        <v>0</v>
      </c>
      <c r="AF695" s="6">
        <f ca="1">$M$695*$Z$695</f>
        <v>96.031621168921887</v>
      </c>
      <c r="AG695" s="6">
        <f>$O$695*$AA$695</f>
        <v>63.193192794941396</v>
      </c>
    </row>
    <row r="696" spans="1:33" ht="11.25" customHeight="1" x14ac:dyDescent="0.25">
      <c r="A696" s="4" t="s">
        <v>21</v>
      </c>
      <c r="B696" s="4" t="s">
        <v>39</v>
      </c>
      <c r="C696" s="4" t="s">
        <v>23</v>
      </c>
      <c r="D696" s="4" t="s">
        <v>40</v>
      </c>
      <c r="E696" s="4" t="s">
        <v>25</v>
      </c>
      <c r="F696" s="4" t="s">
        <v>25</v>
      </c>
      <c r="G696" s="4" t="s">
        <v>25</v>
      </c>
      <c r="H696" s="4" t="s">
        <v>25</v>
      </c>
      <c r="I696" s="5">
        <v>44531</v>
      </c>
      <c r="J696" s="6">
        <v>0</v>
      </c>
      <c r="K696" s="6">
        <v>0</v>
      </c>
      <c r="L696" s="6">
        <v>108.777</v>
      </c>
      <c r="M696" s="6">
        <v>108.777</v>
      </c>
      <c r="N696" s="6">
        <v>108.777</v>
      </c>
      <c r="O696" s="6">
        <v>108.777</v>
      </c>
      <c r="P696" s="6">
        <v>40</v>
      </c>
      <c r="Q696" s="4" t="s">
        <v>26</v>
      </c>
      <c r="R696" s="4">
        <v>0</v>
      </c>
      <c r="S696" s="6">
        <v>0</v>
      </c>
      <c r="T696" s="6">
        <v>44</v>
      </c>
      <c r="U696" s="6">
        <v>81</v>
      </c>
      <c r="V696" s="6">
        <f>IF(ISERROR(VLOOKUP($S$696,'TAR FIN'!$A$1:$O$85,15,0)),0,VLOOKUP($S$696,'TAR FIN'!$A$1:$O$85,15,0))</f>
        <v>0</v>
      </c>
      <c r="W696" s="6">
        <f>IF(ISERROR(VLOOKUP($T$696,'TAR FIN'!$A$1:$O$85,15,0)),0,VLOOKUP($T$696,'TAR FIN'!$A$1:$O$85,15,0))</f>
        <v>273.69</v>
      </c>
      <c r="X696" s="6">
        <f>IF(ISERROR(VLOOKUP($U$696,'TAR FIN'!$A$1:$O$85,15,0)),0,VLOOKUP($U$696,'TAR FIN'!$A$1:$O$85,15,0))</f>
        <v>263.29000000000002</v>
      </c>
      <c r="Y696" s="6"/>
      <c r="Z696" s="6">
        <f ca="1">('TUSD BE'!$AM$48+'TUSD BF'!$AM$48+'TUSD CVA'!$AM$48)*1</f>
        <v>320.1054038964063</v>
      </c>
      <c r="AA696" s="6">
        <f>('TE BE'!$AA$38+'TE BF'!$AA$38+'TE CVA'!$AA$38)*1</f>
        <v>210.64397598313801</v>
      </c>
      <c r="AB696" s="6">
        <f>$K$696*$V$696</f>
        <v>0</v>
      </c>
      <c r="AC696" s="6">
        <f>$M$696*$W$696</f>
        <v>29771.17713</v>
      </c>
      <c r="AD696" s="6">
        <f>$O$696*$X$696</f>
        <v>28639.896330000003</v>
      </c>
      <c r="AE696" s="6">
        <f>$K$696*$Y$696</f>
        <v>0</v>
      </c>
      <c r="AF696" s="6">
        <f ca="1">$M$696*$Z$696</f>
        <v>34820.105519639386</v>
      </c>
      <c r="AG696" s="6">
        <f>$O$696*$AA$696</f>
        <v>22913.219775517802</v>
      </c>
    </row>
    <row r="697" spans="1:33" ht="11.25" customHeight="1" x14ac:dyDescent="0.25">
      <c r="A697" s="4" t="s">
        <v>27</v>
      </c>
      <c r="B697" s="4" t="s">
        <v>39</v>
      </c>
      <c r="C697" s="4" t="s">
        <v>23</v>
      </c>
      <c r="D697" s="4" t="s">
        <v>40</v>
      </c>
      <c r="E697" s="4" t="s">
        <v>25</v>
      </c>
      <c r="F697" s="4" t="s">
        <v>25</v>
      </c>
      <c r="G697" s="4" t="s">
        <v>25</v>
      </c>
      <c r="H697" s="4" t="s">
        <v>25</v>
      </c>
      <c r="I697" s="5">
        <v>44531</v>
      </c>
      <c r="J697" s="6">
        <v>0</v>
      </c>
      <c r="K697" s="6">
        <v>0</v>
      </c>
      <c r="L697" s="6">
        <v>4.9950000000000001</v>
      </c>
      <c r="M697" s="6">
        <v>4.9950000000000001</v>
      </c>
      <c r="N697" s="6">
        <v>4.9950000000000001</v>
      </c>
      <c r="O697" s="6">
        <v>4.9950000000000001</v>
      </c>
      <c r="P697" s="6">
        <v>0</v>
      </c>
      <c r="Q697" s="4" t="s">
        <v>26</v>
      </c>
      <c r="R697" s="4">
        <v>0</v>
      </c>
      <c r="S697" s="6">
        <v>0</v>
      </c>
      <c r="T697" s="6">
        <v>44</v>
      </c>
      <c r="U697" s="6">
        <v>81</v>
      </c>
      <c r="V697" s="6">
        <f>IF(ISERROR(VLOOKUP($S$697,'TAR FIN'!$A$1:$O$85,15,0)),0,VLOOKUP($S$697,'TAR FIN'!$A$1:$O$85,15,0))</f>
        <v>0</v>
      </c>
      <c r="W697" s="6">
        <f>IF(ISERROR(VLOOKUP($T$697,'TAR FIN'!$A$1:$O$85,15,0)),0,VLOOKUP($T$697,'TAR FIN'!$A$1:$O$85,15,0))</f>
        <v>273.69</v>
      </c>
      <c r="X697" s="6">
        <f>IF(ISERROR(VLOOKUP($U$697,'TAR FIN'!$A$1:$O$85,15,0)),0,VLOOKUP($U$697,'TAR FIN'!$A$1:$O$85,15,0))</f>
        <v>263.29000000000002</v>
      </c>
      <c r="Y697" s="6"/>
      <c r="Z697" s="6">
        <f ca="1">('TUSD BE'!$AM$48+'TUSD BF'!$AM$48+'TUSD CVA'!$AM$48)*1</f>
        <v>320.1054038964063</v>
      </c>
      <c r="AA697" s="6">
        <f>('TE BE'!$AA$38+'TE BF'!$AA$38+'TE CVA'!$AA$38)*1</f>
        <v>210.64397598313801</v>
      </c>
      <c r="AB697" s="6">
        <f>$K$697*$V$697</f>
        <v>0</v>
      </c>
      <c r="AC697" s="6">
        <f>$M$697*$W$697</f>
        <v>1367.0815500000001</v>
      </c>
      <c r="AD697" s="6">
        <f>$O$697*$X$697</f>
        <v>1315.1335500000002</v>
      </c>
      <c r="AE697" s="6">
        <f>$K$697*$Y$697</f>
        <v>0</v>
      </c>
      <c r="AF697" s="6">
        <f ca="1">$M$697*$Z$697</f>
        <v>1598.9264924625495</v>
      </c>
      <c r="AG697" s="6">
        <f>$O$697*$AA$697</f>
        <v>1052.1666600357744</v>
      </c>
    </row>
    <row r="698" spans="1:33" ht="11.25" customHeight="1" x14ac:dyDescent="0.25">
      <c r="A698" s="4" t="s">
        <v>28</v>
      </c>
      <c r="B698" s="4" t="s">
        <v>39</v>
      </c>
      <c r="C698" s="4" t="s">
        <v>23</v>
      </c>
      <c r="D698" s="4" t="s">
        <v>40</v>
      </c>
      <c r="E698" s="4" t="s">
        <v>25</v>
      </c>
      <c r="F698" s="4" t="s">
        <v>25</v>
      </c>
      <c r="G698" s="4" t="s">
        <v>25</v>
      </c>
      <c r="H698" s="4" t="s">
        <v>25</v>
      </c>
      <c r="I698" s="5">
        <v>44531</v>
      </c>
      <c r="J698" s="6">
        <v>0</v>
      </c>
      <c r="K698" s="6">
        <v>0</v>
      </c>
      <c r="L698" s="6">
        <v>0.3</v>
      </c>
      <c r="M698" s="6">
        <v>0.3</v>
      </c>
      <c r="N698" s="6">
        <v>0.3</v>
      </c>
      <c r="O698" s="6">
        <v>0.3</v>
      </c>
      <c r="P698" s="6">
        <v>3</v>
      </c>
      <c r="Q698" s="4" t="s">
        <v>26</v>
      </c>
      <c r="R698" s="4">
        <v>0</v>
      </c>
      <c r="S698" s="6">
        <v>0</v>
      </c>
      <c r="T698" s="6">
        <v>44</v>
      </c>
      <c r="U698" s="6">
        <v>81</v>
      </c>
      <c r="V698" s="6">
        <f>IF(ISERROR(VLOOKUP($S$698,'TAR FIN'!$A$1:$O$85,15,0)),0,VLOOKUP($S$698,'TAR FIN'!$A$1:$O$85,15,0))</f>
        <v>0</v>
      </c>
      <c r="W698" s="6">
        <f>IF(ISERROR(VLOOKUP($T$698,'TAR FIN'!$A$1:$O$85,15,0)),0,VLOOKUP($T$698,'TAR FIN'!$A$1:$O$85,15,0))</f>
        <v>273.69</v>
      </c>
      <c r="X698" s="6">
        <f>IF(ISERROR(VLOOKUP($U$698,'TAR FIN'!$A$1:$O$85,15,0)),0,VLOOKUP($U$698,'TAR FIN'!$A$1:$O$85,15,0))</f>
        <v>263.29000000000002</v>
      </c>
      <c r="Y698" s="6"/>
      <c r="Z698" s="6">
        <f ca="1">('TUSD BE'!$AM$48+'TUSD BF'!$AM$48+'TUSD CVA'!$AM$48)*1</f>
        <v>320.1054038964063</v>
      </c>
      <c r="AA698" s="6">
        <f>('TE BE'!$AA$38+'TE BF'!$AA$38+'TE CVA'!$AA$38)*1</f>
        <v>210.64397598313801</v>
      </c>
      <c r="AB698" s="6">
        <f>$K$698*$V$698</f>
        <v>0</v>
      </c>
      <c r="AC698" s="6">
        <f>$M$698*$W$698</f>
        <v>82.106999999999999</v>
      </c>
      <c r="AD698" s="6">
        <f>$O$698*$X$698</f>
        <v>78.987000000000009</v>
      </c>
      <c r="AE698" s="6">
        <f>$K$698*$Y$698</f>
        <v>0</v>
      </c>
      <c r="AF698" s="6">
        <f ca="1">$M$698*$Z$698</f>
        <v>96.031621168921887</v>
      </c>
      <c r="AG698" s="6">
        <f>$O$698*$AA$698</f>
        <v>63.193192794941396</v>
      </c>
    </row>
    <row r="699" spans="1:33" ht="11.25" customHeight="1" x14ac:dyDescent="0.25">
      <c r="A699" s="4" t="s">
        <v>21</v>
      </c>
      <c r="B699" s="4" t="s">
        <v>39</v>
      </c>
      <c r="C699" s="4" t="s">
        <v>23</v>
      </c>
      <c r="D699" s="4" t="s">
        <v>40</v>
      </c>
      <c r="E699" s="4" t="s">
        <v>25</v>
      </c>
      <c r="F699" s="4" t="s">
        <v>25</v>
      </c>
      <c r="G699" s="4" t="s">
        <v>25</v>
      </c>
      <c r="H699" s="4" t="s">
        <v>25</v>
      </c>
      <c r="I699" s="5">
        <v>44562</v>
      </c>
      <c r="J699" s="6">
        <v>0</v>
      </c>
      <c r="K699" s="6">
        <v>0</v>
      </c>
      <c r="L699" s="6">
        <v>102.43300000000001</v>
      </c>
      <c r="M699" s="6">
        <v>102.43300000000001</v>
      </c>
      <c r="N699" s="6">
        <v>102.43300000000001</v>
      </c>
      <c r="O699" s="6">
        <v>102.43300000000001</v>
      </c>
      <c r="P699" s="6">
        <v>40</v>
      </c>
      <c r="Q699" s="4" t="s">
        <v>26</v>
      </c>
      <c r="R699" s="4">
        <v>0</v>
      </c>
      <c r="S699" s="6">
        <v>0</v>
      </c>
      <c r="T699" s="6">
        <v>44</v>
      </c>
      <c r="U699" s="6">
        <v>81</v>
      </c>
      <c r="V699" s="6">
        <f>IF(ISERROR(VLOOKUP($S$699,'TAR FIN'!$A$1:$O$85,15,0)),0,VLOOKUP($S$699,'TAR FIN'!$A$1:$O$85,15,0))</f>
        <v>0</v>
      </c>
      <c r="W699" s="6">
        <f>IF(ISERROR(VLOOKUP($T$699,'TAR FIN'!$A$1:$O$85,15,0)),0,VLOOKUP($T$699,'TAR FIN'!$A$1:$O$85,15,0))</f>
        <v>273.69</v>
      </c>
      <c r="X699" s="6">
        <f>IF(ISERROR(VLOOKUP($U$699,'TAR FIN'!$A$1:$O$85,15,0)),0,VLOOKUP($U$699,'TAR FIN'!$A$1:$O$85,15,0))</f>
        <v>263.29000000000002</v>
      </c>
      <c r="Y699" s="6"/>
      <c r="Z699" s="6">
        <f ca="1">('TUSD BE'!$AM$48+'TUSD BF'!$AM$48+'TUSD CVA'!$AM$48)*1</f>
        <v>320.1054038964063</v>
      </c>
      <c r="AA699" s="6">
        <f>('TE BE'!$AA$38+'TE BF'!$AA$38+'TE CVA'!$AA$38)*1</f>
        <v>210.64397598313801</v>
      </c>
      <c r="AB699" s="6">
        <f>$K$699*$V$699</f>
        <v>0</v>
      </c>
      <c r="AC699" s="6">
        <f>$M$699*$W$699</f>
        <v>28034.887770000001</v>
      </c>
      <c r="AD699" s="6">
        <f>$O$699*$X$699</f>
        <v>26969.584570000003</v>
      </c>
      <c r="AE699" s="6">
        <f>$K$699*$Y$699</f>
        <v>0</v>
      </c>
      <c r="AF699" s="6">
        <f ca="1">$M$699*$Z$699</f>
        <v>32789.356837320585</v>
      </c>
      <c r="AG699" s="6">
        <f>$O$699*$AA$699</f>
        <v>21576.894391880778</v>
      </c>
    </row>
    <row r="700" spans="1:33" ht="11.25" customHeight="1" x14ac:dyDescent="0.25">
      <c r="A700" s="4" t="s">
        <v>28</v>
      </c>
      <c r="B700" s="4" t="s">
        <v>39</v>
      </c>
      <c r="C700" s="4" t="s">
        <v>23</v>
      </c>
      <c r="D700" s="4" t="s">
        <v>40</v>
      </c>
      <c r="E700" s="4" t="s">
        <v>25</v>
      </c>
      <c r="F700" s="4" t="s">
        <v>25</v>
      </c>
      <c r="G700" s="4" t="s">
        <v>25</v>
      </c>
      <c r="H700" s="4" t="s">
        <v>25</v>
      </c>
      <c r="I700" s="5">
        <v>44562</v>
      </c>
      <c r="J700" s="6">
        <v>0</v>
      </c>
      <c r="K700" s="6">
        <v>0</v>
      </c>
      <c r="L700" s="6">
        <v>0.3</v>
      </c>
      <c r="M700" s="6">
        <v>0.3</v>
      </c>
      <c r="N700" s="6">
        <v>0.3</v>
      </c>
      <c r="O700" s="6">
        <v>0.3</v>
      </c>
      <c r="P700" s="6">
        <v>3</v>
      </c>
      <c r="Q700" s="4" t="s">
        <v>26</v>
      </c>
      <c r="R700" s="4">
        <v>0</v>
      </c>
      <c r="S700" s="6">
        <v>0</v>
      </c>
      <c r="T700" s="6">
        <v>44</v>
      </c>
      <c r="U700" s="6">
        <v>81</v>
      </c>
      <c r="V700" s="6">
        <f>IF(ISERROR(VLOOKUP($S$700,'TAR FIN'!$A$1:$O$85,15,0)),0,VLOOKUP($S$700,'TAR FIN'!$A$1:$O$85,15,0))</f>
        <v>0</v>
      </c>
      <c r="W700" s="6">
        <f>IF(ISERROR(VLOOKUP($T$700,'TAR FIN'!$A$1:$O$85,15,0)),0,VLOOKUP($T$700,'TAR FIN'!$A$1:$O$85,15,0))</f>
        <v>273.69</v>
      </c>
      <c r="X700" s="6">
        <f>IF(ISERROR(VLOOKUP($U$700,'TAR FIN'!$A$1:$O$85,15,0)),0,VLOOKUP($U$700,'TAR FIN'!$A$1:$O$85,15,0))</f>
        <v>263.29000000000002</v>
      </c>
      <c r="Y700" s="6"/>
      <c r="Z700" s="6">
        <f ca="1">('TUSD BE'!$AM$48+'TUSD BF'!$AM$48+'TUSD CVA'!$AM$48)*1</f>
        <v>320.1054038964063</v>
      </c>
      <c r="AA700" s="6">
        <f>('TE BE'!$AA$38+'TE BF'!$AA$38+'TE CVA'!$AA$38)*1</f>
        <v>210.64397598313801</v>
      </c>
      <c r="AB700" s="6">
        <f>$K$700*$V$700</f>
        <v>0</v>
      </c>
      <c r="AC700" s="6">
        <f>$M$700*$W$700</f>
        <v>82.106999999999999</v>
      </c>
      <c r="AD700" s="6">
        <f>$O$700*$X$700</f>
        <v>78.987000000000009</v>
      </c>
      <c r="AE700" s="6">
        <f>$K$700*$Y$700</f>
        <v>0</v>
      </c>
      <c r="AF700" s="6">
        <f ca="1">$M$700*$Z$700</f>
        <v>96.031621168921887</v>
      </c>
      <c r="AG700" s="6">
        <f>$O$700*$AA$700</f>
        <v>63.193192794941396</v>
      </c>
    </row>
    <row r="701" spans="1:33" ht="11.25" customHeight="1" x14ac:dyDescent="0.25">
      <c r="A701" s="4" t="s">
        <v>21</v>
      </c>
      <c r="B701" s="4" t="s">
        <v>39</v>
      </c>
      <c r="C701" s="4" t="s">
        <v>23</v>
      </c>
      <c r="D701" s="4" t="s">
        <v>40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44593</v>
      </c>
      <c r="J701" s="6">
        <v>0</v>
      </c>
      <c r="K701" s="6">
        <v>0</v>
      </c>
      <c r="L701" s="6">
        <v>118.384</v>
      </c>
      <c r="M701" s="6">
        <v>118.384</v>
      </c>
      <c r="N701" s="6">
        <v>118.384</v>
      </c>
      <c r="O701" s="6">
        <v>118.384</v>
      </c>
      <c r="P701" s="6">
        <v>40</v>
      </c>
      <c r="Q701" s="4" t="s">
        <v>26</v>
      </c>
      <c r="R701" s="4">
        <v>0</v>
      </c>
      <c r="S701" s="6">
        <v>0</v>
      </c>
      <c r="T701" s="6">
        <v>44</v>
      </c>
      <c r="U701" s="6">
        <v>81</v>
      </c>
      <c r="V701" s="6">
        <f>IF(ISERROR(VLOOKUP($S$701,'TAR FIN'!$A$1:$O$85,15,0)),0,VLOOKUP($S$701,'TAR FIN'!$A$1:$O$85,15,0))</f>
        <v>0</v>
      </c>
      <c r="W701" s="6">
        <f>IF(ISERROR(VLOOKUP($T$701,'TAR FIN'!$A$1:$O$85,15,0)),0,VLOOKUP($T$701,'TAR FIN'!$A$1:$O$85,15,0))</f>
        <v>273.69</v>
      </c>
      <c r="X701" s="6">
        <f>IF(ISERROR(VLOOKUP($U$701,'TAR FIN'!$A$1:$O$85,15,0)),0,VLOOKUP($U$701,'TAR FIN'!$A$1:$O$85,15,0))</f>
        <v>263.29000000000002</v>
      </c>
      <c r="Y701" s="6"/>
      <c r="Z701" s="6">
        <f ca="1">('TUSD BE'!$AM$48+'TUSD BF'!$AM$48+'TUSD CVA'!$AM$48)*1</f>
        <v>320.1054038964063</v>
      </c>
      <c r="AA701" s="6">
        <f>('TE BE'!$AA$38+'TE BF'!$AA$38+'TE CVA'!$AA$38)*1</f>
        <v>210.64397598313801</v>
      </c>
      <c r="AB701" s="6">
        <f>$K$701*$V$701</f>
        <v>0</v>
      </c>
      <c r="AC701" s="6">
        <f>$M$701*$W$701</f>
        <v>32400.516960000001</v>
      </c>
      <c r="AD701" s="6">
        <f>$O$701*$X$701</f>
        <v>31169.323360000002</v>
      </c>
      <c r="AE701" s="6">
        <f>$K$701*$Y$701</f>
        <v>0</v>
      </c>
      <c r="AF701" s="6">
        <f ca="1">$M$701*$Z$701</f>
        <v>37895.358134872164</v>
      </c>
      <c r="AG701" s="6">
        <f>$O$701*$AA$701</f>
        <v>24936.876452787808</v>
      </c>
    </row>
    <row r="702" spans="1:33" ht="11.25" customHeight="1" x14ac:dyDescent="0.25">
      <c r="A702" s="4" t="s">
        <v>28</v>
      </c>
      <c r="B702" s="4" t="s">
        <v>39</v>
      </c>
      <c r="C702" s="4" t="s">
        <v>23</v>
      </c>
      <c r="D702" s="4" t="s">
        <v>40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44593</v>
      </c>
      <c r="J702" s="6">
        <v>0</v>
      </c>
      <c r="K702" s="6">
        <v>0</v>
      </c>
      <c r="L702" s="6">
        <v>0.3</v>
      </c>
      <c r="M702" s="6">
        <v>0.3</v>
      </c>
      <c r="N702" s="6">
        <v>0.3</v>
      </c>
      <c r="O702" s="6">
        <v>0.3</v>
      </c>
      <c r="P702" s="6">
        <v>3</v>
      </c>
      <c r="Q702" s="4" t="s">
        <v>26</v>
      </c>
      <c r="R702" s="4">
        <v>0</v>
      </c>
      <c r="S702" s="6">
        <v>0</v>
      </c>
      <c r="T702" s="6">
        <v>44</v>
      </c>
      <c r="U702" s="6">
        <v>81</v>
      </c>
      <c r="V702" s="6">
        <f>IF(ISERROR(VLOOKUP($S$702,'TAR FIN'!$A$1:$O$85,15,0)),0,VLOOKUP($S$702,'TAR FIN'!$A$1:$O$85,15,0))</f>
        <v>0</v>
      </c>
      <c r="W702" s="6">
        <f>IF(ISERROR(VLOOKUP($T$702,'TAR FIN'!$A$1:$O$85,15,0)),0,VLOOKUP($T$702,'TAR FIN'!$A$1:$O$85,15,0))</f>
        <v>273.69</v>
      </c>
      <c r="X702" s="6">
        <f>IF(ISERROR(VLOOKUP($U$702,'TAR FIN'!$A$1:$O$85,15,0)),0,VLOOKUP($U$702,'TAR FIN'!$A$1:$O$85,15,0))</f>
        <v>263.29000000000002</v>
      </c>
      <c r="Y702" s="6"/>
      <c r="Z702" s="6">
        <f ca="1">('TUSD BE'!$AM$48+'TUSD BF'!$AM$48+'TUSD CVA'!$AM$48)*1</f>
        <v>320.1054038964063</v>
      </c>
      <c r="AA702" s="6">
        <f>('TE BE'!$AA$38+'TE BF'!$AA$38+'TE CVA'!$AA$38)*1</f>
        <v>210.64397598313801</v>
      </c>
      <c r="AB702" s="6">
        <f>$K$702*$V$702</f>
        <v>0</v>
      </c>
      <c r="AC702" s="6">
        <f>$M$702*$W$702</f>
        <v>82.106999999999999</v>
      </c>
      <c r="AD702" s="6">
        <f>$O$702*$X$702</f>
        <v>78.987000000000009</v>
      </c>
      <c r="AE702" s="6">
        <f>$K$702*$Y$702</f>
        <v>0</v>
      </c>
      <c r="AF702" s="6">
        <f ca="1">$M$702*$Z$702</f>
        <v>96.031621168921887</v>
      </c>
      <c r="AG702" s="6">
        <f>$O$702*$AA$702</f>
        <v>63.193192794941396</v>
      </c>
    </row>
    <row r="703" spans="1:33" ht="11.25" customHeight="1" x14ac:dyDescent="0.25">
      <c r="A703" s="4" t="s">
        <v>21</v>
      </c>
      <c r="B703" s="4" t="s">
        <v>39</v>
      </c>
      <c r="C703" s="4" t="s">
        <v>23</v>
      </c>
      <c r="D703" s="4" t="s">
        <v>40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44621</v>
      </c>
      <c r="J703" s="6">
        <v>0</v>
      </c>
      <c r="K703" s="6">
        <v>0</v>
      </c>
      <c r="L703" s="6">
        <v>118.161</v>
      </c>
      <c r="M703" s="6">
        <v>118.161</v>
      </c>
      <c r="N703" s="6">
        <v>118.161</v>
      </c>
      <c r="O703" s="6">
        <v>118.161</v>
      </c>
      <c r="P703" s="6">
        <v>38</v>
      </c>
      <c r="Q703" s="4" t="s">
        <v>26</v>
      </c>
      <c r="R703" s="4">
        <v>0</v>
      </c>
      <c r="S703" s="6">
        <v>0</v>
      </c>
      <c r="T703" s="6">
        <v>44</v>
      </c>
      <c r="U703" s="6">
        <v>81</v>
      </c>
      <c r="V703" s="6">
        <f>IF(ISERROR(VLOOKUP($S$703,'TAR FIN'!$A$1:$O$85,15,0)),0,VLOOKUP($S$703,'TAR FIN'!$A$1:$O$85,15,0))</f>
        <v>0</v>
      </c>
      <c r="W703" s="6">
        <f>IF(ISERROR(VLOOKUP($T$703,'TAR FIN'!$A$1:$O$85,15,0)),0,VLOOKUP($T$703,'TAR FIN'!$A$1:$O$85,15,0))</f>
        <v>273.69</v>
      </c>
      <c r="X703" s="6">
        <f>IF(ISERROR(VLOOKUP($U$703,'TAR FIN'!$A$1:$O$85,15,0)),0,VLOOKUP($U$703,'TAR FIN'!$A$1:$O$85,15,0))</f>
        <v>263.29000000000002</v>
      </c>
      <c r="Y703" s="6"/>
      <c r="Z703" s="6">
        <f ca="1">('TUSD BE'!$AM$48+'TUSD BF'!$AM$48+'TUSD CVA'!$AM$48)*1</f>
        <v>320.1054038964063</v>
      </c>
      <c r="AA703" s="6">
        <f>('TE BE'!$AA$38+'TE BF'!$AA$38+'TE CVA'!$AA$38)*1</f>
        <v>210.64397598313801</v>
      </c>
      <c r="AB703" s="6">
        <f>$K$703*$V$703</f>
        <v>0</v>
      </c>
      <c r="AC703" s="6">
        <f>$M$703*$W$703</f>
        <v>32339.484090000002</v>
      </c>
      <c r="AD703" s="6">
        <f>$O$703*$X$703</f>
        <v>31110.609690000001</v>
      </c>
      <c r="AE703" s="6">
        <f>$K$703*$Y$703</f>
        <v>0</v>
      </c>
      <c r="AF703" s="6">
        <f ca="1">$M$703*$Z$703</f>
        <v>37823.974629803262</v>
      </c>
      <c r="AG703" s="6">
        <f>$O$703*$AA$703</f>
        <v>24889.90284614357</v>
      </c>
    </row>
    <row r="704" spans="1:33" ht="11.25" customHeight="1" x14ac:dyDescent="0.25">
      <c r="A704" s="4" t="s">
        <v>28</v>
      </c>
      <c r="B704" s="4" t="s">
        <v>39</v>
      </c>
      <c r="C704" s="4" t="s">
        <v>23</v>
      </c>
      <c r="D704" s="4" t="s">
        <v>40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44621</v>
      </c>
      <c r="J704" s="6">
        <v>0</v>
      </c>
      <c r="K704" s="6">
        <v>0</v>
      </c>
      <c r="L704" s="6">
        <v>0.5</v>
      </c>
      <c r="M704" s="6">
        <v>0.5</v>
      </c>
      <c r="N704" s="6">
        <v>0.5</v>
      </c>
      <c r="O704" s="6">
        <v>0.5</v>
      </c>
      <c r="P704" s="6">
        <v>5</v>
      </c>
      <c r="Q704" s="4" t="s">
        <v>26</v>
      </c>
      <c r="R704" s="4">
        <v>0</v>
      </c>
      <c r="S704" s="6">
        <v>0</v>
      </c>
      <c r="T704" s="6">
        <v>44</v>
      </c>
      <c r="U704" s="6">
        <v>81</v>
      </c>
      <c r="V704" s="6">
        <f>IF(ISERROR(VLOOKUP($S$704,'TAR FIN'!$A$1:$O$85,15,0)),0,VLOOKUP($S$704,'TAR FIN'!$A$1:$O$85,15,0))</f>
        <v>0</v>
      </c>
      <c r="W704" s="6">
        <f>IF(ISERROR(VLOOKUP($T$704,'TAR FIN'!$A$1:$O$85,15,0)),0,VLOOKUP($T$704,'TAR FIN'!$A$1:$O$85,15,0))</f>
        <v>273.69</v>
      </c>
      <c r="X704" s="6">
        <f>IF(ISERROR(VLOOKUP($U$704,'TAR FIN'!$A$1:$O$85,15,0)),0,VLOOKUP($U$704,'TAR FIN'!$A$1:$O$85,15,0))</f>
        <v>263.29000000000002</v>
      </c>
      <c r="Y704" s="6"/>
      <c r="Z704" s="6">
        <f ca="1">('TUSD BE'!$AM$48+'TUSD BF'!$AM$48+'TUSD CVA'!$AM$48)*1</f>
        <v>320.1054038964063</v>
      </c>
      <c r="AA704" s="6">
        <f>('TE BE'!$AA$38+'TE BF'!$AA$38+'TE CVA'!$AA$38)*1</f>
        <v>210.64397598313801</v>
      </c>
      <c r="AB704" s="6">
        <f>$K$704*$V$704</f>
        <v>0</v>
      </c>
      <c r="AC704" s="6">
        <f>$M$704*$W$704</f>
        <v>136.845</v>
      </c>
      <c r="AD704" s="6">
        <f>$O$704*$X$704</f>
        <v>131.64500000000001</v>
      </c>
      <c r="AE704" s="6">
        <f>$K$704*$Y$704</f>
        <v>0</v>
      </c>
      <c r="AF704" s="6">
        <f ca="1">$M$704*$Z$704</f>
        <v>160.05270194820315</v>
      </c>
      <c r="AG704" s="6">
        <f>$O$704*$AA$704</f>
        <v>105.321987991569</v>
      </c>
    </row>
    <row r="705" spans="1:33" ht="11.25" customHeight="1" x14ac:dyDescent="0.25">
      <c r="A705" s="4" t="s">
        <v>21</v>
      </c>
      <c r="B705" s="4" t="s">
        <v>39</v>
      </c>
      <c r="C705" s="4" t="s">
        <v>23</v>
      </c>
      <c r="D705" s="4" t="s">
        <v>40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44652</v>
      </c>
      <c r="J705" s="6">
        <v>0</v>
      </c>
      <c r="K705" s="6">
        <v>0</v>
      </c>
      <c r="L705" s="6">
        <v>120.07</v>
      </c>
      <c r="M705" s="6">
        <v>120.07</v>
      </c>
      <c r="N705" s="6">
        <v>120.07</v>
      </c>
      <c r="O705" s="6">
        <v>120.07</v>
      </c>
      <c r="P705" s="6">
        <v>38</v>
      </c>
      <c r="Q705" s="4" t="s">
        <v>26</v>
      </c>
      <c r="R705" s="4">
        <v>0</v>
      </c>
      <c r="S705" s="6">
        <v>0</v>
      </c>
      <c r="T705" s="6">
        <v>44</v>
      </c>
      <c r="U705" s="6">
        <v>81</v>
      </c>
      <c r="V705" s="6">
        <f>IF(ISERROR(VLOOKUP($S$705,'TAR FIN'!$A$1:$O$85,15,0)),0,VLOOKUP($S$705,'TAR FIN'!$A$1:$O$85,15,0))</f>
        <v>0</v>
      </c>
      <c r="W705" s="6">
        <f>IF(ISERROR(VLOOKUP($T$705,'TAR FIN'!$A$1:$O$85,15,0)),0,VLOOKUP($T$705,'TAR FIN'!$A$1:$O$85,15,0))</f>
        <v>273.69</v>
      </c>
      <c r="X705" s="6">
        <f>IF(ISERROR(VLOOKUP($U$705,'TAR FIN'!$A$1:$O$85,15,0)),0,VLOOKUP($U$705,'TAR FIN'!$A$1:$O$85,15,0))</f>
        <v>263.29000000000002</v>
      </c>
      <c r="Y705" s="6"/>
      <c r="Z705" s="6">
        <f ca="1">('TUSD BE'!$AM$48+'TUSD BF'!$AM$48+'TUSD CVA'!$AM$48)*1</f>
        <v>320.1054038964063</v>
      </c>
      <c r="AA705" s="6">
        <f>('TE BE'!$AA$38+'TE BF'!$AA$38+'TE CVA'!$AA$38)*1</f>
        <v>210.64397598313801</v>
      </c>
      <c r="AB705" s="6">
        <f>$K$705*$V$705</f>
        <v>0</v>
      </c>
      <c r="AC705" s="6">
        <f>$M$705*$W$705</f>
        <v>32861.958299999998</v>
      </c>
      <c r="AD705" s="6">
        <f>$O$705*$X$705</f>
        <v>31613.230299999999</v>
      </c>
      <c r="AE705" s="6">
        <f>$K$705*$Y$705</f>
        <v>0</v>
      </c>
      <c r="AF705" s="6">
        <f ca="1">$M$705*$Z$705</f>
        <v>38435.055845841503</v>
      </c>
      <c r="AG705" s="6">
        <f>$O$705*$AA$705</f>
        <v>25292.02219629538</v>
      </c>
    </row>
    <row r="706" spans="1:33" ht="11.25" customHeight="1" x14ac:dyDescent="0.25">
      <c r="A706" s="4" t="s">
        <v>21</v>
      </c>
      <c r="B706" s="4" t="s">
        <v>39</v>
      </c>
      <c r="C706" s="4" t="s">
        <v>23</v>
      </c>
      <c r="D706" s="4" t="s">
        <v>45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44317</v>
      </c>
      <c r="J706" s="6">
        <v>0</v>
      </c>
      <c r="K706" s="6">
        <v>0</v>
      </c>
      <c r="L706" s="6">
        <v>77.429000000000002</v>
      </c>
      <c r="M706" s="6">
        <v>77.429000000000002</v>
      </c>
      <c r="N706" s="6">
        <v>77.429000000000002</v>
      </c>
      <c r="O706" s="6">
        <v>77.429000000000002</v>
      </c>
      <c r="P706" s="6">
        <v>98</v>
      </c>
      <c r="Q706" s="4" t="s">
        <v>26</v>
      </c>
      <c r="R706" s="4">
        <v>0</v>
      </c>
      <c r="S706" s="6">
        <v>0</v>
      </c>
      <c r="T706" s="6">
        <v>44</v>
      </c>
      <c r="U706" s="6">
        <v>81</v>
      </c>
      <c r="V706" s="6">
        <f>IF(ISERROR(VLOOKUP($S$706,'TAR FIN'!$A$1:$O$85,15,0)),0,VLOOKUP($S$706,'TAR FIN'!$A$1:$O$85,15,0))</f>
        <v>0</v>
      </c>
      <c r="W706" s="6">
        <f>IF(ISERROR(VLOOKUP($T$706,'TAR FIN'!$A$1:$O$85,15,0)),0,VLOOKUP($T$706,'TAR FIN'!$A$1:$O$85,15,0))</f>
        <v>273.69</v>
      </c>
      <c r="X706" s="6">
        <f>IF(ISERROR(VLOOKUP($U$706,'TAR FIN'!$A$1:$O$85,15,0)),0,VLOOKUP($U$706,'TAR FIN'!$A$1:$O$85,15,0))</f>
        <v>263.29000000000002</v>
      </c>
      <c r="Y706" s="6"/>
      <c r="Z706" s="6">
        <f ca="1">('TUSD BE'!$AM$48+'TUSD BF'!$AM$48+'TUSD CVA'!$AM$48)*1</f>
        <v>320.1054038964063</v>
      </c>
      <c r="AA706" s="6">
        <f>('TE BE'!$AA$38+'TE BF'!$AA$38+'TE CVA'!$AA$38)*1</f>
        <v>210.64397598313801</v>
      </c>
      <c r="AB706" s="6">
        <f>$K$706*$V$706</f>
        <v>0</v>
      </c>
      <c r="AC706" s="6">
        <f>$M$706*$W$706</f>
        <v>21191.543010000001</v>
      </c>
      <c r="AD706" s="6">
        <f>$O$706*$X$706</f>
        <v>20386.281410000003</v>
      </c>
      <c r="AE706" s="6">
        <f>$K$706*$Y$706</f>
        <v>0</v>
      </c>
      <c r="AF706" s="6">
        <f ca="1">$M$706*$Z$706</f>
        <v>24785.441318294845</v>
      </c>
      <c r="AG706" s="6">
        <f>$O$706*$AA$706</f>
        <v>16309.952416398393</v>
      </c>
    </row>
    <row r="707" spans="1:33" ht="11.25" customHeight="1" x14ac:dyDescent="0.25">
      <c r="A707" s="4" t="s">
        <v>21</v>
      </c>
      <c r="B707" s="4" t="s">
        <v>39</v>
      </c>
      <c r="C707" s="4" t="s">
        <v>23</v>
      </c>
      <c r="D707" s="4" t="s">
        <v>45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44348</v>
      </c>
      <c r="J707" s="6">
        <v>0</v>
      </c>
      <c r="K707" s="6">
        <v>0</v>
      </c>
      <c r="L707" s="6">
        <v>86.322999999999993</v>
      </c>
      <c r="M707" s="6">
        <v>86.322999999999993</v>
      </c>
      <c r="N707" s="6">
        <v>86.322999999999993</v>
      </c>
      <c r="O707" s="6">
        <v>86.322999999999993</v>
      </c>
      <c r="P707" s="6">
        <v>98</v>
      </c>
      <c r="Q707" s="4" t="s">
        <v>26</v>
      </c>
      <c r="R707" s="4">
        <v>0</v>
      </c>
      <c r="S707" s="6">
        <v>0</v>
      </c>
      <c r="T707" s="6">
        <v>44</v>
      </c>
      <c r="U707" s="6">
        <v>81</v>
      </c>
      <c r="V707" s="6">
        <f>IF(ISERROR(VLOOKUP($S$707,'TAR FIN'!$A$1:$O$85,15,0)),0,VLOOKUP($S$707,'TAR FIN'!$A$1:$O$85,15,0))</f>
        <v>0</v>
      </c>
      <c r="W707" s="6">
        <f>IF(ISERROR(VLOOKUP($T$707,'TAR FIN'!$A$1:$O$85,15,0)),0,VLOOKUP($T$707,'TAR FIN'!$A$1:$O$85,15,0))</f>
        <v>273.69</v>
      </c>
      <c r="X707" s="6">
        <f>IF(ISERROR(VLOOKUP($U$707,'TAR FIN'!$A$1:$O$85,15,0)),0,VLOOKUP($U$707,'TAR FIN'!$A$1:$O$85,15,0))</f>
        <v>263.29000000000002</v>
      </c>
      <c r="Y707" s="6"/>
      <c r="Z707" s="6">
        <f ca="1">('TUSD BE'!$AM$48+'TUSD BF'!$AM$48+'TUSD CVA'!$AM$48)*1</f>
        <v>320.1054038964063</v>
      </c>
      <c r="AA707" s="6">
        <f>('TE BE'!$AA$38+'TE BF'!$AA$38+'TE CVA'!$AA$38)*1</f>
        <v>210.64397598313801</v>
      </c>
      <c r="AB707" s="6">
        <f>$K$707*$V$707</f>
        <v>0</v>
      </c>
      <c r="AC707" s="6">
        <f>$M$707*$W$707</f>
        <v>23625.741869999998</v>
      </c>
      <c r="AD707" s="6">
        <f>$O$707*$X$707</f>
        <v>22727.982670000001</v>
      </c>
      <c r="AE707" s="6">
        <f>$K$707*$Y$707</f>
        <v>0</v>
      </c>
      <c r="AF707" s="6">
        <f ca="1">$M$707*$Z$707</f>
        <v>27632.458780549478</v>
      </c>
      <c r="AG707" s="6">
        <f>$O$707*$AA$707</f>
        <v>18183.41993879242</v>
      </c>
    </row>
    <row r="708" spans="1:33" ht="11.25" customHeight="1" x14ac:dyDescent="0.25">
      <c r="A708" s="4" t="s">
        <v>21</v>
      </c>
      <c r="B708" s="4" t="s">
        <v>39</v>
      </c>
      <c r="C708" s="4" t="s">
        <v>23</v>
      </c>
      <c r="D708" s="4" t="s">
        <v>45</v>
      </c>
      <c r="E708" s="4" t="s">
        <v>25</v>
      </c>
      <c r="F708" s="4" t="s">
        <v>25</v>
      </c>
      <c r="G708" s="4" t="s">
        <v>25</v>
      </c>
      <c r="H708" s="4" t="s">
        <v>25</v>
      </c>
      <c r="I708" s="5">
        <v>44378</v>
      </c>
      <c r="J708" s="6">
        <v>0</v>
      </c>
      <c r="K708" s="6">
        <v>0</v>
      </c>
      <c r="L708" s="6">
        <v>84.78</v>
      </c>
      <c r="M708" s="6">
        <v>84.78</v>
      </c>
      <c r="N708" s="6">
        <v>84.78</v>
      </c>
      <c r="O708" s="6">
        <v>84.78</v>
      </c>
      <c r="P708" s="6">
        <v>98</v>
      </c>
      <c r="Q708" s="4" t="s">
        <v>26</v>
      </c>
      <c r="R708" s="4">
        <v>0</v>
      </c>
      <c r="S708" s="6">
        <v>0</v>
      </c>
      <c r="T708" s="6">
        <v>44</v>
      </c>
      <c r="U708" s="6">
        <v>81</v>
      </c>
      <c r="V708" s="6">
        <f>IF(ISERROR(VLOOKUP($S$708,'TAR FIN'!$A$1:$O$85,15,0)),0,VLOOKUP($S$708,'TAR FIN'!$A$1:$O$85,15,0))</f>
        <v>0</v>
      </c>
      <c r="W708" s="6">
        <f>IF(ISERROR(VLOOKUP($T$708,'TAR FIN'!$A$1:$O$85,15,0)),0,VLOOKUP($T$708,'TAR FIN'!$A$1:$O$85,15,0))</f>
        <v>273.69</v>
      </c>
      <c r="X708" s="6">
        <f>IF(ISERROR(VLOOKUP($U$708,'TAR FIN'!$A$1:$O$85,15,0)),0,VLOOKUP($U$708,'TAR FIN'!$A$1:$O$85,15,0))</f>
        <v>263.29000000000002</v>
      </c>
      <c r="Y708" s="6"/>
      <c r="Z708" s="6">
        <f ca="1">('TUSD BE'!$AM$48+'TUSD BF'!$AM$48+'TUSD CVA'!$AM$48)*1</f>
        <v>320.1054038964063</v>
      </c>
      <c r="AA708" s="6">
        <f>('TE BE'!$AA$38+'TE BF'!$AA$38+'TE CVA'!$AA$38)*1</f>
        <v>210.64397598313801</v>
      </c>
      <c r="AB708" s="6">
        <f>$K$708*$V$708</f>
        <v>0</v>
      </c>
      <c r="AC708" s="6">
        <f>$M$708*$W$708</f>
        <v>23203.438200000001</v>
      </c>
      <c r="AD708" s="6">
        <f>$O$708*$X$708</f>
        <v>22321.726200000001</v>
      </c>
      <c r="AE708" s="6">
        <f>$K$708*$Y$708</f>
        <v>0</v>
      </c>
      <c r="AF708" s="6">
        <f ca="1">$M$708*$Z$708</f>
        <v>27138.536142337325</v>
      </c>
      <c r="AG708" s="6">
        <f>$O$708*$AA$708</f>
        <v>17858.396283850441</v>
      </c>
    </row>
    <row r="709" spans="1:33" ht="11.25" customHeight="1" x14ac:dyDescent="0.25">
      <c r="A709" s="4" t="s">
        <v>21</v>
      </c>
      <c r="B709" s="4" t="s">
        <v>39</v>
      </c>
      <c r="C709" s="4" t="s">
        <v>23</v>
      </c>
      <c r="D709" s="4" t="s">
        <v>45</v>
      </c>
      <c r="E709" s="4" t="s">
        <v>25</v>
      </c>
      <c r="F709" s="4" t="s">
        <v>25</v>
      </c>
      <c r="G709" s="4" t="s">
        <v>25</v>
      </c>
      <c r="H709" s="4" t="s">
        <v>25</v>
      </c>
      <c r="I709" s="5">
        <v>44409</v>
      </c>
      <c r="J709" s="6">
        <v>0</v>
      </c>
      <c r="K709" s="6">
        <v>0</v>
      </c>
      <c r="L709" s="6">
        <v>94.953999999999994</v>
      </c>
      <c r="M709" s="6">
        <v>94.953999999999994</v>
      </c>
      <c r="N709" s="6">
        <v>94.953999999999994</v>
      </c>
      <c r="O709" s="6">
        <v>94.953999999999994</v>
      </c>
      <c r="P709" s="6">
        <v>98</v>
      </c>
      <c r="Q709" s="4" t="s">
        <v>26</v>
      </c>
      <c r="R709" s="4">
        <v>0</v>
      </c>
      <c r="S709" s="6">
        <v>0</v>
      </c>
      <c r="T709" s="6">
        <v>44</v>
      </c>
      <c r="U709" s="6">
        <v>81</v>
      </c>
      <c r="V709" s="6">
        <f>IF(ISERROR(VLOOKUP($S$709,'TAR FIN'!$A$1:$O$85,15,0)),0,VLOOKUP($S$709,'TAR FIN'!$A$1:$O$85,15,0))</f>
        <v>0</v>
      </c>
      <c r="W709" s="6">
        <f>IF(ISERROR(VLOOKUP($T$709,'TAR FIN'!$A$1:$O$85,15,0)),0,VLOOKUP($T$709,'TAR FIN'!$A$1:$O$85,15,0))</f>
        <v>273.69</v>
      </c>
      <c r="X709" s="6">
        <f>IF(ISERROR(VLOOKUP($U$709,'TAR FIN'!$A$1:$O$85,15,0)),0,VLOOKUP($U$709,'TAR FIN'!$A$1:$O$85,15,0))</f>
        <v>263.29000000000002</v>
      </c>
      <c r="Y709" s="6"/>
      <c r="Z709" s="6">
        <f ca="1">('TUSD BE'!$AM$48+'TUSD BF'!$AM$48+'TUSD CVA'!$AM$48)*1</f>
        <v>320.1054038964063</v>
      </c>
      <c r="AA709" s="6">
        <f>('TE BE'!$AA$38+'TE BF'!$AA$38+'TE CVA'!$AA$38)*1</f>
        <v>210.64397598313801</v>
      </c>
      <c r="AB709" s="6">
        <f>$K$709*$V$709</f>
        <v>0</v>
      </c>
      <c r="AC709" s="6">
        <f>$M$709*$W$709</f>
        <v>25987.960259999996</v>
      </c>
      <c r="AD709" s="6">
        <f>$O$709*$X$709</f>
        <v>25000.43866</v>
      </c>
      <c r="AE709" s="6">
        <f>$K$709*$Y$709</f>
        <v>0</v>
      </c>
      <c r="AF709" s="6">
        <f ca="1">$M$709*$Z$709</f>
        <v>30395.288521579361</v>
      </c>
      <c r="AG709" s="6">
        <f>$O$709*$AA$709</f>
        <v>20001.488095502886</v>
      </c>
    </row>
    <row r="710" spans="1:33" ht="11.25" customHeight="1" x14ac:dyDescent="0.25">
      <c r="A710" s="4" t="s">
        <v>21</v>
      </c>
      <c r="B710" s="4" t="s">
        <v>39</v>
      </c>
      <c r="C710" s="4" t="s">
        <v>23</v>
      </c>
      <c r="D710" s="4" t="s">
        <v>45</v>
      </c>
      <c r="E710" s="4" t="s">
        <v>25</v>
      </c>
      <c r="F710" s="4" t="s">
        <v>25</v>
      </c>
      <c r="G710" s="4" t="s">
        <v>25</v>
      </c>
      <c r="H710" s="4" t="s">
        <v>25</v>
      </c>
      <c r="I710" s="5">
        <v>44440</v>
      </c>
      <c r="J710" s="6">
        <v>0</v>
      </c>
      <c r="K710" s="6">
        <v>0</v>
      </c>
      <c r="L710" s="6">
        <v>114.669</v>
      </c>
      <c r="M710" s="6">
        <v>114.669</v>
      </c>
      <c r="N710" s="6">
        <v>114.669</v>
      </c>
      <c r="O710" s="6">
        <v>114.669</v>
      </c>
      <c r="P710" s="6">
        <v>98</v>
      </c>
      <c r="Q710" s="4" t="s">
        <v>26</v>
      </c>
      <c r="R710" s="4">
        <v>0</v>
      </c>
      <c r="S710" s="6">
        <v>0</v>
      </c>
      <c r="T710" s="6">
        <v>44</v>
      </c>
      <c r="U710" s="6">
        <v>81</v>
      </c>
      <c r="V710" s="6">
        <f>IF(ISERROR(VLOOKUP($S$710,'TAR FIN'!$A$1:$O$85,15,0)),0,VLOOKUP($S$710,'TAR FIN'!$A$1:$O$85,15,0))</f>
        <v>0</v>
      </c>
      <c r="W710" s="6">
        <f>IF(ISERROR(VLOOKUP($T$710,'TAR FIN'!$A$1:$O$85,15,0)),0,VLOOKUP($T$710,'TAR FIN'!$A$1:$O$85,15,0))</f>
        <v>273.69</v>
      </c>
      <c r="X710" s="6">
        <f>IF(ISERROR(VLOOKUP($U$710,'TAR FIN'!$A$1:$O$85,15,0)),0,VLOOKUP($U$710,'TAR FIN'!$A$1:$O$85,15,0))</f>
        <v>263.29000000000002</v>
      </c>
      <c r="Y710" s="6"/>
      <c r="Z710" s="6">
        <f ca="1">('TUSD BE'!$AM$48+'TUSD BF'!$AM$48+'TUSD CVA'!$AM$48)*1</f>
        <v>320.1054038964063</v>
      </c>
      <c r="AA710" s="6">
        <f>('TE BE'!$AA$38+'TE BF'!$AA$38+'TE CVA'!$AA$38)*1</f>
        <v>210.64397598313801</v>
      </c>
      <c r="AB710" s="6">
        <f>$K$710*$V$710</f>
        <v>0</v>
      </c>
      <c r="AC710" s="6">
        <f>$M$710*$W$710</f>
        <v>31383.758609999997</v>
      </c>
      <c r="AD710" s="6">
        <f>$O$710*$X$710</f>
        <v>30191.201010000001</v>
      </c>
      <c r="AE710" s="6">
        <f>$K$710*$Y$710</f>
        <v>0</v>
      </c>
      <c r="AF710" s="6">
        <f ca="1">$M$710*$Z$710</f>
        <v>36706.16655939701</v>
      </c>
      <c r="AG710" s="6">
        <f>$O$710*$AA$710</f>
        <v>24154.334082010453</v>
      </c>
    </row>
    <row r="711" spans="1:33" ht="11.25" customHeight="1" x14ac:dyDescent="0.25">
      <c r="A711" s="4" t="s">
        <v>21</v>
      </c>
      <c r="B711" s="4" t="s">
        <v>39</v>
      </c>
      <c r="C711" s="4" t="s">
        <v>23</v>
      </c>
      <c r="D711" s="4" t="s">
        <v>45</v>
      </c>
      <c r="E711" s="4" t="s">
        <v>25</v>
      </c>
      <c r="F711" s="4" t="s">
        <v>25</v>
      </c>
      <c r="G711" s="4" t="s">
        <v>25</v>
      </c>
      <c r="H711" s="4" t="s">
        <v>25</v>
      </c>
      <c r="I711" s="5">
        <v>44470</v>
      </c>
      <c r="J711" s="6">
        <v>0</v>
      </c>
      <c r="K711" s="6">
        <v>0</v>
      </c>
      <c r="L711" s="6">
        <v>110.247</v>
      </c>
      <c r="M711" s="6">
        <v>110.247</v>
      </c>
      <c r="N711" s="6">
        <v>110.247</v>
      </c>
      <c r="O711" s="6">
        <v>110.247</v>
      </c>
      <c r="P711" s="6">
        <v>99</v>
      </c>
      <c r="Q711" s="4" t="s">
        <v>26</v>
      </c>
      <c r="R711" s="4">
        <v>0</v>
      </c>
      <c r="S711" s="6">
        <v>0</v>
      </c>
      <c r="T711" s="6">
        <v>44</v>
      </c>
      <c r="U711" s="6">
        <v>81</v>
      </c>
      <c r="V711" s="6">
        <f>IF(ISERROR(VLOOKUP($S$711,'TAR FIN'!$A$1:$O$85,15,0)),0,VLOOKUP($S$711,'TAR FIN'!$A$1:$O$85,15,0))</f>
        <v>0</v>
      </c>
      <c r="W711" s="6">
        <f>IF(ISERROR(VLOOKUP($T$711,'TAR FIN'!$A$1:$O$85,15,0)),0,VLOOKUP($T$711,'TAR FIN'!$A$1:$O$85,15,0))</f>
        <v>273.69</v>
      </c>
      <c r="X711" s="6">
        <f>IF(ISERROR(VLOOKUP($U$711,'TAR FIN'!$A$1:$O$85,15,0)),0,VLOOKUP($U$711,'TAR FIN'!$A$1:$O$85,15,0))</f>
        <v>263.29000000000002</v>
      </c>
      <c r="Y711" s="6"/>
      <c r="Z711" s="6">
        <f ca="1">('TUSD BE'!$AM$48+'TUSD BF'!$AM$48+'TUSD CVA'!$AM$48)*1</f>
        <v>320.1054038964063</v>
      </c>
      <c r="AA711" s="6">
        <f>('TE BE'!$AA$38+'TE BF'!$AA$38+'TE CVA'!$AA$38)*1</f>
        <v>210.64397598313801</v>
      </c>
      <c r="AB711" s="6">
        <f>$K$711*$V$711</f>
        <v>0</v>
      </c>
      <c r="AC711" s="6">
        <f>$M$711*$W$711</f>
        <v>30173.50143</v>
      </c>
      <c r="AD711" s="6">
        <f>$O$711*$X$711</f>
        <v>29026.932630000003</v>
      </c>
      <c r="AE711" s="6">
        <f>$K$711*$Y$711</f>
        <v>0</v>
      </c>
      <c r="AF711" s="6">
        <f ca="1">$M$711*$Z$711</f>
        <v>35290.660463367109</v>
      </c>
      <c r="AG711" s="6">
        <f>$O$711*$AA$711</f>
        <v>23222.866420213017</v>
      </c>
    </row>
    <row r="712" spans="1:33" ht="11.25" customHeight="1" x14ac:dyDescent="0.25">
      <c r="A712" s="4" t="s">
        <v>21</v>
      </c>
      <c r="B712" s="4" t="s">
        <v>39</v>
      </c>
      <c r="C712" s="4" t="s">
        <v>23</v>
      </c>
      <c r="D712" s="4" t="s">
        <v>45</v>
      </c>
      <c r="E712" s="4" t="s">
        <v>25</v>
      </c>
      <c r="F712" s="4" t="s">
        <v>25</v>
      </c>
      <c r="G712" s="4" t="s">
        <v>25</v>
      </c>
      <c r="H712" s="4" t="s">
        <v>25</v>
      </c>
      <c r="I712" s="5">
        <v>44501</v>
      </c>
      <c r="J712" s="6">
        <v>0</v>
      </c>
      <c r="K712" s="6">
        <v>0</v>
      </c>
      <c r="L712" s="6">
        <v>119.422</v>
      </c>
      <c r="M712" s="6">
        <v>119.422</v>
      </c>
      <c r="N712" s="6">
        <v>119.422</v>
      </c>
      <c r="O712" s="6">
        <v>119.422</v>
      </c>
      <c r="P712" s="6">
        <v>100</v>
      </c>
      <c r="Q712" s="4" t="s">
        <v>26</v>
      </c>
      <c r="R712" s="4">
        <v>0</v>
      </c>
      <c r="S712" s="6">
        <v>0</v>
      </c>
      <c r="T712" s="6">
        <v>44</v>
      </c>
      <c r="U712" s="6">
        <v>81</v>
      </c>
      <c r="V712" s="6">
        <f>IF(ISERROR(VLOOKUP($S$712,'TAR FIN'!$A$1:$O$85,15,0)),0,VLOOKUP($S$712,'TAR FIN'!$A$1:$O$85,15,0))</f>
        <v>0</v>
      </c>
      <c r="W712" s="6">
        <f>IF(ISERROR(VLOOKUP($T$712,'TAR FIN'!$A$1:$O$85,15,0)),0,VLOOKUP($T$712,'TAR FIN'!$A$1:$O$85,15,0))</f>
        <v>273.69</v>
      </c>
      <c r="X712" s="6">
        <f>IF(ISERROR(VLOOKUP($U$712,'TAR FIN'!$A$1:$O$85,15,0)),0,VLOOKUP($U$712,'TAR FIN'!$A$1:$O$85,15,0))</f>
        <v>263.29000000000002</v>
      </c>
      <c r="Y712" s="6"/>
      <c r="Z712" s="6">
        <f ca="1">('TUSD BE'!$AM$48+'TUSD BF'!$AM$48+'TUSD CVA'!$AM$48)*1</f>
        <v>320.1054038964063</v>
      </c>
      <c r="AA712" s="6">
        <f>('TE BE'!$AA$38+'TE BF'!$AA$38+'TE CVA'!$AA$38)*1</f>
        <v>210.64397598313801</v>
      </c>
      <c r="AB712" s="6">
        <f>$K$712*$V$712</f>
        <v>0</v>
      </c>
      <c r="AC712" s="6">
        <f>$M$712*$W$712</f>
        <v>32684.607179999999</v>
      </c>
      <c r="AD712" s="6">
        <f>$O$712*$X$712</f>
        <v>31442.61838</v>
      </c>
      <c r="AE712" s="6">
        <f>$K$712*$Y$712</f>
        <v>0</v>
      </c>
      <c r="AF712" s="6">
        <f ca="1">$M$712*$Z$712</f>
        <v>38227.627544116629</v>
      </c>
      <c r="AG712" s="6">
        <f>$O$712*$AA$712</f>
        <v>25155.524899858305</v>
      </c>
    </row>
    <row r="713" spans="1:33" ht="11.25" customHeight="1" x14ac:dyDescent="0.25">
      <c r="A713" s="4" t="s">
        <v>21</v>
      </c>
      <c r="B713" s="4" t="s">
        <v>39</v>
      </c>
      <c r="C713" s="4" t="s">
        <v>23</v>
      </c>
      <c r="D713" s="4" t="s">
        <v>45</v>
      </c>
      <c r="E713" s="4" t="s">
        <v>25</v>
      </c>
      <c r="F713" s="4" t="s">
        <v>25</v>
      </c>
      <c r="G713" s="4" t="s">
        <v>25</v>
      </c>
      <c r="H713" s="4" t="s">
        <v>25</v>
      </c>
      <c r="I713" s="5">
        <v>44531</v>
      </c>
      <c r="J713" s="6">
        <v>0</v>
      </c>
      <c r="K713" s="6">
        <v>0</v>
      </c>
      <c r="L713" s="6">
        <v>120.28700000000001</v>
      </c>
      <c r="M713" s="6">
        <v>120.28700000000001</v>
      </c>
      <c r="N713" s="6">
        <v>120.28700000000001</v>
      </c>
      <c r="O713" s="6">
        <v>120.28700000000001</v>
      </c>
      <c r="P713" s="6">
        <v>101</v>
      </c>
      <c r="Q713" s="4" t="s">
        <v>26</v>
      </c>
      <c r="R713" s="4">
        <v>0</v>
      </c>
      <c r="S713" s="6">
        <v>0</v>
      </c>
      <c r="T713" s="6">
        <v>44</v>
      </c>
      <c r="U713" s="6">
        <v>81</v>
      </c>
      <c r="V713" s="6">
        <f>IF(ISERROR(VLOOKUP($S$713,'TAR FIN'!$A$1:$O$85,15,0)),0,VLOOKUP($S$713,'TAR FIN'!$A$1:$O$85,15,0))</f>
        <v>0</v>
      </c>
      <c r="W713" s="6">
        <f>IF(ISERROR(VLOOKUP($T$713,'TAR FIN'!$A$1:$O$85,15,0)),0,VLOOKUP($T$713,'TAR FIN'!$A$1:$O$85,15,0))</f>
        <v>273.69</v>
      </c>
      <c r="X713" s="6">
        <f>IF(ISERROR(VLOOKUP($U$713,'TAR FIN'!$A$1:$O$85,15,0)),0,VLOOKUP($U$713,'TAR FIN'!$A$1:$O$85,15,0))</f>
        <v>263.29000000000002</v>
      </c>
      <c r="Y713" s="6"/>
      <c r="Z713" s="6">
        <f ca="1">('TUSD BE'!$AM$48+'TUSD BF'!$AM$48+'TUSD CVA'!$AM$48)*1</f>
        <v>320.1054038964063</v>
      </c>
      <c r="AA713" s="6">
        <f>('TE BE'!$AA$38+'TE BF'!$AA$38+'TE CVA'!$AA$38)*1</f>
        <v>210.64397598313801</v>
      </c>
      <c r="AB713" s="6">
        <f>$K$713*$V$713</f>
        <v>0</v>
      </c>
      <c r="AC713" s="6">
        <f>$M$713*$W$713</f>
        <v>32921.349030000005</v>
      </c>
      <c r="AD713" s="6">
        <f>$O$713*$X$713</f>
        <v>31670.364230000003</v>
      </c>
      <c r="AE713" s="6">
        <f>$K$713*$Y$713</f>
        <v>0</v>
      </c>
      <c r="AF713" s="6">
        <f ca="1">$M$713*$Z$713</f>
        <v>38504.51871848703</v>
      </c>
      <c r="AG713" s="6">
        <f>$O$713*$AA$713</f>
        <v>25337.731939083722</v>
      </c>
    </row>
    <row r="714" spans="1:33" ht="11.25" customHeight="1" x14ac:dyDescent="0.25">
      <c r="A714" s="4" t="s">
        <v>21</v>
      </c>
      <c r="B714" s="4" t="s">
        <v>39</v>
      </c>
      <c r="C714" s="4" t="s">
        <v>23</v>
      </c>
      <c r="D714" s="4" t="s">
        <v>45</v>
      </c>
      <c r="E714" s="4" t="s">
        <v>25</v>
      </c>
      <c r="F714" s="4" t="s">
        <v>25</v>
      </c>
      <c r="G714" s="4" t="s">
        <v>25</v>
      </c>
      <c r="H714" s="4" t="s">
        <v>25</v>
      </c>
      <c r="I714" s="5">
        <v>44562</v>
      </c>
      <c r="J714" s="6">
        <v>0</v>
      </c>
      <c r="K714" s="6">
        <v>0</v>
      </c>
      <c r="L714" s="6">
        <v>93.695999999999998</v>
      </c>
      <c r="M714" s="6">
        <v>93.695999999999998</v>
      </c>
      <c r="N714" s="6">
        <v>93.695999999999998</v>
      </c>
      <c r="O714" s="6">
        <v>93.695999999999998</v>
      </c>
      <c r="P714" s="6">
        <v>101</v>
      </c>
      <c r="Q714" s="4" t="s">
        <v>26</v>
      </c>
      <c r="R714" s="4">
        <v>0</v>
      </c>
      <c r="S714" s="6">
        <v>0</v>
      </c>
      <c r="T714" s="6">
        <v>44</v>
      </c>
      <c r="U714" s="6">
        <v>81</v>
      </c>
      <c r="V714" s="6">
        <f>IF(ISERROR(VLOOKUP($S$714,'TAR FIN'!$A$1:$O$85,15,0)),0,VLOOKUP($S$714,'TAR FIN'!$A$1:$O$85,15,0))</f>
        <v>0</v>
      </c>
      <c r="W714" s="6">
        <f>IF(ISERROR(VLOOKUP($T$714,'TAR FIN'!$A$1:$O$85,15,0)),0,VLOOKUP($T$714,'TAR FIN'!$A$1:$O$85,15,0))</f>
        <v>273.69</v>
      </c>
      <c r="X714" s="6">
        <f>IF(ISERROR(VLOOKUP($U$714,'TAR FIN'!$A$1:$O$85,15,0)),0,VLOOKUP($U$714,'TAR FIN'!$A$1:$O$85,15,0))</f>
        <v>263.29000000000002</v>
      </c>
      <c r="Y714" s="6"/>
      <c r="Z714" s="6">
        <f ca="1">('TUSD BE'!$AM$48+'TUSD BF'!$AM$48+'TUSD CVA'!$AM$48)*1</f>
        <v>320.1054038964063</v>
      </c>
      <c r="AA714" s="6">
        <f>('TE BE'!$AA$38+'TE BF'!$AA$38+'TE CVA'!$AA$38)*1</f>
        <v>210.64397598313801</v>
      </c>
      <c r="AB714" s="6">
        <f>$K$714*$V$714</f>
        <v>0</v>
      </c>
      <c r="AC714" s="6">
        <f>$M$714*$W$714</f>
        <v>25643.658240000001</v>
      </c>
      <c r="AD714" s="6">
        <f>$O$714*$X$714</f>
        <v>24669.219840000002</v>
      </c>
      <c r="AE714" s="6">
        <f>$K$714*$Y$714</f>
        <v>0</v>
      </c>
      <c r="AF714" s="6">
        <f ca="1">$M$714*$Z$714</f>
        <v>29992.595923477686</v>
      </c>
      <c r="AG714" s="6">
        <f>$O$714*$AA$714</f>
        <v>19736.497973716097</v>
      </c>
    </row>
    <row r="715" spans="1:33" ht="11.25" customHeight="1" x14ac:dyDescent="0.25">
      <c r="A715" s="4" t="s">
        <v>27</v>
      </c>
      <c r="B715" s="4" t="s">
        <v>39</v>
      </c>
      <c r="C715" s="4" t="s">
        <v>23</v>
      </c>
      <c r="D715" s="4" t="s">
        <v>45</v>
      </c>
      <c r="E715" s="4" t="s">
        <v>25</v>
      </c>
      <c r="F715" s="4" t="s">
        <v>25</v>
      </c>
      <c r="G715" s="4" t="s">
        <v>25</v>
      </c>
      <c r="H715" s="4" t="s">
        <v>25</v>
      </c>
      <c r="I715" s="5">
        <v>44562</v>
      </c>
      <c r="J715" s="6">
        <v>0</v>
      </c>
      <c r="K715" s="6">
        <v>0</v>
      </c>
      <c r="L715" s="6">
        <v>-0.35899999999999999</v>
      </c>
      <c r="M715" s="6">
        <v>-0.35899999999999999</v>
      </c>
      <c r="N715" s="6">
        <v>-0.35899999999999999</v>
      </c>
      <c r="O715" s="6">
        <v>-0.35899999999999999</v>
      </c>
      <c r="P715" s="6">
        <v>0</v>
      </c>
      <c r="Q715" s="4" t="s">
        <v>26</v>
      </c>
      <c r="R715" s="4">
        <v>0</v>
      </c>
      <c r="S715" s="6">
        <v>0</v>
      </c>
      <c r="T715" s="6">
        <v>44</v>
      </c>
      <c r="U715" s="6">
        <v>81</v>
      </c>
      <c r="V715" s="6">
        <f>IF(ISERROR(VLOOKUP($S$715,'TAR FIN'!$A$1:$O$85,15,0)),0,VLOOKUP($S$715,'TAR FIN'!$A$1:$O$85,15,0))</f>
        <v>0</v>
      </c>
      <c r="W715" s="6">
        <f>IF(ISERROR(VLOOKUP($T$715,'TAR FIN'!$A$1:$O$85,15,0)),0,VLOOKUP($T$715,'TAR FIN'!$A$1:$O$85,15,0))</f>
        <v>273.69</v>
      </c>
      <c r="X715" s="6">
        <f>IF(ISERROR(VLOOKUP($U$715,'TAR FIN'!$A$1:$O$85,15,0)),0,VLOOKUP($U$715,'TAR FIN'!$A$1:$O$85,15,0))</f>
        <v>263.29000000000002</v>
      </c>
      <c r="Y715" s="6"/>
      <c r="Z715" s="6">
        <f ca="1">('TUSD BE'!$AM$48+'TUSD BF'!$AM$48+'TUSD CVA'!$AM$48)*1</f>
        <v>320.1054038964063</v>
      </c>
      <c r="AA715" s="6">
        <f>('TE BE'!$AA$38+'TE BF'!$AA$38+'TE CVA'!$AA$38)*1</f>
        <v>210.64397598313801</v>
      </c>
      <c r="AB715" s="6">
        <f>$K$715*$V$715</f>
        <v>0</v>
      </c>
      <c r="AC715" s="6">
        <f>$M$715*$W$715</f>
        <v>-98.254709999999989</v>
      </c>
      <c r="AD715" s="6">
        <f>$O$715*$X$715</f>
        <v>-94.521110000000007</v>
      </c>
      <c r="AE715" s="6">
        <f>$K$715*$Y$715</f>
        <v>0</v>
      </c>
      <c r="AF715" s="6">
        <f ca="1">$M$715*$Z$715</f>
        <v>-114.91783999880985</v>
      </c>
      <c r="AG715" s="6">
        <f>$O$715*$AA$715</f>
        <v>-75.621187377946541</v>
      </c>
    </row>
    <row r="716" spans="1:33" ht="11.25" customHeight="1" x14ac:dyDescent="0.25">
      <c r="A716" s="4" t="s">
        <v>21</v>
      </c>
      <c r="B716" s="4" t="s">
        <v>39</v>
      </c>
      <c r="C716" s="4" t="s">
        <v>23</v>
      </c>
      <c r="D716" s="4" t="s">
        <v>45</v>
      </c>
      <c r="E716" s="4" t="s">
        <v>25</v>
      </c>
      <c r="F716" s="4" t="s">
        <v>25</v>
      </c>
      <c r="G716" s="4" t="s">
        <v>25</v>
      </c>
      <c r="H716" s="4" t="s">
        <v>25</v>
      </c>
      <c r="I716" s="5">
        <v>44593</v>
      </c>
      <c r="J716" s="6">
        <v>0</v>
      </c>
      <c r="K716" s="6">
        <v>0</v>
      </c>
      <c r="L716" s="6">
        <v>102.80800000000001</v>
      </c>
      <c r="M716" s="6">
        <v>102.80800000000001</v>
      </c>
      <c r="N716" s="6">
        <v>102.80800000000001</v>
      </c>
      <c r="O716" s="6">
        <v>102.80800000000001</v>
      </c>
      <c r="P716" s="6">
        <v>100</v>
      </c>
      <c r="Q716" s="4" t="s">
        <v>26</v>
      </c>
      <c r="R716" s="4">
        <v>0</v>
      </c>
      <c r="S716" s="6">
        <v>0</v>
      </c>
      <c r="T716" s="6">
        <v>44</v>
      </c>
      <c r="U716" s="6">
        <v>81</v>
      </c>
      <c r="V716" s="6">
        <f>IF(ISERROR(VLOOKUP($S$716,'TAR FIN'!$A$1:$O$85,15,0)),0,VLOOKUP($S$716,'TAR FIN'!$A$1:$O$85,15,0))</f>
        <v>0</v>
      </c>
      <c r="W716" s="6">
        <f>IF(ISERROR(VLOOKUP($T$716,'TAR FIN'!$A$1:$O$85,15,0)),0,VLOOKUP($T$716,'TAR FIN'!$A$1:$O$85,15,0))</f>
        <v>273.69</v>
      </c>
      <c r="X716" s="6">
        <f>IF(ISERROR(VLOOKUP($U$716,'TAR FIN'!$A$1:$O$85,15,0)),0,VLOOKUP($U$716,'TAR FIN'!$A$1:$O$85,15,0))</f>
        <v>263.29000000000002</v>
      </c>
      <c r="Y716" s="6"/>
      <c r="Z716" s="6">
        <f ca="1">('TUSD BE'!$AM$48+'TUSD BF'!$AM$48+'TUSD CVA'!$AM$48)*1</f>
        <v>320.1054038964063</v>
      </c>
      <c r="AA716" s="6">
        <f>('TE BE'!$AA$38+'TE BF'!$AA$38+'TE CVA'!$AA$38)*1</f>
        <v>210.64397598313801</v>
      </c>
      <c r="AB716" s="6">
        <f>$K$716*$V$716</f>
        <v>0</v>
      </c>
      <c r="AC716" s="6">
        <f>$M$716*$W$716</f>
        <v>28137.521520000002</v>
      </c>
      <c r="AD716" s="6">
        <f>$O$716*$X$716</f>
        <v>27068.318320000002</v>
      </c>
      <c r="AE716" s="6">
        <f>$K$716*$Y$716</f>
        <v>0</v>
      </c>
      <c r="AF716" s="6">
        <f ca="1">$M$716*$Z$716</f>
        <v>32909.396363781743</v>
      </c>
      <c r="AG716" s="6">
        <f>$O$716*$AA$716</f>
        <v>21655.885882874452</v>
      </c>
    </row>
    <row r="717" spans="1:33" ht="11.25" customHeight="1" x14ac:dyDescent="0.25">
      <c r="A717" s="4" t="s">
        <v>21</v>
      </c>
      <c r="B717" s="4" t="s">
        <v>39</v>
      </c>
      <c r="C717" s="4" t="s">
        <v>23</v>
      </c>
      <c r="D717" s="4" t="s">
        <v>45</v>
      </c>
      <c r="E717" s="4" t="s">
        <v>25</v>
      </c>
      <c r="F717" s="4" t="s">
        <v>25</v>
      </c>
      <c r="G717" s="4" t="s">
        <v>25</v>
      </c>
      <c r="H717" s="4" t="s">
        <v>25</v>
      </c>
      <c r="I717" s="5">
        <v>44621</v>
      </c>
      <c r="J717" s="6">
        <v>0</v>
      </c>
      <c r="K717" s="6">
        <v>0</v>
      </c>
      <c r="L717" s="6">
        <v>138.53200000000001</v>
      </c>
      <c r="M717" s="6">
        <v>138.53200000000001</v>
      </c>
      <c r="N717" s="6">
        <v>138.53200000000001</v>
      </c>
      <c r="O717" s="6">
        <v>138.53200000000001</v>
      </c>
      <c r="P717" s="6">
        <v>100</v>
      </c>
      <c r="Q717" s="4" t="s">
        <v>26</v>
      </c>
      <c r="R717" s="4">
        <v>0</v>
      </c>
      <c r="S717" s="6">
        <v>0</v>
      </c>
      <c r="T717" s="6">
        <v>44</v>
      </c>
      <c r="U717" s="6">
        <v>81</v>
      </c>
      <c r="V717" s="6">
        <f>IF(ISERROR(VLOOKUP($S$717,'TAR FIN'!$A$1:$O$85,15,0)),0,VLOOKUP($S$717,'TAR FIN'!$A$1:$O$85,15,0))</f>
        <v>0</v>
      </c>
      <c r="W717" s="6">
        <f>IF(ISERROR(VLOOKUP($T$717,'TAR FIN'!$A$1:$O$85,15,0)),0,VLOOKUP($T$717,'TAR FIN'!$A$1:$O$85,15,0))</f>
        <v>273.69</v>
      </c>
      <c r="X717" s="6">
        <f>IF(ISERROR(VLOOKUP($U$717,'TAR FIN'!$A$1:$O$85,15,0)),0,VLOOKUP($U$717,'TAR FIN'!$A$1:$O$85,15,0))</f>
        <v>263.29000000000002</v>
      </c>
      <c r="Y717" s="6"/>
      <c r="Z717" s="6">
        <f ca="1">('TUSD BE'!$AM$48+'TUSD BF'!$AM$48+'TUSD CVA'!$AM$48)*1</f>
        <v>320.1054038964063</v>
      </c>
      <c r="AA717" s="6">
        <f>('TE BE'!$AA$38+'TE BF'!$AA$38+'TE CVA'!$AA$38)*1</f>
        <v>210.64397598313801</v>
      </c>
      <c r="AB717" s="6">
        <f>$K$717*$V$717</f>
        <v>0</v>
      </c>
      <c r="AC717" s="6">
        <f>$M$717*$W$717</f>
        <v>37914.823080000002</v>
      </c>
      <c r="AD717" s="6">
        <f>$O$717*$X$717</f>
        <v>36474.090280000004</v>
      </c>
      <c r="AE717" s="6">
        <f>$K$717*$Y$717</f>
        <v>0</v>
      </c>
      <c r="AF717" s="6">
        <f ca="1">$M$717*$Z$717</f>
        <v>44344.84181257696</v>
      </c>
      <c r="AG717" s="6">
        <f>$O$717*$AA$717</f>
        <v>29180.931280896075</v>
      </c>
    </row>
    <row r="718" spans="1:33" ht="11.25" customHeight="1" x14ac:dyDescent="0.25">
      <c r="A718" s="4" t="s">
        <v>21</v>
      </c>
      <c r="B718" s="4" t="s">
        <v>39</v>
      </c>
      <c r="C718" s="4" t="s">
        <v>23</v>
      </c>
      <c r="D718" s="4" t="s">
        <v>45</v>
      </c>
      <c r="E718" s="4" t="s">
        <v>25</v>
      </c>
      <c r="F718" s="4" t="s">
        <v>25</v>
      </c>
      <c r="G718" s="4" t="s">
        <v>25</v>
      </c>
      <c r="H718" s="4" t="s">
        <v>25</v>
      </c>
      <c r="I718" s="5">
        <v>44652</v>
      </c>
      <c r="J718" s="6">
        <v>0</v>
      </c>
      <c r="K718" s="6">
        <v>0</v>
      </c>
      <c r="L718" s="6">
        <v>134.03</v>
      </c>
      <c r="M718" s="6">
        <v>134.03</v>
      </c>
      <c r="N718" s="6">
        <v>134.03</v>
      </c>
      <c r="O718" s="6">
        <v>134.03</v>
      </c>
      <c r="P718" s="6">
        <v>100</v>
      </c>
      <c r="Q718" s="4" t="s">
        <v>26</v>
      </c>
      <c r="R718" s="4">
        <v>0</v>
      </c>
      <c r="S718" s="6">
        <v>0</v>
      </c>
      <c r="T718" s="6">
        <v>44</v>
      </c>
      <c r="U718" s="6">
        <v>81</v>
      </c>
      <c r="V718" s="6">
        <f>IF(ISERROR(VLOOKUP($S$718,'TAR FIN'!$A$1:$O$85,15,0)),0,VLOOKUP($S$718,'TAR FIN'!$A$1:$O$85,15,0))</f>
        <v>0</v>
      </c>
      <c r="W718" s="6">
        <f>IF(ISERROR(VLOOKUP($T$718,'TAR FIN'!$A$1:$O$85,15,0)),0,VLOOKUP($T$718,'TAR FIN'!$A$1:$O$85,15,0))</f>
        <v>273.69</v>
      </c>
      <c r="X718" s="6">
        <f>IF(ISERROR(VLOOKUP($U$718,'TAR FIN'!$A$1:$O$85,15,0)),0,VLOOKUP($U$718,'TAR FIN'!$A$1:$O$85,15,0))</f>
        <v>263.29000000000002</v>
      </c>
      <c r="Y718" s="6"/>
      <c r="Z718" s="6">
        <f ca="1">('TUSD BE'!$AM$48+'TUSD BF'!$AM$48+'TUSD CVA'!$AM$48)*1</f>
        <v>320.1054038964063</v>
      </c>
      <c r="AA718" s="6">
        <f>('TE BE'!$AA$38+'TE BF'!$AA$38+'TE CVA'!$AA$38)*1</f>
        <v>210.64397598313801</v>
      </c>
      <c r="AB718" s="6">
        <f>$K$718*$V$718</f>
        <v>0</v>
      </c>
      <c r="AC718" s="6">
        <f>$M$718*$W$718</f>
        <v>36682.670700000002</v>
      </c>
      <c r="AD718" s="6">
        <f>$O$718*$X$718</f>
        <v>35288.758700000006</v>
      </c>
      <c r="AE718" s="6">
        <f>$K$718*$Y$718</f>
        <v>0</v>
      </c>
      <c r="AF718" s="6">
        <f ca="1">$M$718*$Z$718</f>
        <v>42903.727284235334</v>
      </c>
      <c r="AG718" s="6">
        <f>$O$718*$AA$718</f>
        <v>28232.612101019986</v>
      </c>
    </row>
    <row r="719" spans="1:33" ht="11.25" customHeight="1" x14ac:dyDescent="0.25">
      <c r="A719" s="4" t="s">
        <v>21</v>
      </c>
      <c r="B719" s="4" t="s">
        <v>39</v>
      </c>
      <c r="C719" s="4" t="s">
        <v>23</v>
      </c>
      <c r="D719" s="4" t="s">
        <v>50</v>
      </c>
      <c r="E719" s="4" t="s">
        <v>51</v>
      </c>
      <c r="F719" s="4" t="s">
        <v>25</v>
      </c>
      <c r="G719" s="4" t="s">
        <v>25</v>
      </c>
      <c r="H719" s="4" t="s">
        <v>25</v>
      </c>
      <c r="I719" s="5">
        <v>44317</v>
      </c>
      <c r="J719" s="6">
        <v>0</v>
      </c>
      <c r="K719" s="77">
        <v>0</v>
      </c>
      <c r="L719" s="6">
        <v>80.828000000000003</v>
      </c>
      <c r="M719" s="77">
        <v>80.828000000000003</v>
      </c>
      <c r="N719" s="6">
        <v>80.828000000000003</v>
      </c>
      <c r="O719" s="77">
        <v>80.828000000000003</v>
      </c>
      <c r="P719" s="6">
        <v>25</v>
      </c>
      <c r="Q719" s="4" t="s">
        <v>26</v>
      </c>
      <c r="R719" s="4">
        <v>0</v>
      </c>
      <c r="S719" s="6">
        <v>0</v>
      </c>
      <c r="T719" s="6">
        <v>44</v>
      </c>
      <c r="U719" s="6">
        <v>81</v>
      </c>
      <c r="V719" s="77">
        <f>IF(ISERROR(VLOOKUP($S$719,'TAR FIN'!$A$1:$O$85,15,0)),0,VLOOKUP($S$719,'TAR FIN'!$A$1:$O$85,15,0))</f>
        <v>0</v>
      </c>
      <c r="W719" s="77">
        <f>IF(ISERROR(VLOOKUP($T$719,'TAR FIN'!$A$1:$O$85,15,0)),0,VLOOKUP($T$719,'TAR FIN'!$A$1:$O$85,15,0))*(1-0.06)</f>
        <v>257.26859999999999</v>
      </c>
      <c r="X719" s="77">
        <f>IF(ISERROR(VLOOKUP($U$719,'TAR FIN'!$A$1:$O$85,15,0)),0,VLOOKUP($U$719,'TAR FIN'!$A$1:$O$85,15,0))*(1-0.06)</f>
        <v>247.49260000000001</v>
      </c>
      <c r="Y719" s="77"/>
      <c r="Z719" s="77">
        <f ca="1">('TUSD BE'!$AM$48+'TUSD BF'!$AM$48+'TUSD CVA'!$AM$48)*1*(1-0.03)</f>
        <v>310.50224177951412</v>
      </c>
      <c r="AA719" s="77">
        <f>('TE BE'!$AA$38+'TE BF'!$AA$38+'TE CVA'!$AA$38)*1*(1-0.03)</f>
        <v>204.32465670364385</v>
      </c>
      <c r="AB719" s="6">
        <f>$K$719*$V$719</f>
        <v>0</v>
      </c>
      <c r="AC719" s="6">
        <f>$M$719*$W$719</f>
        <v>20794.506400800001</v>
      </c>
      <c r="AD719" s="6">
        <f>$O$719*$X$719</f>
        <v>20004.331872800001</v>
      </c>
      <c r="AE719" s="6">
        <f>$K$719*$Y$719</f>
        <v>0</v>
      </c>
      <c r="AF719" s="6">
        <f ca="1">$M$719*$Z$719</f>
        <v>25097.275198554569</v>
      </c>
      <c r="AG719" s="6">
        <f>$O$719*$AA$719</f>
        <v>16515.153352042125</v>
      </c>
    </row>
    <row r="720" spans="1:33" ht="11.25" customHeight="1" x14ac:dyDescent="0.25">
      <c r="A720" s="4" t="s">
        <v>21</v>
      </c>
      <c r="B720" s="4" t="s">
        <v>39</v>
      </c>
      <c r="C720" s="4" t="s">
        <v>23</v>
      </c>
      <c r="D720" s="4" t="s">
        <v>50</v>
      </c>
      <c r="E720" s="4" t="s">
        <v>51</v>
      </c>
      <c r="F720" s="4" t="s">
        <v>25</v>
      </c>
      <c r="G720" s="4" t="s">
        <v>25</v>
      </c>
      <c r="H720" s="4" t="s">
        <v>25</v>
      </c>
      <c r="I720" s="5">
        <v>44348</v>
      </c>
      <c r="J720" s="6">
        <v>0</v>
      </c>
      <c r="K720" s="77">
        <v>0</v>
      </c>
      <c r="L720" s="6">
        <v>76.587999999999994</v>
      </c>
      <c r="M720" s="77">
        <v>76.587999999999994</v>
      </c>
      <c r="N720" s="6">
        <v>76.587999999999994</v>
      </c>
      <c r="O720" s="77">
        <v>76.587999999999994</v>
      </c>
      <c r="P720" s="6">
        <v>26</v>
      </c>
      <c r="Q720" s="4" t="s">
        <v>26</v>
      </c>
      <c r="R720" s="4">
        <v>0</v>
      </c>
      <c r="S720" s="6">
        <v>0</v>
      </c>
      <c r="T720" s="6">
        <v>44</v>
      </c>
      <c r="U720" s="6">
        <v>81</v>
      </c>
      <c r="V720" s="77">
        <f>IF(ISERROR(VLOOKUP($S$720,'TAR FIN'!$A$1:$O$85,15,0)),0,VLOOKUP($S$720,'TAR FIN'!$A$1:$O$85,15,0))</f>
        <v>0</v>
      </c>
      <c r="W720" s="77">
        <f>IF(ISERROR(VLOOKUP($T$720,'TAR FIN'!$A$1:$O$85,15,0)),0,VLOOKUP($T$720,'TAR FIN'!$A$1:$O$85,15,0))*(1-0.06)</f>
        <v>257.26859999999999</v>
      </c>
      <c r="X720" s="77">
        <f>IF(ISERROR(VLOOKUP($U$720,'TAR FIN'!$A$1:$O$85,15,0)),0,VLOOKUP($U$720,'TAR FIN'!$A$1:$O$85,15,0))*(1-0.06)</f>
        <v>247.49260000000001</v>
      </c>
      <c r="Y720" s="77"/>
      <c r="Z720" s="77">
        <f ca="1">('TUSD BE'!$AM$48+'TUSD BF'!$AM$48+'TUSD CVA'!$AM$48)*1*(1-0.03)</f>
        <v>310.50224177951412</v>
      </c>
      <c r="AA720" s="77">
        <f>('TE BE'!$AA$38+'TE BF'!$AA$38+'TE CVA'!$AA$38)*1*(1-0.03)</f>
        <v>204.32465670364385</v>
      </c>
      <c r="AB720" s="6">
        <f>$K$720*$V$720</f>
        <v>0</v>
      </c>
      <c r="AC720" s="6">
        <f>$M$720*$W$720</f>
        <v>19703.687536799996</v>
      </c>
      <c r="AD720" s="6">
        <f>$O$720*$X$720</f>
        <v>18954.963248799999</v>
      </c>
      <c r="AE720" s="6">
        <f>$K$720*$Y$720</f>
        <v>0</v>
      </c>
      <c r="AF720" s="6">
        <f ca="1">$M$720*$Z$720</f>
        <v>23780.745693409426</v>
      </c>
      <c r="AG720" s="6">
        <f>$O$720*$AA$720</f>
        <v>15648.816807618674</v>
      </c>
    </row>
    <row r="721" spans="1:33" ht="11.25" customHeight="1" x14ac:dyDescent="0.25">
      <c r="A721" s="4" t="s">
        <v>21</v>
      </c>
      <c r="B721" s="4" t="s">
        <v>39</v>
      </c>
      <c r="C721" s="4" t="s">
        <v>23</v>
      </c>
      <c r="D721" s="4" t="s">
        <v>50</v>
      </c>
      <c r="E721" s="4" t="s">
        <v>51</v>
      </c>
      <c r="F721" s="4" t="s">
        <v>25</v>
      </c>
      <c r="G721" s="4" t="s">
        <v>25</v>
      </c>
      <c r="H721" s="4" t="s">
        <v>25</v>
      </c>
      <c r="I721" s="5">
        <v>44378</v>
      </c>
      <c r="J721" s="6">
        <v>0</v>
      </c>
      <c r="K721" s="77">
        <v>0</v>
      </c>
      <c r="L721" s="6">
        <v>74.275000000000006</v>
      </c>
      <c r="M721" s="77">
        <v>74.275000000000006</v>
      </c>
      <c r="N721" s="6">
        <v>74.275000000000006</v>
      </c>
      <c r="O721" s="77">
        <v>74.275000000000006</v>
      </c>
      <c r="P721" s="6">
        <v>26</v>
      </c>
      <c r="Q721" s="4" t="s">
        <v>26</v>
      </c>
      <c r="R721" s="4">
        <v>0</v>
      </c>
      <c r="S721" s="6">
        <v>0</v>
      </c>
      <c r="T721" s="6">
        <v>44</v>
      </c>
      <c r="U721" s="6">
        <v>81</v>
      </c>
      <c r="V721" s="77">
        <f>IF(ISERROR(VLOOKUP($S$721,'TAR FIN'!$A$1:$O$85,15,0)),0,VLOOKUP($S$721,'TAR FIN'!$A$1:$O$85,15,0))</f>
        <v>0</v>
      </c>
      <c r="W721" s="77">
        <f>IF(ISERROR(VLOOKUP($T$721,'TAR FIN'!$A$1:$O$85,15,0)),0,VLOOKUP($T$721,'TAR FIN'!$A$1:$O$85,15,0))*(1-0.06)</f>
        <v>257.26859999999999</v>
      </c>
      <c r="X721" s="77">
        <f>IF(ISERROR(VLOOKUP($U$721,'TAR FIN'!$A$1:$O$85,15,0)),0,VLOOKUP($U$721,'TAR FIN'!$A$1:$O$85,15,0))*(1-0.06)</f>
        <v>247.49260000000001</v>
      </c>
      <c r="Y721" s="77"/>
      <c r="Z721" s="77">
        <f ca="1">('TUSD BE'!$AM$48+'TUSD BF'!$AM$48+'TUSD CVA'!$AM$48)*1*(1-0.03)</f>
        <v>310.50224177951412</v>
      </c>
      <c r="AA721" s="77">
        <f>('TE BE'!$AA$38+'TE BF'!$AA$38+'TE CVA'!$AA$38)*1*(1-0.03)</f>
        <v>204.32465670364385</v>
      </c>
      <c r="AB721" s="6">
        <f>$K$721*$V$721</f>
        <v>0</v>
      </c>
      <c r="AC721" s="6">
        <f>$M$721*$W$721</f>
        <v>19108.625265000002</v>
      </c>
      <c r="AD721" s="6">
        <f>$O$721*$X$721</f>
        <v>18382.512865000001</v>
      </c>
      <c r="AE721" s="6">
        <f>$K$721*$Y$721</f>
        <v>0</v>
      </c>
      <c r="AF721" s="6">
        <f ca="1">$M$721*$Z$721</f>
        <v>23062.554008173414</v>
      </c>
      <c r="AG721" s="6">
        <f>$O$721*$AA$721</f>
        <v>15176.213876663149</v>
      </c>
    </row>
    <row r="722" spans="1:33" ht="11.25" customHeight="1" x14ac:dyDescent="0.25">
      <c r="A722" s="4" t="s">
        <v>21</v>
      </c>
      <c r="B722" s="4" t="s">
        <v>39</v>
      </c>
      <c r="C722" s="4" t="s">
        <v>23</v>
      </c>
      <c r="D722" s="4" t="s">
        <v>50</v>
      </c>
      <c r="E722" s="4" t="s">
        <v>51</v>
      </c>
      <c r="F722" s="4" t="s">
        <v>25</v>
      </c>
      <c r="G722" s="4" t="s">
        <v>25</v>
      </c>
      <c r="H722" s="4" t="s">
        <v>25</v>
      </c>
      <c r="I722" s="5">
        <v>44409</v>
      </c>
      <c r="J722" s="6">
        <v>0</v>
      </c>
      <c r="K722" s="77">
        <v>0</v>
      </c>
      <c r="L722" s="6">
        <v>77.135000000000005</v>
      </c>
      <c r="M722" s="77">
        <v>77.135000000000005</v>
      </c>
      <c r="N722" s="6">
        <v>77.135000000000005</v>
      </c>
      <c r="O722" s="77">
        <v>77.135000000000005</v>
      </c>
      <c r="P722" s="6">
        <v>26</v>
      </c>
      <c r="Q722" s="4" t="s">
        <v>26</v>
      </c>
      <c r="R722" s="4">
        <v>0</v>
      </c>
      <c r="S722" s="6">
        <v>0</v>
      </c>
      <c r="T722" s="6">
        <v>44</v>
      </c>
      <c r="U722" s="6">
        <v>81</v>
      </c>
      <c r="V722" s="77">
        <f>IF(ISERROR(VLOOKUP($S$722,'TAR FIN'!$A$1:$O$85,15,0)),0,VLOOKUP($S$722,'TAR FIN'!$A$1:$O$85,15,0))</f>
        <v>0</v>
      </c>
      <c r="W722" s="77">
        <f>IF(ISERROR(VLOOKUP($T$722,'TAR FIN'!$A$1:$O$85,15,0)),0,VLOOKUP($T$722,'TAR FIN'!$A$1:$O$85,15,0))*(1-0.06)</f>
        <v>257.26859999999999</v>
      </c>
      <c r="X722" s="77">
        <f>IF(ISERROR(VLOOKUP($U$722,'TAR FIN'!$A$1:$O$85,15,0)),0,VLOOKUP($U$722,'TAR FIN'!$A$1:$O$85,15,0))*(1-0.06)</f>
        <v>247.49260000000001</v>
      </c>
      <c r="Y722" s="77"/>
      <c r="Z722" s="77">
        <f ca="1">('TUSD BE'!$AM$48+'TUSD BF'!$AM$48+'TUSD CVA'!$AM$48)*1*(1-0.03)</f>
        <v>310.50224177951412</v>
      </c>
      <c r="AA722" s="77">
        <f>('TE BE'!$AA$38+'TE BF'!$AA$38+'TE CVA'!$AA$38)*1*(1-0.03)</f>
        <v>204.32465670364385</v>
      </c>
      <c r="AB722" s="6">
        <f>$K$722*$V$722</f>
        <v>0</v>
      </c>
      <c r="AC722" s="6">
        <f>$M$722*$W$722</f>
        <v>19844.413461</v>
      </c>
      <c r="AD722" s="6">
        <f>$O$722*$X$722</f>
        <v>19090.341701000001</v>
      </c>
      <c r="AE722" s="6">
        <f>$K$722*$Y$722</f>
        <v>0</v>
      </c>
      <c r="AF722" s="6">
        <f ca="1">$M$722*$Z$722</f>
        <v>23950.590419662822</v>
      </c>
      <c r="AG722" s="6">
        <f>$O$722*$AA$722</f>
        <v>15760.58239483557</v>
      </c>
    </row>
    <row r="723" spans="1:33" ht="11.25" customHeight="1" x14ac:dyDescent="0.25">
      <c r="A723" s="4" t="s">
        <v>21</v>
      </c>
      <c r="B723" s="4" t="s">
        <v>39</v>
      </c>
      <c r="C723" s="4" t="s">
        <v>23</v>
      </c>
      <c r="D723" s="4" t="s">
        <v>50</v>
      </c>
      <c r="E723" s="4" t="s">
        <v>51</v>
      </c>
      <c r="F723" s="4" t="s">
        <v>25</v>
      </c>
      <c r="G723" s="4" t="s">
        <v>25</v>
      </c>
      <c r="H723" s="4" t="s">
        <v>25</v>
      </c>
      <c r="I723" s="5">
        <v>44440</v>
      </c>
      <c r="J723" s="6">
        <v>0</v>
      </c>
      <c r="K723" s="77">
        <v>0</v>
      </c>
      <c r="L723" s="6">
        <v>90.194999999999993</v>
      </c>
      <c r="M723" s="77">
        <v>90.194999999999993</v>
      </c>
      <c r="N723" s="6">
        <v>90.194999999999993</v>
      </c>
      <c r="O723" s="77">
        <v>90.194999999999993</v>
      </c>
      <c r="P723" s="6">
        <v>26</v>
      </c>
      <c r="Q723" s="4" t="s">
        <v>26</v>
      </c>
      <c r="R723" s="4">
        <v>0</v>
      </c>
      <c r="S723" s="6">
        <v>0</v>
      </c>
      <c r="T723" s="6">
        <v>44</v>
      </c>
      <c r="U723" s="6">
        <v>81</v>
      </c>
      <c r="V723" s="77">
        <f>IF(ISERROR(VLOOKUP($S$723,'TAR FIN'!$A$1:$O$85,15,0)),0,VLOOKUP($S$723,'TAR FIN'!$A$1:$O$85,15,0))</f>
        <v>0</v>
      </c>
      <c r="W723" s="77">
        <f>IF(ISERROR(VLOOKUP($T$723,'TAR FIN'!$A$1:$O$85,15,0)),0,VLOOKUP($T$723,'TAR FIN'!$A$1:$O$85,15,0))*(1-0.06)</f>
        <v>257.26859999999999</v>
      </c>
      <c r="X723" s="77">
        <f>IF(ISERROR(VLOOKUP($U$723,'TAR FIN'!$A$1:$O$85,15,0)),0,VLOOKUP($U$723,'TAR FIN'!$A$1:$O$85,15,0))*(1-0.06)</f>
        <v>247.49260000000001</v>
      </c>
      <c r="Y723" s="77"/>
      <c r="Z723" s="77">
        <f ca="1">('TUSD BE'!$AM$48+'TUSD BF'!$AM$48+'TUSD CVA'!$AM$48)*1*(1-0.03)</f>
        <v>310.50224177951412</v>
      </c>
      <c r="AA723" s="77">
        <f>('TE BE'!$AA$38+'TE BF'!$AA$38+'TE CVA'!$AA$38)*1*(1-0.03)</f>
        <v>204.32465670364385</v>
      </c>
      <c r="AB723" s="6">
        <f>$K$723*$V$723</f>
        <v>0</v>
      </c>
      <c r="AC723" s="6">
        <f>$M$723*$W$723</f>
        <v>23204.341376999997</v>
      </c>
      <c r="AD723" s="6">
        <f>$O$723*$X$723</f>
        <v>22322.595056999999</v>
      </c>
      <c r="AE723" s="6">
        <f>$K$723*$Y$723</f>
        <v>0</v>
      </c>
      <c r="AF723" s="6">
        <f ca="1">$M$723*$Z$723</f>
        <v>28005.749697303276</v>
      </c>
      <c r="AG723" s="6">
        <f>$O$723*$AA$723</f>
        <v>18429.062411385155</v>
      </c>
    </row>
    <row r="724" spans="1:33" ht="11.25" customHeight="1" x14ac:dyDescent="0.25">
      <c r="A724" s="4" t="s">
        <v>21</v>
      </c>
      <c r="B724" s="4" t="s">
        <v>39</v>
      </c>
      <c r="C724" s="4" t="s">
        <v>23</v>
      </c>
      <c r="D724" s="4" t="s">
        <v>50</v>
      </c>
      <c r="E724" s="4" t="s">
        <v>51</v>
      </c>
      <c r="F724" s="4" t="s">
        <v>25</v>
      </c>
      <c r="G724" s="4" t="s">
        <v>25</v>
      </c>
      <c r="H724" s="4" t="s">
        <v>25</v>
      </c>
      <c r="I724" s="5">
        <v>44470</v>
      </c>
      <c r="J724" s="6">
        <v>0</v>
      </c>
      <c r="K724" s="77">
        <v>0</v>
      </c>
      <c r="L724" s="6">
        <v>66.856999999999999</v>
      </c>
      <c r="M724" s="77">
        <v>66.856999999999999</v>
      </c>
      <c r="N724" s="6">
        <v>66.856999999999999</v>
      </c>
      <c r="O724" s="77">
        <v>66.856999999999999</v>
      </c>
      <c r="P724" s="6">
        <v>25</v>
      </c>
      <c r="Q724" s="4" t="s">
        <v>26</v>
      </c>
      <c r="R724" s="4">
        <v>0</v>
      </c>
      <c r="S724" s="6">
        <v>0</v>
      </c>
      <c r="T724" s="6">
        <v>44</v>
      </c>
      <c r="U724" s="6">
        <v>81</v>
      </c>
      <c r="V724" s="77">
        <f>IF(ISERROR(VLOOKUP($S$724,'TAR FIN'!$A$1:$O$85,15,0)),0,VLOOKUP($S$724,'TAR FIN'!$A$1:$O$85,15,0))</f>
        <v>0</v>
      </c>
      <c r="W724" s="77">
        <f>IF(ISERROR(VLOOKUP($T$724,'TAR FIN'!$A$1:$O$85,15,0)),0,VLOOKUP($T$724,'TAR FIN'!$A$1:$O$85,15,0))*(1-0.06)</f>
        <v>257.26859999999999</v>
      </c>
      <c r="X724" s="77">
        <f>IF(ISERROR(VLOOKUP($U$724,'TAR FIN'!$A$1:$O$85,15,0)),0,VLOOKUP($U$724,'TAR FIN'!$A$1:$O$85,15,0))*(1-0.06)</f>
        <v>247.49260000000001</v>
      </c>
      <c r="Y724" s="77"/>
      <c r="Z724" s="77">
        <f ca="1">('TUSD BE'!$AM$48+'TUSD BF'!$AM$48+'TUSD CVA'!$AM$48)*1*(1-0.03)</f>
        <v>310.50224177951412</v>
      </c>
      <c r="AA724" s="77">
        <f>('TE BE'!$AA$38+'TE BF'!$AA$38+'TE CVA'!$AA$38)*1*(1-0.03)</f>
        <v>204.32465670364385</v>
      </c>
      <c r="AB724" s="6">
        <f>$K$724*$V$724</f>
        <v>0</v>
      </c>
      <c r="AC724" s="6">
        <f>$M$724*$W$724</f>
        <v>17200.206790199998</v>
      </c>
      <c r="AD724" s="6">
        <f>$O$724*$X$724</f>
        <v>16546.612758200001</v>
      </c>
      <c r="AE724" s="6">
        <f>$K$724*$Y$724</f>
        <v>0</v>
      </c>
      <c r="AF724" s="6">
        <f ca="1">$M$724*$Z$724</f>
        <v>20759.248378652974</v>
      </c>
      <c r="AG724" s="6">
        <f>$O$724*$AA$724</f>
        <v>13660.533573235516</v>
      </c>
    </row>
    <row r="725" spans="1:33" ht="11.25" customHeight="1" x14ac:dyDescent="0.25">
      <c r="A725" s="4" t="s">
        <v>21</v>
      </c>
      <c r="B725" s="4" t="s">
        <v>39</v>
      </c>
      <c r="C725" s="4" t="s">
        <v>23</v>
      </c>
      <c r="D725" s="4" t="s">
        <v>50</v>
      </c>
      <c r="E725" s="4" t="s">
        <v>51</v>
      </c>
      <c r="F725" s="4" t="s">
        <v>25</v>
      </c>
      <c r="G725" s="4" t="s">
        <v>25</v>
      </c>
      <c r="H725" s="4" t="s">
        <v>25</v>
      </c>
      <c r="I725" s="5">
        <v>44501</v>
      </c>
      <c r="J725" s="6">
        <v>0</v>
      </c>
      <c r="K725" s="77">
        <v>0</v>
      </c>
      <c r="L725" s="6">
        <v>62.64</v>
      </c>
      <c r="M725" s="77">
        <v>62.64</v>
      </c>
      <c r="N725" s="6">
        <v>62.64</v>
      </c>
      <c r="O725" s="77">
        <v>62.64</v>
      </c>
      <c r="P725" s="6">
        <v>26</v>
      </c>
      <c r="Q725" s="4" t="s">
        <v>26</v>
      </c>
      <c r="R725" s="4">
        <v>0</v>
      </c>
      <c r="S725" s="6">
        <v>0</v>
      </c>
      <c r="T725" s="6">
        <v>44</v>
      </c>
      <c r="U725" s="6">
        <v>81</v>
      </c>
      <c r="V725" s="77">
        <f>IF(ISERROR(VLOOKUP($S$725,'TAR FIN'!$A$1:$O$85,15,0)),0,VLOOKUP($S$725,'TAR FIN'!$A$1:$O$85,15,0))</f>
        <v>0</v>
      </c>
      <c r="W725" s="77">
        <f>IF(ISERROR(VLOOKUP($T$725,'TAR FIN'!$A$1:$O$85,15,0)),0,VLOOKUP($T$725,'TAR FIN'!$A$1:$O$85,15,0))*(1-0.06)</f>
        <v>257.26859999999999</v>
      </c>
      <c r="X725" s="77">
        <f>IF(ISERROR(VLOOKUP($U$725,'TAR FIN'!$A$1:$O$85,15,0)),0,VLOOKUP($U$725,'TAR FIN'!$A$1:$O$85,15,0))*(1-0.06)</f>
        <v>247.49260000000001</v>
      </c>
      <c r="Y725" s="77"/>
      <c r="Z725" s="77">
        <f ca="1">('TUSD BE'!$AM$48+'TUSD BF'!$AM$48+'TUSD CVA'!$AM$48)*1*(1-0.03)</f>
        <v>310.50224177951412</v>
      </c>
      <c r="AA725" s="77">
        <f>('TE BE'!$AA$38+'TE BF'!$AA$38+'TE CVA'!$AA$38)*1*(1-0.03)</f>
        <v>204.32465670364385</v>
      </c>
      <c r="AB725" s="6">
        <f>$K$725*$V$725</f>
        <v>0</v>
      </c>
      <c r="AC725" s="6">
        <f>$M$725*$W$725</f>
        <v>16115.305103999999</v>
      </c>
      <c r="AD725" s="6">
        <f>$O$725*$X$725</f>
        <v>15502.936464</v>
      </c>
      <c r="AE725" s="6">
        <f>$K$725*$Y$725</f>
        <v>0</v>
      </c>
      <c r="AF725" s="6">
        <f ca="1">$M$725*$Z$725</f>
        <v>19449.860425068764</v>
      </c>
      <c r="AG725" s="6">
        <f>$O$725*$AA$725</f>
        <v>12798.896495916251</v>
      </c>
    </row>
    <row r="726" spans="1:33" ht="11.25" customHeight="1" x14ac:dyDescent="0.25">
      <c r="A726" s="4" t="s">
        <v>21</v>
      </c>
      <c r="B726" s="4" t="s">
        <v>39</v>
      </c>
      <c r="C726" s="4" t="s">
        <v>23</v>
      </c>
      <c r="D726" s="4" t="s">
        <v>50</v>
      </c>
      <c r="E726" s="4" t="s">
        <v>51</v>
      </c>
      <c r="F726" s="4" t="s">
        <v>25</v>
      </c>
      <c r="G726" s="4" t="s">
        <v>25</v>
      </c>
      <c r="H726" s="4" t="s">
        <v>25</v>
      </c>
      <c r="I726" s="5">
        <v>44531</v>
      </c>
      <c r="J726" s="6">
        <v>0</v>
      </c>
      <c r="K726" s="77">
        <v>0</v>
      </c>
      <c r="L726" s="6">
        <v>105.90600000000001</v>
      </c>
      <c r="M726" s="77">
        <v>105.90600000000001</v>
      </c>
      <c r="N726" s="6">
        <v>105.90600000000001</v>
      </c>
      <c r="O726" s="77">
        <v>105.90600000000001</v>
      </c>
      <c r="P726" s="6">
        <v>27</v>
      </c>
      <c r="Q726" s="4" t="s">
        <v>26</v>
      </c>
      <c r="R726" s="4">
        <v>0</v>
      </c>
      <c r="S726" s="6">
        <v>0</v>
      </c>
      <c r="T726" s="6">
        <v>44</v>
      </c>
      <c r="U726" s="6">
        <v>81</v>
      </c>
      <c r="V726" s="77">
        <f>IF(ISERROR(VLOOKUP($S$726,'TAR FIN'!$A$1:$O$85,15,0)),0,VLOOKUP($S$726,'TAR FIN'!$A$1:$O$85,15,0))</f>
        <v>0</v>
      </c>
      <c r="W726" s="77">
        <f>IF(ISERROR(VLOOKUP($T$726,'TAR FIN'!$A$1:$O$85,15,0)),0,VLOOKUP($T$726,'TAR FIN'!$A$1:$O$85,15,0))*(1-0.06)</f>
        <v>257.26859999999999</v>
      </c>
      <c r="X726" s="77">
        <f>IF(ISERROR(VLOOKUP($U$726,'TAR FIN'!$A$1:$O$85,15,0)),0,VLOOKUP($U$726,'TAR FIN'!$A$1:$O$85,15,0))*(1-0.06)</f>
        <v>247.49260000000001</v>
      </c>
      <c r="Y726" s="77"/>
      <c r="Z726" s="77">
        <f ca="1">('TUSD BE'!$AM$48+'TUSD BF'!$AM$48+'TUSD CVA'!$AM$48)*1*(1-0.03)</f>
        <v>310.50224177951412</v>
      </c>
      <c r="AA726" s="77">
        <f>('TE BE'!$AA$38+'TE BF'!$AA$38+'TE CVA'!$AA$38)*1*(1-0.03)</f>
        <v>204.32465670364385</v>
      </c>
      <c r="AB726" s="6">
        <f>$K$726*$V$726</f>
        <v>0</v>
      </c>
      <c r="AC726" s="6">
        <f>$M$726*$W$726</f>
        <v>27246.2883516</v>
      </c>
      <c r="AD726" s="6">
        <f>$O$726*$X$726</f>
        <v>26210.951295600004</v>
      </c>
      <c r="AE726" s="6">
        <f>$K$726*$Y$726</f>
        <v>0</v>
      </c>
      <c r="AF726" s="6">
        <f ca="1">$M$726*$Z$726</f>
        <v>32884.050417901228</v>
      </c>
      <c r="AG726" s="6">
        <f>$O$726*$AA$726</f>
        <v>21639.207092856108</v>
      </c>
    </row>
    <row r="727" spans="1:33" ht="11.25" customHeight="1" x14ac:dyDescent="0.25">
      <c r="A727" s="4" t="s">
        <v>21</v>
      </c>
      <c r="B727" s="4" t="s">
        <v>39</v>
      </c>
      <c r="C727" s="4" t="s">
        <v>23</v>
      </c>
      <c r="D727" s="4" t="s">
        <v>50</v>
      </c>
      <c r="E727" s="4" t="s">
        <v>51</v>
      </c>
      <c r="F727" s="4" t="s">
        <v>25</v>
      </c>
      <c r="G727" s="4" t="s">
        <v>25</v>
      </c>
      <c r="H727" s="4" t="s">
        <v>25</v>
      </c>
      <c r="I727" s="5">
        <v>44562</v>
      </c>
      <c r="J727" s="6">
        <v>0</v>
      </c>
      <c r="K727" s="77">
        <v>0</v>
      </c>
      <c r="L727" s="6">
        <v>82.733999999999995</v>
      </c>
      <c r="M727" s="77">
        <v>82.733999999999995</v>
      </c>
      <c r="N727" s="6">
        <v>82.733999999999995</v>
      </c>
      <c r="O727" s="77">
        <v>82.733999999999995</v>
      </c>
      <c r="P727" s="6">
        <v>26</v>
      </c>
      <c r="Q727" s="4" t="s">
        <v>26</v>
      </c>
      <c r="R727" s="4">
        <v>0</v>
      </c>
      <c r="S727" s="6">
        <v>0</v>
      </c>
      <c r="T727" s="6">
        <v>44</v>
      </c>
      <c r="U727" s="6">
        <v>81</v>
      </c>
      <c r="V727" s="77">
        <f>IF(ISERROR(VLOOKUP($S$727,'TAR FIN'!$A$1:$O$85,15,0)),0,VLOOKUP($S$727,'TAR FIN'!$A$1:$O$85,15,0))</f>
        <v>0</v>
      </c>
      <c r="W727" s="77">
        <f>IF(ISERROR(VLOOKUP($T$727,'TAR FIN'!$A$1:$O$85,15,0)),0,VLOOKUP($T$727,'TAR FIN'!$A$1:$O$85,15,0))*(1-0.06)</f>
        <v>257.26859999999999</v>
      </c>
      <c r="X727" s="77">
        <f>IF(ISERROR(VLOOKUP($U$727,'TAR FIN'!$A$1:$O$85,15,0)),0,VLOOKUP($U$727,'TAR FIN'!$A$1:$O$85,15,0))*(1-0.06)</f>
        <v>247.49260000000001</v>
      </c>
      <c r="Y727" s="77"/>
      <c r="Z727" s="77">
        <f ca="1">('TUSD BE'!$AM$48+'TUSD BF'!$AM$48+'TUSD CVA'!$AM$48)*1*(1-0.03)</f>
        <v>310.50224177951412</v>
      </c>
      <c r="AA727" s="77">
        <f>('TE BE'!$AA$38+'TE BF'!$AA$38+'TE CVA'!$AA$38)*1*(1-0.03)</f>
        <v>204.32465670364385</v>
      </c>
      <c r="AB727" s="6">
        <f>$K$727*$V$727</f>
        <v>0</v>
      </c>
      <c r="AC727" s="6">
        <f>$M$727*$W$727</f>
        <v>21284.860352399999</v>
      </c>
      <c r="AD727" s="6">
        <f>$O$727*$X$727</f>
        <v>20476.052768400001</v>
      </c>
      <c r="AE727" s="6">
        <f>$K$727*$Y$727</f>
        <v>0</v>
      </c>
      <c r="AF727" s="6">
        <f ca="1">$M$727*$Z$727</f>
        <v>25689.092471386321</v>
      </c>
      <c r="AG727" s="6">
        <f>$O$727*$AA$727</f>
        <v>16904.596147719269</v>
      </c>
    </row>
    <row r="728" spans="1:33" ht="11.25" customHeight="1" x14ac:dyDescent="0.25">
      <c r="A728" s="4" t="s">
        <v>21</v>
      </c>
      <c r="B728" s="4" t="s">
        <v>39</v>
      </c>
      <c r="C728" s="4" t="s">
        <v>23</v>
      </c>
      <c r="D728" s="4" t="s">
        <v>50</v>
      </c>
      <c r="E728" s="4" t="s">
        <v>51</v>
      </c>
      <c r="F728" s="4" t="s">
        <v>25</v>
      </c>
      <c r="G728" s="4" t="s">
        <v>25</v>
      </c>
      <c r="H728" s="4" t="s">
        <v>25</v>
      </c>
      <c r="I728" s="5">
        <v>44593</v>
      </c>
      <c r="J728" s="6">
        <v>0</v>
      </c>
      <c r="K728" s="77">
        <v>0</v>
      </c>
      <c r="L728" s="6">
        <v>76.2</v>
      </c>
      <c r="M728" s="77">
        <v>76.2</v>
      </c>
      <c r="N728" s="6">
        <v>76.2</v>
      </c>
      <c r="O728" s="77">
        <v>76.2</v>
      </c>
      <c r="P728" s="6">
        <v>26</v>
      </c>
      <c r="Q728" s="4" t="s">
        <v>26</v>
      </c>
      <c r="R728" s="4">
        <v>0</v>
      </c>
      <c r="S728" s="6">
        <v>0</v>
      </c>
      <c r="T728" s="6">
        <v>44</v>
      </c>
      <c r="U728" s="6">
        <v>81</v>
      </c>
      <c r="V728" s="77">
        <f>IF(ISERROR(VLOOKUP($S$728,'TAR FIN'!$A$1:$O$85,15,0)),0,VLOOKUP($S$728,'TAR FIN'!$A$1:$O$85,15,0))</f>
        <v>0</v>
      </c>
      <c r="W728" s="77">
        <f>IF(ISERROR(VLOOKUP($T$728,'TAR FIN'!$A$1:$O$85,15,0)),0,VLOOKUP($T$728,'TAR FIN'!$A$1:$O$85,15,0))*(1-0.06)</f>
        <v>257.26859999999999</v>
      </c>
      <c r="X728" s="77">
        <f>IF(ISERROR(VLOOKUP($U$728,'TAR FIN'!$A$1:$O$85,15,0)),0,VLOOKUP($U$728,'TAR FIN'!$A$1:$O$85,15,0))*(1-0.06)</f>
        <v>247.49260000000001</v>
      </c>
      <c r="Y728" s="77"/>
      <c r="Z728" s="77">
        <f ca="1">('TUSD BE'!$AM$48+'TUSD BF'!$AM$48+'TUSD CVA'!$AM$48)*1*(1-0.03)</f>
        <v>310.50224177951412</v>
      </c>
      <c r="AA728" s="77">
        <f>('TE BE'!$AA$38+'TE BF'!$AA$38+'TE CVA'!$AA$38)*1*(1-0.03)</f>
        <v>204.32465670364385</v>
      </c>
      <c r="AB728" s="6">
        <f>$K$728*$V$728</f>
        <v>0</v>
      </c>
      <c r="AC728" s="6">
        <f>$M$728*$W$728</f>
        <v>19603.867320000001</v>
      </c>
      <c r="AD728" s="6">
        <f>$O$728*$X$728</f>
        <v>18858.936120000002</v>
      </c>
      <c r="AE728" s="6">
        <f>$K$728*$Y$728</f>
        <v>0</v>
      </c>
      <c r="AF728" s="6">
        <f ca="1">$M$728*$Z$728</f>
        <v>23660.270823598978</v>
      </c>
      <c r="AG728" s="6">
        <f>$O$728*$AA$728</f>
        <v>15569.538840817662</v>
      </c>
    </row>
    <row r="729" spans="1:33" ht="11.25" customHeight="1" x14ac:dyDescent="0.25">
      <c r="A729" s="4" t="s">
        <v>21</v>
      </c>
      <c r="B729" s="4" t="s">
        <v>39</v>
      </c>
      <c r="C729" s="4" t="s">
        <v>23</v>
      </c>
      <c r="D729" s="4" t="s">
        <v>50</v>
      </c>
      <c r="E729" s="4" t="s">
        <v>51</v>
      </c>
      <c r="F729" s="4" t="s">
        <v>25</v>
      </c>
      <c r="G729" s="4" t="s">
        <v>25</v>
      </c>
      <c r="H729" s="4" t="s">
        <v>25</v>
      </c>
      <c r="I729" s="5">
        <v>44621</v>
      </c>
      <c r="J729" s="6">
        <v>0</v>
      </c>
      <c r="K729" s="77">
        <v>0</v>
      </c>
      <c r="L729" s="6">
        <v>84.373000000000005</v>
      </c>
      <c r="M729" s="77">
        <v>84.373000000000005</v>
      </c>
      <c r="N729" s="6">
        <v>84.373000000000005</v>
      </c>
      <c r="O729" s="77">
        <v>84.373000000000005</v>
      </c>
      <c r="P729" s="6">
        <v>26</v>
      </c>
      <c r="Q729" s="4" t="s">
        <v>26</v>
      </c>
      <c r="R729" s="4">
        <v>0</v>
      </c>
      <c r="S729" s="6">
        <v>0</v>
      </c>
      <c r="T729" s="6">
        <v>44</v>
      </c>
      <c r="U729" s="6">
        <v>81</v>
      </c>
      <c r="V729" s="77">
        <f>IF(ISERROR(VLOOKUP($S$729,'TAR FIN'!$A$1:$O$85,15,0)),0,VLOOKUP($S$729,'TAR FIN'!$A$1:$O$85,15,0))</f>
        <v>0</v>
      </c>
      <c r="W729" s="77">
        <f>IF(ISERROR(VLOOKUP($T$729,'TAR FIN'!$A$1:$O$85,15,0)),0,VLOOKUP($T$729,'TAR FIN'!$A$1:$O$85,15,0))*(1-0.06)</f>
        <v>257.26859999999999</v>
      </c>
      <c r="X729" s="77">
        <f>IF(ISERROR(VLOOKUP($U$729,'TAR FIN'!$A$1:$O$85,15,0)),0,VLOOKUP($U$729,'TAR FIN'!$A$1:$O$85,15,0))*(1-0.06)</f>
        <v>247.49260000000001</v>
      </c>
      <c r="Y729" s="77"/>
      <c r="Z729" s="77">
        <f ca="1">('TUSD BE'!$AM$48+'TUSD BF'!$AM$48+'TUSD CVA'!$AM$48)*1*(1-0.03)</f>
        <v>310.50224177951412</v>
      </c>
      <c r="AA729" s="77">
        <f>('TE BE'!$AA$38+'TE BF'!$AA$38+'TE CVA'!$AA$38)*1*(1-0.03)</f>
        <v>204.32465670364385</v>
      </c>
      <c r="AB729" s="6">
        <f>$K$729*$V$729</f>
        <v>0</v>
      </c>
      <c r="AC729" s="6">
        <f>$M$729*$W$729</f>
        <v>21706.523587800002</v>
      </c>
      <c r="AD729" s="6">
        <f>$O$729*$X$729</f>
        <v>20881.693139800002</v>
      </c>
      <c r="AE729" s="6">
        <f>$K$729*$Y$729</f>
        <v>0</v>
      </c>
      <c r="AF729" s="6">
        <f ca="1">$M$729*$Z$729</f>
        <v>26198.005645662946</v>
      </c>
      <c r="AG729" s="6">
        <f>$O$729*$AA$729</f>
        <v>17239.484260056543</v>
      </c>
    </row>
    <row r="730" spans="1:33" ht="11.25" customHeight="1" x14ac:dyDescent="0.25">
      <c r="A730" s="4" t="s">
        <v>21</v>
      </c>
      <c r="B730" s="4" t="s">
        <v>39</v>
      </c>
      <c r="C730" s="4" t="s">
        <v>23</v>
      </c>
      <c r="D730" s="4" t="s">
        <v>50</v>
      </c>
      <c r="E730" s="4" t="s">
        <v>51</v>
      </c>
      <c r="F730" s="4" t="s">
        <v>25</v>
      </c>
      <c r="G730" s="4" t="s">
        <v>25</v>
      </c>
      <c r="H730" s="4" t="s">
        <v>25</v>
      </c>
      <c r="I730" s="5">
        <v>44652</v>
      </c>
      <c r="J730" s="6">
        <v>0</v>
      </c>
      <c r="K730" s="77">
        <v>0</v>
      </c>
      <c r="L730" s="6">
        <v>93.983999999999995</v>
      </c>
      <c r="M730" s="77">
        <v>93.983999999999995</v>
      </c>
      <c r="N730" s="6">
        <v>93.983999999999995</v>
      </c>
      <c r="O730" s="77">
        <v>93.983999999999995</v>
      </c>
      <c r="P730" s="6">
        <v>26</v>
      </c>
      <c r="Q730" s="4" t="s">
        <v>26</v>
      </c>
      <c r="R730" s="4">
        <v>0</v>
      </c>
      <c r="S730" s="6">
        <v>0</v>
      </c>
      <c r="T730" s="6">
        <v>44</v>
      </c>
      <c r="U730" s="6">
        <v>81</v>
      </c>
      <c r="V730" s="77">
        <f>IF(ISERROR(VLOOKUP($S$730,'TAR FIN'!$A$1:$O$85,15,0)),0,VLOOKUP($S$730,'TAR FIN'!$A$1:$O$85,15,0))</f>
        <v>0</v>
      </c>
      <c r="W730" s="77">
        <f>IF(ISERROR(VLOOKUP($T$730,'TAR FIN'!$A$1:$O$85,15,0)),0,VLOOKUP($T$730,'TAR FIN'!$A$1:$O$85,15,0))*(1-0.06)</f>
        <v>257.26859999999999</v>
      </c>
      <c r="X730" s="77">
        <f>IF(ISERROR(VLOOKUP($U$730,'TAR FIN'!$A$1:$O$85,15,0)),0,VLOOKUP($U$730,'TAR FIN'!$A$1:$O$85,15,0))*(1-0.06)</f>
        <v>247.49260000000001</v>
      </c>
      <c r="Y730" s="77"/>
      <c r="Z730" s="77">
        <f ca="1">('TUSD BE'!$AM$48+'TUSD BF'!$AM$48+'TUSD CVA'!$AM$48)*1*(1-0.03)</f>
        <v>310.50224177951412</v>
      </c>
      <c r="AA730" s="77">
        <f>('TE BE'!$AA$38+'TE BF'!$AA$38+'TE CVA'!$AA$38)*1*(1-0.03)</f>
        <v>204.32465670364385</v>
      </c>
      <c r="AB730" s="6">
        <f>$K$730*$V$730</f>
        <v>0</v>
      </c>
      <c r="AC730" s="6">
        <f>$M$730*$W$730</f>
        <v>24179.132102399999</v>
      </c>
      <c r="AD730" s="6">
        <f>$O$730*$X$730</f>
        <v>23260.344518400001</v>
      </c>
      <c r="AE730" s="6">
        <f>$K$730*$Y$730</f>
        <v>0</v>
      </c>
      <c r="AF730" s="6">
        <f ca="1">$M$730*$Z$730</f>
        <v>29182.242691405852</v>
      </c>
      <c r="AG730" s="6">
        <f>$O$730*$AA$730</f>
        <v>19203.248535635263</v>
      </c>
    </row>
    <row r="731" spans="1:33" ht="11.25" customHeight="1" x14ac:dyDescent="0.25">
      <c r="A731" s="4" t="s">
        <v>21</v>
      </c>
      <c r="B731" s="4" t="s">
        <v>46</v>
      </c>
      <c r="C731" s="4" t="s">
        <v>23</v>
      </c>
      <c r="D731" s="4" t="s">
        <v>47</v>
      </c>
      <c r="E731" s="4" t="s">
        <v>48</v>
      </c>
      <c r="F731" s="4" t="s">
        <v>25</v>
      </c>
      <c r="G731" s="4" t="s">
        <v>25</v>
      </c>
      <c r="H731" s="4" t="s">
        <v>25</v>
      </c>
      <c r="I731" s="5">
        <v>44317</v>
      </c>
      <c r="J731" s="6">
        <v>0</v>
      </c>
      <c r="K731" s="6">
        <v>0</v>
      </c>
      <c r="L731" s="6">
        <v>315.18599999999998</v>
      </c>
      <c r="M731" s="6">
        <v>315.18599999999998</v>
      </c>
      <c r="N731" s="6">
        <v>315.18599999999998</v>
      </c>
      <c r="O731" s="6">
        <v>315.18599999999998</v>
      </c>
      <c r="P731" s="6">
        <v>47</v>
      </c>
      <c r="Q731" s="4" t="s">
        <v>26</v>
      </c>
      <c r="R731" s="4">
        <v>0</v>
      </c>
      <c r="S731" s="6">
        <v>0</v>
      </c>
      <c r="T731" s="6">
        <v>46</v>
      </c>
      <c r="U731" s="6">
        <v>83</v>
      </c>
      <c r="V731" s="6">
        <f>IF(ISERROR(VLOOKUP($S$731,'TAR FIN'!$A$1:$O$85,15,0)),0,VLOOKUP($S$731,'TAR FIN'!$A$1:$O$85,15,0))</f>
        <v>0</v>
      </c>
      <c r="W731" s="6">
        <f>IF(ISERROR(VLOOKUP($T$731,'TAR FIN'!$A$1:$O$85,15,0)),0,VLOOKUP($T$731,'TAR FIN'!$A$1:$O$85,15,0))</f>
        <v>150.53</v>
      </c>
      <c r="X731" s="6">
        <f>IF(ISERROR(VLOOKUP($U$731,'TAR FIN'!$A$1:$O$85,15,0)),0,VLOOKUP($U$731,'TAR FIN'!$A$1:$O$85,15,0))</f>
        <v>144.81</v>
      </c>
      <c r="Y731" s="6"/>
      <c r="Z731" s="6">
        <f ca="1">('TUSD BE'!$AM$50+'TUSD BF'!$AM$50+'TUSD CVA'!$AM$50)*1</f>
        <v>176.05797214302348</v>
      </c>
      <c r="AA731" s="6">
        <f>('TE BE'!$AA$40+'TE BF'!$AA$40+'TE CVA'!$AA$40)*1</f>
        <v>115.85418679072592</v>
      </c>
      <c r="AB731" s="6">
        <f>$K$731*$V$731</f>
        <v>0</v>
      </c>
      <c r="AC731" s="6">
        <f>$M$731*$W$731</f>
        <v>47444.948579999997</v>
      </c>
      <c r="AD731" s="6">
        <f>$O$731*$X$731</f>
        <v>45642.08466</v>
      </c>
      <c r="AE731" s="6">
        <f>$K$731*$Y$731</f>
        <v>0</v>
      </c>
      <c r="AF731" s="6">
        <f ca="1">$M$731*$Z$731</f>
        <v>55491.008007870994</v>
      </c>
      <c r="AG731" s="6">
        <f>$O$731*$AA$731</f>
        <v>36515.61771782174</v>
      </c>
    </row>
    <row r="732" spans="1:33" ht="11.25" customHeight="1" x14ac:dyDescent="0.25">
      <c r="A732" s="4" t="s">
        <v>21</v>
      </c>
      <c r="B732" s="4" t="s">
        <v>46</v>
      </c>
      <c r="C732" s="4" t="s">
        <v>23</v>
      </c>
      <c r="D732" s="4" t="s">
        <v>47</v>
      </c>
      <c r="E732" s="4" t="s">
        <v>48</v>
      </c>
      <c r="F732" s="4" t="s">
        <v>25</v>
      </c>
      <c r="G732" s="4" t="s">
        <v>25</v>
      </c>
      <c r="H732" s="4" t="s">
        <v>25</v>
      </c>
      <c r="I732" s="5">
        <v>44348</v>
      </c>
      <c r="J732" s="6">
        <v>0</v>
      </c>
      <c r="K732" s="6">
        <v>0</v>
      </c>
      <c r="L732" s="6">
        <v>313.87900000000002</v>
      </c>
      <c r="M732" s="6">
        <v>313.87900000000002</v>
      </c>
      <c r="N732" s="6">
        <v>313.87900000000002</v>
      </c>
      <c r="O732" s="6">
        <v>313.87900000000002</v>
      </c>
      <c r="P732" s="6">
        <v>47</v>
      </c>
      <c r="Q732" s="4" t="s">
        <v>26</v>
      </c>
      <c r="R732" s="4">
        <v>0</v>
      </c>
      <c r="S732" s="6">
        <v>0</v>
      </c>
      <c r="T732" s="6">
        <v>46</v>
      </c>
      <c r="U732" s="6">
        <v>83</v>
      </c>
      <c r="V732" s="6">
        <f>IF(ISERROR(VLOOKUP($S$732,'TAR FIN'!$A$1:$O$85,15,0)),0,VLOOKUP($S$732,'TAR FIN'!$A$1:$O$85,15,0))</f>
        <v>0</v>
      </c>
      <c r="W732" s="6">
        <f>IF(ISERROR(VLOOKUP($T$732,'TAR FIN'!$A$1:$O$85,15,0)),0,VLOOKUP($T$732,'TAR FIN'!$A$1:$O$85,15,0))</f>
        <v>150.53</v>
      </c>
      <c r="X732" s="6">
        <f>IF(ISERROR(VLOOKUP($U$732,'TAR FIN'!$A$1:$O$85,15,0)),0,VLOOKUP($U$732,'TAR FIN'!$A$1:$O$85,15,0))</f>
        <v>144.81</v>
      </c>
      <c r="Y732" s="6"/>
      <c r="Z732" s="6">
        <f ca="1">('TUSD BE'!$AM$50+'TUSD BF'!$AM$50+'TUSD CVA'!$AM$50)*1</f>
        <v>176.05797214302348</v>
      </c>
      <c r="AA732" s="6">
        <f>('TE BE'!$AA$40+'TE BF'!$AA$40+'TE CVA'!$AA$40)*1</f>
        <v>115.85418679072592</v>
      </c>
      <c r="AB732" s="6">
        <f>$K$732*$V$732</f>
        <v>0</v>
      </c>
      <c r="AC732" s="6">
        <f>$M$732*$W$732</f>
        <v>47248.205870000005</v>
      </c>
      <c r="AD732" s="6">
        <f>$O$732*$X$732</f>
        <v>45452.817990000003</v>
      </c>
      <c r="AE732" s="6">
        <f>$K$732*$Y$732</f>
        <v>0</v>
      </c>
      <c r="AF732" s="6">
        <f ca="1">$M$732*$Z$732</f>
        <v>55260.900238280068</v>
      </c>
      <c r="AG732" s="6">
        <f>$O$732*$AA$732</f>
        <v>36364.196295686263</v>
      </c>
    </row>
    <row r="733" spans="1:33" ht="11.25" customHeight="1" x14ac:dyDescent="0.25">
      <c r="A733" s="4" t="s">
        <v>21</v>
      </c>
      <c r="B733" s="4" t="s">
        <v>46</v>
      </c>
      <c r="C733" s="4" t="s">
        <v>23</v>
      </c>
      <c r="D733" s="4" t="s">
        <v>47</v>
      </c>
      <c r="E733" s="4" t="s">
        <v>48</v>
      </c>
      <c r="F733" s="4" t="s">
        <v>25</v>
      </c>
      <c r="G733" s="4" t="s">
        <v>25</v>
      </c>
      <c r="H733" s="4" t="s">
        <v>25</v>
      </c>
      <c r="I733" s="5">
        <v>44378</v>
      </c>
      <c r="J733" s="6">
        <v>0</v>
      </c>
      <c r="K733" s="6">
        <v>0</v>
      </c>
      <c r="L733" s="6">
        <v>318.577</v>
      </c>
      <c r="M733" s="6">
        <v>318.577</v>
      </c>
      <c r="N733" s="6">
        <v>318.577</v>
      </c>
      <c r="O733" s="6">
        <v>318.577</v>
      </c>
      <c r="P733" s="6">
        <v>47</v>
      </c>
      <c r="Q733" s="4" t="s">
        <v>26</v>
      </c>
      <c r="R733" s="4">
        <v>0</v>
      </c>
      <c r="S733" s="6">
        <v>0</v>
      </c>
      <c r="T733" s="6">
        <v>46</v>
      </c>
      <c r="U733" s="6">
        <v>83</v>
      </c>
      <c r="V733" s="6">
        <f>IF(ISERROR(VLOOKUP($S$733,'TAR FIN'!$A$1:$O$85,15,0)),0,VLOOKUP($S$733,'TAR FIN'!$A$1:$O$85,15,0))</f>
        <v>0</v>
      </c>
      <c r="W733" s="6">
        <f>IF(ISERROR(VLOOKUP($T$733,'TAR FIN'!$A$1:$O$85,15,0)),0,VLOOKUP($T$733,'TAR FIN'!$A$1:$O$85,15,0))</f>
        <v>150.53</v>
      </c>
      <c r="X733" s="6">
        <f>IF(ISERROR(VLOOKUP($U$733,'TAR FIN'!$A$1:$O$85,15,0)),0,VLOOKUP($U$733,'TAR FIN'!$A$1:$O$85,15,0))</f>
        <v>144.81</v>
      </c>
      <c r="Y733" s="6"/>
      <c r="Z733" s="6">
        <f ca="1">('TUSD BE'!$AM$50+'TUSD BF'!$AM$50+'TUSD CVA'!$AM$50)*1</f>
        <v>176.05797214302348</v>
      </c>
      <c r="AA733" s="6">
        <f>('TE BE'!$AA$40+'TE BF'!$AA$40+'TE CVA'!$AA$40)*1</f>
        <v>115.85418679072592</v>
      </c>
      <c r="AB733" s="6">
        <f>$K$733*$V$733</f>
        <v>0</v>
      </c>
      <c r="AC733" s="6">
        <f>$M$733*$W$733</f>
        <v>47955.395810000002</v>
      </c>
      <c r="AD733" s="6">
        <f>$O$733*$X$733</f>
        <v>46133.135370000004</v>
      </c>
      <c r="AE733" s="6">
        <f>$K$733*$Y$733</f>
        <v>0</v>
      </c>
      <c r="AF733" s="6">
        <f ca="1">$M$733*$Z$733</f>
        <v>56088.020591407992</v>
      </c>
      <c r="AG733" s="6">
        <f>$O$733*$AA$733</f>
        <v>36908.479265229093</v>
      </c>
    </row>
    <row r="734" spans="1:33" ht="11.25" customHeight="1" x14ac:dyDescent="0.25">
      <c r="A734" s="4" t="s">
        <v>21</v>
      </c>
      <c r="B734" s="4" t="s">
        <v>46</v>
      </c>
      <c r="C734" s="4" t="s">
        <v>23</v>
      </c>
      <c r="D734" s="4" t="s">
        <v>47</v>
      </c>
      <c r="E734" s="4" t="s">
        <v>48</v>
      </c>
      <c r="F734" s="4" t="s">
        <v>25</v>
      </c>
      <c r="G734" s="4" t="s">
        <v>25</v>
      </c>
      <c r="H734" s="4" t="s">
        <v>25</v>
      </c>
      <c r="I734" s="5">
        <v>44409</v>
      </c>
      <c r="J734" s="6">
        <v>0</v>
      </c>
      <c r="K734" s="6">
        <v>0</v>
      </c>
      <c r="L734" s="6">
        <v>319.39999999999998</v>
      </c>
      <c r="M734" s="6">
        <v>319.39999999999998</v>
      </c>
      <c r="N734" s="6">
        <v>319.39999999999998</v>
      </c>
      <c r="O734" s="6">
        <v>319.39999999999998</v>
      </c>
      <c r="P734" s="6">
        <v>48</v>
      </c>
      <c r="Q734" s="4" t="s">
        <v>26</v>
      </c>
      <c r="R734" s="4">
        <v>0</v>
      </c>
      <c r="S734" s="6">
        <v>0</v>
      </c>
      <c r="T734" s="6">
        <v>46</v>
      </c>
      <c r="U734" s="6">
        <v>83</v>
      </c>
      <c r="V734" s="6">
        <f>IF(ISERROR(VLOOKUP($S$734,'TAR FIN'!$A$1:$O$85,15,0)),0,VLOOKUP($S$734,'TAR FIN'!$A$1:$O$85,15,0))</f>
        <v>0</v>
      </c>
      <c r="W734" s="6">
        <f>IF(ISERROR(VLOOKUP($T$734,'TAR FIN'!$A$1:$O$85,15,0)),0,VLOOKUP($T$734,'TAR FIN'!$A$1:$O$85,15,0))</f>
        <v>150.53</v>
      </c>
      <c r="X734" s="6">
        <f>IF(ISERROR(VLOOKUP($U$734,'TAR FIN'!$A$1:$O$85,15,0)),0,VLOOKUP($U$734,'TAR FIN'!$A$1:$O$85,15,0))</f>
        <v>144.81</v>
      </c>
      <c r="Y734" s="6"/>
      <c r="Z734" s="6">
        <f ca="1">('TUSD BE'!$AM$50+'TUSD BF'!$AM$50+'TUSD CVA'!$AM$50)*1</f>
        <v>176.05797214302348</v>
      </c>
      <c r="AA734" s="6">
        <f>('TE BE'!$AA$40+'TE BF'!$AA$40+'TE CVA'!$AA$40)*1</f>
        <v>115.85418679072592</v>
      </c>
      <c r="AB734" s="6">
        <f>$K$734*$V$734</f>
        <v>0</v>
      </c>
      <c r="AC734" s="6">
        <f>$M$734*$W$734</f>
        <v>48079.281999999999</v>
      </c>
      <c r="AD734" s="6">
        <f>$O$734*$X$734</f>
        <v>46252.313999999998</v>
      </c>
      <c r="AE734" s="6">
        <f>$K$734*$Y$734</f>
        <v>0</v>
      </c>
      <c r="AF734" s="6">
        <f ca="1">$M$734*$Z$734</f>
        <v>56232.916302481695</v>
      </c>
      <c r="AG734" s="6">
        <f>$O$734*$AA$734</f>
        <v>37003.827260957856</v>
      </c>
    </row>
    <row r="735" spans="1:33" ht="11.25" customHeight="1" x14ac:dyDescent="0.25">
      <c r="A735" s="4" t="s">
        <v>21</v>
      </c>
      <c r="B735" s="4" t="s">
        <v>46</v>
      </c>
      <c r="C735" s="4" t="s">
        <v>23</v>
      </c>
      <c r="D735" s="4" t="s">
        <v>47</v>
      </c>
      <c r="E735" s="4" t="s">
        <v>48</v>
      </c>
      <c r="F735" s="4" t="s">
        <v>25</v>
      </c>
      <c r="G735" s="4" t="s">
        <v>25</v>
      </c>
      <c r="H735" s="4" t="s">
        <v>25</v>
      </c>
      <c r="I735" s="5">
        <v>44440</v>
      </c>
      <c r="J735" s="6">
        <v>0</v>
      </c>
      <c r="K735" s="6">
        <v>0</v>
      </c>
      <c r="L735" s="6">
        <v>310.22699999999998</v>
      </c>
      <c r="M735" s="6">
        <v>310.22699999999998</v>
      </c>
      <c r="N735" s="6">
        <v>310.22699999999998</v>
      </c>
      <c r="O735" s="6">
        <v>310.22699999999998</v>
      </c>
      <c r="P735" s="6">
        <v>48</v>
      </c>
      <c r="Q735" s="4" t="s">
        <v>26</v>
      </c>
      <c r="R735" s="4">
        <v>0</v>
      </c>
      <c r="S735" s="6">
        <v>0</v>
      </c>
      <c r="T735" s="6">
        <v>46</v>
      </c>
      <c r="U735" s="6">
        <v>83</v>
      </c>
      <c r="V735" s="6">
        <f>IF(ISERROR(VLOOKUP($S$735,'TAR FIN'!$A$1:$O$85,15,0)),0,VLOOKUP($S$735,'TAR FIN'!$A$1:$O$85,15,0))</f>
        <v>0</v>
      </c>
      <c r="W735" s="6">
        <f>IF(ISERROR(VLOOKUP($T$735,'TAR FIN'!$A$1:$O$85,15,0)),0,VLOOKUP($T$735,'TAR FIN'!$A$1:$O$85,15,0))</f>
        <v>150.53</v>
      </c>
      <c r="X735" s="6">
        <f>IF(ISERROR(VLOOKUP($U$735,'TAR FIN'!$A$1:$O$85,15,0)),0,VLOOKUP($U$735,'TAR FIN'!$A$1:$O$85,15,0))</f>
        <v>144.81</v>
      </c>
      <c r="Y735" s="6"/>
      <c r="Z735" s="6">
        <f ca="1">('TUSD BE'!$AM$50+'TUSD BF'!$AM$50+'TUSD CVA'!$AM$50)*1</f>
        <v>176.05797214302348</v>
      </c>
      <c r="AA735" s="6">
        <f>('TE BE'!$AA$40+'TE BF'!$AA$40+'TE CVA'!$AA$40)*1</f>
        <v>115.85418679072592</v>
      </c>
      <c r="AB735" s="6">
        <f>$K$735*$V$735</f>
        <v>0</v>
      </c>
      <c r="AC735" s="6">
        <f>$M$735*$W$735</f>
        <v>46698.470309999997</v>
      </c>
      <c r="AD735" s="6">
        <f>$O$735*$X$735</f>
        <v>44923.971869999994</v>
      </c>
      <c r="AE735" s="6">
        <f>$K$735*$Y$735</f>
        <v>0</v>
      </c>
      <c r="AF735" s="6">
        <f ca="1">$M$735*$Z$735</f>
        <v>54617.936524013741</v>
      </c>
      <c r="AG735" s="6">
        <f>$O$735*$AA$735</f>
        <v>35941.096805526526</v>
      </c>
    </row>
    <row r="736" spans="1:33" ht="11.25" customHeight="1" x14ac:dyDescent="0.25">
      <c r="A736" s="4" t="s">
        <v>21</v>
      </c>
      <c r="B736" s="4" t="s">
        <v>46</v>
      </c>
      <c r="C736" s="4" t="s">
        <v>23</v>
      </c>
      <c r="D736" s="4" t="s">
        <v>47</v>
      </c>
      <c r="E736" s="4" t="s">
        <v>48</v>
      </c>
      <c r="F736" s="4" t="s">
        <v>25</v>
      </c>
      <c r="G736" s="4" t="s">
        <v>25</v>
      </c>
      <c r="H736" s="4" t="s">
        <v>25</v>
      </c>
      <c r="I736" s="5">
        <v>44470</v>
      </c>
      <c r="J736" s="6">
        <v>0</v>
      </c>
      <c r="K736" s="6">
        <v>0</v>
      </c>
      <c r="L736" s="6">
        <v>311.78699999999998</v>
      </c>
      <c r="M736" s="6">
        <v>311.78699999999998</v>
      </c>
      <c r="N736" s="6">
        <v>311.78699999999998</v>
      </c>
      <c r="O736" s="6">
        <v>311.78699999999998</v>
      </c>
      <c r="P736" s="6">
        <v>48</v>
      </c>
      <c r="Q736" s="4" t="s">
        <v>26</v>
      </c>
      <c r="R736" s="4">
        <v>0</v>
      </c>
      <c r="S736" s="6">
        <v>0</v>
      </c>
      <c r="T736" s="6">
        <v>46</v>
      </c>
      <c r="U736" s="6">
        <v>83</v>
      </c>
      <c r="V736" s="6">
        <f>IF(ISERROR(VLOOKUP($S$736,'TAR FIN'!$A$1:$O$85,15,0)),0,VLOOKUP($S$736,'TAR FIN'!$A$1:$O$85,15,0))</f>
        <v>0</v>
      </c>
      <c r="W736" s="6">
        <f>IF(ISERROR(VLOOKUP($T$736,'TAR FIN'!$A$1:$O$85,15,0)),0,VLOOKUP($T$736,'TAR FIN'!$A$1:$O$85,15,0))</f>
        <v>150.53</v>
      </c>
      <c r="X736" s="6">
        <f>IF(ISERROR(VLOOKUP($U$736,'TAR FIN'!$A$1:$O$85,15,0)),0,VLOOKUP($U$736,'TAR FIN'!$A$1:$O$85,15,0))</f>
        <v>144.81</v>
      </c>
      <c r="Y736" s="6"/>
      <c r="Z736" s="6">
        <f ca="1">('TUSD BE'!$AM$50+'TUSD BF'!$AM$50+'TUSD CVA'!$AM$50)*1</f>
        <v>176.05797214302348</v>
      </c>
      <c r="AA736" s="6">
        <f>('TE BE'!$AA$40+'TE BF'!$AA$40+'TE CVA'!$AA$40)*1</f>
        <v>115.85418679072592</v>
      </c>
      <c r="AB736" s="6">
        <f>$K$736*$V$736</f>
        <v>0</v>
      </c>
      <c r="AC736" s="6">
        <f>$M$736*$W$736</f>
        <v>46933.29711</v>
      </c>
      <c r="AD736" s="6">
        <f>$O$736*$X$736</f>
        <v>45149.875469999999</v>
      </c>
      <c r="AE736" s="6">
        <f>$K$736*$Y$736</f>
        <v>0</v>
      </c>
      <c r="AF736" s="6">
        <f ca="1">$M$736*$Z$736</f>
        <v>54892.586960556859</v>
      </c>
      <c r="AG736" s="6">
        <f>$O$736*$AA$736</f>
        <v>36121.829336920062</v>
      </c>
    </row>
    <row r="737" spans="1:33" ht="11.25" customHeight="1" x14ac:dyDescent="0.25">
      <c r="A737" s="4" t="s">
        <v>21</v>
      </c>
      <c r="B737" s="4" t="s">
        <v>46</v>
      </c>
      <c r="C737" s="4" t="s">
        <v>23</v>
      </c>
      <c r="D737" s="4" t="s">
        <v>47</v>
      </c>
      <c r="E737" s="4" t="s">
        <v>48</v>
      </c>
      <c r="F737" s="4" t="s">
        <v>25</v>
      </c>
      <c r="G737" s="4" t="s">
        <v>25</v>
      </c>
      <c r="H737" s="4" t="s">
        <v>25</v>
      </c>
      <c r="I737" s="5">
        <v>44501</v>
      </c>
      <c r="J737" s="6">
        <v>0</v>
      </c>
      <c r="K737" s="6">
        <v>0</v>
      </c>
      <c r="L737" s="6">
        <v>302.637</v>
      </c>
      <c r="M737" s="6">
        <v>302.637</v>
      </c>
      <c r="N737" s="6">
        <v>302.637</v>
      </c>
      <c r="O737" s="6">
        <v>302.637</v>
      </c>
      <c r="P737" s="6">
        <v>48</v>
      </c>
      <c r="Q737" s="4" t="s">
        <v>26</v>
      </c>
      <c r="R737" s="4">
        <v>0</v>
      </c>
      <c r="S737" s="6">
        <v>0</v>
      </c>
      <c r="T737" s="6">
        <v>46</v>
      </c>
      <c r="U737" s="6">
        <v>83</v>
      </c>
      <c r="V737" s="6">
        <f>IF(ISERROR(VLOOKUP($S$737,'TAR FIN'!$A$1:$O$85,15,0)),0,VLOOKUP($S$737,'TAR FIN'!$A$1:$O$85,15,0))</f>
        <v>0</v>
      </c>
      <c r="W737" s="6">
        <f>IF(ISERROR(VLOOKUP($T$737,'TAR FIN'!$A$1:$O$85,15,0)),0,VLOOKUP($T$737,'TAR FIN'!$A$1:$O$85,15,0))</f>
        <v>150.53</v>
      </c>
      <c r="X737" s="6">
        <f>IF(ISERROR(VLOOKUP($U$737,'TAR FIN'!$A$1:$O$85,15,0)),0,VLOOKUP($U$737,'TAR FIN'!$A$1:$O$85,15,0))</f>
        <v>144.81</v>
      </c>
      <c r="Y737" s="6"/>
      <c r="Z737" s="6">
        <f ca="1">('TUSD BE'!$AM$50+'TUSD BF'!$AM$50+'TUSD CVA'!$AM$50)*1</f>
        <v>176.05797214302348</v>
      </c>
      <c r="AA737" s="6">
        <f>('TE BE'!$AA$40+'TE BF'!$AA$40+'TE CVA'!$AA$40)*1</f>
        <v>115.85418679072592</v>
      </c>
      <c r="AB737" s="6">
        <f>$K$737*$V$737</f>
        <v>0</v>
      </c>
      <c r="AC737" s="6">
        <f>$M$737*$W$737</f>
        <v>45555.947610000003</v>
      </c>
      <c r="AD737" s="6">
        <f>$O$737*$X$737</f>
        <v>43824.863969999999</v>
      </c>
      <c r="AE737" s="6">
        <f>$K$737*$Y$737</f>
        <v>0</v>
      </c>
      <c r="AF737" s="6">
        <f ca="1">$M$737*$Z$737</f>
        <v>53281.656515448194</v>
      </c>
      <c r="AG737" s="6">
        <f>$O$737*$AA$737</f>
        <v>35061.763527784919</v>
      </c>
    </row>
    <row r="738" spans="1:33" ht="11.25" customHeight="1" x14ac:dyDescent="0.25">
      <c r="A738" s="4" t="s">
        <v>21</v>
      </c>
      <c r="B738" s="4" t="s">
        <v>46</v>
      </c>
      <c r="C738" s="4" t="s">
        <v>23</v>
      </c>
      <c r="D738" s="4" t="s">
        <v>47</v>
      </c>
      <c r="E738" s="4" t="s">
        <v>48</v>
      </c>
      <c r="F738" s="4" t="s">
        <v>25</v>
      </c>
      <c r="G738" s="4" t="s">
        <v>25</v>
      </c>
      <c r="H738" s="4" t="s">
        <v>25</v>
      </c>
      <c r="I738" s="5">
        <v>44531</v>
      </c>
      <c r="J738" s="6">
        <v>0</v>
      </c>
      <c r="K738" s="6">
        <v>0</v>
      </c>
      <c r="L738" s="6">
        <v>309.173</v>
      </c>
      <c r="M738" s="6">
        <v>309.173</v>
      </c>
      <c r="N738" s="6">
        <v>309.173</v>
      </c>
      <c r="O738" s="6">
        <v>309.173</v>
      </c>
      <c r="P738" s="6">
        <v>48</v>
      </c>
      <c r="Q738" s="4" t="s">
        <v>26</v>
      </c>
      <c r="R738" s="4">
        <v>0</v>
      </c>
      <c r="S738" s="6">
        <v>0</v>
      </c>
      <c r="T738" s="6">
        <v>46</v>
      </c>
      <c r="U738" s="6">
        <v>83</v>
      </c>
      <c r="V738" s="6">
        <f>IF(ISERROR(VLOOKUP($S$738,'TAR FIN'!$A$1:$O$85,15,0)),0,VLOOKUP($S$738,'TAR FIN'!$A$1:$O$85,15,0))</f>
        <v>0</v>
      </c>
      <c r="W738" s="6">
        <f>IF(ISERROR(VLOOKUP($T$738,'TAR FIN'!$A$1:$O$85,15,0)),0,VLOOKUP($T$738,'TAR FIN'!$A$1:$O$85,15,0))</f>
        <v>150.53</v>
      </c>
      <c r="X738" s="6">
        <f>IF(ISERROR(VLOOKUP($U$738,'TAR FIN'!$A$1:$O$85,15,0)),0,VLOOKUP($U$738,'TAR FIN'!$A$1:$O$85,15,0))</f>
        <v>144.81</v>
      </c>
      <c r="Y738" s="6"/>
      <c r="Z738" s="6">
        <f ca="1">('TUSD BE'!$AM$50+'TUSD BF'!$AM$50+'TUSD CVA'!$AM$50)*1</f>
        <v>176.05797214302348</v>
      </c>
      <c r="AA738" s="6">
        <f>('TE BE'!$AA$40+'TE BF'!$AA$40+'TE CVA'!$AA$40)*1</f>
        <v>115.85418679072592</v>
      </c>
      <c r="AB738" s="6">
        <f>$K$738*$V$738</f>
        <v>0</v>
      </c>
      <c r="AC738" s="6">
        <f>$M$738*$W$738</f>
        <v>46539.811690000002</v>
      </c>
      <c r="AD738" s="6">
        <f>$O$738*$X$738</f>
        <v>44771.342130000005</v>
      </c>
      <c r="AE738" s="6">
        <f>$K$738*$Y$738</f>
        <v>0</v>
      </c>
      <c r="AF738" s="6">
        <f ca="1">$M$738*$Z$738</f>
        <v>54432.371421374999</v>
      </c>
      <c r="AG738" s="6">
        <f>$O$738*$AA$738</f>
        <v>35818.986492649106</v>
      </c>
    </row>
    <row r="739" spans="1:33" ht="11.25" customHeight="1" x14ac:dyDescent="0.25">
      <c r="A739" s="4" t="s">
        <v>21</v>
      </c>
      <c r="B739" s="4" t="s">
        <v>46</v>
      </c>
      <c r="C739" s="4" t="s">
        <v>23</v>
      </c>
      <c r="D739" s="4" t="s">
        <v>47</v>
      </c>
      <c r="E739" s="4" t="s">
        <v>48</v>
      </c>
      <c r="F739" s="4" t="s">
        <v>25</v>
      </c>
      <c r="G739" s="4" t="s">
        <v>25</v>
      </c>
      <c r="H739" s="4" t="s">
        <v>25</v>
      </c>
      <c r="I739" s="5">
        <v>44562</v>
      </c>
      <c r="J739" s="6">
        <v>0</v>
      </c>
      <c r="K739" s="6">
        <v>0</v>
      </c>
      <c r="L739" s="6">
        <v>303.60399999999998</v>
      </c>
      <c r="M739" s="6">
        <v>303.60399999999998</v>
      </c>
      <c r="N739" s="6">
        <v>303.60399999999998</v>
      </c>
      <c r="O739" s="6">
        <v>303.60399999999998</v>
      </c>
      <c r="P739" s="6">
        <v>48</v>
      </c>
      <c r="Q739" s="4" t="s">
        <v>26</v>
      </c>
      <c r="R739" s="4">
        <v>0</v>
      </c>
      <c r="S739" s="6">
        <v>0</v>
      </c>
      <c r="T739" s="6">
        <v>46</v>
      </c>
      <c r="U739" s="6">
        <v>83</v>
      </c>
      <c r="V739" s="6">
        <f>IF(ISERROR(VLOOKUP($S$739,'TAR FIN'!$A$1:$O$85,15,0)),0,VLOOKUP($S$739,'TAR FIN'!$A$1:$O$85,15,0))</f>
        <v>0</v>
      </c>
      <c r="W739" s="6">
        <f>IF(ISERROR(VLOOKUP($T$739,'TAR FIN'!$A$1:$O$85,15,0)),0,VLOOKUP($T$739,'TAR FIN'!$A$1:$O$85,15,0))</f>
        <v>150.53</v>
      </c>
      <c r="X739" s="6">
        <f>IF(ISERROR(VLOOKUP($U$739,'TAR FIN'!$A$1:$O$85,15,0)),0,VLOOKUP($U$739,'TAR FIN'!$A$1:$O$85,15,0))</f>
        <v>144.81</v>
      </c>
      <c r="Y739" s="6"/>
      <c r="Z739" s="6">
        <f ca="1">('TUSD BE'!$AM$50+'TUSD BF'!$AM$50+'TUSD CVA'!$AM$50)*1</f>
        <v>176.05797214302348</v>
      </c>
      <c r="AA739" s="6">
        <f>('TE BE'!$AA$40+'TE BF'!$AA$40+'TE CVA'!$AA$40)*1</f>
        <v>115.85418679072592</v>
      </c>
      <c r="AB739" s="6">
        <f>$K$739*$V$739</f>
        <v>0</v>
      </c>
      <c r="AC739" s="6">
        <f>$M$739*$W$739</f>
        <v>45701.510119999999</v>
      </c>
      <c r="AD739" s="6">
        <f>$O$739*$X$739</f>
        <v>43964.895239999998</v>
      </c>
      <c r="AE739" s="6">
        <f>$K$739*$Y$739</f>
        <v>0</v>
      </c>
      <c r="AF739" s="6">
        <f ca="1">$M$739*$Z$739</f>
        <v>53451.904574510496</v>
      </c>
      <c r="AG739" s="6">
        <f>$O$739*$AA$739</f>
        <v>35173.794526411548</v>
      </c>
    </row>
    <row r="740" spans="1:33" ht="11.25" customHeight="1" x14ac:dyDescent="0.25">
      <c r="A740" s="4" t="s">
        <v>21</v>
      </c>
      <c r="B740" s="4" t="s">
        <v>46</v>
      </c>
      <c r="C740" s="4" t="s">
        <v>23</v>
      </c>
      <c r="D740" s="4" t="s">
        <v>47</v>
      </c>
      <c r="E740" s="4" t="s">
        <v>48</v>
      </c>
      <c r="F740" s="4" t="s">
        <v>25</v>
      </c>
      <c r="G740" s="4" t="s">
        <v>25</v>
      </c>
      <c r="H740" s="4" t="s">
        <v>25</v>
      </c>
      <c r="I740" s="5">
        <v>44593</v>
      </c>
      <c r="J740" s="6">
        <v>0</v>
      </c>
      <c r="K740" s="6">
        <v>0</v>
      </c>
      <c r="L740" s="6">
        <v>279.94600000000003</v>
      </c>
      <c r="M740" s="6">
        <v>279.94600000000003</v>
      </c>
      <c r="N740" s="6">
        <v>279.94600000000003</v>
      </c>
      <c r="O740" s="6">
        <v>279.94600000000003</v>
      </c>
      <c r="P740" s="6">
        <v>48</v>
      </c>
      <c r="Q740" s="4" t="s">
        <v>26</v>
      </c>
      <c r="R740" s="4">
        <v>0</v>
      </c>
      <c r="S740" s="6">
        <v>0</v>
      </c>
      <c r="T740" s="6">
        <v>46</v>
      </c>
      <c r="U740" s="6">
        <v>83</v>
      </c>
      <c r="V740" s="6">
        <f>IF(ISERROR(VLOOKUP($S$740,'TAR FIN'!$A$1:$O$85,15,0)),0,VLOOKUP($S$740,'TAR FIN'!$A$1:$O$85,15,0))</f>
        <v>0</v>
      </c>
      <c r="W740" s="6">
        <f>IF(ISERROR(VLOOKUP($T$740,'TAR FIN'!$A$1:$O$85,15,0)),0,VLOOKUP($T$740,'TAR FIN'!$A$1:$O$85,15,0))</f>
        <v>150.53</v>
      </c>
      <c r="X740" s="6">
        <f>IF(ISERROR(VLOOKUP($U$740,'TAR FIN'!$A$1:$O$85,15,0)),0,VLOOKUP($U$740,'TAR FIN'!$A$1:$O$85,15,0))</f>
        <v>144.81</v>
      </c>
      <c r="Y740" s="6"/>
      <c r="Z740" s="6">
        <f ca="1">('TUSD BE'!$AM$50+'TUSD BF'!$AM$50+'TUSD CVA'!$AM$50)*1</f>
        <v>176.05797214302348</v>
      </c>
      <c r="AA740" s="6">
        <f>('TE BE'!$AA$40+'TE BF'!$AA$40+'TE CVA'!$AA$40)*1</f>
        <v>115.85418679072592</v>
      </c>
      <c r="AB740" s="6">
        <f>$K$740*$V$740</f>
        <v>0</v>
      </c>
      <c r="AC740" s="6">
        <f>$M$740*$W$740</f>
        <v>42140.271380000006</v>
      </c>
      <c r="AD740" s="6">
        <f>$O$740*$X$740</f>
        <v>40538.980260000004</v>
      </c>
      <c r="AE740" s="6">
        <f>$K$740*$Y$740</f>
        <v>0</v>
      </c>
      <c r="AF740" s="6">
        <f ca="1">$M$740*$Z$740</f>
        <v>49286.725069550856</v>
      </c>
      <c r="AG740" s="6">
        <f>$O$740*$AA$740</f>
        <v>32432.916175316561</v>
      </c>
    </row>
    <row r="741" spans="1:33" ht="11.25" customHeight="1" x14ac:dyDescent="0.25">
      <c r="A741" s="4" t="s">
        <v>21</v>
      </c>
      <c r="B741" s="4" t="s">
        <v>46</v>
      </c>
      <c r="C741" s="4" t="s">
        <v>23</v>
      </c>
      <c r="D741" s="4" t="s">
        <v>47</v>
      </c>
      <c r="E741" s="4" t="s">
        <v>48</v>
      </c>
      <c r="F741" s="4" t="s">
        <v>25</v>
      </c>
      <c r="G741" s="4" t="s">
        <v>25</v>
      </c>
      <c r="H741" s="4" t="s">
        <v>25</v>
      </c>
      <c r="I741" s="5">
        <v>44621</v>
      </c>
      <c r="J741" s="6">
        <v>0</v>
      </c>
      <c r="K741" s="6">
        <v>0</v>
      </c>
      <c r="L741" s="6">
        <v>315.32</v>
      </c>
      <c r="M741" s="6">
        <v>315.32</v>
      </c>
      <c r="N741" s="6">
        <v>315.32</v>
      </c>
      <c r="O741" s="6">
        <v>315.32</v>
      </c>
      <c r="P741" s="6">
        <v>48</v>
      </c>
      <c r="Q741" s="4" t="s">
        <v>26</v>
      </c>
      <c r="R741" s="4">
        <v>0</v>
      </c>
      <c r="S741" s="6">
        <v>0</v>
      </c>
      <c r="T741" s="6">
        <v>46</v>
      </c>
      <c r="U741" s="6">
        <v>83</v>
      </c>
      <c r="V741" s="6">
        <f>IF(ISERROR(VLOOKUP($S$741,'TAR FIN'!$A$1:$O$85,15,0)),0,VLOOKUP($S$741,'TAR FIN'!$A$1:$O$85,15,0))</f>
        <v>0</v>
      </c>
      <c r="W741" s="6">
        <f>IF(ISERROR(VLOOKUP($T$741,'TAR FIN'!$A$1:$O$85,15,0)),0,VLOOKUP($T$741,'TAR FIN'!$A$1:$O$85,15,0))</f>
        <v>150.53</v>
      </c>
      <c r="X741" s="6">
        <f>IF(ISERROR(VLOOKUP($U$741,'TAR FIN'!$A$1:$O$85,15,0)),0,VLOOKUP($U$741,'TAR FIN'!$A$1:$O$85,15,0))</f>
        <v>144.81</v>
      </c>
      <c r="Y741" s="6"/>
      <c r="Z741" s="6">
        <f ca="1">('TUSD BE'!$AM$50+'TUSD BF'!$AM$50+'TUSD CVA'!$AM$50)*1</f>
        <v>176.05797214302348</v>
      </c>
      <c r="AA741" s="6">
        <f>('TE BE'!$AA$40+'TE BF'!$AA$40+'TE CVA'!$AA$40)*1</f>
        <v>115.85418679072592</v>
      </c>
      <c r="AB741" s="6">
        <f>$K$741*$V$741</f>
        <v>0</v>
      </c>
      <c r="AC741" s="6">
        <f>$M$741*$W$741</f>
        <v>47465.119599999998</v>
      </c>
      <c r="AD741" s="6">
        <f>$O$741*$X$741</f>
        <v>45661.489199999996</v>
      </c>
      <c r="AE741" s="6">
        <f>$K$741*$Y$741</f>
        <v>0</v>
      </c>
      <c r="AF741" s="6">
        <f ca="1">$M$741*$Z$741</f>
        <v>55514.599776138159</v>
      </c>
      <c r="AG741" s="6">
        <f>$O$741*$AA$741</f>
        <v>36531.142178851696</v>
      </c>
    </row>
    <row r="742" spans="1:33" ht="11.25" customHeight="1" x14ac:dyDescent="0.25">
      <c r="A742" s="4" t="s">
        <v>21</v>
      </c>
      <c r="B742" s="4" t="s">
        <v>46</v>
      </c>
      <c r="C742" s="4" t="s">
        <v>23</v>
      </c>
      <c r="D742" s="4" t="s">
        <v>47</v>
      </c>
      <c r="E742" s="4" t="s">
        <v>48</v>
      </c>
      <c r="F742" s="4" t="s">
        <v>25</v>
      </c>
      <c r="G742" s="4" t="s">
        <v>25</v>
      </c>
      <c r="H742" s="4" t="s">
        <v>25</v>
      </c>
      <c r="I742" s="5">
        <v>44652</v>
      </c>
      <c r="J742" s="6">
        <v>0</v>
      </c>
      <c r="K742" s="6">
        <v>0</v>
      </c>
      <c r="L742" s="6">
        <v>309.26</v>
      </c>
      <c r="M742" s="6">
        <v>309.26</v>
      </c>
      <c r="N742" s="6">
        <v>309.26</v>
      </c>
      <c r="O742" s="6">
        <v>309.26</v>
      </c>
      <c r="P742" s="6">
        <v>48</v>
      </c>
      <c r="Q742" s="4" t="s">
        <v>26</v>
      </c>
      <c r="R742" s="4">
        <v>0</v>
      </c>
      <c r="S742" s="6">
        <v>0</v>
      </c>
      <c r="T742" s="6">
        <v>46</v>
      </c>
      <c r="U742" s="6">
        <v>83</v>
      </c>
      <c r="V742" s="6">
        <f>IF(ISERROR(VLOOKUP($S$742,'TAR FIN'!$A$1:$O$85,15,0)),0,VLOOKUP($S$742,'TAR FIN'!$A$1:$O$85,15,0))</f>
        <v>0</v>
      </c>
      <c r="W742" s="6">
        <f>IF(ISERROR(VLOOKUP($T$742,'TAR FIN'!$A$1:$O$85,15,0)),0,VLOOKUP($T$742,'TAR FIN'!$A$1:$O$85,15,0))</f>
        <v>150.53</v>
      </c>
      <c r="X742" s="6">
        <f>IF(ISERROR(VLOOKUP($U$742,'TAR FIN'!$A$1:$O$85,15,0)),0,VLOOKUP($U$742,'TAR FIN'!$A$1:$O$85,15,0))</f>
        <v>144.81</v>
      </c>
      <c r="Y742" s="6"/>
      <c r="Z742" s="6">
        <f ca="1">('TUSD BE'!$AM$50+'TUSD BF'!$AM$50+'TUSD CVA'!$AM$50)*1</f>
        <v>176.05797214302348</v>
      </c>
      <c r="AA742" s="6">
        <f>('TE BE'!$AA$40+'TE BF'!$AA$40+'TE CVA'!$AA$40)*1</f>
        <v>115.85418679072592</v>
      </c>
      <c r="AB742" s="6">
        <f>$K$742*$V$742</f>
        <v>0</v>
      </c>
      <c r="AC742" s="6">
        <f>$M$742*$W$742</f>
        <v>46552.907800000001</v>
      </c>
      <c r="AD742" s="6">
        <f>$O$742*$X$742</f>
        <v>44783.940600000002</v>
      </c>
      <c r="AE742" s="6">
        <f>$K$742*$Y$742</f>
        <v>0</v>
      </c>
      <c r="AF742" s="6">
        <f ca="1">$M$742*$Z$742</f>
        <v>54447.68846495144</v>
      </c>
      <c r="AG742" s="6">
        <f>$O$742*$AA$742</f>
        <v>35829.065806899896</v>
      </c>
    </row>
    <row r="743" spans="1:33" ht="11.25" customHeight="1" x14ac:dyDescent="0.25">
      <c r="A743" s="4" t="s">
        <v>21</v>
      </c>
      <c r="B743" s="4" t="s">
        <v>46</v>
      </c>
      <c r="C743" s="4" t="s">
        <v>23</v>
      </c>
      <c r="D743" s="4" t="s">
        <v>47</v>
      </c>
      <c r="E743" s="4" t="s">
        <v>49</v>
      </c>
      <c r="F743" s="4" t="s">
        <v>25</v>
      </c>
      <c r="G743" s="4" t="s">
        <v>25</v>
      </c>
      <c r="H743" s="4" t="s">
        <v>25</v>
      </c>
      <c r="I743" s="5">
        <v>44317</v>
      </c>
      <c r="J743" s="6">
        <v>0</v>
      </c>
      <c r="K743" s="6">
        <v>0</v>
      </c>
      <c r="L743" s="6">
        <v>28.617999999999999</v>
      </c>
      <c r="M743" s="6">
        <v>28.617999999999999</v>
      </c>
      <c r="N743" s="6">
        <v>28.617999999999999</v>
      </c>
      <c r="O743" s="6">
        <v>28.617999999999999</v>
      </c>
      <c r="P743" s="6">
        <v>4</v>
      </c>
      <c r="Q743" s="4" t="s">
        <v>26</v>
      </c>
      <c r="R743" s="4">
        <v>0</v>
      </c>
      <c r="S743" s="6">
        <v>0</v>
      </c>
      <c r="T743" s="6">
        <v>47</v>
      </c>
      <c r="U743" s="6">
        <v>84</v>
      </c>
      <c r="V743" s="6">
        <f>IF(ISERROR(VLOOKUP($S$743,'TAR FIN'!$A$1:$O$85,15,0)),0,VLOOKUP($S$743,'TAR FIN'!$A$1:$O$85,15,0))</f>
        <v>0</v>
      </c>
      <c r="W743" s="6">
        <f>IF(ISERROR(VLOOKUP($T$743,'TAR FIN'!$A$1:$O$85,15,0)),0,VLOOKUP($T$743,'TAR FIN'!$A$1:$O$85,15,0))</f>
        <v>164.22</v>
      </c>
      <c r="X743" s="6">
        <f>IF(ISERROR(VLOOKUP($U$743,'TAR FIN'!$A$1:$O$85,15,0)),0,VLOOKUP($U$743,'TAR FIN'!$A$1:$O$85,15,0))</f>
        <v>157.97999999999999</v>
      </c>
      <c r="Y743" s="6"/>
      <c r="Z743" s="6">
        <f ca="1">('TUSD BE'!$AM$51+'TUSD BF'!$AM$51+'TUSD CVA'!$AM$51)*1</f>
        <v>192.06324233784375</v>
      </c>
      <c r="AA743" s="6">
        <f>('TE BE'!$AA$41+'TE BF'!$AA$41+'TE CVA'!$AA$41)*1</f>
        <v>126.38638558988279</v>
      </c>
      <c r="AB743" s="6">
        <f>$K$743*$V$743</f>
        <v>0</v>
      </c>
      <c r="AC743" s="6">
        <f>$M$743*$W$743</f>
        <v>4699.6479599999993</v>
      </c>
      <c r="AD743" s="6">
        <f>$O$743*$X$743</f>
        <v>4521.0716399999992</v>
      </c>
      <c r="AE743" s="6">
        <f>$K$743*$Y$743</f>
        <v>0</v>
      </c>
      <c r="AF743" s="6">
        <f ca="1">$M$743*$Z$743</f>
        <v>5496.465869224412</v>
      </c>
      <c r="AG743" s="6">
        <f>$O$743*$AA$743</f>
        <v>3616.9255828112655</v>
      </c>
    </row>
    <row r="744" spans="1:33" ht="11.25" customHeight="1" x14ac:dyDescent="0.25">
      <c r="A744" s="4" t="s">
        <v>21</v>
      </c>
      <c r="B744" s="4" t="s">
        <v>46</v>
      </c>
      <c r="C744" s="4" t="s">
        <v>23</v>
      </c>
      <c r="D744" s="4" t="s">
        <v>47</v>
      </c>
      <c r="E744" s="4" t="s">
        <v>49</v>
      </c>
      <c r="F744" s="4" t="s">
        <v>25</v>
      </c>
      <c r="G744" s="4" t="s">
        <v>25</v>
      </c>
      <c r="H744" s="4" t="s">
        <v>25</v>
      </c>
      <c r="I744" s="5">
        <v>44348</v>
      </c>
      <c r="J744" s="6">
        <v>0</v>
      </c>
      <c r="K744" s="6">
        <v>0</v>
      </c>
      <c r="L744" s="6">
        <v>27.693999999999999</v>
      </c>
      <c r="M744" s="6">
        <v>27.693999999999999</v>
      </c>
      <c r="N744" s="6">
        <v>27.693999999999999</v>
      </c>
      <c r="O744" s="6">
        <v>27.693999999999999</v>
      </c>
      <c r="P744" s="6">
        <v>4</v>
      </c>
      <c r="Q744" s="4" t="s">
        <v>26</v>
      </c>
      <c r="R744" s="4">
        <v>0</v>
      </c>
      <c r="S744" s="6">
        <v>0</v>
      </c>
      <c r="T744" s="6">
        <v>47</v>
      </c>
      <c r="U744" s="6">
        <v>84</v>
      </c>
      <c r="V744" s="6">
        <f>IF(ISERROR(VLOOKUP($S$744,'TAR FIN'!$A$1:$O$85,15,0)),0,VLOOKUP($S$744,'TAR FIN'!$A$1:$O$85,15,0))</f>
        <v>0</v>
      </c>
      <c r="W744" s="6">
        <f>IF(ISERROR(VLOOKUP($T$744,'TAR FIN'!$A$1:$O$85,15,0)),0,VLOOKUP($T$744,'TAR FIN'!$A$1:$O$85,15,0))</f>
        <v>164.22</v>
      </c>
      <c r="X744" s="6">
        <f>IF(ISERROR(VLOOKUP($U$744,'TAR FIN'!$A$1:$O$85,15,0)),0,VLOOKUP($U$744,'TAR FIN'!$A$1:$O$85,15,0))</f>
        <v>157.97999999999999</v>
      </c>
      <c r="Y744" s="6"/>
      <c r="Z744" s="6">
        <f ca="1">('TUSD BE'!$AM$51+'TUSD BF'!$AM$51+'TUSD CVA'!$AM$51)*1</f>
        <v>192.06324233784375</v>
      </c>
      <c r="AA744" s="6">
        <f>('TE BE'!$AA$41+'TE BF'!$AA$41+'TE CVA'!$AA$41)*1</f>
        <v>126.38638558988279</v>
      </c>
      <c r="AB744" s="6">
        <f>$K$744*$V$744</f>
        <v>0</v>
      </c>
      <c r="AC744" s="6">
        <f>$M$744*$W$744</f>
        <v>4547.9086799999995</v>
      </c>
      <c r="AD744" s="6">
        <f>$O$744*$X$744</f>
        <v>4375.0981199999997</v>
      </c>
      <c r="AE744" s="6">
        <f>$K$744*$Y$744</f>
        <v>0</v>
      </c>
      <c r="AF744" s="6">
        <f ca="1">$M$744*$Z$744</f>
        <v>5318.9994333042441</v>
      </c>
      <c r="AG744" s="6">
        <f>$O$744*$AA$744</f>
        <v>3500.144562526214</v>
      </c>
    </row>
    <row r="745" spans="1:33" ht="11.25" customHeight="1" x14ac:dyDescent="0.25">
      <c r="A745" s="4" t="s">
        <v>21</v>
      </c>
      <c r="B745" s="4" t="s">
        <v>46</v>
      </c>
      <c r="C745" s="4" t="s">
        <v>23</v>
      </c>
      <c r="D745" s="4" t="s">
        <v>47</v>
      </c>
      <c r="E745" s="4" t="s">
        <v>49</v>
      </c>
      <c r="F745" s="4" t="s">
        <v>25</v>
      </c>
      <c r="G745" s="4" t="s">
        <v>25</v>
      </c>
      <c r="H745" s="4" t="s">
        <v>25</v>
      </c>
      <c r="I745" s="5">
        <v>44378</v>
      </c>
      <c r="J745" s="6">
        <v>0</v>
      </c>
      <c r="K745" s="6">
        <v>0</v>
      </c>
      <c r="L745" s="6">
        <v>28.617999999999999</v>
      </c>
      <c r="M745" s="6">
        <v>28.617999999999999</v>
      </c>
      <c r="N745" s="6">
        <v>28.617999999999999</v>
      </c>
      <c r="O745" s="6">
        <v>28.617999999999999</v>
      </c>
      <c r="P745" s="6">
        <v>4</v>
      </c>
      <c r="Q745" s="4" t="s">
        <v>26</v>
      </c>
      <c r="R745" s="4">
        <v>0</v>
      </c>
      <c r="S745" s="6">
        <v>0</v>
      </c>
      <c r="T745" s="6">
        <v>47</v>
      </c>
      <c r="U745" s="6">
        <v>84</v>
      </c>
      <c r="V745" s="6">
        <f>IF(ISERROR(VLOOKUP($S$745,'TAR FIN'!$A$1:$O$85,15,0)),0,VLOOKUP($S$745,'TAR FIN'!$A$1:$O$85,15,0))</f>
        <v>0</v>
      </c>
      <c r="W745" s="6">
        <f>IF(ISERROR(VLOOKUP($T$745,'TAR FIN'!$A$1:$O$85,15,0)),0,VLOOKUP($T$745,'TAR FIN'!$A$1:$O$85,15,0))</f>
        <v>164.22</v>
      </c>
      <c r="X745" s="6">
        <f>IF(ISERROR(VLOOKUP($U$745,'TAR FIN'!$A$1:$O$85,15,0)),0,VLOOKUP($U$745,'TAR FIN'!$A$1:$O$85,15,0))</f>
        <v>157.97999999999999</v>
      </c>
      <c r="Y745" s="6"/>
      <c r="Z745" s="6">
        <f ca="1">('TUSD BE'!$AM$51+'TUSD BF'!$AM$51+'TUSD CVA'!$AM$51)*1</f>
        <v>192.06324233784375</v>
      </c>
      <c r="AA745" s="6">
        <f>('TE BE'!$AA$41+'TE BF'!$AA$41+'TE CVA'!$AA$41)*1</f>
        <v>126.38638558988279</v>
      </c>
      <c r="AB745" s="6">
        <f>$K$745*$V$745</f>
        <v>0</v>
      </c>
      <c r="AC745" s="6">
        <f>$M$745*$W$745</f>
        <v>4699.6479599999993</v>
      </c>
      <c r="AD745" s="6">
        <f>$O$745*$X$745</f>
        <v>4521.0716399999992</v>
      </c>
      <c r="AE745" s="6">
        <f>$K$745*$Y$745</f>
        <v>0</v>
      </c>
      <c r="AF745" s="6">
        <f ca="1">$M$745*$Z$745</f>
        <v>5496.465869224412</v>
      </c>
      <c r="AG745" s="6">
        <f>$O$745*$AA$745</f>
        <v>3616.9255828112655</v>
      </c>
    </row>
    <row r="746" spans="1:33" ht="11.25" customHeight="1" x14ac:dyDescent="0.25">
      <c r="A746" s="4" t="s">
        <v>21</v>
      </c>
      <c r="B746" s="4" t="s">
        <v>46</v>
      </c>
      <c r="C746" s="4" t="s">
        <v>23</v>
      </c>
      <c r="D746" s="4" t="s">
        <v>47</v>
      </c>
      <c r="E746" s="4" t="s">
        <v>49</v>
      </c>
      <c r="F746" s="4" t="s">
        <v>25</v>
      </c>
      <c r="G746" s="4" t="s">
        <v>25</v>
      </c>
      <c r="H746" s="4" t="s">
        <v>25</v>
      </c>
      <c r="I746" s="5">
        <v>44409</v>
      </c>
      <c r="J746" s="6">
        <v>0</v>
      </c>
      <c r="K746" s="6">
        <v>0</v>
      </c>
      <c r="L746" s="6">
        <v>28.617999999999999</v>
      </c>
      <c r="M746" s="6">
        <v>28.617999999999999</v>
      </c>
      <c r="N746" s="6">
        <v>28.617999999999999</v>
      </c>
      <c r="O746" s="6">
        <v>28.617999999999999</v>
      </c>
      <c r="P746" s="6">
        <v>4</v>
      </c>
      <c r="Q746" s="4" t="s">
        <v>26</v>
      </c>
      <c r="R746" s="4">
        <v>0</v>
      </c>
      <c r="S746" s="6">
        <v>0</v>
      </c>
      <c r="T746" s="6">
        <v>47</v>
      </c>
      <c r="U746" s="6">
        <v>84</v>
      </c>
      <c r="V746" s="6">
        <f>IF(ISERROR(VLOOKUP($S$746,'TAR FIN'!$A$1:$O$85,15,0)),0,VLOOKUP($S$746,'TAR FIN'!$A$1:$O$85,15,0))</f>
        <v>0</v>
      </c>
      <c r="W746" s="6">
        <f>IF(ISERROR(VLOOKUP($T$746,'TAR FIN'!$A$1:$O$85,15,0)),0,VLOOKUP($T$746,'TAR FIN'!$A$1:$O$85,15,0))</f>
        <v>164.22</v>
      </c>
      <c r="X746" s="6">
        <f>IF(ISERROR(VLOOKUP($U$746,'TAR FIN'!$A$1:$O$85,15,0)),0,VLOOKUP($U$746,'TAR FIN'!$A$1:$O$85,15,0))</f>
        <v>157.97999999999999</v>
      </c>
      <c r="Y746" s="6"/>
      <c r="Z746" s="6">
        <f ca="1">('TUSD BE'!$AM$51+'TUSD BF'!$AM$51+'TUSD CVA'!$AM$51)*1</f>
        <v>192.06324233784375</v>
      </c>
      <c r="AA746" s="6">
        <f>('TE BE'!$AA$41+'TE BF'!$AA$41+'TE CVA'!$AA$41)*1</f>
        <v>126.38638558988279</v>
      </c>
      <c r="AB746" s="6">
        <f>$K$746*$V$746</f>
        <v>0</v>
      </c>
      <c r="AC746" s="6">
        <f>$M$746*$W$746</f>
        <v>4699.6479599999993</v>
      </c>
      <c r="AD746" s="6">
        <f>$O$746*$X$746</f>
        <v>4521.0716399999992</v>
      </c>
      <c r="AE746" s="6">
        <f>$K$746*$Y$746</f>
        <v>0</v>
      </c>
      <c r="AF746" s="6">
        <f ca="1">$M$746*$Z$746</f>
        <v>5496.465869224412</v>
      </c>
      <c r="AG746" s="6">
        <f>$O$746*$AA$746</f>
        <v>3616.9255828112655</v>
      </c>
    </row>
    <row r="747" spans="1:33" ht="11.25" customHeight="1" x14ac:dyDescent="0.25">
      <c r="A747" s="4" t="s">
        <v>21</v>
      </c>
      <c r="B747" s="4" t="s">
        <v>46</v>
      </c>
      <c r="C747" s="4" t="s">
        <v>23</v>
      </c>
      <c r="D747" s="4" t="s">
        <v>47</v>
      </c>
      <c r="E747" s="4" t="s">
        <v>49</v>
      </c>
      <c r="F747" s="4" t="s">
        <v>25</v>
      </c>
      <c r="G747" s="4" t="s">
        <v>25</v>
      </c>
      <c r="H747" s="4" t="s">
        <v>25</v>
      </c>
      <c r="I747" s="5">
        <v>44440</v>
      </c>
      <c r="J747" s="6">
        <v>0</v>
      </c>
      <c r="K747" s="6">
        <v>0</v>
      </c>
      <c r="L747" s="6">
        <v>27.693999999999999</v>
      </c>
      <c r="M747" s="6">
        <v>27.693999999999999</v>
      </c>
      <c r="N747" s="6">
        <v>27.693999999999999</v>
      </c>
      <c r="O747" s="6">
        <v>27.693999999999999</v>
      </c>
      <c r="P747" s="6">
        <v>4</v>
      </c>
      <c r="Q747" s="4" t="s">
        <v>26</v>
      </c>
      <c r="R747" s="4">
        <v>0</v>
      </c>
      <c r="S747" s="6">
        <v>0</v>
      </c>
      <c r="T747" s="6">
        <v>47</v>
      </c>
      <c r="U747" s="6">
        <v>84</v>
      </c>
      <c r="V747" s="6">
        <f>IF(ISERROR(VLOOKUP($S$747,'TAR FIN'!$A$1:$O$85,15,0)),0,VLOOKUP($S$747,'TAR FIN'!$A$1:$O$85,15,0))</f>
        <v>0</v>
      </c>
      <c r="W747" s="6">
        <f>IF(ISERROR(VLOOKUP($T$747,'TAR FIN'!$A$1:$O$85,15,0)),0,VLOOKUP($T$747,'TAR FIN'!$A$1:$O$85,15,0))</f>
        <v>164.22</v>
      </c>
      <c r="X747" s="6">
        <f>IF(ISERROR(VLOOKUP($U$747,'TAR FIN'!$A$1:$O$85,15,0)),0,VLOOKUP($U$747,'TAR FIN'!$A$1:$O$85,15,0))</f>
        <v>157.97999999999999</v>
      </c>
      <c r="Y747" s="6"/>
      <c r="Z747" s="6">
        <f ca="1">('TUSD BE'!$AM$51+'TUSD BF'!$AM$51+'TUSD CVA'!$AM$51)*1</f>
        <v>192.06324233784375</v>
      </c>
      <c r="AA747" s="6">
        <f>('TE BE'!$AA$41+'TE BF'!$AA$41+'TE CVA'!$AA$41)*1</f>
        <v>126.38638558988279</v>
      </c>
      <c r="AB747" s="6">
        <f>$K$747*$V$747</f>
        <v>0</v>
      </c>
      <c r="AC747" s="6">
        <f>$M$747*$W$747</f>
        <v>4547.9086799999995</v>
      </c>
      <c r="AD747" s="6">
        <f>$O$747*$X$747</f>
        <v>4375.0981199999997</v>
      </c>
      <c r="AE747" s="6">
        <f>$K$747*$Y$747</f>
        <v>0</v>
      </c>
      <c r="AF747" s="6">
        <f ca="1">$M$747*$Z$747</f>
        <v>5318.9994333042441</v>
      </c>
      <c r="AG747" s="6">
        <f>$O$747*$AA$747</f>
        <v>3500.144562526214</v>
      </c>
    </row>
    <row r="748" spans="1:33" ht="11.25" customHeight="1" x14ac:dyDescent="0.25">
      <c r="A748" s="4" t="s">
        <v>21</v>
      </c>
      <c r="B748" s="4" t="s">
        <v>46</v>
      </c>
      <c r="C748" s="4" t="s">
        <v>23</v>
      </c>
      <c r="D748" s="4" t="s">
        <v>47</v>
      </c>
      <c r="E748" s="4" t="s">
        <v>49</v>
      </c>
      <c r="F748" s="4" t="s">
        <v>25</v>
      </c>
      <c r="G748" s="4" t="s">
        <v>25</v>
      </c>
      <c r="H748" s="4" t="s">
        <v>25</v>
      </c>
      <c r="I748" s="5">
        <v>44470</v>
      </c>
      <c r="J748" s="6">
        <v>0</v>
      </c>
      <c r="K748" s="6">
        <v>0</v>
      </c>
      <c r="L748" s="6">
        <v>28.617999999999999</v>
      </c>
      <c r="M748" s="6">
        <v>28.617999999999999</v>
      </c>
      <c r="N748" s="6">
        <v>28.617999999999999</v>
      </c>
      <c r="O748" s="6">
        <v>28.617999999999999</v>
      </c>
      <c r="P748" s="6">
        <v>4</v>
      </c>
      <c r="Q748" s="4" t="s">
        <v>26</v>
      </c>
      <c r="R748" s="4">
        <v>0</v>
      </c>
      <c r="S748" s="6">
        <v>0</v>
      </c>
      <c r="T748" s="6">
        <v>47</v>
      </c>
      <c r="U748" s="6">
        <v>84</v>
      </c>
      <c r="V748" s="6">
        <f>IF(ISERROR(VLOOKUP($S$748,'TAR FIN'!$A$1:$O$85,15,0)),0,VLOOKUP($S$748,'TAR FIN'!$A$1:$O$85,15,0))</f>
        <v>0</v>
      </c>
      <c r="W748" s="6">
        <f>IF(ISERROR(VLOOKUP($T$748,'TAR FIN'!$A$1:$O$85,15,0)),0,VLOOKUP($T$748,'TAR FIN'!$A$1:$O$85,15,0))</f>
        <v>164.22</v>
      </c>
      <c r="X748" s="6">
        <f>IF(ISERROR(VLOOKUP($U$748,'TAR FIN'!$A$1:$O$85,15,0)),0,VLOOKUP($U$748,'TAR FIN'!$A$1:$O$85,15,0))</f>
        <v>157.97999999999999</v>
      </c>
      <c r="Y748" s="6"/>
      <c r="Z748" s="6">
        <f ca="1">('TUSD BE'!$AM$51+'TUSD BF'!$AM$51+'TUSD CVA'!$AM$51)*1</f>
        <v>192.06324233784375</v>
      </c>
      <c r="AA748" s="6">
        <f>('TE BE'!$AA$41+'TE BF'!$AA$41+'TE CVA'!$AA$41)*1</f>
        <v>126.38638558988279</v>
      </c>
      <c r="AB748" s="6">
        <f>$K$748*$V$748</f>
        <v>0</v>
      </c>
      <c r="AC748" s="6">
        <f>$M$748*$W$748</f>
        <v>4699.6479599999993</v>
      </c>
      <c r="AD748" s="6">
        <f>$O$748*$X$748</f>
        <v>4521.0716399999992</v>
      </c>
      <c r="AE748" s="6">
        <f>$K$748*$Y$748</f>
        <v>0</v>
      </c>
      <c r="AF748" s="6">
        <f ca="1">$M$748*$Z$748</f>
        <v>5496.465869224412</v>
      </c>
      <c r="AG748" s="6">
        <f>$O$748*$AA$748</f>
        <v>3616.9255828112655</v>
      </c>
    </row>
    <row r="749" spans="1:33" ht="11.25" customHeight="1" x14ac:dyDescent="0.25">
      <c r="A749" s="4" t="s">
        <v>21</v>
      </c>
      <c r="B749" s="4" t="s">
        <v>46</v>
      </c>
      <c r="C749" s="4" t="s">
        <v>23</v>
      </c>
      <c r="D749" s="4" t="s">
        <v>47</v>
      </c>
      <c r="E749" s="4" t="s">
        <v>49</v>
      </c>
      <c r="F749" s="4" t="s">
        <v>25</v>
      </c>
      <c r="G749" s="4" t="s">
        <v>25</v>
      </c>
      <c r="H749" s="4" t="s">
        <v>25</v>
      </c>
      <c r="I749" s="5">
        <v>44501</v>
      </c>
      <c r="J749" s="6">
        <v>0</v>
      </c>
      <c r="K749" s="6">
        <v>0</v>
      </c>
      <c r="L749" s="6">
        <v>27.693999999999999</v>
      </c>
      <c r="M749" s="6">
        <v>27.693999999999999</v>
      </c>
      <c r="N749" s="6">
        <v>27.693999999999999</v>
      </c>
      <c r="O749" s="6">
        <v>27.693999999999999</v>
      </c>
      <c r="P749" s="6">
        <v>4</v>
      </c>
      <c r="Q749" s="4" t="s">
        <v>26</v>
      </c>
      <c r="R749" s="4">
        <v>0</v>
      </c>
      <c r="S749" s="6">
        <v>0</v>
      </c>
      <c r="T749" s="6">
        <v>47</v>
      </c>
      <c r="U749" s="6">
        <v>84</v>
      </c>
      <c r="V749" s="6">
        <f>IF(ISERROR(VLOOKUP($S$749,'TAR FIN'!$A$1:$O$85,15,0)),0,VLOOKUP($S$749,'TAR FIN'!$A$1:$O$85,15,0))</f>
        <v>0</v>
      </c>
      <c r="W749" s="6">
        <f>IF(ISERROR(VLOOKUP($T$749,'TAR FIN'!$A$1:$O$85,15,0)),0,VLOOKUP($T$749,'TAR FIN'!$A$1:$O$85,15,0))</f>
        <v>164.22</v>
      </c>
      <c r="X749" s="6">
        <f>IF(ISERROR(VLOOKUP($U$749,'TAR FIN'!$A$1:$O$85,15,0)),0,VLOOKUP($U$749,'TAR FIN'!$A$1:$O$85,15,0))</f>
        <v>157.97999999999999</v>
      </c>
      <c r="Y749" s="6"/>
      <c r="Z749" s="6">
        <f ca="1">('TUSD BE'!$AM$51+'TUSD BF'!$AM$51+'TUSD CVA'!$AM$51)*1</f>
        <v>192.06324233784375</v>
      </c>
      <c r="AA749" s="6">
        <f>('TE BE'!$AA$41+'TE BF'!$AA$41+'TE CVA'!$AA$41)*1</f>
        <v>126.38638558988279</v>
      </c>
      <c r="AB749" s="6">
        <f>$K$749*$V$749</f>
        <v>0</v>
      </c>
      <c r="AC749" s="6">
        <f>$M$749*$W$749</f>
        <v>4547.9086799999995</v>
      </c>
      <c r="AD749" s="6">
        <f>$O$749*$X$749</f>
        <v>4375.0981199999997</v>
      </c>
      <c r="AE749" s="6">
        <f>$K$749*$Y$749</f>
        <v>0</v>
      </c>
      <c r="AF749" s="6">
        <f ca="1">$M$749*$Z$749</f>
        <v>5318.9994333042441</v>
      </c>
      <c r="AG749" s="6">
        <f>$O$749*$AA$749</f>
        <v>3500.144562526214</v>
      </c>
    </row>
    <row r="750" spans="1:33" ht="11.25" customHeight="1" x14ac:dyDescent="0.25">
      <c r="A750" s="4" t="s">
        <v>21</v>
      </c>
      <c r="B750" s="4" t="s">
        <v>46</v>
      </c>
      <c r="C750" s="4" t="s">
        <v>23</v>
      </c>
      <c r="D750" s="4" t="s">
        <v>47</v>
      </c>
      <c r="E750" s="4" t="s">
        <v>49</v>
      </c>
      <c r="F750" s="4" t="s">
        <v>25</v>
      </c>
      <c r="G750" s="4" t="s">
        <v>25</v>
      </c>
      <c r="H750" s="4" t="s">
        <v>25</v>
      </c>
      <c r="I750" s="5">
        <v>44531</v>
      </c>
      <c r="J750" s="6">
        <v>0</v>
      </c>
      <c r="K750" s="6">
        <v>0</v>
      </c>
      <c r="L750" s="6">
        <v>28.617999999999999</v>
      </c>
      <c r="M750" s="6">
        <v>28.617999999999999</v>
      </c>
      <c r="N750" s="6">
        <v>28.617999999999999</v>
      </c>
      <c r="O750" s="6">
        <v>28.617999999999999</v>
      </c>
      <c r="P750" s="6">
        <v>4</v>
      </c>
      <c r="Q750" s="4" t="s">
        <v>26</v>
      </c>
      <c r="R750" s="4">
        <v>0</v>
      </c>
      <c r="S750" s="6">
        <v>0</v>
      </c>
      <c r="T750" s="6">
        <v>47</v>
      </c>
      <c r="U750" s="6">
        <v>84</v>
      </c>
      <c r="V750" s="6">
        <f>IF(ISERROR(VLOOKUP($S$750,'TAR FIN'!$A$1:$O$85,15,0)),0,VLOOKUP($S$750,'TAR FIN'!$A$1:$O$85,15,0))</f>
        <v>0</v>
      </c>
      <c r="W750" s="6">
        <f>IF(ISERROR(VLOOKUP($T$750,'TAR FIN'!$A$1:$O$85,15,0)),0,VLOOKUP($T$750,'TAR FIN'!$A$1:$O$85,15,0))</f>
        <v>164.22</v>
      </c>
      <c r="X750" s="6">
        <f>IF(ISERROR(VLOOKUP($U$750,'TAR FIN'!$A$1:$O$85,15,0)),0,VLOOKUP($U$750,'TAR FIN'!$A$1:$O$85,15,0))</f>
        <v>157.97999999999999</v>
      </c>
      <c r="Y750" s="6"/>
      <c r="Z750" s="6">
        <f ca="1">('TUSD BE'!$AM$51+'TUSD BF'!$AM$51+'TUSD CVA'!$AM$51)*1</f>
        <v>192.06324233784375</v>
      </c>
      <c r="AA750" s="6">
        <f>('TE BE'!$AA$41+'TE BF'!$AA$41+'TE CVA'!$AA$41)*1</f>
        <v>126.38638558988279</v>
      </c>
      <c r="AB750" s="6">
        <f>$K$750*$V$750</f>
        <v>0</v>
      </c>
      <c r="AC750" s="6">
        <f>$M$750*$W$750</f>
        <v>4699.6479599999993</v>
      </c>
      <c r="AD750" s="6">
        <f>$O$750*$X$750</f>
        <v>4521.0716399999992</v>
      </c>
      <c r="AE750" s="6">
        <f>$K$750*$Y$750</f>
        <v>0</v>
      </c>
      <c r="AF750" s="6">
        <f ca="1">$M$750*$Z$750</f>
        <v>5496.465869224412</v>
      </c>
      <c r="AG750" s="6">
        <f>$O$750*$AA$750</f>
        <v>3616.9255828112655</v>
      </c>
    </row>
    <row r="751" spans="1:33" ht="11.25" customHeight="1" x14ac:dyDescent="0.25">
      <c r="A751" s="4" t="s">
        <v>21</v>
      </c>
      <c r="B751" s="4" t="s">
        <v>46</v>
      </c>
      <c r="C751" s="4" t="s">
        <v>23</v>
      </c>
      <c r="D751" s="4" t="s">
        <v>47</v>
      </c>
      <c r="E751" s="4" t="s">
        <v>49</v>
      </c>
      <c r="F751" s="4" t="s">
        <v>25</v>
      </c>
      <c r="G751" s="4" t="s">
        <v>25</v>
      </c>
      <c r="H751" s="4" t="s">
        <v>25</v>
      </c>
      <c r="I751" s="5">
        <v>44562</v>
      </c>
      <c r="J751" s="6">
        <v>0</v>
      </c>
      <c r="K751" s="6">
        <v>0</v>
      </c>
      <c r="L751" s="6">
        <v>28.617999999999999</v>
      </c>
      <c r="M751" s="6">
        <v>28.617999999999999</v>
      </c>
      <c r="N751" s="6">
        <v>28.617999999999999</v>
      </c>
      <c r="O751" s="6">
        <v>28.617999999999999</v>
      </c>
      <c r="P751" s="6">
        <v>4</v>
      </c>
      <c r="Q751" s="4" t="s">
        <v>26</v>
      </c>
      <c r="R751" s="4">
        <v>0</v>
      </c>
      <c r="S751" s="6">
        <v>0</v>
      </c>
      <c r="T751" s="6">
        <v>47</v>
      </c>
      <c r="U751" s="6">
        <v>84</v>
      </c>
      <c r="V751" s="6">
        <f>IF(ISERROR(VLOOKUP($S$751,'TAR FIN'!$A$1:$O$85,15,0)),0,VLOOKUP($S$751,'TAR FIN'!$A$1:$O$85,15,0))</f>
        <v>0</v>
      </c>
      <c r="W751" s="6">
        <f>IF(ISERROR(VLOOKUP($T$751,'TAR FIN'!$A$1:$O$85,15,0)),0,VLOOKUP($T$751,'TAR FIN'!$A$1:$O$85,15,0))</f>
        <v>164.22</v>
      </c>
      <c r="X751" s="6">
        <f>IF(ISERROR(VLOOKUP($U$751,'TAR FIN'!$A$1:$O$85,15,0)),0,VLOOKUP($U$751,'TAR FIN'!$A$1:$O$85,15,0))</f>
        <v>157.97999999999999</v>
      </c>
      <c r="Y751" s="6"/>
      <c r="Z751" s="6">
        <f ca="1">('TUSD BE'!$AM$51+'TUSD BF'!$AM$51+'TUSD CVA'!$AM$51)*1</f>
        <v>192.06324233784375</v>
      </c>
      <c r="AA751" s="6">
        <f>('TE BE'!$AA$41+'TE BF'!$AA$41+'TE CVA'!$AA$41)*1</f>
        <v>126.38638558988279</v>
      </c>
      <c r="AB751" s="6">
        <f>$K$751*$V$751</f>
        <v>0</v>
      </c>
      <c r="AC751" s="6">
        <f>$M$751*$W$751</f>
        <v>4699.6479599999993</v>
      </c>
      <c r="AD751" s="6">
        <f>$O$751*$X$751</f>
        <v>4521.0716399999992</v>
      </c>
      <c r="AE751" s="6">
        <f>$K$751*$Y$751</f>
        <v>0</v>
      </c>
      <c r="AF751" s="6">
        <f ca="1">$M$751*$Z$751</f>
        <v>5496.465869224412</v>
      </c>
      <c r="AG751" s="6">
        <f>$O$751*$AA$751</f>
        <v>3616.9255828112655</v>
      </c>
    </row>
    <row r="752" spans="1:33" ht="11.25" customHeight="1" x14ac:dyDescent="0.25">
      <c r="A752" s="4" t="s">
        <v>21</v>
      </c>
      <c r="B752" s="4" t="s">
        <v>46</v>
      </c>
      <c r="C752" s="4" t="s">
        <v>23</v>
      </c>
      <c r="D752" s="4" t="s">
        <v>47</v>
      </c>
      <c r="E752" s="4" t="s">
        <v>49</v>
      </c>
      <c r="F752" s="4" t="s">
        <v>25</v>
      </c>
      <c r="G752" s="4" t="s">
        <v>25</v>
      </c>
      <c r="H752" s="4" t="s">
        <v>25</v>
      </c>
      <c r="I752" s="5">
        <v>44593</v>
      </c>
      <c r="J752" s="6">
        <v>0</v>
      </c>
      <c r="K752" s="6">
        <v>0</v>
      </c>
      <c r="L752" s="6">
        <v>25.847999999999999</v>
      </c>
      <c r="M752" s="6">
        <v>25.847999999999999</v>
      </c>
      <c r="N752" s="6">
        <v>25.847999999999999</v>
      </c>
      <c r="O752" s="6">
        <v>25.847999999999999</v>
      </c>
      <c r="P752" s="6">
        <v>4</v>
      </c>
      <c r="Q752" s="4" t="s">
        <v>26</v>
      </c>
      <c r="R752" s="4">
        <v>0</v>
      </c>
      <c r="S752" s="6">
        <v>0</v>
      </c>
      <c r="T752" s="6">
        <v>47</v>
      </c>
      <c r="U752" s="6">
        <v>84</v>
      </c>
      <c r="V752" s="6">
        <f>IF(ISERROR(VLOOKUP($S$752,'TAR FIN'!$A$1:$O$85,15,0)),0,VLOOKUP($S$752,'TAR FIN'!$A$1:$O$85,15,0))</f>
        <v>0</v>
      </c>
      <c r="W752" s="6">
        <f>IF(ISERROR(VLOOKUP($T$752,'TAR FIN'!$A$1:$O$85,15,0)),0,VLOOKUP($T$752,'TAR FIN'!$A$1:$O$85,15,0))</f>
        <v>164.22</v>
      </c>
      <c r="X752" s="6">
        <f>IF(ISERROR(VLOOKUP($U$752,'TAR FIN'!$A$1:$O$85,15,0)),0,VLOOKUP($U$752,'TAR FIN'!$A$1:$O$85,15,0))</f>
        <v>157.97999999999999</v>
      </c>
      <c r="Y752" s="6"/>
      <c r="Z752" s="6">
        <f ca="1">('TUSD BE'!$AM$51+'TUSD BF'!$AM$51+'TUSD CVA'!$AM$51)*1</f>
        <v>192.06324233784375</v>
      </c>
      <c r="AA752" s="6">
        <f>('TE BE'!$AA$41+'TE BF'!$AA$41+'TE CVA'!$AA$41)*1</f>
        <v>126.38638558988279</v>
      </c>
      <c r="AB752" s="6">
        <f>$K$752*$V$752</f>
        <v>0</v>
      </c>
      <c r="AC752" s="6">
        <f>$M$752*$W$752</f>
        <v>4244.7585600000002</v>
      </c>
      <c r="AD752" s="6">
        <f>$O$752*$X$752</f>
        <v>4083.4670399999995</v>
      </c>
      <c r="AE752" s="6">
        <f>$K$752*$Y$752</f>
        <v>0</v>
      </c>
      <c r="AF752" s="6">
        <f ca="1">$M$752*$Z$752</f>
        <v>4964.4506879485853</v>
      </c>
      <c r="AG752" s="6">
        <f>$O$752*$AA$752</f>
        <v>3266.8352947272901</v>
      </c>
    </row>
    <row r="753" spans="1:33" ht="11.25" customHeight="1" x14ac:dyDescent="0.25">
      <c r="A753" s="4" t="s">
        <v>21</v>
      </c>
      <c r="B753" s="4" t="s">
        <v>46</v>
      </c>
      <c r="C753" s="4" t="s">
        <v>23</v>
      </c>
      <c r="D753" s="4" t="s">
        <v>47</v>
      </c>
      <c r="E753" s="4" t="s">
        <v>49</v>
      </c>
      <c r="F753" s="4" t="s">
        <v>25</v>
      </c>
      <c r="G753" s="4" t="s">
        <v>25</v>
      </c>
      <c r="H753" s="4" t="s">
        <v>25</v>
      </c>
      <c r="I753" s="5">
        <v>44621</v>
      </c>
      <c r="J753" s="6">
        <v>0</v>
      </c>
      <c r="K753" s="6">
        <v>0</v>
      </c>
      <c r="L753" s="6">
        <v>28.617999999999999</v>
      </c>
      <c r="M753" s="6">
        <v>28.617999999999999</v>
      </c>
      <c r="N753" s="6">
        <v>28.617999999999999</v>
      </c>
      <c r="O753" s="6">
        <v>28.617999999999999</v>
      </c>
      <c r="P753" s="6">
        <v>4</v>
      </c>
      <c r="Q753" s="4" t="s">
        <v>26</v>
      </c>
      <c r="R753" s="4">
        <v>0</v>
      </c>
      <c r="S753" s="6">
        <v>0</v>
      </c>
      <c r="T753" s="6">
        <v>47</v>
      </c>
      <c r="U753" s="6">
        <v>84</v>
      </c>
      <c r="V753" s="6">
        <f>IF(ISERROR(VLOOKUP($S$753,'TAR FIN'!$A$1:$O$85,15,0)),0,VLOOKUP($S$753,'TAR FIN'!$A$1:$O$85,15,0))</f>
        <v>0</v>
      </c>
      <c r="W753" s="6">
        <f>IF(ISERROR(VLOOKUP($T$753,'TAR FIN'!$A$1:$O$85,15,0)),0,VLOOKUP($T$753,'TAR FIN'!$A$1:$O$85,15,0))</f>
        <v>164.22</v>
      </c>
      <c r="X753" s="6">
        <f>IF(ISERROR(VLOOKUP($U$753,'TAR FIN'!$A$1:$O$85,15,0)),0,VLOOKUP($U$753,'TAR FIN'!$A$1:$O$85,15,0))</f>
        <v>157.97999999999999</v>
      </c>
      <c r="Y753" s="6"/>
      <c r="Z753" s="6">
        <f ca="1">('TUSD BE'!$AM$51+'TUSD BF'!$AM$51+'TUSD CVA'!$AM$51)*1</f>
        <v>192.06324233784375</v>
      </c>
      <c r="AA753" s="6">
        <f>('TE BE'!$AA$41+'TE BF'!$AA$41+'TE CVA'!$AA$41)*1</f>
        <v>126.38638558988279</v>
      </c>
      <c r="AB753" s="6">
        <f>$K$753*$V$753</f>
        <v>0</v>
      </c>
      <c r="AC753" s="6">
        <f>$M$753*$W$753</f>
        <v>4699.6479599999993</v>
      </c>
      <c r="AD753" s="6">
        <f>$O$753*$X$753</f>
        <v>4521.0716399999992</v>
      </c>
      <c r="AE753" s="6">
        <f>$K$753*$Y$753</f>
        <v>0</v>
      </c>
      <c r="AF753" s="6">
        <f ca="1">$M$753*$Z$753</f>
        <v>5496.465869224412</v>
      </c>
      <c r="AG753" s="6">
        <f>$O$753*$AA$753</f>
        <v>3616.9255828112655</v>
      </c>
    </row>
    <row r="754" spans="1:33" ht="11.25" customHeight="1" x14ac:dyDescent="0.25">
      <c r="A754" s="4" t="s">
        <v>21</v>
      </c>
      <c r="B754" s="4" t="s">
        <v>46</v>
      </c>
      <c r="C754" s="4" t="s">
        <v>23</v>
      </c>
      <c r="D754" s="4" t="s">
        <v>47</v>
      </c>
      <c r="E754" s="4" t="s">
        <v>49</v>
      </c>
      <c r="F754" s="4" t="s">
        <v>25</v>
      </c>
      <c r="G754" s="4" t="s">
        <v>25</v>
      </c>
      <c r="H754" s="4" t="s">
        <v>25</v>
      </c>
      <c r="I754" s="5">
        <v>44652</v>
      </c>
      <c r="J754" s="6">
        <v>0</v>
      </c>
      <c r="K754" s="6">
        <v>0</v>
      </c>
      <c r="L754" s="6">
        <v>27.693999999999999</v>
      </c>
      <c r="M754" s="6">
        <v>27.693999999999999</v>
      </c>
      <c r="N754" s="6">
        <v>27.693999999999999</v>
      </c>
      <c r="O754" s="6">
        <v>27.693999999999999</v>
      </c>
      <c r="P754" s="6">
        <v>4</v>
      </c>
      <c r="Q754" s="4" t="s">
        <v>26</v>
      </c>
      <c r="R754" s="4">
        <v>0</v>
      </c>
      <c r="S754" s="6">
        <v>0</v>
      </c>
      <c r="T754" s="6">
        <v>47</v>
      </c>
      <c r="U754" s="6">
        <v>84</v>
      </c>
      <c r="V754" s="6">
        <f>IF(ISERROR(VLOOKUP($S$754,'TAR FIN'!$A$1:$O$85,15,0)),0,VLOOKUP($S$754,'TAR FIN'!$A$1:$O$85,15,0))</f>
        <v>0</v>
      </c>
      <c r="W754" s="6">
        <f>IF(ISERROR(VLOOKUP($T$754,'TAR FIN'!$A$1:$O$85,15,0)),0,VLOOKUP($T$754,'TAR FIN'!$A$1:$O$85,15,0))</f>
        <v>164.22</v>
      </c>
      <c r="X754" s="6">
        <f>IF(ISERROR(VLOOKUP($U$754,'TAR FIN'!$A$1:$O$85,15,0)),0,VLOOKUP($U$754,'TAR FIN'!$A$1:$O$85,15,0))</f>
        <v>157.97999999999999</v>
      </c>
      <c r="Y754" s="6"/>
      <c r="Z754" s="6">
        <f ca="1">('TUSD BE'!$AM$51+'TUSD BF'!$AM$51+'TUSD CVA'!$AM$51)*1</f>
        <v>192.06324233784375</v>
      </c>
      <c r="AA754" s="6">
        <f>('TE BE'!$AA$41+'TE BF'!$AA$41+'TE CVA'!$AA$41)*1</f>
        <v>126.38638558988279</v>
      </c>
      <c r="AB754" s="6">
        <f>$K$754*$V$754</f>
        <v>0</v>
      </c>
      <c r="AC754" s="6">
        <f>$M$754*$W$754</f>
        <v>4547.9086799999995</v>
      </c>
      <c r="AD754" s="6">
        <f>$O$754*$X$754</f>
        <v>4375.0981199999997</v>
      </c>
      <c r="AE754" s="6">
        <f>$K$754*$Y$754</f>
        <v>0</v>
      </c>
      <c r="AF754" s="6">
        <f ca="1">$M$754*$Z$754</f>
        <v>5318.9994333042441</v>
      </c>
      <c r="AG754" s="6">
        <f>$O$754*$AA$754</f>
        <v>3500.144562526214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0DBB9-AB2E-49D4-AF96-38C85C43FA98}">
  <dimension ref="A1:AJ755"/>
  <sheetViews>
    <sheetView showGridLines="0" topLeftCell="X1" workbookViewId="0">
      <selection sqref="A1:AF368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759</v>
      </c>
      <c r="W1" s="1" t="s">
        <v>760</v>
      </c>
      <c r="X1" s="1" t="s">
        <v>761</v>
      </c>
      <c r="Y1" s="1" t="s">
        <v>762</v>
      </c>
      <c r="Z1" s="1" t="s">
        <v>763</v>
      </c>
      <c r="AA1" s="1" t="s">
        <v>764</v>
      </c>
      <c r="AB1" s="1" t="s">
        <v>802</v>
      </c>
      <c r="AC1" s="1" t="s">
        <v>803</v>
      </c>
      <c r="AD1" s="1" t="s">
        <v>804</v>
      </c>
      <c r="AE1" s="1" t="s">
        <v>805</v>
      </c>
      <c r="AF1" s="1" t="s">
        <v>806</v>
      </c>
      <c r="AH1" s="71" t="s">
        <v>806</v>
      </c>
      <c r="AI1" s="71" t="s">
        <v>812</v>
      </c>
      <c r="AJ1" s="71" t="s">
        <v>813</v>
      </c>
    </row>
    <row r="2" spans="1:36" ht="11.25" customHeight="1" x14ac:dyDescent="0.25">
      <c r="A2" s="4" t="s">
        <v>21</v>
      </c>
      <c r="B2" s="4" t="s">
        <v>33</v>
      </c>
      <c r="C2" s="4" t="s">
        <v>34</v>
      </c>
      <c r="D2" s="4" t="s">
        <v>40</v>
      </c>
      <c r="E2" s="4" t="s">
        <v>25</v>
      </c>
      <c r="F2" s="4" t="s">
        <v>57</v>
      </c>
      <c r="G2" s="4" t="s">
        <v>25</v>
      </c>
      <c r="H2" s="4" t="s">
        <v>36</v>
      </c>
      <c r="I2" s="5">
        <v>44317</v>
      </c>
      <c r="J2" s="6">
        <v>0</v>
      </c>
      <c r="K2" s="6">
        <v>0</v>
      </c>
      <c r="L2" s="6">
        <v>2414.2550000000001</v>
      </c>
      <c r="M2" s="6">
        <v>2414.2550000000001</v>
      </c>
      <c r="N2" s="6">
        <v>0</v>
      </c>
      <c r="O2" s="6">
        <v>0</v>
      </c>
      <c r="P2" s="6">
        <v>0</v>
      </c>
      <c r="Q2" s="4" t="s">
        <v>58</v>
      </c>
      <c r="R2" s="4">
        <v>0</v>
      </c>
      <c r="S2" s="4">
        <v>0</v>
      </c>
      <c r="T2" s="4">
        <v>8</v>
      </c>
      <c r="U2" s="4">
        <v>0</v>
      </c>
      <c r="V2" s="6">
        <f>IF(ISERROR(VLOOKUP($S$2,'TAR FIN'!$A$1:$O$85,15,0)),0,VLOOKUP($S$2,'TAR FIN'!$A$1:$O$85,15,0))</f>
        <v>0</v>
      </c>
      <c r="W2" s="6">
        <f>IF(ISERROR(VLOOKUP($T$2,'TAR FIN'!$A$1:$O$85,15,0)),0,VLOOKUP($T$2,'TAR FIN'!$A$1:$O$85,15,0))</f>
        <v>65.61</v>
      </c>
      <c r="X2" s="6">
        <f>IF(ISERROR(VLOOKUP($U$2,'TAR FIN'!$A$1:$O$85,15,0)),0,VLOOKUP($U$2,'TAR FIN'!$A$1:$O$85,15,0))</f>
        <v>0</v>
      </c>
      <c r="Y2" s="6"/>
      <c r="Z2" s="6">
        <f ca="1">('TUSD BE'!$AM$12+'TUSD BF'!$AM$12+'TUSD CVA'!$AM$12)*1</f>
        <v>100.34646310857573</v>
      </c>
      <c r="AA2" s="6"/>
      <c r="AB2" s="6">
        <f t="shared" ref="AB2:AB49" si="0">(J2-K2)*V2</f>
        <v>0</v>
      </c>
      <c r="AC2" s="6">
        <f t="shared" ref="AC2:AC33" si="1">(L2-M2)*W2+(N2-O2)*X2</f>
        <v>0</v>
      </c>
      <c r="AD2" s="6">
        <f t="shared" ref="AD2:AD49" si="2">(J2-K2)*Y2</f>
        <v>0</v>
      </c>
      <c r="AE2" s="6">
        <f t="shared" ref="AE2:AE33" ca="1" si="3">(L2-M2)*Z2+(N2-O2)*AA2</f>
        <v>0</v>
      </c>
      <c r="AF2" s="4" t="s">
        <v>807</v>
      </c>
      <c r="AH2" s="72" t="s">
        <v>807</v>
      </c>
      <c r="AI2" s="73">
        <f t="shared" ref="AI2:AI9" si="4">SUMIF($AF$2:$AF$755,AH2,$AB$2:$AB$755)+SUMIF($AF$2:$AF$755,AH2,$AC$2:$AC$755)</f>
        <v>2605375.3136399998</v>
      </c>
      <c r="AJ2" s="73">
        <f t="shared" ref="AJ2:AJ9" ca="1" si="5">SUMIF($AF$2:$AF$755,AH2,$AD$2:$AD$755)+SUMIF($AF$2:$AF$755,AH2,$AE$2:$AE$755)</f>
        <v>2548803.1856109854</v>
      </c>
    </row>
    <row r="3" spans="1:36" ht="11.25" customHeight="1" x14ac:dyDescent="0.25">
      <c r="A3" s="4" t="s">
        <v>21</v>
      </c>
      <c r="B3" s="4" t="s">
        <v>33</v>
      </c>
      <c r="C3" s="4" t="s">
        <v>34</v>
      </c>
      <c r="D3" s="4" t="s">
        <v>40</v>
      </c>
      <c r="E3" s="4" t="s">
        <v>25</v>
      </c>
      <c r="F3" s="4" t="s">
        <v>57</v>
      </c>
      <c r="G3" s="4" t="s">
        <v>25</v>
      </c>
      <c r="H3" s="4" t="s">
        <v>36</v>
      </c>
      <c r="I3" s="5">
        <v>44348</v>
      </c>
      <c r="J3" s="6">
        <v>0</v>
      </c>
      <c r="K3" s="6">
        <v>0</v>
      </c>
      <c r="L3" s="6">
        <v>2776.94</v>
      </c>
      <c r="M3" s="6">
        <v>2776.94</v>
      </c>
      <c r="N3" s="6">
        <v>0</v>
      </c>
      <c r="O3" s="6">
        <v>0</v>
      </c>
      <c r="P3" s="6">
        <v>0</v>
      </c>
      <c r="Q3" s="4" t="s">
        <v>58</v>
      </c>
      <c r="R3" s="4">
        <v>0</v>
      </c>
      <c r="S3" s="4">
        <v>0</v>
      </c>
      <c r="T3" s="4">
        <v>8</v>
      </c>
      <c r="U3" s="4">
        <v>0</v>
      </c>
      <c r="V3" s="6">
        <f>IF(ISERROR(VLOOKUP($S$3,'TAR FIN'!$A$1:$O$85,15,0)),0,VLOOKUP($S$3,'TAR FIN'!$A$1:$O$85,15,0))</f>
        <v>0</v>
      </c>
      <c r="W3" s="6">
        <f>IF(ISERROR(VLOOKUP($T$3,'TAR FIN'!$A$1:$O$85,15,0)),0,VLOOKUP($T$3,'TAR FIN'!$A$1:$O$85,15,0))</f>
        <v>65.61</v>
      </c>
      <c r="X3" s="6">
        <f>IF(ISERROR(VLOOKUP($U$3,'TAR FIN'!$A$1:$O$85,15,0)),0,VLOOKUP($U$3,'TAR FIN'!$A$1:$O$85,15,0))</f>
        <v>0</v>
      </c>
      <c r="Y3" s="6"/>
      <c r="Z3" s="6">
        <f ca="1">('TUSD BE'!$AM$12+'TUSD BF'!$AM$12+'TUSD CVA'!$AM$12)*1</f>
        <v>100.34646310857573</v>
      </c>
      <c r="AA3" s="6"/>
      <c r="AB3" s="6">
        <f t="shared" si="0"/>
        <v>0</v>
      </c>
      <c r="AC3" s="6">
        <f t="shared" si="1"/>
        <v>0</v>
      </c>
      <c r="AD3" s="6">
        <f t="shared" si="2"/>
        <v>0</v>
      </c>
      <c r="AE3" s="6">
        <f t="shared" ca="1" si="3"/>
        <v>0</v>
      </c>
      <c r="AF3" s="4" t="s">
        <v>807</v>
      </c>
      <c r="AH3" s="72" t="s">
        <v>814</v>
      </c>
      <c r="AI3" s="73">
        <f t="shared" si="4"/>
        <v>0</v>
      </c>
      <c r="AJ3" s="73">
        <f t="shared" si="5"/>
        <v>0</v>
      </c>
    </row>
    <row r="4" spans="1:36" ht="11.25" customHeight="1" x14ac:dyDescent="0.25">
      <c r="A4" s="4" t="s">
        <v>21</v>
      </c>
      <c r="B4" s="4" t="s">
        <v>33</v>
      </c>
      <c r="C4" s="4" t="s">
        <v>34</v>
      </c>
      <c r="D4" s="4" t="s">
        <v>40</v>
      </c>
      <c r="E4" s="4" t="s">
        <v>25</v>
      </c>
      <c r="F4" s="4" t="s">
        <v>57</v>
      </c>
      <c r="G4" s="4" t="s">
        <v>25</v>
      </c>
      <c r="H4" s="4" t="s">
        <v>36</v>
      </c>
      <c r="I4" s="5">
        <v>44378</v>
      </c>
      <c r="J4" s="6">
        <v>0</v>
      </c>
      <c r="K4" s="6">
        <v>0</v>
      </c>
      <c r="L4" s="6">
        <v>3072.7150000000001</v>
      </c>
      <c r="M4" s="6">
        <v>3072.7150000000001</v>
      </c>
      <c r="N4" s="6">
        <v>0</v>
      </c>
      <c r="O4" s="6">
        <v>0</v>
      </c>
      <c r="P4" s="6">
        <v>0</v>
      </c>
      <c r="Q4" s="4" t="s">
        <v>58</v>
      </c>
      <c r="R4" s="4">
        <v>0</v>
      </c>
      <c r="S4" s="4">
        <v>0</v>
      </c>
      <c r="T4" s="4">
        <v>8</v>
      </c>
      <c r="U4" s="4">
        <v>0</v>
      </c>
      <c r="V4" s="6">
        <f>IF(ISERROR(VLOOKUP($S$4,'TAR FIN'!$A$1:$O$85,15,0)),0,VLOOKUP($S$4,'TAR FIN'!$A$1:$O$85,15,0))</f>
        <v>0</v>
      </c>
      <c r="W4" s="6">
        <f>IF(ISERROR(VLOOKUP($T$4,'TAR FIN'!$A$1:$O$85,15,0)),0,VLOOKUP($T$4,'TAR FIN'!$A$1:$O$85,15,0))</f>
        <v>65.61</v>
      </c>
      <c r="X4" s="6">
        <f>IF(ISERROR(VLOOKUP($U$4,'TAR FIN'!$A$1:$O$85,15,0)),0,VLOOKUP($U$4,'TAR FIN'!$A$1:$O$85,15,0))</f>
        <v>0</v>
      </c>
      <c r="Y4" s="6"/>
      <c r="Z4" s="6">
        <f ca="1">('TUSD BE'!$AM$12+'TUSD BF'!$AM$12+'TUSD CVA'!$AM$12)*1</f>
        <v>100.34646310857573</v>
      </c>
      <c r="AA4" s="6"/>
      <c r="AB4" s="6">
        <f t="shared" si="0"/>
        <v>0</v>
      </c>
      <c r="AC4" s="6">
        <f t="shared" si="1"/>
        <v>0</v>
      </c>
      <c r="AD4" s="6">
        <f t="shared" si="2"/>
        <v>0</v>
      </c>
      <c r="AE4" s="6">
        <f t="shared" ca="1" si="3"/>
        <v>0</v>
      </c>
      <c r="AF4" s="4" t="s">
        <v>807</v>
      </c>
      <c r="AH4" s="72" t="s">
        <v>815</v>
      </c>
      <c r="AI4" s="73">
        <f t="shared" si="4"/>
        <v>0</v>
      </c>
      <c r="AJ4" s="73">
        <f t="shared" si="5"/>
        <v>0</v>
      </c>
    </row>
    <row r="5" spans="1:36" ht="11.25" customHeight="1" x14ac:dyDescent="0.25">
      <c r="A5" s="4" t="s">
        <v>21</v>
      </c>
      <c r="B5" s="4" t="s">
        <v>33</v>
      </c>
      <c r="C5" s="4" t="s">
        <v>34</v>
      </c>
      <c r="D5" s="4" t="s">
        <v>40</v>
      </c>
      <c r="E5" s="4" t="s">
        <v>25</v>
      </c>
      <c r="F5" s="4" t="s">
        <v>57</v>
      </c>
      <c r="G5" s="4" t="s">
        <v>25</v>
      </c>
      <c r="H5" s="4" t="s">
        <v>36</v>
      </c>
      <c r="I5" s="5">
        <v>44409</v>
      </c>
      <c r="J5" s="6">
        <v>0</v>
      </c>
      <c r="K5" s="6">
        <v>0</v>
      </c>
      <c r="L5" s="6">
        <v>3175.6680000000001</v>
      </c>
      <c r="M5" s="6">
        <v>3175.6680000000001</v>
      </c>
      <c r="N5" s="6">
        <v>0</v>
      </c>
      <c r="O5" s="6">
        <v>0</v>
      </c>
      <c r="P5" s="6">
        <v>0</v>
      </c>
      <c r="Q5" s="4" t="s">
        <v>58</v>
      </c>
      <c r="R5" s="4">
        <v>0</v>
      </c>
      <c r="S5" s="4">
        <v>0</v>
      </c>
      <c r="T5" s="4">
        <v>8</v>
      </c>
      <c r="U5" s="4">
        <v>0</v>
      </c>
      <c r="V5" s="6">
        <f>IF(ISERROR(VLOOKUP($S$5,'TAR FIN'!$A$1:$O$85,15,0)),0,VLOOKUP($S$5,'TAR FIN'!$A$1:$O$85,15,0))</f>
        <v>0</v>
      </c>
      <c r="W5" s="6">
        <f>IF(ISERROR(VLOOKUP($T$5,'TAR FIN'!$A$1:$O$85,15,0)),0,VLOOKUP($T$5,'TAR FIN'!$A$1:$O$85,15,0))</f>
        <v>65.61</v>
      </c>
      <c r="X5" s="6">
        <f>IF(ISERROR(VLOOKUP($U$5,'TAR FIN'!$A$1:$O$85,15,0)),0,VLOOKUP($U$5,'TAR FIN'!$A$1:$O$85,15,0))</f>
        <v>0</v>
      </c>
      <c r="Y5" s="6"/>
      <c r="Z5" s="6">
        <f ca="1">('TUSD BE'!$AM$12+'TUSD BF'!$AM$12+'TUSD CVA'!$AM$12)*1</f>
        <v>100.34646310857573</v>
      </c>
      <c r="AA5" s="6"/>
      <c r="AB5" s="6">
        <f t="shared" si="0"/>
        <v>0</v>
      </c>
      <c r="AC5" s="6">
        <f t="shared" si="1"/>
        <v>0</v>
      </c>
      <c r="AD5" s="6">
        <f t="shared" si="2"/>
        <v>0</v>
      </c>
      <c r="AE5" s="6">
        <f t="shared" ca="1" si="3"/>
        <v>0</v>
      </c>
      <c r="AF5" s="4" t="s">
        <v>807</v>
      </c>
      <c r="AH5" s="72" t="s">
        <v>810</v>
      </c>
      <c r="AI5" s="73">
        <f t="shared" si="4"/>
        <v>64887.553430400003</v>
      </c>
      <c r="AJ5" s="73">
        <f t="shared" ca="1" si="5"/>
        <v>31332.540239181904</v>
      </c>
    </row>
    <row r="6" spans="1:36" ht="11.25" customHeight="1" x14ac:dyDescent="0.25">
      <c r="A6" s="4" t="s">
        <v>21</v>
      </c>
      <c r="B6" s="4" t="s">
        <v>33</v>
      </c>
      <c r="C6" s="4" t="s">
        <v>34</v>
      </c>
      <c r="D6" s="4" t="s">
        <v>40</v>
      </c>
      <c r="E6" s="4" t="s">
        <v>25</v>
      </c>
      <c r="F6" s="4" t="s">
        <v>57</v>
      </c>
      <c r="G6" s="4" t="s">
        <v>25</v>
      </c>
      <c r="H6" s="4" t="s">
        <v>36</v>
      </c>
      <c r="I6" s="5">
        <v>44440</v>
      </c>
      <c r="J6" s="6">
        <v>0</v>
      </c>
      <c r="K6" s="6">
        <v>0</v>
      </c>
      <c r="L6" s="6">
        <v>3182.2460000000001</v>
      </c>
      <c r="M6" s="6">
        <v>3182.2460000000001</v>
      </c>
      <c r="N6" s="6">
        <v>0</v>
      </c>
      <c r="O6" s="6">
        <v>0</v>
      </c>
      <c r="P6" s="6">
        <v>0</v>
      </c>
      <c r="Q6" s="4" t="s">
        <v>58</v>
      </c>
      <c r="R6" s="4">
        <v>0</v>
      </c>
      <c r="S6" s="4">
        <v>0</v>
      </c>
      <c r="T6" s="4">
        <v>8</v>
      </c>
      <c r="U6" s="4">
        <v>0</v>
      </c>
      <c r="V6" s="6">
        <f>IF(ISERROR(VLOOKUP($S$6,'TAR FIN'!$A$1:$O$85,15,0)),0,VLOOKUP($S$6,'TAR FIN'!$A$1:$O$85,15,0))</f>
        <v>0</v>
      </c>
      <c r="W6" s="6">
        <f>IF(ISERROR(VLOOKUP($T$6,'TAR FIN'!$A$1:$O$85,15,0)),0,VLOOKUP($T$6,'TAR FIN'!$A$1:$O$85,15,0))</f>
        <v>65.61</v>
      </c>
      <c r="X6" s="6">
        <f>IF(ISERROR(VLOOKUP($U$6,'TAR FIN'!$A$1:$O$85,15,0)),0,VLOOKUP($U$6,'TAR FIN'!$A$1:$O$85,15,0))</f>
        <v>0</v>
      </c>
      <c r="Y6" s="6"/>
      <c r="Z6" s="6">
        <f ca="1">('TUSD BE'!$AM$12+'TUSD BF'!$AM$12+'TUSD CVA'!$AM$12)*1</f>
        <v>100.34646310857573</v>
      </c>
      <c r="AA6" s="6"/>
      <c r="AB6" s="6">
        <f t="shared" si="0"/>
        <v>0</v>
      </c>
      <c r="AC6" s="6">
        <f t="shared" si="1"/>
        <v>0</v>
      </c>
      <c r="AD6" s="6">
        <f t="shared" si="2"/>
        <v>0</v>
      </c>
      <c r="AE6" s="6">
        <f t="shared" ca="1" si="3"/>
        <v>0</v>
      </c>
      <c r="AF6" s="4" t="s">
        <v>807</v>
      </c>
      <c r="AH6" s="72" t="s">
        <v>808</v>
      </c>
      <c r="AI6" s="73">
        <f t="shared" si="4"/>
        <v>2773076.1339312177</v>
      </c>
      <c r="AJ6" s="73">
        <f t="shared" ca="1" si="5"/>
        <v>1358904.941717142</v>
      </c>
    </row>
    <row r="7" spans="1:36" ht="11.25" customHeight="1" x14ac:dyDescent="0.25">
      <c r="A7" s="4" t="s">
        <v>21</v>
      </c>
      <c r="B7" s="4" t="s">
        <v>33</v>
      </c>
      <c r="C7" s="4" t="s">
        <v>34</v>
      </c>
      <c r="D7" s="4" t="s">
        <v>40</v>
      </c>
      <c r="E7" s="4" t="s">
        <v>25</v>
      </c>
      <c r="F7" s="4" t="s">
        <v>57</v>
      </c>
      <c r="G7" s="4" t="s">
        <v>25</v>
      </c>
      <c r="H7" s="4" t="s">
        <v>36</v>
      </c>
      <c r="I7" s="5">
        <v>44470</v>
      </c>
      <c r="J7" s="6">
        <v>0</v>
      </c>
      <c r="K7" s="6">
        <v>0</v>
      </c>
      <c r="L7" s="6">
        <v>3193.2080000000001</v>
      </c>
      <c r="M7" s="6">
        <v>3193.2080000000001</v>
      </c>
      <c r="N7" s="6">
        <v>0</v>
      </c>
      <c r="O7" s="6">
        <v>0</v>
      </c>
      <c r="P7" s="6">
        <v>0</v>
      </c>
      <c r="Q7" s="4" t="s">
        <v>58</v>
      </c>
      <c r="R7" s="4">
        <v>0</v>
      </c>
      <c r="S7" s="4">
        <v>0</v>
      </c>
      <c r="T7" s="4">
        <v>8</v>
      </c>
      <c r="U7" s="4">
        <v>0</v>
      </c>
      <c r="V7" s="6">
        <f>IF(ISERROR(VLOOKUP($S$7,'TAR FIN'!$A$1:$O$85,15,0)),0,VLOOKUP($S$7,'TAR FIN'!$A$1:$O$85,15,0))</f>
        <v>0</v>
      </c>
      <c r="W7" s="6">
        <f>IF(ISERROR(VLOOKUP($T$7,'TAR FIN'!$A$1:$O$85,15,0)),0,VLOOKUP($T$7,'TAR FIN'!$A$1:$O$85,15,0))</f>
        <v>65.61</v>
      </c>
      <c r="X7" s="6">
        <f>IF(ISERROR(VLOOKUP($U$7,'TAR FIN'!$A$1:$O$85,15,0)),0,VLOOKUP($U$7,'TAR FIN'!$A$1:$O$85,15,0))</f>
        <v>0</v>
      </c>
      <c r="Y7" s="6"/>
      <c r="Z7" s="6">
        <f ca="1">('TUSD BE'!$AM$12+'TUSD BF'!$AM$12+'TUSD CVA'!$AM$12)*1</f>
        <v>100.34646310857573</v>
      </c>
      <c r="AA7" s="6"/>
      <c r="AB7" s="6">
        <f t="shared" si="0"/>
        <v>0</v>
      </c>
      <c r="AC7" s="6">
        <f t="shared" si="1"/>
        <v>0</v>
      </c>
      <c r="AD7" s="6">
        <f t="shared" si="2"/>
        <v>0</v>
      </c>
      <c r="AE7" s="6">
        <f t="shared" ca="1" si="3"/>
        <v>0</v>
      </c>
      <c r="AF7" s="4" t="s">
        <v>807</v>
      </c>
      <c r="AH7" s="72" t="s">
        <v>809</v>
      </c>
      <c r="AI7" s="73">
        <f t="shared" si="4"/>
        <v>115438.45648999994</v>
      </c>
      <c r="AJ7" s="73">
        <f t="shared" ca="1" si="5"/>
        <v>109691.35170874902</v>
      </c>
    </row>
    <row r="8" spans="1:36" ht="11.25" customHeight="1" x14ac:dyDescent="0.25">
      <c r="A8" s="4" t="s">
        <v>21</v>
      </c>
      <c r="B8" s="4" t="s">
        <v>33</v>
      </c>
      <c r="C8" s="4" t="s">
        <v>34</v>
      </c>
      <c r="D8" s="4" t="s">
        <v>40</v>
      </c>
      <c r="E8" s="4" t="s">
        <v>25</v>
      </c>
      <c r="F8" s="4" t="s">
        <v>57</v>
      </c>
      <c r="G8" s="4" t="s">
        <v>25</v>
      </c>
      <c r="H8" s="4" t="s">
        <v>36</v>
      </c>
      <c r="I8" s="5">
        <v>44501</v>
      </c>
      <c r="J8" s="6">
        <v>0</v>
      </c>
      <c r="K8" s="6">
        <v>0</v>
      </c>
      <c r="L8" s="6">
        <v>3324.471</v>
      </c>
      <c r="M8" s="6">
        <v>3324.471</v>
      </c>
      <c r="N8" s="6">
        <v>0</v>
      </c>
      <c r="O8" s="6">
        <v>0</v>
      </c>
      <c r="P8" s="6">
        <v>0</v>
      </c>
      <c r="Q8" s="4" t="s">
        <v>58</v>
      </c>
      <c r="R8" s="4">
        <v>0</v>
      </c>
      <c r="S8" s="4">
        <v>0</v>
      </c>
      <c r="T8" s="4">
        <v>8</v>
      </c>
      <c r="U8" s="4">
        <v>0</v>
      </c>
      <c r="V8" s="6">
        <f>IF(ISERROR(VLOOKUP($S$8,'TAR FIN'!$A$1:$O$85,15,0)),0,VLOOKUP($S$8,'TAR FIN'!$A$1:$O$85,15,0))</f>
        <v>0</v>
      </c>
      <c r="W8" s="6">
        <f>IF(ISERROR(VLOOKUP($T$8,'TAR FIN'!$A$1:$O$85,15,0)),0,VLOOKUP($T$8,'TAR FIN'!$A$1:$O$85,15,0))</f>
        <v>65.61</v>
      </c>
      <c r="X8" s="6">
        <f>IF(ISERROR(VLOOKUP($U$8,'TAR FIN'!$A$1:$O$85,15,0)),0,VLOOKUP($U$8,'TAR FIN'!$A$1:$O$85,15,0))</f>
        <v>0</v>
      </c>
      <c r="Y8" s="6"/>
      <c r="Z8" s="6">
        <f ca="1">('TUSD BE'!$AM$12+'TUSD BF'!$AM$12+'TUSD CVA'!$AM$12)*1</f>
        <v>100.34646310857573</v>
      </c>
      <c r="AA8" s="6"/>
      <c r="AB8" s="6">
        <f t="shared" si="0"/>
        <v>0</v>
      </c>
      <c r="AC8" s="6">
        <f t="shared" si="1"/>
        <v>0</v>
      </c>
      <c r="AD8" s="6">
        <f t="shared" si="2"/>
        <v>0</v>
      </c>
      <c r="AE8" s="6">
        <f t="shared" ca="1" si="3"/>
        <v>0</v>
      </c>
      <c r="AF8" s="4" t="s">
        <v>807</v>
      </c>
      <c r="AH8" s="72" t="s">
        <v>811</v>
      </c>
      <c r="AI8" s="73">
        <f t="shared" si="4"/>
        <v>163268.78400000001</v>
      </c>
      <c r="AJ8" s="73">
        <f t="shared" ca="1" si="5"/>
        <v>147130.81948720038</v>
      </c>
    </row>
    <row r="9" spans="1:36" ht="11.25" customHeight="1" x14ac:dyDescent="0.25">
      <c r="A9" s="4" t="s">
        <v>21</v>
      </c>
      <c r="B9" s="4" t="s">
        <v>33</v>
      </c>
      <c r="C9" s="4" t="s">
        <v>34</v>
      </c>
      <c r="D9" s="4" t="s">
        <v>40</v>
      </c>
      <c r="E9" s="4" t="s">
        <v>25</v>
      </c>
      <c r="F9" s="4" t="s">
        <v>57</v>
      </c>
      <c r="G9" s="4" t="s">
        <v>25</v>
      </c>
      <c r="H9" s="4" t="s">
        <v>36</v>
      </c>
      <c r="I9" s="5">
        <v>44531</v>
      </c>
      <c r="J9" s="6">
        <v>0</v>
      </c>
      <c r="K9" s="6">
        <v>0</v>
      </c>
      <c r="L9" s="6">
        <v>3218.1550000000002</v>
      </c>
      <c r="M9" s="6">
        <v>3218.1550000000002</v>
      </c>
      <c r="N9" s="6">
        <v>0</v>
      </c>
      <c r="O9" s="6">
        <v>0</v>
      </c>
      <c r="P9" s="6">
        <v>0</v>
      </c>
      <c r="Q9" s="4" t="s">
        <v>58</v>
      </c>
      <c r="R9" s="4">
        <v>0</v>
      </c>
      <c r="S9" s="4">
        <v>0</v>
      </c>
      <c r="T9" s="4">
        <v>8</v>
      </c>
      <c r="U9" s="4">
        <v>0</v>
      </c>
      <c r="V9" s="6">
        <f>IF(ISERROR(VLOOKUP($S$9,'TAR FIN'!$A$1:$O$85,15,0)),0,VLOOKUP($S$9,'TAR FIN'!$A$1:$O$85,15,0))</f>
        <v>0</v>
      </c>
      <c r="W9" s="6">
        <f>IF(ISERROR(VLOOKUP($T$9,'TAR FIN'!$A$1:$O$85,15,0)),0,VLOOKUP($T$9,'TAR FIN'!$A$1:$O$85,15,0))</f>
        <v>65.61</v>
      </c>
      <c r="X9" s="6">
        <f>IF(ISERROR(VLOOKUP($U$9,'TAR FIN'!$A$1:$O$85,15,0)),0,VLOOKUP($U$9,'TAR FIN'!$A$1:$O$85,15,0))</f>
        <v>0</v>
      </c>
      <c r="Y9" s="6"/>
      <c r="Z9" s="6">
        <f ca="1">('TUSD BE'!$AM$12+'TUSD BF'!$AM$12+'TUSD CVA'!$AM$12)*1</f>
        <v>100.34646310857573</v>
      </c>
      <c r="AA9" s="6"/>
      <c r="AB9" s="6">
        <f t="shared" si="0"/>
        <v>0</v>
      </c>
      <c r="AC9" s="6">
        <f t="shared" si="1"/>
        <v>0</v>
      </c>
      <c r="AD9" s="6">
        <f t="shared" si="2"/>
        <v>0</v>
      </c>
      <c r="AE9" s="6">
        <f t="shared" ca="1" si="3"/>
        <v>0</v>
      </c>
      <c r="AF9" s="4" t="s">
        <v>807</v>
      </c>
      <c r="AH9" s="72" t="s">
        <v>816</v>
      </c>
      <c r="AI9" s="73">
        <f t="shared" si="4"/>
        <v>0</v>
      </c>
      <c r="AJ9" s="73">
        <f t="shared" si="5"/>
        <v>0</v>
      </c>
    </row>
    <row r="10" spans="1:36" ht="11.25" customHeight="1" x14ac:dyDescent="0.25">
      <c r="A10" s="4" t="s">
        <v>21</v>
      </c>
      <c r="B10" s="4" t="s">
        <v>33</v>
      </c>
      <c r="C10" s="4" t="s">
        <v>34</v>
      </c>
      <c r="D10" s="4" t="s">
        <v>40</v>
      </c>
      <c r="E10" s="4" t="s">
        <v>25</v>
      </c>
      <c r="F10" s="4" t="s">
        <v>57</v>
      </c>
      <c r="G10" s="4" t="s">
        <v>25</v>
      </c>
      <c r="H10" s="4" t="s">
        <v>36</v>
      </c>
      <c r="I10" s="5">
        <v>44562</v>
      </c>
      <c r="J10" s="6">
        <v>0</v>
      </c>
      <c r="K10" s="6">
        <v>0</v>
      </c>
      <c r="L10" s="6">
        <v>3222.1680000000001</v>
      </c>
      <c r="M10" s="6">
        <v>1611.0840000000001</v>
      </c>
      <c r="N10" s="6">
        <v>0</v>
      </c>
      <c r="O10" s="6">
        <v>0</v>
      </c>
      <c r="P10" s="6">
        <v>0</v>
      </c>
      <c r="Q10" s="4" t="s">
        <v>58</v>
      </c>
      <c r="R10" s="4">
        <v>0</v>
      </c>
      <c r="S10" s="4">
        <v>0</v>
      </c>
      <c r="T10" s="4">
        <v>8</v>
      </c>
      <c r="U10" s="4">
        <v>0</v>
      </c>
      <c r="V10" s="6">
        <f>IF(ISERROR(VLOOKUP($S$10,'TAR FIN'!$A$1:$O$85,15,0)),0,VLOOKUP($S$10,'TAR FIN'!$A$1:$O$85,15,0))</f>
        <v>0</v>
      </c>
      <c r="W10" s="6">
        <f>IF(ISERROR(VLOOKUP($T$10,'TAR FIN'!$A$1:$O$85,15,0)),0,VLOOKUP($T$10,'TAR FIN'!$A$1:$O$85,15,0))</f>
        <v>65.61</v>
      </c>
      <c r="X10" s="6">
        <f>IF(ISERROR(VLOOKUP($U$10,'TAR FIN'!$A$1:$O$85,15,0)),0,VLOOKUP($U$10,'TAR FIN'!$A$1:$O$85,15,0))</f>
        <v>0</v>
      </c>
      <c r="Y10" s="6"/>
      <c r="Z10" s="6">
        <f ca="1">('TUSD BE'!$AM$12+'TUSD BF'!$AM$12+'TUSD CVA'!$AM$12)*1</f>
        <v>100.34646310857573</v>
      </c>
      <c r="AA10" s="6"/>
      <c r="AB10" s="6">
        <f t="shared" si="0"/>
        <v>0</v>
      </c>
      <c r="AC10" s="6">
        <f t="shared" si="1"/>
        <v>105703.22124</v>
      </c>
      <c r="AD10" s="6">
        <f t="shared" si="2"/>
        <v>0</v>
      </c>
      <c r="AE10" s="6">
        <f t="shared" ca="1" si="3"/>
        <v>161666.58117081664</v>
      </c>
      <c r="AF10" s="4" t="s">
        <v>807</v>
      </c>
    </row>
    <row r="11" spans="1:36" ht="11.25" customHeight="1" x14ac:dyDescent="0.25">
      <c r="A11" s="4" t="s">
        <v>21</v>
      </c>
      <c r="B11" s="4" t="s">
        <v>33</v>
      </c>
      <c r="C11" s="4" t="s">
        <v>34</v>
      </c>
      <c r="D11" s="4" t="s">
        <v>40</v>
      </c>
      <c r="E11" s="4" t="s">
        <v>25</v>
      </c>
      <c r="F11" s="4" t="s">
        <v>57</v>
      </c>
      <c r="G11" s="4" t="s">
        <v>25</v>
      </c>
      <c r="H11" s="4" t="s">
        <v>36</v>
      </c>
      <c r="I11" s="5">
        <v>44593</v>
      </c>
      <c r="J11" s="6">
        <v>0</v>
      </c>
      <c r="K11" s="6">
        <v>0</v>
      </c>
      <c r="L11" s="6">
        <v>3045.0740000000001</v>
      </c>
      <c r="M11" s="6">
        <v>3045.0740000000001</v>
      </c>
      <c r="N11" s="6">
        <v>0</v>
      </c>
      <c r="O11" s="6">
        <v>0</v>
      </c>
      <c r="P11" s="6">
        <v>0</v>
      </c>
      <c r="Q11" s="4" t="s">
        <v>58</v>
      </c>
      <c r="R11" s="4">
        <v>0</v>
      </c>
      <c r="S11" s="4">
        <v>0</v>
      </c>
      <c r="T11" s="4">
        <v>8</v>
      </c>
      <c r="U11" s="4">
        <v>0</v>
      </c>
      <c r="V11" s="6">
        <f>IF(ISERROR(VLOOKUP($S$11,'TAR FIN'!$A$1:$O$85,15,0)),0,VLOOKUP($S$11,'TAR FIN'!$A$1:$O$85,15,0))</f>
        <v>0</v>
      </c>
      <c r="W11" s="6">
        <f>IF(ISERROR(VLOOKUP($T$11,'TAR FIN'!$A$1:$O$85,15,0)),0,VLOOKUP($T$11,'TAR FIN'!$A$1:$O$85,15,0))</f>
        <v>65.61</v>
      </c>
      <c r="X11" s="6">
        <f>IF(ISERROR(VLOOKUP($U$11,'TAR FIN'!$A$1:$O$85,15,0)),0,VLOOKUP($U$11,'TAR FIN'!$A$1:$O$85,15,0))</f>
        <v>0</v>
      </c>
      <c r="Y11" s="6"/>
      <c r="Z11" s="6">
        <f ca="1">('TUSD BE'!$AM$12+'TUSD BF'!$AM$12+'TUSD CVA'!$AM$12)*1</f>
        <v>100.34646310857573</v>
      </c>
      <c r="AA11" s="6"/>
      <c r="AB11" s="6">
        <f t="shared" si="0"/>
        <v>0</v>
      </c>
      <c r="AC11" s="6">
        <f t="shared" si="1"/>
        <v>0</v>
      </c>
      <c r="AD11" s="6">
        <f t="shared" si="2"/>
        <v>0</v>
      </c>
      <c r="AE11" s="6">
        <f t="shared" ca="1" si="3"/>
        <v>0</v>
      </c>
      <c r="AF11" s="4" t="s">
        <v>807</v>
      </c>
    </row>
    <row r="12" spans="1:36" ht="11.25" customHeight="1" x14ac:dyDescent="0.25">
      <c r="A12" s="4" t="s">
        <v>21</v>
      </c>
      <c r="B12" s="4" t="s">
        <v>33</v>
      </c>
      <c r="C12" s="4" t="s">
        <v>34</v>
      </c>
      <c r="D12" s="4" t="s">
        <v>40</v>
      </c>
      <c r="E12" s="4" t="s">
        <v>25</v>
      </c>
      <c r="F12" s="4" t="s">
        <v>57</v>
      </c>
      <c r="G12" s="4" t="s">
        <v>25</v>
      </c>
      <c r="H12" s="4" t="s">
        <v>36</v>
      </c>
      <c r="I12" s="5">
        <v>44621</v>
      </c>
      <c r="J12" s="6">
        <v>0</v>
      </c>
      <c r="K12" s="6">
        <v>0</v>
      </c>
      <c r="L12" s="6">
        <v>3725.3910000000001</v>
      </c>
      <c r="M12" s="6">
        <v>3725.3910000000001</v>
      </c>
      <c r="N12" s="6">
        <v>0</v>
      </c>
      <c r="O12" s="6">
        <v>0</v>
      </c>
      <c r="P12" s="6">
        <v>0</v>
      </c>
      <c r="Q12" s="4" t="s">
        <v>58</v>
      </c>
      <c r="R12" s="4">
        <v>0</v>
      </c>
      <c r="S12" s="4">
        <v>0</v>
      </c>
      <c r="T12" s="4">
        <v>8</v>
      </c>
      <c r="U12" s="4">
        <v>0</v>
      </c>
      <c r="V12" s="6">
        <f>IF(ISERROR(VLOOKUP($S$12,'TAR FIN'!$A$1:$O$85,15,0)),0,VLOOKUP($S$12,'TAR FIN'!$A$1:$O$85,15,0))</f>
        <v>0</v>
      </c>
      <c r="W12" s="6">
        <f>IF(ISERROR(VLOOKUP($T$12,'TAR FIN'!$A$1:$O$85,15,0)),0,VLOOKUP($T$12,'TAR FIN'!$A$1:$O$85,15,0))</f>
        <v>65.61</v>
      </c>
      <c r="X12" s="6">
        <f>IF(ISERROR(VLOOKUP($U$12,'TAR FIN'!$A$1:$O$85,15,0)),0,VLOOKUP($U$12,'TAR FIN'!$A$1:$O$85,15,0))</f>
        <v>0</v>
      </c>
      <c r="Y12" s="6"/>
      <c r="Z12" s="6">
        <f ca="1">('TUSD BE'!$AM$12+'TUSD BF'!$AM$12+'TUSD CVA'!$AM$12)*1</f>
        <v>100.34646310857573</v>
      </c>
      <c r="AA12" s="6"/>
      <c r="AB12" s="6">
        <f t="shared" si="0"/>
        <v>0</v>
      </c>
      <c r="AC12" s="6">
        <f t="shared" si="1"/>
        <v>0</v>
      </c>
      <c r="AD12" s="6">
        <f t="shared" si="2"/>
        <v>0</v>
      </c>
      <c r="AE12" s="6">
        <f t="shared" ca="1" si="3"/>
        <v>0</v>
      </c>
      <c r="AF12" s="4" t="s">
        <v>807</v>
      </c>
    </row>
    <row r="13" spans="1:36" ht="11.25" customHeight="1" x14ac:dyDescent="0.25">
      <c r="A13" s="4" t="s">
        <v>59</v>
      </c>
      <c r="B13" s="4" t="s">
        <v>33</v>
      </c>
      <c r="C13" s="4" t="s">
        <v>34</v>
      </c>
      <c r="D13" s="4" t="s">
        <v>40</v>
      </c>
      <c r="E13" s="4" t="s">
        <v>25</v>
      </c>
      <c r="F13" s="4" t="s">
        <v>57</v>
      </c>
      <c r="G13" s="4" t="s">
        <v>25</v>
      </c>
      <c r="H13" s="4" t="s">
        <v>36</v>
      </c>
      <c r="I13" s="5">
        <v>44652</v>
      </c>
      <c r="J13" s="6">
        <v>0</v>
      </c>
      <c r="K13" s="6">
        <v>0</v>
      </c>
      <c r="L13" s="6">
        <v>3725.3910000000001</v>
      </c>
      <c r="M13" s="6">
        <v>3725.3910000000001</v>
      </c>
      <c r="N13" s="6">
        <v>0</v>
      </c>
      <c r="O13" s="6">
        <v>0</v>
      </c>
      <c r="P13" s="6">
        <v>0</v>
      </c>
      <c r="Q13" s="4" t="s">
        <v>58</v>
      </c>
      <c r="R13" s="4">
        <v>0</v>
      </c>
      <c r="S13" s="4">
        <v>0</v>
      </c>
      <c r="T13" s="4">
        <v>8</v>
      </c>
      <c r="U13" s="4">
        <v>0</v>
      </c>
      <c r="V13" s="6">
        <f>IF(ISERROR(VLOOKUP($S$13,'TAR FIN'!$A$1:$O$85,15,0)),0,VLOOKUP($S$13,'TAR FIN'!$A$1:$O$85,15,0))</f>
        <v>0</v>
      </c>
      <c r="W13" s="6">
        <f>IF(ISERROR(VLOOKUP($T$13,'TAR FIN'!$A$1:$O$85,15,0)),0,VLOOKUP($T$13,'TAR FIN'!$A$1:$O$85,15,0))</f>
        <v>65.61</v>
      </c>
      <c r="X13" s="6">
        <f>IF(ISERROR(VLOOKUP($U$13,'TAR FIN'!$A$1:$O$85,15,0)),0,VLOOKUP($U$13,'TAR FIN'!$A$1:$O$85,15,0))</f>
        <v>0</v>
      </c>
      <c r="Y13" s="6"/>
      <c r="Z13" s="6">
        <f ca="1">('TUSD BE'!$AM$12+'TUSD BF'!$AM$12+'TUSD CVA'!$AM$12)*1</f>
        <v>100.34646310857573</v>
      </c>
      <c r="AA13" s="6"/>
      <c r="AB13" s="6">
        <f t="shared" si="0"/>
        <v>0</v>
      </c>
      <c r="AC13" s="6">
        <f t="shared" si="1"/>
        <v>0</v>
      </c>
      <c r="AD13" s="6">
        <f t="shared" si="2"/>
        <v>0</v>
      </c>
      <c r="AE13" s="6">
        <f t="shared" ca="1" si="3"/>
        <v>0</v>
      </c>
      <c r="AF13" s="4" t="s">
        <v>807</v>
      </c>
    </row>
    <row r="14" spans="1:36" ht="11.25" customHeight="1" x14ac:dyDescent="0.25">
      <c r="A14" s="4" t="s">
        <v>21</v>
      </c>
      <c r="B14" s="4" t="s">
        <v>33</v>
      </c>
      <c r="C14" s="4" t="s">
        <v>34</v>
      </c>
      <c r="D14" s="4" t="s">
        <v>40</v>
      </c>
      <c r="E14" s="4" t="s">
        <v>25</v>
      </c>
      <c r="F14" s="4" t="s">
        <v>57</v>
      </c>
      <c r="G14" s="4" t="s">
        <v>25</v>
      </c>
      <c r="H14" s="4" t="s">
        <v>25</v>
      </c>
      <c r="I14" s="5">
        <v>44317</v>
      </c>
      <c r="J14" s="6">
        <v>7450</v>
      </c>
      <c r="K14" s="6">
        <v>3725</v>
      </c>
      <c r="L14" s="6">
        <v>0</v>
      </c>
      <c r="M14" s="6">
        <v>0</v>
      </c>
      <c r="N14" s="6">
        <v>0</v>
      </c>
      <c r="O14" s="6">
        <v>0</v>
      </c>
      <c r="P14" s="6">
        <v>3</v>
      </c>
      <c r="Q14" s="4" t="s">
        <v>58</v>
      </c>
      <c r="R14" s="4">
        <v>0</v>
      </c>
      <c r="S14" s="4">
        <v>6</v>
      </c>
      <c r="T14" s="4">
        <v>0</v>
      </c>
      <c r="U14" s="4">
        <v>0</v>
      </c>
      <c r="V14" s="6">
        <f>IF(ISERROR(VLOOKUP($S$14,'TAR FIN'!$A$1:$O$85,15,0)),0,VLOOKUP($S$14,'TAR FIN'!$A$1:$O$85,15,0))</f>
        <v>19.32</v>
      </c>
      <c r="W14" s="6">
        <f>IF(ISERROR(VLOOKUP($T$14,'TAR FIN'!$A$1:$O$85,15,0)),0,VLOOKUP($T$14,'TAR FIN'!$A$1:$O$85,15,0))</f>
        <v>0</v>
      </c>
      <c r="X14" s="6">
        <f>IF(ISERROR(VLOOKUP($U$14,'TAR FIN'!$A$1:$O$85,15,0)),0,VLOOKUP($U$14,'TAR FIN'!$A$1:$O$85,15,0))</f>
        <v>0</v>
      </c>
      <c r="Y14" s="6">
        <f ca="1">('TUSD BE'!$AM$10+'TUSD BF'!$AM$10+'TUSD CVA'!$AM$10)*1</f>
        <v>16.680041929169654</v>
      </c>
      <c r="Z14" s="6"/>
      <c r="AA14" s="6"/>
      <c r="AB14" s="6">
        <f t="shared" si="0"/>
        <v>71967</v>
      </c>
      <c r="AC14" s="6">
        <f t="shared" si="1"/>
        <v>0</v>
      </c>
      <c r="AD14" s="6">
        <f t="shared" ca="1" si="2"/>
        <v>62133.156186156964</v>
      </c>
      <c r="AE14" s="6">
        <f t="shared" si="3"/>
        <v>0</v>
      </c>
      <c r="AF14" s="4" t="s">
        <v>807</v>
      </c>
    </row>
    <row r="15" spans="1:36" ht="11.25" customHeight="1" x14ac:dyDescent="0.25">
      <c r="A15" s="4" t="s">
        <v>21</v>
      </c>
      <c r="B15" s="4" t="s">
        <v>33</v>
      </c>
      <c r="C15" s="4" t="s">
        <v>34</v>
      </c>
      <c r="D15" s="4" t="s">
        <v>40</v>
      </c>
      <c r="E15" s="4" t="s">
        <v>25</v>
      </c>
      <c r="F15" s="4" t="s">
        <v>57</v>
      </c>
      <c r="G15" s="4" t="s">
        <v>25</v>
      </c>
      <c r="H15" s="4" t="s">
        <v>25</v>
      </c>
      <c r="I15" s="5">
        <v>44348</v>
      </c>
      <c r="J15" s="6">
        <v>8580</v>
      </c>
      <c r="K15" s="6">
        <v>4290</v>
      </c>
      <c r="L15" s="6">
        <v>0</v>
      </c>
      <c r="M15" s="6">
        <v>0</v>
      </c>
      <c r="N15" s="6">
        <v>0</v>
      </c>
      <c r="O15" s="6">
        <v>0</v>
      </c>
      <c r="P15" s="6">
        <v>4</v>
      </c>
      <c r="Q15" s="4" t="s">
        <v>58</v>
      </c>
      <c r="R15" s="4">
        <v>0</v>
      </c>
      <c r="S15" s="4">
        <v>6</v>
      </c>
      <c r="T15" s="4">
        <v>0</v>
      </c>
      <c r="U15" s="4">
        <v>0</v>
      </c>
      <c r="V15" s="6">
        <f>IF(ISERROR(VLOOKUP($S$15,'TAR FIN'!$A$1:$O$85,15,0)),0,VLOOKUP($S$15,'TAR FIN'!$A$1:$O$85,15,0))</f>
        <v>19.32</v>
      </c>
      <c r="W15" s="6">
        <f>IF(ISERROR(VLOOKUP($T$15,'TAR FIN'!$A$1:$O$85,15,0)),0,VLOOKUP($T$15,'TAR FIN'!$A$1:$O$85,15,0))</f>
        <v>0</v>
      </c>
      <c r="X15" s="6">
        <f>IF(ISERROR(VLOOKUP($U$15,'TAR FIN'!$A$1:$O$85,15,0)),0,VLOOKUP($U$15,'TAR FIN'!$A$1:$O$85,15,0))</f>
        <v>0</v>
      </c>
      <c r="Y15" s="6">
        <f ca="1">('TUSD BE'!$AM$10+'TUSD BF'!$AM$10+'TUSD CVA'!$AM$10)*1</f>
        <v>16.680041929169654</v>
      </c>
      <c r="Z15" s="6"/>
      <c r="AA15" s="6"/>
      <c r="AB15" s="6">
        <f t="shared" si="0"/>
        <v>82882.8</v>
      </c>
      <c r="AC15" s="6">
        <f t="shared" si="1"/>
        <v>0</v>
      </c>
      <c r="AD15" s="6">
        <f t="shared" ca="1" si="2"/>
        <v>71557.379876137813</v>
      </c>
      <c r="AE15" s="6">
        <f t="shared" si="3"/>
        <v>0</v>
      </c>
      <c r="AF15" s="4" t="s">
        <v>807</v>
      </c>
    </row>
    <row r="16" spans="1:36" ht="11.25" customHeight="1" x14ac:dyDescent="0.25">
      <c r="A16" s="4" t="s">
        <v>21</v>
      </c>
      <c r="B16" s="4" t="s">
        <v>33</v>
      </c>
      <c r="C16" s="4" t="s">
        <v>34</v>
      </c>
      <c r="D16" s="4" t="s">
        <v>40</v>
      </c>
      <c r="E16" s="4" t="s">
        <v>25</v>
      </c>
      <c r="F16" s="4" t="s">
        <v>57</v>
      </c>
      <c r="G16" s="4" t="s">
        <v>25</v>
      </c>
      <c r="H16" s="4" t="s">
        <v>25</v>
      </c>
      <c r="I16" s="5">
        <v>44378</v>
      </c>
      <c r="J16" s="6">
        <v>9550</v>
      </c>
      <c r="K16" s="6">
        <v>4775</v>
      </c>
      <c r="L16" s="6">
        <v>0</v>
      </c>
      <c r="M16" s="6">
        <v>0</v>
      </c>
      <c r="N16" s="6">
        <v>0</v>
      </c>
      <c r="O16" s="6">
        <v>0</v>
      </c>
      <c r="P16" s="6">
        <v>5</v>
      </c>
      <c r="Q16" s="4" t="s">
        <v>58</v>
      </c>
      <c r="R16" s="4">
        <v>0</v>
      </c>
      <c r="S16" s="4">
        <v>6</v>
      </c>
      <c r="T16" s="4">
        <v>0</v>
      </c>
      <c r="U16" s="4">
        <v>0</v>
      </c>
      <c r="V16" s="6">
        <f>IF(ISERROR(VLOOKUP($S$16,'TAR FIN'!$A$1:$O$85,15,0)),0,VLOOKUP($S$16,'TAR FIN'!$A$1:$O$85,15,0))</f>
        <v>19.32</v>
      </c>
      <c r="W16" s="6">
        <f>IF(ISERROR(VLOOKUP($T$16,'TAR FIN'!$A$1:$O$85,15,0)),0,VLOOKUP($T$16,'TAR FIN'!$A$1:$O$85,15,0))</f>
        <v>0</v>
      </c>
      <c r="X16" s="6">
        <f>IF(ISERROR(VLOOKUP($U$16,'TAR FIN'!$A$1:$O$85,15,0)),0,VLOOKUP($U$16,'TAR FIN'!$A$1:$O$85,15,0))</f>
        <v>0</v>
      </c>
      <c r="Y16" s="6">
        <f ca="1">('TUSD BE'!$AM$10+'TUSD BF'!$AM$10+'TUSD CVA'!$AM$10)*1</f>
        <v>16.680041929169654</v>
      </c>
      <c r="Z16" s="6"/>
      <c r="AA16" s="6"/>
      <c r="AB16" s="6">
        <f t="shared" si="0"/>
        <v>92253</v>
      </c>
      <c r="AC16" s="6">
        <f t="shared" si="1"/>
        <v>0</v>
      </c>
      <c r="AD16" s="6">
        <f t="shared" ca="1" si="2"/>
        <v>79647.200211785093</v>
      </c>
      <c r="AE16" s="6">
        <f t="shared" si="3"/>
        <v>0</v>
      </c>
      <c r="AF16" s="4" t="s">
        <v>807</v>
      </c>
    </row>
    <row r="17" spans="1:32" ht="11.25" customHeight="1" x14ac:dyDescent="0.25">
      <c r="A17" s="4" t="s">
        <v>21</v>
      </c>
      <c r="B17" s="4" t="s">
        <v>33</v>
      </c>
      <c r="C17" s="4" t="s">
        <v>34</v>
      </c>
      <c r="D17" s="4" t="s">
        <v>40</v>
      </c>
      <c r="E17" s="4" t="s">
        <v>25</v>
      </c>
      <c r="F17" s="4" t="s">
        <v>57</v>
      </c>
      <c r="G17" s="4" t="s">
        <v>25</v>
      </c>
      <c r="H17" s="4" t="s">
        <v>25</v>
      </c>
      <c r="I17" s="5">
        <v>44409</v>
      </c>
      <c r="J17" s="6">
        <v>9550</v>
      </c>
      <c r="K17" s="6">
        <v>4775</v>
      </c>
      <c r="L17" s="6">
        <v>0</v>
      </c>
      <c r="M17" s="6">
        <v>0</v>
      </c>
      <c r="N17" s="6">
        <v>0</v>
      </c>
      <c r="O17" s="6">
        <v>0</v>
      </c>
      <c r="P17" s="6">
        <v>5</v>
      </c>
      <c r="Q17" s="4" t="s">
        <v>58</v>
      </c>
      <c r="R17" s="4">
        <v>0</v>
      </c>
      <c r="S17" s="4">
        <v>6</v>
      </c>
      <c r="T17" s="4">
        <v>0</v>
      </c>
      <c r="U17" s="4">
        <v>0</v>
      </c>
      <c r="V17" s="6">
        <f>IF(ISERROR(VLOOKUP($S$17,'TAR FIN'!$A$1:$O$85,15,0)),0,VLOOKUP($S$17,'TAR FIN'!$A$1:$O$85,15,0))</f>
        <v>19.32</v>
      </c>
      <c r="W17" s="6">
        <f>IF(ISERROR(VLOOKUP($T$17,'TAR FIN'!$A$1:$O$85,15,0)),0,VLOOKUP($T$17,'TAR FIN'!$A$1:$O$85,15,0))</f>
        <v>0</v>
      </c>
      <c r="X17" s="6">
        <f>IF(ISERROR(VLOOKUP($U$17,'TAR FIN'!$A$1:$O$85,15,0)),0,VLOOKUP($U$17,'TAR FIN'!$A$1:$O$85,15,0))</f>
        <v>0</v>
      </c>
      <c r="Y17" s="6">
        <f ca="1">('TUSD BE'!$AM$10+'TUSD BF'!$AM$10+'TUSD CVA'!$AM$10)*1</f>
        <v>16.680041929169654</v>
      </c>
      <c r="Z17" s="6"/>
      <c r="AA17" s="6"/>
      <c r="AB17" s="6">
        <f t="shared" si="0"/>
        <v>92253</v>
      </c>
      <c r="AC17" s="6">
        <f t="shared" si="1"/>
        <v>0</v>
      </c>
      <c r="AD17" s="6">
        <f t="shared" ca="1" si="2"/>
        <v>79647.200211785093</v>
      </c>
      <c r="AE17" s="6">
        <f t="shared" si="3"/>
        <v>0</v>
      </c>
      <c r="AF17" s="4" t="s">
        <v>807</v>
      </c>
    </row>
    <row r="18" spans="1:32" ht="11.25" customHeight="1" x14ac:dyDescent="0.25">
      <c r="A18" s="4" t="s">
        <v>21</v>
      </c>
      <c r="B18" s="4" t="s">
        <v>33</v>
      </c>
      <c r="C18" s="4" t="s">
        <v>34</v>
      </c>
      <c r="D18" s="4" t="s">
        <v>40</v>
      </c>
      <c r="E18" s="4" t="s">
        <v>25</v>
      </c>
      <c r="F18" s="4" t="s">
        <v>57</v>
      </c>
      <c r="G18" s="4" t="s">
        <v>25</v>
      </c>
      <c r="H18" s="4" t="s">
        <v>25</v>
      </c>
      <c r="I18" s="5">
        <v>44440</v>
      </c>
      <c r="J18" s="6">
        <v>9733</v>
      </c>
      <c r="K18" s="6">
        <v>4866.5</v>
      </c>
      <c r="L18" s="6">
        <v>0</v>
      </c>
      <c r="M18" s="6">
        <v>0</v>
      </c>
      <c r="N18" s="6">
        <v>0</v>
      </c>
      <c r="O18" s="6">
        <v>0</v>
      </c>
      <c r="P18" s="6">
        <v>5</v>
      </c>
      <c r="Q18" s="4" t="s">
        <v>58</v>
      </c>
      <c r="R18" s="4">
        <v>0</v>
      </c>
      <c r="S18" s="4">
        <v>6</v>
      </c>
      <c r="T18" s="4">
        <v>0</v>
      </c>
      <c r="U18" s="4">
        <v>0</v>
      </c>
      <c r="V18" s="6">
        <f>IF(ISERROR(VLOOKUP($S$18,'TAR FIN'!$A$1:$O$85,15,0)),0,VLOOKUP($S$18,'TAR FIN'!$A$1:$O$85,15,0))</f>
        <v>19.32</v>
      </c>
      <c r="W18" s="6">
        <f>IF(ISERROR(VLOOKUP($T$18,'TAR FIN'!$A$1:$O$85,15,0)),0,VLOOKUP($T$18,'TAR FIN'!$A$1:$O$85,15,0))</f>
        <v>0</v>
      </c>
      <c r="X18" s="6">
        <f>IF(ISERROR(VLOOKUP($U$18,'TAR FIN'!$A$1:$O$85,15,0)),0,VLOOKUP($U$18,'TAR FIN'!$A$1:$O$85,15,0))</f>
        <v>0</v>
      </c>
      <c r="Y18" s="6">
        <f ca="1">('TUSD BE'!$AM$10+'TUSD BF'!$AM$10+'TUSD CVA'!$AM$10)*1</f>
        <v>16.680041929169654</v>
      </c>
      <c r="Z18" s="6"/>
      <c r="AA18" s="6"/>
      <c r="AB18" s="6">
        <f t="shared" si="0"/>
        <v>94020.78</v>
      </c>
      <c r="AC18" s="6">
        <f t="shared" si="1"/>
        <v>0</v>
      </c>
      <c r="AD18" s="6">
        <f t="shared" ca="1" si="2"/>
        <v>81173.424048304121</v>
      </c>
      <c r="AE18" s="6">
        <f t="shared" si="3"/>
        <v>0</v>
      </c>
      <c r="AF18" s="4" t="s">
        <v>807</v>
      </c>
    </row>
    <row r="19" spans="1:32" ht="11.25" customHeight="1" x14ac:dyDescent="0.25">
      <c r="A19" s="4" t="s">
        <v>21</v>
      </c>
      <c r="B19" s="4" t="s">
        <v>33</v>
      </c>
      <c r="C19" s="4" t="s">
        <v>34</v>
      </c>
      <c r="D19" s="4" t="s">
        <v>40</v>
      </c>
      <c r="E19" s="4" t="s">
        <v>25</v>
      </c>
      <c r="F19" s="4" t="s">
        <v>57</v>
      </c>
      <c r="G19" s="4" t="s">
        <v>25</v>
      </c>
      <c r="H19" s="4" t="s">
        <v>25</v>
      </c>
      <c r="I19" s="5">
        <v>44470</v>
      </c>
      <c r="J19" s="6">
        <v>9787</v>
      </c>
      <c r="K19" s="6">
        <v>4893.5</v>
      </c>
      <c r="L19" s="6">
        <v>0</v>
      </c>
      <c r="M19" s="6">
        <v>0</v>
      </c>
      <c r="N19" s="6">
        <v>0</v>
      </c>
      <c r="O19" s="6">
        <v>0</v>
      </c>
      <c r="P19" s="6">
        <v>5</v>
      </c>
      <c r="Q19" s="4" t="s">
        <v>58</v>
      </c>
      <c r="R19" s="4">
        <v>0</v>
      </c>
      <c r="S19" s="4">
        <v>6</v>
      </c>
      <c r="T19" s="4">
        <v>0</v>
      </c>
      <c r="U19" s="4">
        <v>0</v>
      </c>
      <c r="V19" s="6">
        <f>IF(ISERROR(VLOOKUP($S$19,'TAR FIN'!$A$1:$O$85,15,0)),0,VLOOKUP($S$19,'TAR FIN'!$A$1:$O$85,15,0))</f>
        <v>19.32</v>
      </c>
      <c r="W19" s="6">
        <f>IF(ISERROR(VLOOKUP($T$19,'TAR FIN'!$A$1:$O$85,15,0)),0,VLOOKUP($T$19,'TAR FIN'!$A$1:$O$85,15,0))</f>
        <v>0</v>
      </c>
      <c r="X19" s="6">
        <f>IF(ISERROR(VLOOKUP($U$19,'TAR FIN'!$A$1:$O$85,15,0)),0,VLOOKUP($U$19,'TAR FIN'!$A$1:$O$85,15,0))</f>
        <v>0</v>
      </c>
      <c r="Y19" s="6">
        <f ca="1">('TUSD BE'!$AM$10+'TUSD BF'!$AM$10+'TUSD CVA'!$AM$10)*1</f>
        <v>16.680041929169654</v>
      </c>
      <c r="Z19" s="6"/>
      <c r="AA19" s="6"/>
      <c r="AB19" s="6">
        <f t="shared" si="0"/>
        <v>94542.42</v>
      </c>
      <c r="AC19" s="6">
        <f t="shared" si="1"/>
        <v>0</v>
      </c>
      <c r="AD19" s="6">
        <f t="shared" ca="1" si="2"/>
        <v>81623.7851803917</v>
      </c>
      <c r="AE19" s="6">
        <f t="shared" si="3"/>
        <v>0</v>
      </c>
      <c r="AF19" s="4" t="s">
        <v>807</v>
      </c>
    </row>
    <row r="20" spans="1:32" ht="11.25" customHeight="1" x14ac:dyDescent="0.25">
      <c r="A20" s="4" t="s">
        <v>21</v>
      </c>
      <c r="B20" s="4" t="s">
        <v>33</v>
      </c>
      <c r="C20" s="4" t="s">
        <v>34</v>
      </c>
      <c r="D20" s="4" t="s">
        <v>40</v>
      </c>
      <c r="E20" s="4" t="s">
        <v>25</v>
      </c>
      <c r="F20" s="4" t="s">
        <v>57</v>
      </c>
      <c r="G20" s="4" t="s">
        <v>25</v>
      </c>
      <c r="H20" s="4" t="s">
        <v>25</v>
      </c>
      <c r="I20" s="5">
        <v>44501</v>
      </c>
      <c r="J20" s="6">
        <v>10337</v>
      </c>
      <c r="K20" s="6">
        <v>5168.5</v>
      </c>
      <c r="L20" s="6">
        <v>0</v>
      </c>
      <c r="M20" s="6">
        <v>0</v>
      </c>
      <c r="N20" s="6">
        <v>0</v>
      </c>
      <c r="O20" s="6">
        <v>0</v>
      </c>
      <c r="P20" s="6">
        <v>6</v>
      </c>
      <c r="Q20" s="4" t="s">
        <v>58</v>
      </c>
      <c r="R20" s="4">
        <v>0</v>
      </c>
      <c r="S20" s="4">
        <v>6</v>
      </c>
      <c r="T20" s="4">
        <v>0</v>
      </c>
      <c r="U20" s="4">
        <v>0</v>
      </c>
      <c r="V20" s="6">
        <f>IF(ISERROR(VLOOKUP($S$20,'TAR FIN'!$A$1:$O$85,15,0)),0,VLOOKUP($S$20,'TAR FIN'!$A$1:$O$85,15,0))</f>
        <v>19.32</v>
      </c>
      <c r="W20" s="6">
        <f>IF(ISERROR(VLOOKUP($T$20,'TAR FIN'!$A$1:$O$85,15,0)),0,VLOOKUP($T$20,'TAR FIN'!$A$1:$O$85,15,0))</f>
        <v>0</v>
      </c>
      <c r="X20" s="6">
        <f>IF(ISERROR(VLOOKUP($U$20,'TAR FIN'!$A$1:$O$85,15,0)),0,VLOOKUP($U$20,'TAR FIN'!$A$1:$O$85,15,0))</f>
        <v>0</v>
      </c>
      <c r="Y20" s="6">
        <f ca="1">('TUSD BE'!$AM$10+'TUSD BF'!$AM$10+'TUSD CVA'!$AM$10)*1</f>
        <v>16.680041929169654</v>
      </c>
      <c r="Z20" s="6"/>
      <c r="AA20" s="6"/>
      <c r="AB20" s="6">
        <f t="shared" si="0"/>
        <v>99855.42</v>
      </c>
      <c r="AC20" s="6">
        <f t="shared" si="1"/>
        <v>0</v>
      </c>
      <c r="AD20" s="6">
        <f t="shared" ca="1" si="2"/>
        <v>86210.796710913361</v>
      </c>
      <c r="AE20" s="6">
        <f t="shared" si="3"/>
        <v>0</v>
      </c>
      <c r="AF20" s="4" t="s">
        <v>807</v>
      </c>
    </row>
    <row r="21" spans="1:32" ht="11.25" customHeight="1" x14ac:dyDescent="0.25">
      <c r="A21" s="4" t="s">
        <v>21</v>
      </c>
      <c r="B21" s="4" t="s">
        <v>33</v>
      </c>
      <c r="C21" s="4" t="s">
        <v>34</v>
      </c>
      <c r="D21" s="4" t="s">
        <v>40</v>
      </c>
      <c r="E21" s="4" t="s">
        <v>25</v>
      </c>
      <c r="F21" s="4" t="s">
        <v>57</v>
      </c>
      <c r="G21" s="4" t="s">
        <v>25</v>
      </c>
      <c r="H21" s="4" t="s">
        <v>25</v>
      </c>
      <c r="I21" s="5">
        <v>44531</v>
      </c>
      <c r="J21" s="6">
        <v>10370</v>
      </c>
      <c r="K21" s="6">
        <v>5185</v>
      </c>
      <c r="L21" s="6">
        <v>0</v>
      </c>
      <c r="M21" s="6">
        <v>0</v>
      </c>
      <c r="N21" s="6">
        <v>0</v>
      </c>
      <c r="O21" s="6">
        <v>0</v>
      </c>
      <c r="P21" s="6">
        <v>6</v>
      </c>
      <c r="Q21" s="4" t="s">
        <v>58</v>
      </c>
      <c r="R21" s="4">
        <v>0</v>
      </c>
      <c r="S21" s="4">
        <v>6</v>
      </c>
      <c r="T21" s="4">
        <v>0</v>
      </c>
      <c r="U21" s="4">
        <v>0</v>
      </c>
      <c r="V21" s="6">
        <f>IF(ISERROR(VLOOKUP($S$21,'TAR FIN'!$A$1:$O$85,15,0)),0,VLOOKUP($S$21,'TAR FIN'!$A$1:$O$85,15,0))</f>
        <v>19.32</v>
      </c>
      <c r="W21" s="6">
        <f>IF(ISERROR(VLOOKUP($T$21,'TAR FIN'!$A$1:$O$85,15,0)),0,VLOOKUP($T$21,'TAR FIN'!$A$1:$O$85,15,0))</f>
        <v>0</v>
      </c>
      <c r="X21" s="6">
        <f>IF(ISERROR(VLOOKUP($U$21,'TAR FIN'!$A$1:$O$85,15,0)),0,VLOOKUP($U$21,'TAR FIN'!$A$1:$O$85,15,0))</f>
        <v>0</v>
      </c>
      <c r="Y21" s="6">
        <f ca="1">('TUSD BE'!$AM$10+'TUSD BF'!$AM$10+'TUSD CVA'!$AM$10)*1</f>
        <v>16.680041929169654</v>
      </c>
      <c r="Z21" s="6"/>
      <c r="AA21" s="6"/>
      <c r="AB21" s="6">
        <f t="shared" si="0"/>
        <v>100174.2</v>
      </c>
      <c r="AC21" s="6">
        <f t="shared" si="1"/>
        <v>0</v>
      </c>
      <c r="AD21" s="6">
        <f t="shared" ca="1" si="2"/>
        <v>86486.017402744663</v>
      </c>
      <c r="AE21" s="6">
        <f t="shared" si="3"/>
        <v>0</v>
      </c>
      <c r="AF21" s="4" t="s">
        <v>807</v>
      </c>
    </row>
    <row r="22" spans="1:32" ht="11.25" customHeight="1" x14ac:dyDescent="0.25">
      <c r="A22" s="4" t="s">
        <v>21</v>
      </c>
      <c r="B22" s="4" t="s">
        <v>33</v>
      </c>
      <c r="C22" s="4" t="s">
        <v>34</v>
      </c>
      <c r="D22" s="4" t="s">
        <v>40</v>
      </c>
      <c r="E22" s="4" t="s">
        <v>25</v>
      </c>
      <c r="F22" s="4" t="s">
        <v>57</v>
      </c>
      <c r="G22" s="4" t="s">
        <v>25</v>
      </c>
      <c r="H22" s="4" t="s">
        <v>25</v>
      </c>
      <c r="I22" s="5">
        <v>44562</v>
      </c>
      <c r="J22" s="6">
        <v>10222</v>
      </c>
      <c r="K22" s="6">
        <v>5111</v>
      </c>
      <c r="L22" s="6">
        <v>0</v>
      </c>
      <c r="M22" s="6">
        <v>0</v>
      </c>
      <c r="N22" s="6">
        <v>0</v>
      </c>
      <c r="O22" s="6">
        <v>0</v>
      </c>
      <c r="P22" s="6">
        <v>6</v>
      </c>
      <c r="Q22" s="4" t="s">
        <v>58</v>
      </c>
      <c r="R22" s="4">
        <v>0</v>
      </c>
      <c r="S22" s="4">
        <v>6</v>
      </c>
      <c r="T22" s="4">
        <v>0</v>
      </c>
      <c r="U22" s="4">
        <v>0</v>
      </c>
      <c r="V22" s="6">
        <f>IF(ISERROR(VLOOKUP($S$22,'TAR FIN'!$A$1:$O$85,15,0)),0,VLOOKUP($S$22,'TAR FIN'!$A$1:$O$85,15,0))</f>
        <v>19.32</v>
      </c>
      <c r="W22" s="6">
        <f>IF(ISERROR(VLOOKUP($T$22,'TAR FIN'!$A$1:$O$85,15,0)),0,VLOOKUP($T$22,'TAR FIN'!$A$1:$O$85,15,0))</f>
        <v>0</v>
      </c>
      <c r="X22" s="6">
        <f>IF(ISERROR(VLOOKUP($U$22,'TAR FIN'!$A$1:$O$85,15,0)),0,VLOOKUP($U$22,'TAR FIN'!$A$1:$O$85,15,0))</f>
        <v>0</v>
      </c>
      <c r="Y22" s="6">
        <f ca="1">('TUSD BE'!$AM$10+'TUSD BF'!$AM$10+'TUSD CVA'!$AM$10)*1</f>
        <v>16.680041929169654</v>
      </c>
      <c r="Z22" s="6"/>
      <c r="AA22" s="6"/>
      <c r="AB22" s="6">
        <f t="shared" si="0"/>
        <v>98744.52</v>
      </c>
      <c r="AC22" s="6">
        <f t="shared" si="1"/>
        <v>0</v>
      </c>
      <c r="AD22" s="6">
        <f t="shared" ca="1" si="2"/>
        <v>85251.694299986106</v>
      </c>
      <c r="AE22" s="6">
        <f t="shared" si="3"/>
        <v>0</v>
      </c>
      <c r="AF22" s="4" t="s">
        <v>807</v>
      </c>
    </row>
    <row r="23" spans="1:32" ht="11.25" customHeight="1" x14ac:dyDescent="0.25">
      <c r="A23" s="4" t="s">
        <v>21</v>
      </c>
      <c r="B23" s="4" t="s">
        <v>33</v>
      </c>
      <c r="C23" s="4" t="s">
        <v>34</v>
      </c>
      <c r="D23" s="4" t="s">
        <v>40</v>
      </c>
      <c r="E23" s="4" t="s">
        <v>25</v>
      </c>
      <c r="F23" s="4" t="s">
        <v>57</v>
      </c>
      <c r="G23" s="4" t="s">
        <v>25</v>
      </c>
      <c r="H23" s="4" t="s">
        <v>25</v>
      </c>
      <c r="I23" s="5">
        <v>44593</v>
      </c>
      <c r="J23" s="6">
        <v>10132</v>
      </c>
      <c r="K23" s="6">
        <v>5066</v>
      </c>
      <c r="L23" s="6">
        <v>0</v>
      </c>
      <c r="M23" s="6">
        <v>0</v>
      </c>
      <c r="N23" s="6">
        <v>0</v>
      </c>
      <c r="O23" s="6">
        <v>0</v>
      </c>
      <c r="P23" s="6">
        <v>6</v>
      </c>
      <c r="Q23" s="4" t="s">
        <v>58</v>
      </c>
      <c r="R23" s="4">
        <v>0</v>
      </c>
      <c r="S23" s="4">
        <v>6</v>
      </c>
      <c r="T23" s="4">
        <v>0</v>
      </c>
      <c r="U23" s="4">
        <v>0</v>
      </c>
      <c r="V23" s="6">
        <f>IF(ISERROR(VLOOKUP($S$23,'TAR FIN'!$A$1:$O$85,15,0)),0,VLOOKUP($S$23,'TAR FIN'!$A$1:$O$85,15,0))</f>
        <v>19.32</v>
      </c>
      <c r="W23" s="6">
        <f>IF(ISERROR(VLOOKUP($T$23,'TAR FIN'!$A$1:$O$85,15,0)),0,VLOOKUP($T$23,'TAR FIN'!$A$1:$O$85,15,0))</f>
        <v>0</v>
      </c>
      <c r="X23" s="6">
        <f>IF(ISERROR(VLOOKUP($U$23,'TAR FIN'!$A$1:$O$85,15,0)),0,VLOOKUP($U$23,'TAR FIN'!$A$1:$O$85,15,0))</f>
        <v>0</v>
      </c>
      <c r="Y23" s="6">
        <f ca="1">('TUSD BE'!$AM$10+'TUSD BF'!$AM$10+'TUSD CVA'!$AM$10)*1</f>
        <v>16.680041929169654</v>
      </c>
      <c r="Z23" s="6"/>
      <c r="AA23" s="6"/>
      <c r="AB23" s="6">
        <f t="shared" si="0"/>
        <v>97875.12</v>
      </c>
      <c r="AC23" s="6">
        <f t="shared" si="1"/>
        <v>0</v>
      </c>
      <c r="AD23" s="6">
        <f t="shared" ca="1" si="2"/>
        <v>84501.092413173465</v>
      </c>
      <c r="AE23" s="6">
        <f t="shared" si="3"/>
        <v>0</v>
      </c>
      <c r="AF23" s="4" t="s">
        <v>807</v>
      </c>
    </row>
    <row r="24" spans="1:32" ht="11.25" customHeight="1" x14ac:dyDescent="0.25">
      <c r="A24" s="4" t="s">
        <v>21</v>
      </c>
      <c r="B24" s="4" t="s">
        <v>33</v>
      </c>
      <c r="C24" s="4" t="s">
        <v>34</v>
      </c>
      <c r="D24" s="4" t="s">
        <v>40</v>
      </c>
      <c r="E24" s="4" t="s">
        <v>25</v>
      </c>
      <c r="F24" s="4" t="s">
        <v>57</v>
      </c>
      <c r="G24" s="4" t="s">
        <v>25</v>
      </c>
      <c r="H24" s="4" t="s">
        <v>25</v>
      </c>
      <c r="I24" s="5">
        <v>44621</v>
      </c>
      <c r="J24" s="6">
        <v>10313</v>
      </c>
      <c r="K24" s="6">
        <v>5156.5</v>
      </c>
      <c r="L24" s="6">
        <v>0</v>
      </c>
      <c r="M24" s="6">
        <v>0</v>
      </c>
      <c r="N24" s="6">
        <v>0</v>
      </c>
      <c r="O24" s="6">
        <v>0</v>
      </c>
      <c r="P24" s="6">
        <v>6</v>
      </c>
      <c r="Q24" s="4" t="s">
        <v>58</v>
      </c>
      <c r="R24" s="4">
        <v>0</v>
      </c>
      <c r="S24" s="4">
        <v>6</v>
      </c>
      <c r="T24" s="4">
        <v>0</v>
      </c>
      <c r="U24" s="4">
        <v>0</v>
      </c>
      <c r="V24" s="6">
        <f>IF(ISERROR(VLOOKUP($S$24,'TAR FIN'!$A$1:$O$85,15,0)),0,VLOOKUP($S$24,'TAR FIN'!$A$1:$O$85,15,0))</f>
        <v>19.32</v>
      </c>
      <c r="W24" s="6">
        <f>IF(ISERROR(VLOOKUP($T$24,'TAR FIN'!$A$1:$O$85,15,0)),0,VLOOKUP($T$24,'TAR FIN'!$A$1:$O$85,15,0))</f>
        <v>0</v>
      </c>
      <c r="X24" s="6">
        <f>IF(ISERROR(VLOOKUP($U$24,'TAR FIN'!$A$1:$O$85,15,0)),0,VLOOKUP($U$24,'TAR FIN'!$A$1:$O$85,15,0))</f>
        <v>0</v>
      </c>
      <c r="Y24" s="6">
        <f ca="1">('TUSD BE'!$AM$10+'TUSD BF'!$AM$10+'TUSD CVA'!$AM$10)*1</f>
        <v>16.680041929169654</v>
      </c>
      <c r="Z24" s="6"/>
      <c r="AA24" s="6"/>
      <c r="AB24" s="6">
        <f t="shared" si="0"/>
        <v>99623.58</v>
      </c>
      <c r="AC24" s="6">
        <f t="shared" si="1"/>
        <v>0</v>
      </c>
      <c r="AD24" s="6">
        <f t="shared" ca="1" si="2"/>
        <v>86010.636207763324</v>
      </c>
      <c r="AE24" s="6">
        <f t="shared" si="3"/>
        <v>0</v>
      </c>
      <c r="AF24" s="4" t="s">
        <v>807</v>
      </c>
    </row>
    <row r="25" spans="1:32" ht="11.25" customHeight="1" x14ac:dyDescent="0.25">
      <c r="A25" s="4" t="s">
        <v>59</v>
      </c>
      <c r="B25" s="4" t="s">
        <v>33</v>
      </c>
      <c r="C25" s="4" t="s">
        <v>34</v>
      </c>
      <c r="D25" s="4" t="s">
        <v>40</v>
      </c>
      <c r="E25" s="4" t="s">
        <v>25</v>
      </c>
      <c r="F25" s="4" t="s">
        <v>57</v>
      </c>
      <c r="G25" s="4" t="s">
        <v>25</v>
      </c>
      <c r="H25" s="4" t="s">
        <v>25</v>
      </c>
      <c r="I25" s="5">
        <v>44652</v>
      </c>
      <c r="J25" s="6">
        <v>10313</v>
      </c>
      <c r="K25" s="6">
        <v>5156.5</v>
      </c>
      <c r="L25" s="6">
        <v>0</v>
      </c>
      <c r="M25" s="6">
        <v>0</v>
      </c>
      <c r="N25" s="6">
        <v>0</v>
      </c>
      <c r="O25" s="6">
        <v>0</v>
      </c>
      <c r="P25" s="6">
        <v>6</v>
      </c>
      <c r="Q25" s="4" t="s">
        <v>58</v>
      </c>
      <c r="R25" s="4">
        <v>0</v>
      </c>
      <c r="S25" s="4">
        <v>6</v>
      </c>
      <c r="T25" s="4">
        <v>0</v>
      </c>
      <c r="U25" s="4">
        <v>0</v>
      </c>
      <c r="V25" s="6">
        <f>IF(ISERROR(VLOOKUP($S$25,'TAR FIN'!$A$1:$O$85,15,0)),0,VLOOKUP($S$25,'TAR FIN'!$A$1:$O$85,15,0))</f>
        <v>19.32</v>
      </c>
      <c r="W25" s="6">
        <f>IF(ISERROR(VLOOKUP($T$25,'TAR FIN'!$A$1:$O$85,15,0)),0,VLOOKUP($T$25,'TAR FIN'!$A$1:$O$85,15,0))</f>
        <v>0</v>
      </c>
      <c r="X25" s="6">
        <f>IF(ISERROR(VLOOKUP($U$25,'TAR FIN'!$A$1:$O$85,15,0)),0,VLOOKUP($U$25,'TAR FIN'!$A$1:$O$85,15,0))</f>
        <v>0</v>
      </c>
      <c r="Y25" s="6">
        <f ca="1">('TUSD BE'!$AM$10+'TUSD BF'!$AM$10+'TUSD CVA'!$AM$10)*1</f>
        <v>16.680041929169654</v>
      </c>
      <c r="Z25" s="6"/>
      <c r="AA25" s="6"/>
      <c r="AB25" s="6">
        <f t="shared" si="0"/>
        <v>99623.58</v>
      </c>
      <c r="AC25" s="6">
        <f t="shared" si="1"/>
        <v>0</v>
      </c>
      <c r="AD25" s="6">
        <f t="shared" ca="1" si="2"/>
        <v>86010.636207763324</v>
      </c>
      <c r="AE25" s="6">
        <f t="shared" si="3"/>
        <v>0</v>
      </c>
      <c r="AF25" s="4" t="s">
        <v>807</v>
      </c>
    </row>
    <row r="26" spans="1:32" ht="11.25" customHeight="1" x14ac:dyDescent="0.25">
      <c r="A26" s="4" t="s">
        <v>21</v>
      </c>
      <c r="B26" s="4" t="s">
        <v>33</v>
      </c>
      <c r="C26" s="4" t="s">
        <v>34</v>
      </c>
      <c r="D26" s="4" t="s">
        <v>40</v>
      </c>
      <c r="E26" s="4" t="s">
        <v>25</v>
      </c>
      <c r="F26" s="4" t="s">
        <v>57</v>
      </c>
      <c r="G26" s="4" t="s">
        <v>25</v>
      </c>
      <c r="H26" s="4" t="s">
        <v>35</v>
      </c>
      <c r="I26" s="5">
        <v>44317</v>
      </c>
      <c r="J26" s="6">
        <v>0</v>
      </c>
      <c r="K26" s="6">
        <v>0</v>
      </c>
      <c r="L26" s="6">
        <v>165.279</v>
      </c>
      <c r="M26" s="6">
        <v>82.639499999999998</v>
      </c>
      <c r="N26" s="6">
        <v>0</v>
      </c>
      <c r="O26" s="6">
        <v>0</v>
      </c>
      <c r="P26" s="6">
        <v>0</v>
      </c>
      <c r="Q26" s="4" t="s">
        <v>58</v>
      </c>
      <c r="R26" s="4">
        <v>0</v>
      </c>
      <c r="S26" s="4">
        <v>0</v>
      </c>
      <c r="T26" s="4">
        <v>7</v>
      </c>
      <c r="U26" s="4">
        <v>0</v>
      </c>
      <c r="V26" s="6">
        <f>IF(ISERROR(VLOOKUP($S$26,'TAR FIN'!$A$1:$O$85,15,0)),0,VLOOKUP($S$26,'TAR FIN'!$A$1:$O$85,15,0))</f>
        <v>0</v>
      </c>
      <c r="W26" s="6">
        <f>IF(ISERROR(VLOOKUP($T$26,'TAR FIN'!$A$1:$O$85,15,0)),0,VLOOKUP($T$26,'TAR FIN'!$A$1:$O$85,15,0))</f>
        <v>948.15</v>
      </c>
      <c r="X26" s="6">
        <f>IF(ISERROR(VLOOKUP($U$26,'TAR FIN'!$A$1:$O$85,15,0)),0,VLOOKUP($U$26,'TAR FIN'!$A$1:$O$85,15,0))</f>
        <v>0</v>
      </c>
      <c r="Y26" s="6"/>
      <c r="Z26" s="6">
        <f ca="1">('TUSD BE'!$AM$11+'TUSD BF'!$AM$11+'TUSD CVA'!$AM$11)*1</f>
        <v>976.42305228824534</v>
      </c>
      <c r="AA26" s="6"/>
      <c r="AB26" s="6">
        <f t="shared" si="0"/>
        <v>0</v>
      </c>
      <c r="AC26" s="6">
        <f t="shared" si="1"/>
        <v>78354.641925000004</v>
      </c>
      <c r="AD26" s="6">
        <f t="shared" si="2"/>
        <v>0</v>
      </c>
      <c r="AE26" s="6">
        <f t="shared" ca="1" si="3"/>
        <v>80691.112829574457</v>
      </c>
      <c r="AF26" s="4" t="s">
        <v>807</v>
      </c>
    </row>
    <row r="27" spans="1:32" ht="11.25" customHeight="1" x14ac:dyDescent="0.25">
      <c r="A27" s="4" t="s">
        <v>21</v>
      </c>
      <c r="B27" s="4" t="s">
        <v>33</v>
      </c>
      <c r="C27" s="4" t="s">
        <v>34</v>
      </c>
      <c r="D27" s="4" t="s">
        <v>40</v>
      </c>
      <c r="E27" s="4" t="s">
        <v>25</v>
      </c>
      <c r="F27" s="4" t="s">
        <v>57</v>
      </c>
      <c r="G27" s="4" t="s">
        <v>25</v>
      </c>
      <c r="H27" s="4" t="s">
        <v>35</v>
      </c>
      <c r="I27" s="5">
        <v>44348</v>
      </c>
      <c r="J27" s="6">
        <v>0</v>
      </c>
      <c r="K27" s="6">
        <v>0</v>
      </c>
      <c r="L27" s="6">
        <v>201.74299999999999</v>
      </c>
      <c r="M27" s="6">
        <v>100.8715</v>
      </c>
      <c r="N27" s="6">
        <v>0</v>
      </c>
      <c r="O27" s="6">
        <v>0</v>
      </c>
      <c r="P27" s="6">
        <v>0</v>
      </c>
      <c r="Q27" s="4" t="s">
        <v>58</v>
      </c>
      <c r="R27" s="4">
        <v>0</v>
      </c>
      <c r="S27" s="4">
        <v>0</v>
      </c>
      <c r="T27" s="4">
        <v>7</v>
      </c>
      <c r="U27" s="4">
        <v>0</v>
      </c>
      <c r="V27" s="6">
        <f>IF(ISERROR(VLOOKUP($S$27,'TAR FIN'!$A$1:$O$85,15,0)),0,VLOOKUP($S$27,'TAR FIN'!$A$1:$O$85,15,0))</f>
        <v>0</v>
      </c>
      <c r="W27" s="6">
        <f>IF(ISERROR(VLOOKUP($T$27,'TAR FIN'!$A$1:$O$85,15,0)),0,VLOOKUP($T$27,'TAR FIN'!$A$1:$O$85,15,0))</f>
        <v>948.15</v>
      </c>
      <c r="X27" s="6">
        <f>IF(ISERROR(VLOOKUP($U$27,'TAR FIN'!$A$1:$O$85,15,0)),0,VLOOKUP($U$27,'TAR FIN'!$A$1:$O$85,15,0))</f>
        <v>0</v>
      </c>
      <c r="Y27" s="6"/>
      <c r="Z27" s="6">
        <f ca="1">('TUSD BE'!$AM$11+'TUSD BF'!$AM$11+'TUSD CVA'!$AM$11)*1</f>
        <v>976.42305228824534</v>
      </c>
      <c r="AA27" s="6"/>
      <c r="AB27" s="6">
        <f t="shared" si="0"/>
        <v>0</v>
      </c>
      <c r="AC27" s="6">
        <f t="shared" si="1"/>
        <v>95641.312724999996</v>
      </c>
      <c r="AD27" s="6">
        <f t="shared" si="2"/>
        <v>0</v>
      </c>
      <c r="AE27" s="6">
        <f t="shared" ca="1" si="3"/>
        <v>98493.257918893738</v>
      </c>
      <c r="AF27" s="4" t="s">
        <v>807</v>
      </c>
    </row>
    <row r="28" spans="1:32" ht="11.25" customHeight="1" x14ac:dyDescent="0.25">
      <c r="A28" s="4" t="s">
        <v>21</v>
      </c>
      <c r="B28" s="4" t="s">
        <v>33</v>
      </c>
      <c r="C28" s="4" t="s">
        <v>34</v>
      </c>
      <c r="D28" s="4" t="s">
        <v>40</v>
      </c>
      <c r="E28" s="4" t="s">
        <v>25</v>
      </c>
      <c r="F28" s="4" t="s">
        <v>57</v>
      </c>
      <c r="G28" s="4" t="s">
        <v>25</v>
      </c>
      <c r="H28" s="4" t="s">
        <v>35</v>
      </c>
      <c r="I28" s="5">
        <v>44378</v>
      </c>
      <c r="J28" s="6">
        <v>0</v>
      </c>
      <c r="K28" s="6">
        <v>0</v>
      </c>
      <c r="L28" s="6">
        <v>244.71199999999999</v>
      </c>
      <c r="M28" s="6">
        <v>122.35599999999999</v>
      </c>
      <c r="N28" s="6">
        <v>0</v>
      </c>
      <c r="O28" s="6">
        <v>0</v>
      </c>
      <c r="P28" s="6">
        <v>0</v>
      </c>
      <c r="Q28" s="4" t="s">
        <v>58</v>
      </c>
      <c r="R28" s="4">
        <v>0</v>
      </c>
      <c r="S28" s="4">
        <v>0</v>
      </c>
      <c r="T28" s="4">
        <v>7</v>
      </c>
      <c r="U28" s="4">
        <v>0</v>
      </c>
      <c r="V28" s="6">
        <f>IF(ISERROR(VLOOKUP($S$28,'TAR FIN'!$A$1:$O$85,15,0)),0,VLOOKUP($S$28,'TAR FIN'!$A$1:$O$85,15,0))</f>
        <v>0</v>
      </c>
      <c r="W28" s="6">
        <f>IF(ISERROR(VLOOKUP($T$28,'TAR FIN'!$A$1:$O$85,15,0)),0,VLOOKUP($T$28,'TAR FIN'!$A$1:$O$85,15,0))</f>
        <v>948.15</v>
      </c>
      <c r="X28" s="6">
        <f>IF(ISERROR(VLOOKUP($U$28,'TAR FIN'!$A$1:$O$85,15,0)),0,VLOOKUP($U$28,'TAR FIN'!$A$1:$O$85,15,0))</f>
        <v>0</v>
      </c>
      <c r="Y28" s="6"/>
      <c r="Z28" s="6">
        <f ca="1">('TUSD BE'!$AM$11+'TUSD BF'!$AM$11+'TUSD CVA'!$AM$11)*1</f>
        <v>976.42305228824534</v>
      </c>
      <c r="AA28" s="6"/>
      <c r="AB28" s="6">
        <f t="shared" si="0"/>
        <v>0</v>
      </c>
      <c r="AC28" s="6">
        <f t="shared" si="1"/>
        <v>116011.84139999999</v>
      </c>
      <c r="AD28" s="6">
        <f t="shared" si="2"/>
        <v>0</v>
      </c>
      <c r="AE28" s="6">
        <f t="shared" ca="1" si="3"/>
        <v>119471.21898578054</v>
      </c>
      <c r="AF28" s="4" t="s">
        <v>807</v>
      </c>
    </row>
    <row r="29" spans="1:32" ht="11.25" customHeight="1" x14ac:dyDescent="0.25">
      <c r="A29" s="4" t="s">
        <v>21</v>
      </c>
      <c r="B29" s="4" t="s">
        <v>33</v>
      </c>
      <c r="C29" s="4" t="s">
        <v>34</v>
      </c>
      <c r="D29" s="4" t="s">
        <v>40</v>
      </c>
      <c r="E29" s="4" t="s">
        <v>25</v>
      </c>
      <c r="F29" s="4" t="s">
        <v>57</v>
      </c>
      <c r="G29" s="4" t="s">
        <v>25</v>
      </c>
      <c r="H29" s="4" t="s">
        <v>35</v>
      </c>
      <c r="I29" s="5">
        <v>44409</v>
      </c>
      <c r="J29" s="6">
        <v>0</v>
      </c>
      <c r="K29" s="6">
        <v>0</v>
      </c>
      <c r="L29" s="6">
        <v>259.11500000000001</v>
      </c>
      <c r="M29" s="6">
        <v>129.5575</v>
      </c>
      <c r="N29" s="6">
        <v>0</v>
      </c>
      <c r="O29" s="6">
        <v>0</v>
      </c>
      <c r="P29" s="6">
        <v>0</v>
      </c>
      <c r="Q29" s="4" t="s">
        <v>58</v>
      </c>
      <c r="R29" s="4">
        <v>0</v>
      </c>
      <c r="S29" s="4">
        <v>0</v>
      </c>
      <c r="T29" s="4">
        <v>7</v>
      </c>
      <c r="U29" s="4">
        <v>0</v>
      </c>
      <c r="V29" s="6">
        <f>IF(ISERROR(VLOOKUP($S$29,'TAR FIN'!$A$1:$O$85,15,0)),0,VLOOKUP($S$29,'TAR FIN'!$A$1:$O$85,15,0))</f>
        <v>0</v>
      </c>
      <c r="W29" s="6">
        <f>IF(ISERROR(VLOOKUP($T$29,'TAR FIN'!$A$1:$O$85,15,0)),0,VLOOKUP($T$29,'TAR FIN'!$A$1:$O$85,15,0))</f>
        <v>948.15</v>
      </c>
      <c r="X29" s="6">
        <f>IF(ISERROR(VLOOKUP($U$29,'TAR FIN'!$A$1:$O$85,15,0)),0,VLOOKUP($U$29,'TAR FIN'!$A$1:$O$85,15,0))</f>
        <v>0</v>
      </c>
      <c r="Y29" s="6"/>
      <c r="Z29" s="6">
        <f ca="1">('TUSD BE'!$AM$11+'TUSD BF'!$AM$11+'TUSD CVA'!$AM$11)*1</f>
        <v>976.42305228824534</v>
      </c>
      <c r="AA29" s="6"/>
      <c r="AB29" s="6">
        <f t="shared" si="0"/>
        <v>0</v>
      </c>
      <c r="AC29" s="6">
        <f t="shared" si="1"/>
        <v>122839.943625</v>
      </c>
      <c r="AD29" s="6">
        <f t="shared" si="2"/>
        <v>0</v>
      </c>
      <c r="AE29" s="6">
        <f t="shared" ca="1" si="3"/>
        <v>126502.92959683435</v>
      </c>
      <c r="AF29" s="4" t="s">
        <v>807</v>
      </c>
    </row>
    <row r="30" spans="1:32" ht="11.25" customHeight="1" x14ac:dyDescent="0.25">
      <c r="A30" s="4" t="s">
        <v>21</v>
      </c>
      <c r="B30" s="4" t="s">
        <v>33</v>
      </c>
      <c r="C30" s="4" t="s">
        <v>34</v>
      </c>
      <c r="D30" s="4" t="s">
        <v>40</v>
      </c>
      <c r="E30" s="4" t="s">
        <v>25</v>
      </c>
      <c r="F30" s="4" t="s">
        <v>57</v>
      </c>
      <c r="G30" s="4" t="s">
        <v>25</v>
      </c>
      <c r="H30" s="4" t="s">
        <v>35</v>
      </c>
      <c r="I30" s="5">
        <v>44440</v>
      </c>
      <c r="J30" s="6">
        <v>0</v>
      </c>
      <c r="K30" s="6">
        <v>0</v>
      </c>
      <c r="L30" s="6">
        <v>251.54400000000001</v>
      </c>
      <c r="M30" s="6">
        <v>125.77200000000001</v>
      </c>
      <c r="N30" s="6">
        <v>0</v>
      </c>
      <c r="O30" s="6">
        <v>0</v>
      </c>
      <c r="P30" s="6">
        <v>0</v>
      </c>
      <c r="Q30" s="4" t="s">
        <v>58</v>
      </c>
      <c r="R30" s="4">
        <v>0</v>
      </c>
      <c r="S30" s="4">
        <v>0</v>
      </c>
      <c r="T30" s="4">
        <v>7</v>
      </c>
      <c r="U30" s="4">
        <v>0</v>
      </c>
      <c r="V30" s="6">
        <f>IF(ISERROR(VLOOKUP($S$30,'TAR FIN'!$A$1:$O$85,15,0)),0,VLOOKUP($S$30,'TAR FIN'!$A$1:$O$85,15,0))</f>
        <v>0</v>
      </c>
      <c r="W30" s="6">
        <f>IF(ISERROR(VLOOKUP($T$30,'TAR FIN'!$A$1:$O$85,15,0)),0,VLOOKUP($T$30,'TAR FIN'!$A$1:$O$85,15,0))</f>
        <v>948.15</v>
      </c>
      <c r="X30" s="6">
        <f>IF(ISERROR(VLOOKUP($U$30,'TAR FIN'!$A$1:$O$85,15,0)),0,VLOOKUP($U$30,'TAR FIN'!$A$1:$O$85,15,0))</f>
        <v>0</v>
      </c>
      <c r="Y30" s="6"/>
      <c r="Z30" s="6">
        <f ca="1">('TUSD BE'!$AM$11+'TUSD BF'!$AM$11+'TUSD CVA'!$AM$11)*1</f>
        <v>976.42305228824534</v>
      </c>
      <c r="AA30" s="6"/>
      <c r="AB30" s="6">
        <f t="shared" si="0"/>
        <v>0</v>
      </c>
      <c r="AC30" s="6">
        <f t="shared" si="1"/>
        <v>119250.7218</v>
      </c>
      <c r="AD30" s="6">
        <f t="shared" si="2"/>
        <v>0</v>
      </c>
      <c r="AE30" s="6">
        <f t="shared" ca="1" si="3"/>
        <v>122806.6801323972</v>
      </c>
      <c r="AF30" s="4" t="s">
        <v>807</v>
      </c>
    </row>
    <row r="31" spans="1:32" ht="11.25" customHeight="1" x14ac:dyDescent="0.25">
      <c r="A31" s="4" t="s">
        <v>21</v>
      </c>
      <c r="B31" s="4" t="s">
        <v>33</v>
      </c>
      <c r="C31" s="4" t="s">
        <v>34</v>
      </c>
      <c r="D31" s="4" t="s">
        <v>40</v>
      </c>
      <c r="E31" s="4" t="s">
        <v>25</v>
      </c>
      <c r="F31" s="4" t="s">
        <v>57</v>
      </c>
      <c r="G31" s="4" t="s">
        <v>25</v>
      </c>
      <c r="H31" s="4" t="s">
        <v>35</v>
      </c>
      <c r="I31" s="5">
        <v>44470</v>
      </c>
      <c r="J31" s="6">
        <v>0</v>
      </c>
      <c r="K31" s="6">
        <v>0</v>
      </c>
      <c r="L31" s="6">
        <v>245.708</v>
      </c>
      <c r="M31" s="6">
        <v>122.854</v>
      </c>
      <c r="N31" s="6">
        <v>0</v>
      </c>
      <c r="O31" s="6">
        <v>0</v>
      </c>
      <c r="P31" s="6">
        <v>0</v>
      </c>
      <c r="Q31" s="4" t="s">
        <v>58</v>
      </c>
      <c r="R31" s="4">
        <v>0</v>
      </c>
      <c r="S31" s="4">
        <v>0</v>
      </c>
      <c r="T31" s="4">
        <v>7</v>
      </c>
      <c r="U31" s="4">
        <v>0</v>
      </c>
      <c r="V31" s="6">
        <f>IF(ISERROR(VLOOKUP($S$31,'TAR FIN'!$A$1:$O$85,15,0)),0,VLOOKUP($S$31,'TAR FIN'!$A$1:$O$85,15,0))</f>
        <v>0</v>
      </c>
      <c r="W31" s="6">
        <f>IF(ISERROR(VLOOKUP($T$31,'TAR FIN'!$A$1:$O$85,15,0)),0,VLOOKUP($T$31,'TAR FIN'!$A$1:$O$85,15,0))</f>
        <v>948.15</v>
      </c>
      <c r="X31" s="6">
        <f>IF(ISERROR(VLOOKUP($U$31,'TAR FIN'!$A$1:$O$85,15,0)),0,VLOOKUP($U$31,'TAR FIN'!$A$1:$O$85,15,0))</f>
        <v>0</v>
      </c>
      <c r="Y31" s="6"/>
      <c r="Z31" s="6">
        <f ca="1">('TUSD BE'!$AM$11+'TUSD BF'!$AM$11+'TUSD CVA'!$AM$11)*1</f>
        <v>976.42305228824534</v>
      </c>
      <c r="AA31" s="6"/>
      <c r="AB31" s="6">
        <f t="shared" si="0"/>
        <v>0</v>
      </c>
      <c r="AC31" s="6">
        <f t="shared" si="1"/>
        <v>116484.02009999999</v>
      </c>
      <c r="AD31" s="6">
        <f t="shared" si="2"/>
        <v>0</v>
      </c>
      <c r="AE31" s="6">
        <f t="shared" ca="1" si="3"/>
        <v>119957.47766582009</v>
      </c>
      <c r="AF31" s="4" t="s">
        <v>807</v>
      </c>
    </row>
    <row r="32" spans="1:32" ht="11.25" customHeight="1" x14ac:dyDescent="0.25">
      <c r="A32" s="4" t="s">
        <v>21</v>
      </c>
      <c r="B32" s="4" t="s">
        <v>33</v>
      </c>
      <c r="C32" s="4" t="s">
        <v>34</v>
      </c>
      <c r="D32" s="4" t="s">
        <v>40</v>
      </c>
      <c r="E32" s="4" t="s">
        <v>25</v>
      </c>
      <c r="F32" s="4" t="s">
        <v>57</v>
      </c>
      <c r="G32" s="4" t="s">
        <v>25</v>
      </c>
      <c r="H32" s="4" t="s">
        <v>35</v>
      </c>
      <c r="I32" s="5">
        <v>44501</v>
      </c>
      <c r="J32" s="6">
        <v>0</v>
      </c>
      <c r="K32" s="6">
        <v>0</v>
      </c>
      <c r="L32" s="6">
        <v>267.46600000000001</v>
      </c>
      <c r="M32" s="6">
        <v>133.733</v>
      </c>
      <c r="N32" s="6">
        <v>0</v>
      </c>
      <c r="O32" s="6">
        <v>0</v>
      </c>
      <c r="P32" s="6">
        <v>0</v>
      </c>
      <c r="Q32" s="4" t="s">
        <v>58</v>
      </c>
      <c r="R32" s="4">
        <v>0</v>
      </c>
      <c r="S32" s="4">
        <v>0</v>
      </c>
      <c r="T32" s="4">
        <v>7</v>
      </c>
      <c r="U32" s="4">
        <v>0</v>
      </c>
      <c r="V32" s="6">
        <f>IF(ISERROR(VLOOKUP($S$32,'TAR FIN'!$A$1:$O$85,15,0)),0,VLOOKUP($S$32,'TAR FIN'!$A$1:$O$85,15,0))</f>
        <v>0</v>
      </c>
      <c r="W32" s="6">
        <f>IF(ISERROR(VLOOKUP($T$32,'TAR FIN'!$A$1:$O$85,15,0)),0,VLOOKUP($T$32,'TAR FIN'!$A$1:$O$85,15,0))</f>
        <v>948.15</v>
      </c>
      <c r="X32" s="6">
        <f>IF(ISERROR(VLOOKUP($U$32,'TAR FIN'!$A$1:$O$85,15,0)),0,VLOOKUP($U$32,'TAR FIN'!$A$1:$O$85,15,0))</f>
        <v>0</v>
      </c>
      <c r="Y32" s="6"/>
      <c r="Z32" s="6">
        <f ca="1">('TUSD BE'!$AM$11+'TUSD BF'!$AM$11+'TUSD CVA'!$AM$11)*1</f>
        <v>976.42305228824534</v>
      </c>
      <c r="AA32" s="6"/>
      <c r="AB32" s="6">
        <f t="shared" si="0"/>
        <v>0</v>
      </c>
      <c r="AC32" s="6">
        <f t="shared" si="1"/>
        <v>126798.94395</v>
      </c>
      <c r="AD32" s="6">
        <f t="shared" si="2"/>
        <v>0</v>
      </c>
      <c r="AE32" s="6">
        <f t="shared" ca="1" si="3"/>
        <v>130579.98405166392</v>
      </c>
      <c r="AF32" s="4" t="s">
        <v>807</v>
      </c>
    </row>
    <row r="33" spans="1:32" ht="11.25" customHeight="1" x14ac:dyDescent="0.25">
      <c r="A33" s="4" t="s">
        <v>21</v>
      </c>
      <c r="B33" s="4" t="s">
        <v>33</v>
      </c>
      <c r="C33" s="4" t="s">
        <v>34</v>
      </c>
      <c r="D33" s="4" t="s">
        <v>40</v>
      </c>
      <c r="E33" s="4" t="s">
        <v>25</v>
      </c>
      <c r="F33" s="4" t="s">
        <v>57</v>
      </c>
      <c r="G33" s="4" t="s">
        <v>25</v>
      </c>
      <c r="H33" s="4" t="s">
        <v>35</v>
      </c>
      <c r="I33" s="5">
        <v>44531</v>
      </c>
      <c r="J33" s="6">
        <v>0</v>
      </c>
      <c r="K33" s="6">
        <v>0</v>
      </c>
      <c r="L33" s="6">
        <v>252.32900000000001</v>
      </c>
      <c r="M33" s="6">
        <v>126.1645</v>
      </c>
      <c r="N33" s="6">
        <v>0</v>
      </c>
      <c r="O33" s="6">
        <v>0</v>
      </c>
      <c r="P33" s="6">
        <v>0</v>
      </c>
      <c r="Q33" s="4" t="s">
        <v>58</v>
      </c>
      <c r="R33" s="4">
        <v>0</v>
      </c>
      <c r="S33" s="4">
        <v>0</v>
      </c>
      <c r="T33" s="4">
        <v>7</v>
      </c>
      <c r="U33" s="4">
        <v>0</v>
      </c>
      <c r="V33" s="6">
        <f>IF(ISERROR(VLOOKUP($S$33,'TAR FIN'!$A$1:$O$85,15,0)),0,VLOOKUP($S$33,'TAR FIN'!$A$1:$O$85,15,0))</f>
        <v>0</v>
      </c>
      <c r="W33" s="6">
        <f>IF(ISERROR(VLOOKUP($T$33,'TAR FIN'!$A$1:$O$85,15,0)),0,VLOOKUP($T$33,'TAR FIN'!$A$1:$O$85,15,0))</f>
        <v>948.15</v>
      </c>
      <c r="X33" s="6">
        <f>IF(ISERROR(VLOOKUP($U$33,'TAR FIN'!$A$1:$O$85,15,0)),0,VLOOKUP($U$33,'TAR FIN'!$A$1:$O$85,15,0))</f>
        <v>0</v>
      </c>
      <c r="Y33" s="6"/>
      <c r="Z33" s="6">
        <f ca="1">('TUSD BE'!$AM$11+'TUSD BF'!$AM$11+'TUSD CVA'!$AM$11)*1</f>
        <v>976.42305228824534</v>
      </c>
      <c r="AA33" s="6"/>
      <c r="AB33" s="6">
        <f t="shared" si="0"/>
        <v>0</v>
      </c>
      <c r="AC33" s="6">
        <f t="shared" si="1"/>
        <v>119622.870675</v>
      </c>
      <c r="AD33" s="6">
        <f t="shared" si="2"/>
        <v>0</v>
      </c>
      <c r="AE33" s="6">
        <f t="shared" ca="1" si="3"/>
        <v>123189.92618042033</v>
      </c>
      <c r="AF33" s="4" t="s">
        <v>807</v>
      </c>
    </row>
    <row r="34" spans="1:32" ht="11.25" customHeight="1" x14ac:dyDescent="0.25">
      <c r="A34" s="4" t="s">
        <v>21</v>
      </c>
      <c r="B34" s="4" t="s">
        <v>33</v>
      </c>
      <c r="C34" s="4" t="s">
        <v>34</v>
      </c>
      <c r="D34" s="4" t="s">
        <v>40</v>
      </c>
      <c r="E34" s="4" t="s">
        <v>25</v>
      </c>
      <c r="F34" s="4" t="s">
        <v>57</v>
      </c>
      <c r="G34" s="4" t="s">
        <v>25</v>
      </c>
      <c r="H34" s="4" t="s">
        <v>35</v>
      </c>
      <c r="I34" s="5">
        <v>44562</v>
      </c>
      <c r="J34" s="6">
        <v>0</v>
      </c>
      <c r="K34" s="6">
        <v>0</v>
      </c>
      <c r="L34" s="6">
        <v>256.38400000000001</v>
      </c>
      <c r="M34" s="6">
        <v>128.19200000000001</v>
      </c>
      <c r="N34" s="6">
        <v>0</v>
      </c>
      <c r="O34" s="6">
        <v>0</v>
      </c>
      <c r="P34" s="6">
        <v>0</v>
      </c>
      <c r="Q34" s="4" t="s">
        <v>58</v>
      </c>
      <c r="R34" s="4">
        <v>0</v>
      </c>
      <c r="S34" s="4">
        <v>0</v>
      </c>
      <c r="T34" s="4">
        <v>7</v>
      </c>
      <c r="U34" s="4">
        <v>0</v>
      </c>
      <c r="V34" s="6">
        <f>IF(ISERROR(VLOOKUP($S$34,'TAR FIN'!$A$1:$O$85,15,0)),0,VLOOKUP($S$34,'TAR FIN'!$A$1:$O$85,15,0))</f>
        <v>0</v>
      </c>
      <c r="W34" s="6">
        <f>IF(ISERROR(VLOOKUP($T$34,'TAR FIN'!$A$1:$O$85,15,0)),0,VLOOKUP($T$34,'TAR FIN'!$A$1:$O$85,15,0))</f>
        <v>948.15</v>
      </c>
      <c r="X34" s="6">
        <f>IF(ISERROR(VLOOKUP($U$34,'TAR FIN'!$A$1:$O$85,15,0)),0,VLOOKUP($U$34,'TAR FIN'!$A$1:$O$85,15,0))</f>
        <v>0</v>
      </c>
      <c r="Y34" s="6"/>
      <c r="Z34" s="6">
        <f ca="1">('TUSD BE'!$AM$11+'TUSD BF'!$AM$11+'TUSD CVA'!$AM$11)*1</f>
        <v>976.42305228824534</v>
      </c>
      <c r="AA34" s="6"/>
      <c r="AB34" s="6">
        <f t="shared" si="0"/>
        <v>0</v>
      </c>
      <c r="AC34" s="6">
        <f t="shared" ref="AC34:AC49" si="6">(L34-M34)*W34+(N34-O34)*X34</f>
        <v>121545.2448</v>
      </c>
      <c r="AD34" s="6">
        <f t="shared" si="2"/>
        <v>0</v>
      </c>
      <c r="AE34" s="6">
        <f t="shared" ref="AE34:AE49" ca="1" si="7">(L34-M34)*Z34+(N34-O34)*AA34</f>
        <v>125169.62391893475</v>
      </c>
      <c r="AF34" s="4" t="s">
        <v>807</v>
      </c>
    </row>
    <row r="35" spans="1:32" ht="11.25" customHeight="1" x14ac:dyDescent="0.25">
      <c r="A35" s="4" t="s">
        <v>21</v>
      </c>
      <c r="B35" s="4" t="s">
        <v>33</v>
      </c>
      <c r="C35" s="4" t="s">
        <v>34</v>
      </c>
      <c r="D35" s="4" t="s">
        <v>40</v>
      </c>
      <c r="E35" s="4" t="s">
        <v>25</v>
      </c>
      <c r="F35" s="4" t="s">
        <v>57</v>
      </c>
      <c r="G35" s="4" t="s">
        <v>25</v>
      </c>
      <c r="H35" s="4" t="s">
        <v>35</v>
      </c>
      <c r="I35" s="5">
        <v>44593</v>
      </c>
      <c r="J35" s="6">
        <v>0</v>
      </c>
      <c r="K35" s="6">
        <v>0</v>
      </c>
      <c r="L35" s="6">
        <v>242.602</v>
      </c>
      <c r="M35" s="6">
        <v>121.301</v>
      </c>
      <c r="N35" s="6">
        <v>0</v>
      </c>
      <c r="O35" s="6">
        <v>0</v>
      </c>
      <c r="P35" s="6">
        <v>0</v>
      </c>
      <c r="Q35" s="4" t="s">
        <v>58</v>
      </c>
      <c r="R35" s="4">
        <v>0</v>
      </c>
      <c r="S35" s="4">
        <v>0</v>
      </c>
      <c r="T35" s="4">
        <v>7</v>
      </c>
      <c r="U35" s="4">
        <v>0</v>
      </c>
      <c r="V35" s="6">
        <f>IF(ISERROR(VLOOKUP($S$35,'TAR FIN'!$A$1:$O$85,15,0)),0,VLOOKUP($S$35,'TAR FIN'!$A$1:$O$85,15,0))</f>
        <v>0</v>
      </c>
      <c r="W35" s="6">
        <f>IF(ISERROR(VLOOKUP($T$35,'TAR FIN'!$A$1:$O$85,15,0)),0,VLOOKUP($T$35,'TAR FIN'!$A$1:$O$85,15,0))</f>
        <v>948.15</v>
      </c>
      <c r="X35" s="6">
        <f>IF(ISERROR(VLOOKUP($U$35,'TAR FIN'!$A$1:$O$85,15,0)),0,VLOOKUP($U$35,'TAR FIN'!$A$1:$O$85,15,0))</f>
        <v>0</v>
      </c>
      <c r="Y35" s="6"/>
      <c r="Z35" s="6">
        <f ca="1">('TUSD BE'!$AM$11+'TUSD BF'!$AM$11+'TUSD CVA'!$AM$11)*1</f>
        <v>976.42305228824534</v>
      </c>
      <c r="AA35" s="6"/>
      <c r="AB35" s="6">
        <f t="shared" si="0"/>
        <v>0</v>
      </c>
      <c r="AC35" s="6">
        <f t="shared" si="6"/>
        <v>115011.54315</v>
      </c>
      <c r="AD35" s="6">
        <f t="shared" si="2"/>
        <v>0</v>
      </c>
      <c r="AE35" s="6">
        <f t="shared" ca="1" si="7"/>
        <v>118441.09266561645</v>
      </c>
      <c r="AF35" s="4" t="s">
        <v>807</v>
      </c>
    </row>
    <row r="36" spans="1:32" ht="11.25" customHeight="1" x14ac:dyDescent="0.25">
      <c r="A36" s="4" t="s">
        <v>21</v>
      </c>
      <c r="B36" s="4" t="s">
        <v>33</v>
      </c>
      <c r="C36" s="4" t="s">
        <v>34</v>
      </c>
      <c r="D36" s="4" t="s">
        <v>40</v>
      </c>
      <c r="E36" s="4" t="s">
        <v>25</v>
      </c>
      <c r="F36" s="4" t="s">
        <v>57</v>
      </c>
      <c r="G36" s="4" t="s">
        <v>25</v>
      </c>
      <c r="H36" s="4" t="s">
        <v>35</v>
      </c>
      <c r="I36" s="5">
        <v>44621</v>
      </c>
      <c r="J36" s="6">
        <v>0</v>
      </c>
      <c r="K36" s="6">
        <v>0</v>
      </c>
      <c r="L36" s="6">
        <v>257.65499999999997</v>
      </c>
      <c r="M36" s="6">
        <v>128.82749999999999</v>
      </c>
      <c r="N36" s="6">
        <v>0</v>
      </c>
      <c r="O36" s="6">
        <v>0</v>
      </c>
      <c r="P36" s="6">
        <v>0</v>
      </c>
      <c r="Q36" s="4" t="s">
        <v>58</v>
      </c>
      <c r="R36" s="4">
        <v>0</v>
      </c>
      <c r="S36" s="4">
        <v>0</v>
      </c>
      <c r="T36" s="4">
        <v>7</v>
      </c>
      <c r="U36" s="4">
        <v>0</v>
      </c>
      <c r="V36" s="6">
        <f>IF(ISERROR(VLOOKUP($S$36,'TAR FIN'!$A$1:$O$85,15,0)),0,VLOOKUP($S$36,'TAR FIN'!$A$1:$O$85,15,0))</f>
        <v>0</v>
      </c>
      <c r="W36" s="6">
        <f>IF(ISERROR(VLOOKUP($T$36,'TAR FIN'!$A$1:$O$85,15,0)),0,VLOOKUP($T$36,'TAR FIN'!$A$1:$O$85,15,0))</f>
        <v>948.15</v>
      </c>
      <c r="X36" s="6">
        <f>IF(ISERROR(VLOOKUP($U$36,'TAR FIN'!$A$1:$O$85,15,0)),0,VLOOKUP($U$36,'TAR FIN'!$A$1:$O$85,15,0))</f>
        <v>0</v>
      </c>
      <c r="Y36" s="6"/>
      <c r="Z36" s="6">
        <f ca="1">('TUSD BE'!$AM$11+'TUSD BF'!$AM$11+'TUSD CVA'!$AM$11)*1</f>
        <v>976.42305228824534</v>
      </c>
      <c r="AA36" s="6"/>
      <c r="AB36" s="6">
        <f t="shared" si="0"/>
        <v>0</v>
      </c>
      <c r="AC36" s="6">
        <f t="shared" si="6"/>
        <v>122147.79412499999</v>
      </c>
      <c r="AD36" s="6">
        <f t="shared" si="2"/>
        <v>0</v>
      </c>
      <c r="AE36" s="6">
        <f t="shared" ca="1" si="7"/>
        <v>125790.14076866391</v>
      </c>
      <c r="AF36" s="4" t="s">
        <v>807</v>
      </c>
    </row>
    <row r="37" spans="1:32" ht="11.25" customHeight="1" x14ac:dyDescent="0.25">
      <c r="A37" s="4" t="s">
        <v>59</v>
      </c>
      <c r="B37" s="4" t="s">
        <v>33</v>
      </c>
      <c r="C37" s="4" t="s">
        <v>34</v>
      </c>
      <c r="D37" s="4" t="s">
        <v>40</v>
      </c>
      <c r="E37" s="4" t="s">
        <v>25</v>
      </c>
      <c r="F37" s="4" t="s">
        <v>57</v>
      </c>
      <c r="G37" s="4" t="s">
        <v>25</v>
      </c>
      <c r="H37" s="4" t="s">
        <v>35</v>
      </c>
      <c r="I37" s="5">
        <v>44652</v>
      </c>
      <c r="J37" s="6">
        <v>0</v>
      </c>
      <c r="K37" s="6">
        <v>0</v>
      </c>
      <c r="L37" s="6">
        <v>257.65499999999997</v>
      </c>
      <c r="M37" s="6">
        <v>128.82749999999999</v>
      </c>
      <c r="N37" s="6">
        <v>0</v>
      </c>
      <c r="O37" s="6">
        <v>0</v>
      </c>
      <c r="P37" s="6">
        <v>0</v>
      </c>
      <c r="Q37" s="4" t="s">
        <v>58</v>
      </c>
      <c r="R37" s="4">
        <v>0</v>
      </c>
      <c r="S37" s="4">
        <v>0</v>
      </c>
      <c r="T37" s="4">
        <v>7</v>
      </c>
      <c r="U37" s="4">
        <v>0</v>
      </c>
      <c r="V37" s="6">
        <f>IF(ISERROR(VLOOKUP($S$37,'TAR FIN'!$A$1:$O$85,15,0)),0,VLOOKUP($S$37,'TAR FIN'!$A$1:$O$85,15,0))</f>
        <v>0</v>
      </c>
      <c r="W37" s="6">
        <f>IF(ISERROR(VLOOKUP($T$37,'TAR FIN'!$A$1:$O$85,15,0)),0,VLOOKUP($T$37,'TAR FIN'!$A$1:$O$85,15,0))</f>
        <v>948.15</v>
      </c>
      <c r="X37" s="6">
        <f>IF(ISERROR(VLOOKUP($U$37,'TAR FIN'!$A$1:$O$85,15,0)),0,VLOOKUP($U$37,'TAR FIN'!$A$1:$O$85,15,0))</f>
        <v>0</v>
      </c>
      <c r="Y37" s="6"/>
      <c r="Z37" s="6">
        <f ca="1">('TUSD BE'!$AM$11+'TUSD BF'!$AM$11+'TUSD CVA'!$AM$11)*1</f>
        <v>976.42305228824534</v>
      </c>
      <c r="AA37" s="6"/>
      <c r="AB37" s="6">
        <f t="shared" si="0"/>
        <v>0</v>
      </c>
      <c r="AC37" s="6">
        <f t="shared" si="6"/>
        <v>122147.79412499999</v>
      </c>
      <c r="AD37" s="6">
        <f t="shared" si="2"/>
        <v>0</v>
      </c>
      <c r="AE37" s="6">
        <f t="shared" ca="1" si="7"/>
        <v>125790.14076866391</v>
      </c>
      <c r="AF37" s="4" t="s">
        <v>807</v>
      </c>
    </row>
    <row r="38" spans="1:32" ht="11.25" customHeight="1" x14ac:dyDescent="0.25">
      <c r="A38" s="4" t="s">
        <v>21</v>
      </c>
      <c r="B38" s="4" t="s">
        <v>33</v>
      </c>
      <c r="C38" s="4" t="s">
        <v>34</v>
      </c>
      <c r="D38" s="4" t="s">
        <v>44</v>
      </c>
      <c r="E38" s="4" t="s">
        <v>53</v>
      </c>
      <c r="F38" s="4" t="s">
        <v>55</v>
      </c>
      <c r="G38" s="4" t="s">
        <v>25</v>
      </c>
      <c r="H38" s="4" t="s">
        <v>36</v>
      </c>
      <c r="I38" s="5">
        <v>44317</v>
      </c>
      <c r="J38" s="6">
        <v>0</v>
      </c>
      <c r="K38" s="6">
        <v>0</v>
      </c>
      <c r="L38" s="6">
        <v>35.371000000000002</v>
      </c>
      <c r="M38" s="6">
        <v>10.6113</v>
      </c>
      <c r="N38" s="6">
        <v>35.371000000000002</v>
      </c>
      <c r="O38" s="6">
        <v>10.6113</v>
      </c>
      <c r="P38" s="6">
        <v>0</v>
      </c>
      <c r="Q38" s="4" t="s">
        <v>26</v>
      </c>
      <c r="R38" s="4">
        <v>0</v>
      </c>
      <c r="S38" s="4">
        <v>0</v>
      </c>
      <c r="T38" s="4">
        <v>8</v>
      </c>
      <c r="U38" s="4">
        <v>49</v>
      </c>
      <c r="V38" s="6">
        <f>IF(ISERROR(VLOOKUP($S$38,'TAR FIN'!$A$1:$O$85,15,0)),0,VLOOKUP($S$38,'TAR FIN'!$A$1:$O$85,15,0))</f>
        <v>0</v>
      </c>
      <c r="W38" s="6">
        <f>IF(ISERROR(VLOOKUP($T$38,'TAR FIN'!$A$1:$O$85,15,0)),0,VLOOKUP($T$38,'TAR FIN'!$A$1:$O$85,15,0))</f>
        <v>65.61</v>
      </c>
      <c r="X38" s="6">
        <f>IF(ISERROR(VLOOKUP($U$38,'TAR FIN'!$A$1:$O$85,15,0)),0,VLOOKUP($U$38,'TAR FIN'!$A$1:$O$85,15,0))</f>
        <v>263.29000000000002</v>
      </c>
      <c r="Y38" s="6"/>
      <c r="Z38" s="6">
        <f ca="1">('TUSD BE'!$AM$12+'TUSD BF'!$AM$12+'TUSD CVA'!$AM$12)*1</f>
        <v>100.34646310857573</v>
      </c>
      <c r="AA38" s="6">
        <f>('TE BE'!$AA$6+'TE BF'!$AA$6+'TE CVA'!$AA$6)*1</f>
        <v>210.64397598313801</v>
      </c>
      <c r="AB38" s="6">
        <f t="shared" si="0"/>
        <v>0</v>
      </c>
      <c r="AC38" s="6">
        <f t="shared" si="6"/>
        <v>8143.4653300000018</v>
      </c>
      <c r="AD38" s="6">
        <f t="shared" si="2"/>
        <v>0</v>
      </c>
      <c r="AE38" s="6">
        <f t="shared" ca="1" si="7"/>
        <v>7700.029974779105</v>
      </c>
      <c r="AF38" s="4" t="s">
        <v>809</v>
      </c>
    </row>
    <row r="39" spans="1:32" ht="11.25" customHeight="1" x14ac:dyDescent="0.25">
      <c r="A39" s="4" t="s">
        <v>21</v>
      </c>
      <c r="B39" s="4" t="s">
        <v>33</v>
      </c>
      <c r="C39" s="4" t="s">
        <v>34</v>
      </c>
      <c r="D39" s="4" t="s">
        <v>44</v>
      </c>
      <c r="E39" s="4" t="s">
        <v>53</v>
      </c>
      <c r="F39" s="4" t="s">
        <v>55</v>
      </c>
      <c r="G39" s="4" t="s">
        <v>25</v>
      </c>
      <c r="H39" s="4" t="s">
        <v>36</v>
      </c>
      <c r="I39" s="5">
        <v>44348</v>
      </c>
      <c r="J39" s="6">
        <v>0</v>
      </c>
      <c r="K39" s="6">
        <v>0</v>
      </c>
      <c r="L39" s="6">
        <v>6.79</v>
      </c>
      <c r="M39" s="6">
        <v>2.0369999999999999</v>
      </c>
      <c r="N39" s="6">
        <v>6.79</v>
      </c>
      <c r="O39" s="6">
        <v>2.0369999999999999</v>
      </c>
      <c r="P39" s="6">
        <v>0</v>
      </c>
      <c r="Q39" s="4" t="s">
        <v>26</v>
      </c>
      <c r="R39" s="4">
        <v>0</v>
      </c>
      <c r="S39" s="4">
        <v>0</v>
      </c>
      <c r="T39" s="4">
        <v>8</v>
      </c>
      <c r="U39" s="4">
        <v>49</v>
      </c>
      <c r="V39" s="6">
        <f>IF(ISERROR(VLOOKUP($S$39,'TAR FIN'!$A$1:$O$85,15,0)),0,VLOOKUP($S$39,'TAR FIN'!$A$1:$O$85,15,0))</f>
        <v>0</v>
      </c>
      <c r="W39" s="6">
        <f>IF(ISERROR(VLOOKUP($T$39,'TAR FIN'!$A$1:$O$85,15,0)),0,VLOOKUP($T$39,'TAR FIN'!$A$1:$O$85,15,0))</f>
        <v>65.61</v>
      </c>
      <c r="X39" s="6">
        <f>IF(ISERROR(VLOOKUP($U$39,'TAR FIN'!$A$1:$O$85,15,0)),0,VLOOKUP($U$39,'TAR FIN'!$A$1:$O$85,15,0))</f>
        <v>263.29000000000002</v>
      </c>
      <c r="Y39" s="6"/>
      <c r="Z39" s="6">
        <f ca="1">('TUSD BE'!$AM$12+'TUSD BF'!$AM$12+'TUSD CVA'!$AM$12)*1</f>
        <v>100.34646310857573</v>
      </c>
      <c r="AA39" s="6">
        <f>('TE BE'!$AA$6+'TE BF'!$AA$6+'TE CVA'!$AA$6)*1</f>
        <v>210.64397598313801</v>
      </c>
      <c r="AB39" s="6">
        <f t="shared" si="0"/>
        <v>0</v>
      </c>
      <c r="AC39" s="6">
        <f t="shared" si="6"/>
        <v>1563.2617</v>
      </c>
      <c r="AD39" s="6">
        <f t="shared" si="2"/>
        <v>0</v>
      </c>
      <c r="AE39" s="6">
        <f t="shared" ca="1" si="7"/>
        <v>1478.1375570029154</v>
      </c>
      <c r="AF39" s="4" t="s">
        <v>809</v>
      </c>
    </row>
    <row r="40" spans="1:32" ht="11.25" customHeight="1" x14ac:dyDescent="0.25">
      <c r="A40" s="4" t="s">
        <v>21</v>
      </c>
      <c r="B40" s="4" t="s">
        <v>33</v>
      </c>
      <c r="C40" s="4" t="s">
        <v>34</v>
      </c>
      <c r="D40" s="4" t="s">
        <v>44</v>
      </c>
      <c r="E40" s="4" t="s">
        <v>53</v>
      </c>
      <c r="F40" s="4" t="s">
        <v>55</v>
      </c>
      <c r="G40" s="4" t="s">
        <v>25</v>
      </c>
      <c r="H40" s="4" t="s">
        <v>36</v>
      </c>
      <c r="I40" s="5">
        <v>44378</v>
      </c>
      <c r="J40" s="6">
        <v>0</v>
      </c>
      <c r="K40" s="6">
        <v>0</v>
      </c>
      <c r="L40" s="6">
        <v>16.233000000000001</v>
      </c>
      <c r="M40" s="6">
        <v>4.8699000000000003</v>
      </c>
      <c r="N40" s="6">
        <v>16.233000000000001</v>
      </c>
      <c r="O40" s="6">
        <v>4.8699000000000003</v>
      </c>
      <c r="P40" s="6">
        <v>0</v>
      </c>
      <c r="Q40" s="4" t="s">
        <v>26</v>
      </c>
      <c r="R40" s="4">
        <v>0</v>
      </c>
      <c r="S40" s="4">
        <v>0</v>
      </c>
      <c r="T40" s="4">
        <v>8</v>
      </c>
      <c r="U40" s="4">
        <v>49</v>
      </c>
      <c r="V40" s="6">
        <f>IF(ISERROR(VLOOKUP($S$40,'TAR FIN'!$A$1:$O$85,15,0)),0,VLOOKUP($S$40,'TAR FIN'!$A$1:$O$85,15,0))</f>
        <v>0</v>
      </c>
      <c r="W40" s="6">
        <f>IF(ISERROR(VLOOKUP($T$40,'TAR FIN'!$A$1:$O$85,15,0)),0,VLOOKUP($T$40,'TAR FIN'!$A$1:$O$85,15,0))</f>
        <v>65.61</v>
      </c>
      <c r="X40" s="6">
        <f>IF(ISERROR(VLOOKUP($U$40,'TAR FIN'!$A$1:$O$85,15,0)),0,VLOOKUP($U$40,'TAR FIN'!$A$1:$O$85,15,0))</f>
        <v>263.29000000000002</v>
      </c>
      <c r="Y40" s="6"/>
      <c r="Z40" s="6">
        <f ca="1">('TUSD BE'!$AM$12+'TUSD BF'!$AM$12+'TUSD CVA'!$AM$12)*1</f>
        <v>100.34646310857573</v>
      </c>
      <c r="AA40" s="6">
        <f>('TE BE'!$AA$6+'TE BF'!$AA$6+'TE CVA'!$AA$6)*1</f>
        <v>210.64397598313801</v>
      </c>
      <c r="AB40" s="6">
        <f t="shared" si="0"/>
        <v>0</v>
      </c>
      <c r="AC40" s="6">
        <f t="shared" si="6"/>
        <v>3737.32359</v>
      </c>
      <c r="AD40" s="6">
        <f t="shared" si="2"/>
        <v>0</v>
      </c>
      <c r="AE40" s="6">
        <f t="shared" ca="1" si="7"/>
        <v>3533.8154584430522</v>
      </c>
      <c r="AF40" s="4" t="s">
        <v>809</v>
      </c>
    </row>
    <row r="41" spans="1:32" ht="11.25" customHeight="1" x14ac:dyDescent="0.25">
      <c r="A41" s="4" t="s">
        <v>21</v>
      </c>
      <c r="B41" s="4" t="s">
        <v>33</v>
      </c>
      <c r="C41" s="4" t="s">
        <v>34</v>
      </c>
      <c r="D41" s="4" t="s">
        <v>44</v>
      </c>
      <c r="E41" s="4" t="s">
        <v>53</v>
      </c>
      <c r="F41" s="4" t="s">
        <v>55</v>
      </c>
      <c r="G41" s="4" t="s">
        <v>25</v>
      </c>
      <c r="H41" s="4" t="s">
        <v>36</v>
      </c>
      <c r="I41" s="5">
        <v>44409</v>
      </c>
      <c r="J41" s="6">
        <v>0</v>
      </c>
      <c r="K41" s="6">
        <v>0</v>
      </c>
      <c r="L41" s="6">
        <v>19.994</v>
      </c>
      <c r="M41" s="6">
        <v>5.9981999999999998</v>
      </c>
      <c r="N41" s="6">
        <v>19.994</v>
      </c>
      <c r="O41" s="6">
        <v>5.9981999999999998</v>
      </c>
      <c r="P41" s="6">
        <v>0</v>
      </c>
      <c r="Q41" s="4" t="s">
        <v>26</v>
      </c>
      <c r="R41" s="4">
        <v>0</v>
      </c>
      <c r="S41" s="4">
        <v>0</v>
      </c>
      <c r="T41" s="4">
        <v>8</v>
      </c>
      <c r="U41" s="4">
        <v>49</v>
      </c>
      <c r="V41" s="6">
        <f>IF(ISERROR(VLOOKUP($S$41,'TAR FIN'!$A$1:$O$85,15,0)),0,VLOOKUP($S$41,'TAR FIN'!$A$1:$O$85,15,0))</f>
        <v>0</v>
      </c>
      <c r="W41" s="6">
        <f>IF(ISERROR(VLOOKUP($T$41,'TAR FIN'!$A$1:$O$85,15,0)),0,VLOOKUP($T$41,'TAR FIN'!$A$1:$O$85,15,0))</f>
        <v>65.61</v>
      </c>
      <c r="X41" s="6">
        <f>IF(ISERROR(VLOOKUP($U$41,'TAR FIN'!$A$1:$O$85,15,0)),0,VLOOKUP($U$41,'TAR FIN'!$A$1:$O$85,15,0))</f>
        <v>263.29000000000002</v>
      </c>
      <c r="Y41" s="6"/>
      <c r="Z41" s="6">
        <f ca="1">('TUSD BE'!$AM$12+'TUSD BF'!$AM$12+'TUSD CVA'!$AM$12)*1</f>
        <v>100.34646310857573</v>
      </c>
      <c r="AA41" s="6">
        <f>('TE BE'!$AA$6+'TE BF'!$AA$6+'TE CVA'!$AA$6)*1</f>
        <v>210.64397598313801</v>
      </c>
      <c r="AB41" s="6">
        <f t="shared" si="0"/>
        <v>0</v>
      </c>
      <c r="AC41" s="6">
        <f t="shared" si="6"/>
        <v>4603.2186199999996</v>
      </c>
      <c r="AD41" s="6">
        <f t="shared" si="2"/>
        <v>0</v>
      </c>
      <c r="AE41" s="6">
        <f t="shared" ca="1" si="7"/>
        <v>4352.5599874398067</v>
      </c>
      <c r="AF41" s="4" t="s">
        <v>809</v>
      </c>
    </row>
    <row r="42" spans="1:32" ht="11.25" customHeight="1" x14ac:dyDescent="0.25">
      <c r="A42" s="4" t="s">
        <v>21</v>
      </c>
      <c r="B42" s="4" t="s">
        <v>33</v>
      </c>
      <c r="C42" s="4" t="s">
        <v>34</v>
      </c>
      <c r="D42" s="4" t="s">
        <v>44</v>
      </c>
      <c r="E42" s="4" t="s">
        <v>53</v>
      </c>
      <c r="F42" s="4" t="s">
        <v>55</v>
      </c>
      <c r="G42" s="4" t="s">
        <v>25</v>
      </c>
      <c r="H42" s="4" t="s">
        <v>36</v>
      </c>
      <c r="I42" s="5">
        <v>44440</v>
      </c>
      <c r="J42" s="6">
        <v>0</v>
      </c>
      <c r="K42" s="6">
        <v>0</v>
      </c>
      <c r="L42" s="6">
        <v>42.274000000000001</v>
      </c>
      <c r="M42" s="6">
        <v>12.6822</v>
      </c>
      <c r="N42" s="6">
        <v>42.274000000000001</v>
      </c>
      <c r="O42" s="6">
        <v>12.6822</v>
      </c>
      <c r="P42" s="6">
        <v>0</v>
      </c>
      <c r="Q42" s="4" t="s">
        <v>26</v>
      </c>
      <c r="R42" s="4">
        <v>0</v>
      </c>
      <c r="S42" s="4">
        <v>0</v>
      </c>
      <c r="T42" s="4">
        <v>8</v>
      </c>
      <c r="U42" s="4">
        <v>49</v>
      </c>
      <c r="V42" s="6">
        <f>IF(ISERROR(VLOOKUP($S$42,'TAR FIN'!$A$1:$O$85,15,0)),0,VLOOKUP($S$42,'TAR FIN'!$A$1:$O$85,15,0))</f>
        <v>0</v>
      </c>
      <c r="W42" s="6">
        <f>IF(ISERROR(VLOOKUP($T$42,'TAR FIN'!$A$1:$O$85,15,0)),0,VLOOKUP($T$42,'TAR FIN'!$A$1:$O$85,15,0))</f>
        <v>65.61</v>
      </c>
      <c r="X42" s="6">
        <f>IF(ISERROR(VLOOKUP($U$42,'TAR FIN'!$A$1:$O$85,15,0)),0,VLOOKUP($U$42,'TAR FIN'!$A$1:$O$85,15,0))</f>
        <v>263.29000000000002</v>
      </c>
      <c r="Y42" s="6"/>
      <c r="Z42" s="6">
        <f ca="1">('TUSD BE'!$AM$12+'TUSD BF'!$AM$12+'TUSD CVA'!$AM$12)*1</f>
        <v>100.34646310857573</v>
      </c>
      <c r="AA42" s="6">
        <f>('TE BE'!$AA$6+'TE BF'!$AA$6+'TE CVA'!$AA$6)*1</f>
        <v>210.64397598313801</v>
      </c>
      <c r="AB42" s="6">
        <f t="shared" si="0"/>
        <v>0</v>
      </c>
      <c r="AC42" s="6">
        <f t="shared" si="6"/>
        <v>9732.7430199999999</v>
      </c>
      <c r="AD42" s="6">
        <f t="shared" si="2"/>
        <v>0</v>
      </c>
      <c r="AE42" s="6">
        <f t="shared" ca="1" si="7"/>
        <v>9202.7668755141749</v>
      </c>
      <c r="AF42" s="4" t="s">
        <v>809</v>
      </c>
    </row>
    <row r="43" spans="1:32" ht="11.25" customHeight="1" x14ac:dyDescent="0.25">
      <c r="A43" s="4" t="s">
        <v>21</v>
      </c>
      <c r="B43" s="4" t="s">
        <v>33</v>
      </c>
      <c r="C43" s="4" t="s">
        <v>34</v>
      </c>
      <c r="D43" s="4" t="s">
        <v>44</v>
      </c>
      <c r="E43" s="4" t="s">
        <v>53</v>
      </c>
      <c r="F43" s="4" t="s">
        <v>55</v>
      </c>
      <c r="G43" s="4" t="s">
        <v>25</v>
      </c>
      <c r="H43" s="4" t="s">
        <v>36</v>
      </c>
      <c r="I43" s="5">
        <v>44470</v>
      </c>
      <c r="J43" s="6">
        <v>0</v>
      </c>
      <c r="K43" s="6">
        <v>0</v>
      </c>
      <c r="L43" s="6">
        <v>2.4</v>
      </c>
      <c r="M43" s="6">
        <v>0.72</v>
      </c>
      <c r="N43" s="6">
        <v>2.4</v>
      </c>
      <c r="O43" s="6">
        <v>0.72</v>
      </c>
      <c r="P43" s="6">
        <v>0</v>
      </c>
      <c r="Q43" s="4" t="s">
        <v>26</v>
      </c>
      <c r="R43" s="4">
        <v>0</v>
      </c>
      <c r="S43" s="4">
        <v>0</v>
      </c>
      <c r="T43" s="4">
        <v>8</v>
      </c>
      <c r="U43" s="4">
        <v>49</v>
      </c>
      <c r="V43" s="6">
        <f>IF(ISERROR(VLOOKUP($S$43,'TAR FIN'!$A$1:$O$85,15,0)),0,VLOOKUP($S$43,'TAR FIN'!$A$1:$O$85,15,0))</f>
        <v>0</v>
      </c>
      <c r="W43" s="6">
        <f>IF(ISERROR(VLOOKUP($T$43,'TAR FIN'!$A$1:$O$85,15,0)),0,VLOOKUP($T$43,'TAR FIN'!$A$1:$O$85,15,0))</f>
        <v>65.61</v>
      </c>
      <c r="X43" s="6">
        <f>IF(ISERROR(VLOOKUP($U$43,'TAR FIN'!$A$1:$O$85,15,0)),0,VLOOKUP($U$43,'TAR FIN'!$A$1:$O$85,15,0))</f>
        <v>263.29000000000002</v>
      </c>
      <c r="Y43" s="6"/>
      <c r="Z43" s="6">
        <f ca="1">('TUSD BE'!$AM$12+'TUSD BF'!$AM$12+'TUSD CVA'!$AM$12)*1</f>
        <v>100.34646310857573</v>
      </c>
      <c r="AA43" s="6">
        <f>('TE BE'!$AA$6+'TE BF'!$AA$6+'TE CVA'!$AA$6)*1</f>
        <v>210.64397598313801</v>
      </c>
      <c r="AB43" s="6">
        <f t="shared" si="0"/>
        <v>0</v>
      </c>
      <c r="AC43" s="6">
        <f t="shared" si="6"/>
        <v>552.55200000000002</v>
      </c>
      <c r="AD43" s="6">
        <f t="shared" si="2"/>
        <v>0</v>
      </c>
      <c r="AE43" s="6">
        <f t="shared" ca="1" si="7"/>
        <v>522.46393767407903</v>
      </c>
      <c r="AF43" s="4" t="s">
        <v>809</v>
      </c>
    </row>
    <row r="44" spans="1:32" ht="11.25" customHeight="1" x14ac:dyDescent="0.25">
      <c r="A44" s="4" t="s">
        <v>21</v>
      </c>
      <c r="B44" s="4" t="s">
        <v>33</v>
      </c>
      <c r="C44" s="4" t="s">
        <v>34</v>
      </c>
      <c r="D44" s="4" t="s">
        <v>44</v>
      </c>
      <c r="E44" s="4" t="s">
        <v>53</v>
      </c>
      <c r="F44" s="4" t="s">
        <v>55</v>
      </c>
      <c r="G44" s="4" t="s">
        <v>25</v>
      </c>
      <c r="H44" s="4" t="s">
        <v>36</v>
      </c>
      <c r="I44" s="5">
        <v>44501</v>
      </c>
      <c r="J44" s="6">
        <v>0</v>
      </c>
      <c r="K44" s="6">
        <v>0</v>
      </c>
      <c r="L44" s="6">
        <v>3.2000000000000001E-2</v>
      </c>
      <c r="M44" s="6">
        <v>9.5999999999999992E-3</v>
      </c>
      <c r="N44" s="6">
        <v>3.2000000000000001E-2</v>
      </c>
      <c r="O44" s="6">
        <v>9.5999999999999992E-3</v>
      </c>
      <c r="P44" s="6">
        <v>0</v>
      </c>
      <c r="Q44" s="4" t="s">
        <v>26</v>
      </c>
      <c r="R44" s="4">
        <v>0</v>
      </c>
      <c r="S44" s="4">
        <v>0</v>
      </c>
      <c r="T44" s="4">
        <v>8</v>
      </c>
      <c r="U44" s="4">
        <v>49</v>
      </c>
      <c r="V44" s="6">
        <f>IF(ISERROR(VLOOKUP($S$44,'TAR FIN'!$A$1:$O$85,15,0)),0,VLOOKUP($S$44,'TAR FIN'!$A$1:$O$85,15,0))</f>
        <v>0</v>
      </c>
      <c r="W44" s="6">
        <f>IF(ISERROR(VLOOKUP($T$44,'TAR FIN'!$A$1:$O$85,15,0)),0,VLOOKUP($T$44,'TAR FIN'!$A$1:$O$85,15,0))</f>
        <v>65.61</v>
      </c>
      <c r="X44" s="6">
        <f>IF(ISERROR(VLOOKUP($U$44,'TAR FIN'!$A$1:$O$85,15,0)),0,VLOOKUP($U$44,'TAR FIN'!$A$1:$O$85,15,0))</f>
        <v>263.29000000000002</v>
      </c>
      <c r="Y44" s="6"/>
      <c r="Z44" s="6">
        <f ca="1">('TUSD BE'!$AM$12+'TUSD BF'!$AM$12+'TUSD CVA'!$AM$12)*1</f>
        <v>100.34646310857573</v>
      </c>
      <c r="AA44" s="6">
        <f>('TE BE'!$AA$6+'TE BF'!$AA$6+'TE CVA'!$AA$6)*1</f>
        <v>210.64397598313801</v>
      </c>
      <c r="AB44" s="6">
        <f t="shared" si="0"/>
        <v>0</v>
      </c>
      <c r="AC44" s="6">
        <f t="shared" si="6"/>
        <v>7.3673600000000015</v>
      </c>
      <c r="AD44" s="6">
        <f t="shared" si="2"/>
        <v>0</v>
      </c>
      <c r="AE44" s="6">
        <f t="shared" ca="1" si="7"/>
        <v>6.9661858356543886</v>
      </c>
      <c r="AF44" s="4" t="s">
        <v>809</v>
      </c>
    </row>
    <row r="45" spans="1:32" ht="11.25" customHeight="1" x14ac:dyDescent="0.25">
      <c r="A45" s="4" t="s">
        <v>21</v>
      </c>
      <c r="B45" s="4" t="s">
        <v>33</v>
      </c>
      <c r="C45" s="4" t="s">
        <v>34</v>
      </c>
      <c r="D45" s="4" t="s">
        <v>44</v>
      </c>
      <c r="E45" s="4" t="s">
        <v>53</v>
      </c>
      <c r="F45" s="4" t="s">
        <v>55</v>
      </c>
      <c r="G45" s="4" t="s">
        <v>25</v>
      </c>
      <c r="H45" s="4" t="s">
        <v>36</v>
      </c>
      <c r="I45" s="5">
        <v>44531</v>
      </c>
      <c r="J45" s="6">
        <v>0</v>
      </c>
      <c r="K45" s="6">
        <v>0</v>
      </c>
      <c r="L45" s="6">
        <v>6.6000000000000003E-2</v>
      </c>
      <c r="M45" s="6">
        <v>1.9800000000000002E-2</v>
      </c>
      <c r="N45" s="6">
        <v>6.6000000000000003E-2</v>
      </c>
      <c r="O45" s="6">
        <v>1.9800000000000002E-2</v>
      </c>
      <c r="P45" s="6">
        <v>0</v>
      </c>
      <c r="Q45" s="4" t="s">
        <v>26</v>
      </c>
      <c r="R45" s="4">
        <v>0</v>
      </c>
      <c r="S45" s="4">
        <v>0</v>
      </c>
      <c r="T45" s="4">
        <v>8</v>
      </c>
      <c r="U45" s="4">
        <v>49</v>
      </c>
      <c r="V45" s="6">
        <f>IF(ISERROR(VLOOKUP($S$45,'TAR FIN'!$A$1:$O$85,15,0)),0,VLOOKUP($S$45,'TAR FIN'!$A$1:$O$85,15,0))</f>
        <v>0</v>
      </c>
      <c r="W45" s="6">
        <f>IF(ISERROR(VLOOKUP($T$45,'TAR FIN'!$A$1:$O$85,15,0)),0,VLOOKUP($T$45,'TAR FIN'!$A$1:$O$85,15,0))</f>
        <v>65.61</v>
      </c>
      <c r="X45" s="6">
        <f>IF(ISERROR(VLOOKUP($U$45,'TAR FIN'!$A$1:$O$85,15,0)),0,VLOOKUP($U$45,'TAR FIN'!$A$1:$O$85,15,0))</f>
        <v>263.29000000000002</v>
      </c>
      <c r="Y45" s="6"/>
      <c r="Z45" s="6">
        <f ca="1">('TUSD BE'!$AM$12+'TUSD BF'!$AM$12+'TUSD CVA'!$AM$12)*1</f>
        <v>100.34646310857573</v>
      </c>
      <c r="AA45" s="6">
        <f>('TE BE'!$AA$6+'TE BF'!$AA$6+'TE CVA'!$AA$6)*1</f>
        <v>210.64397598313801</v>
      </c>
      <c r="AB45" s="6">
        <f t="shared" si="0"/>
        <v>0</v>
      </c>
      <c r="AC45" s="6">
        <f t="shared" si="6"/>
        <v>15.195180000000004</v>
      </c>
      <c r="AD45" s="6">
        <f t="shared" si="2"/>
        <v>0</v>
      </c>
      <c r="AE45" s="6">
        <f t="shared" ca="1" si="7"/>
        <v>14.367758286037176</v>
      </c>
      <c r="AF45" s="4" t="s">
        <v>809</v>
      </c>
    </row>
    <row r="46" spans="1:32" ht="11.25" customHeight="1" x14ac:dyDescent="0.25">
      <c r="A46" s="4" t="s">
        <v>21</v>
      </c>
      <c r="B46" s="4" t="s">
        <v>33</v>
      </c>
      <c r="C46" s="4" t="s">
        <v>34</v>
      </c>
      <c r="D46" s="4" t="s">
        <v>44</v>
      </c>
      <c r="E46" s="4" t="s">
        <v>53</v>
      </c>
      <c r="F46" s="4" t="s">
        <v>55</v>
      </c>
      <c r="G46" s="4" t="s">
        <v>25</v>
      </c>
      <c r="H46" s="4" t="s">
        <v>36</v>
      </c>
      <c r="I46" s="5">
        <v>44562</v>
      </c>
      <c r="J46" s="6">
        <v>0</v>
      </c>
      <c r="K46" s="6">
        <v>0</v>
      </c>
      <c r="L46" s="6">
        <v>0.10199999999999999</v>
      </c>
      <c r="M46" s="6">
        <v>3.0599999999999999E-2</v>
      </c>
      <c r="N46" s="6">
        <v>0.10199999999999999</v>
      </c>
      <c r="O46" s="6">
        <v>3.0599999999999999E-2</v>
      </c>
      <c r="P46" s="6">
        <v>0</v>
      </c>
      <c r="Q46" s="4" t="s">
        <v>26</v>
      </c>
      <c r="R46" s="4">
        <v>0</v>
      </c>
      <c r="S46" s="4">
        <v>0</v>
      </c>
      <c r="T46" s="4">
        <v>8</v>
      </c>
      <c r="U46" s="4">
        <v>49</v>
      </c>
      <c r="V46" s="6">
        <f>IF(ISERROR(VLOOKUP($S$46,'TAR FIN'!$A$1:$O$85,15,0)),0,VLOOKUP($S$46,'TAR FIN'!$A$1:$O$85,15,0))</f>
        <v>0</v>
      </c>
      <c r="W46" s="6">
        <f>IF(ISERROR(VLOOKUP($T$46,'TAR FIN'!$A$1:$O$85,15,0)),0,VLOOKUP($T$46,'TAR FIN'!$A$1:$O$85,15,0))</f>
        <v>65.61</v>
      </c>
      <c r="X46" s="6">
        <f>IF(ISERROR(VLOOKUP($U$46,'TAR FIN'!$A$1:$O$85,15,0)),0,VLOOKUP($U$46,'TAR FIN'!$A$1:$O$85,15,0))</f>
        <v>263.29000000000002</v>
      </c>
      <c r="Y46" s="6"/>
      <c r="Z46" s="6">
        <f ca="1">('TUSD BE'!$AM$12+'TUSD BF'!$AM$12+'TUSD CVA'!$AM$12)*1</f>
        <v>100.34646310857573</v>
      </c>
      <c r="AA46" s="6">
        <f>('TE BE'!$AA$6+'TE BF'!$AA$6+'TE CVA'!$AA$6)*1</f>
        <v>210.64397598313801</v>
      </c>
      <c r="AB46" s="6">
        <f t="shared" si="0"/>
        <v>0</v>
      </c>
      <c r="AC46" s="6">
        <f t="shared" si="6"/>
        <v>23.483459999999997</v>
      </c>
      <c r="AD46" s="6">
        <f t="shared" si="2"/>
        <v>0</v>
      </c>
      <c r="AE46" s="6">
        <f t="shared" ca="1" si="7"/>
        <v>22.204717351148361</v>
      </c>
      <c r="AF46" s="4" t="s">
        <v>809</v>
      </c>
    </row>
    <row r="47" spans="1:32" ht="11.25" customHeight="1" x14ac:dyDescent="0.25">
      <c r="A47" s="4" t="s">
        <v>21</v>
      </c>
      <c r="B47" s="4" t="s">
        <v>33</v>
      </c>
      <c r="C47" s="4" t="s">
        <v>34</v>
      </c>
      <c r="D47" s="4" t="s">
        <v>44</v>
      </c>
      <c r="E47" s="4" t="s">
        <v>53</v>
      </c>
      <c r="F47" s="4" t="s">
        <v>55</v>
      </c>
      <c r="G47" s="4" t="s">
        <v>25</v>
      </c>
      <c r="H47" s="4" t="s">
        <v>36</v>
      </c>
      <c r="I47" s="5">
        <v>44593</v>
      </c>
      <c r="J47" s="6">
        <v>0</v>
      </c>
      <c r="K47" s="6">
        <v>0</v>
      </c>
      <c r="L47" s="6">
        <v>0.25700000000000001</v>
      </c>
      <c r="M47" s="6">
        <v>7.7100000000000002E-2</v>
      </c>
      <c r="N47" s="6">
        <v>0.25700000000000001</v>
      </c>
      <c r="O47" s="6">
        <v>7.7100000000000002E-2</v>
      </c>
      <c r="P47" s="6">
        <v>0</v>
      </c>
      <c r="Q47" s="4" t="s">
        <v>26</v>
      </c>
      <c r="R47" s="4">
        <v>0</v>
      </c>
      <c r="S47" s="4">
        <v>0</v>
      </c>
      <c r="T47" s="4">
        <v>8</v>
      </c>
      <c r="U47" s="4">
        <v>49</v>
      </c>
      <c r="V47" s="6">
        <f>IF(ISERROR(VLOOKUP($S$47,'TAR FIN'!$A$1:$O$85,15,0)),0,VLOOKUP($S$47,'TAR FIN'!$A$1:$O$85,15,0))</f>
        <v>0</v>
      </c>
      <c r="W47" s="6">
        <f>IF(ISERROR(VLOOKUP($T$47,'TAR FIN'!$A$1:$O$85,15,0)),0,VLOOKUP($T$47,'TAR FIN'!$A$1:$O$85,15,0))</f>
        <v>65.61</v>
      </c>
      <c r="X47" s="6">
        <f>IF(ISERROR(VLOOKUP($U$47,'TAR FIN'!$A$1:$O$85,15,0)),0,VLOOKUP($U$47,'TAR FIN'!$A$1:$O$85,15,0))</f>
        <v>263.29000000000002</v>
      </c>
      <c r="Y47" s="6"/>
      <c r="Z47" s="6">
        <f ca="1">('TUSD BE'!$AM$12+'TUSD BF'!$AM$12+'TUSD CVA'!$AM$12)*1</f>
        <v>100.34646310857573</v>
      </c>
      <c r="AA47" s="6">
        <f>('TE BE'!$AA$6+'TE BF'!$AA$6+'TE CVA'!$AA$6)*1</f>
        <v>210.64397598313801</v>
      </c>
      <c r="AB47" s="6">
        <f t="shared" si="0"/>
        <v>0</v>
      </c>
      <c r="AC47" s="6">
        <f t="shared" si="6"/>
        <v>59.169110000000003</v>
      </c>
      <c r="AD47" s="6">
        <f t="shared" si="2"/>
        <v>0</v>
      </c>
      <c r="AE47" s="6">
        <f t="shared" ca="1" si="7"/>
        <v>55.947179992599303</v>
      </c>
      <c r="AF47" s="4" t="s">
        <v>809</v>
      </c>
    </row>
    <row r="48" spans="1:32" ht="11.25" customHeight="1" x14ac:dyDescent="0.25">
      <c r="A48" s="4" t="s">
        <v>21</v>
      </c>
      <c r="B48" s="4" t="s">
        <v>33</v>
      </c>
      <c r="C48" s="4" t="s">
        <v>34</v>
      </c>
      <c r="D48" s="4" t="s">
        <v>44</v>
      </c>
      <c r="E48" s="4" t="s">
        <v>53</v>
      </c>
      <c r="F48" s="4" t="s">
        <v>55</v>
      </c>
      <c r="G48" s="4" t="s">
        <v>25</v>
      </c>
      <c r="H48" s="4" t="s">
        <v>36</v>
      </c>
      <c r="I48" s="5">
        <v>44621</v>
      </c>
      <c r="J48" s="6">
        <v>0</v>
      </c>
      <c r="K48" s="6">
        <v>0</v>
      </c>
      <c r="L48" s="6">
        <v>3.399</v>
      </c>
      <c r="M48" s="6">
        <v>1.0197000000000001</v>
      </c>
      <c r="N48" s="6">
        <v>3.399</v>
      </c>
      <c r="O48" s="6">
        <v>1.0197000000000001</v>
      </c>
      <c r="P48" s="6">
        <v>0</v>
      </c>
      <c r="Q48" s="4" t="s">
        <v>26</v>
      </c>
      <c r="R48" s="4">
        <v>0</v>
      </c>
      <c r="S48" s="4">
        <v>0</v>
      </c>
      <c r="T48" s="4">
        <v>8</v>
      </c>
      <c r="U48" s="4">
        <v>49</v>
      </c>
      <c r="V48" s="6">
        <f>IF(ISERROR(VLOOKUP($S$48,'TAR FIN'!$A$1:$O$85,15,0)),0,VLOOKUP($S$48,'TAR FIN'!$A$1:$O$85,15,0))</f>
        <v>0</v>
      </c>
      <c r="W48" s="6">
        <f>IF(ISERROR(VLOOKUP($T$48,'TAR FIN'!$A$1:$O$85,15,0)),0,VLOOKUP($T$48,'TAR FIN'!$A$1:$O$85,15,0))</f>
        <v>65.61</v>
      </c>
      <c r="X48" s="6">
        <f>IF(ISERROR(VLOOKUP($U$48,'TAR FIN'!$A$1:$O$85,15,0)),0,VLOOKUP($U$48,'TAR FIN'!$A$1:$O$85,15,0))</f>
        <v>263.29000000000002</v>
      </c>
      <c r="Y48" s="6"/>
      <c r="Z48" s="6">
        <f ca="1">('TUSD BE'!$AM$12+'TUSD BF'!$AM$12+'TUSD CVA'!$AM$12)*1</f>
        <v>100.34646310857573</v>
      </c>
      <c r="AA48" s="6">
        <f>('TE BE'!$AA$6+'TE BF'!$AA$6+'TE CVA'!$AA$6)*1</f>
        <v>210.64397598313801</v>
      </c>
      <c r="AB48" s="6">
        <f t="shared" si="0"/>
        <v>0</v>
      </c>
      <c r="AC48" s="6">
        <f t="shared" si="6"/>
        <v>782.55176999999992</v>
      </c>
      <c r="AD48" s="6">
        <f t="shared" si="2"/>
        <v>0</v>
      </c>
      <c r="AE48" s="6">
        <f t="shared" ca="1" si="7"/>
        <v>739.93955173091445</v>
      </c>
      <c r="AF48" s="4" t="s">
        <v>809</v>
      </c>
    </row>
    <row r="49" spans="1:32" ht="11.25" customHeight="1" x14ac:dyDescent="0.25">
      <c r="A49" s="4" t="s">
        <v>21</v>
      </c>
      <c r="B49" s="4" t="s">
        <v>33</v>
      </c>
      <c r="C49" s="4" t="s">
        <v>34</v>
      </c>
      <c r="D49" s="4" t="s">
        <v>44</v>
      </c>
      <c r="E49" s="4" t="s">
        <v>53</v>
      </c>
      <c r="F49" s="4" t="s">
        <v>55</v>
      </c>
      <c r="G49" s="4" t="s">
        <v>25</v>
      </c>
      <c r="H49" s="4" t="s">
        <v>36</v>
      </c>
      <c r="I49" s="5">
        <v>44652</v>
      </c>
      <c r="J49" s="6">
        <v>0</v>
      </c>
      <c r="K49" s="6">
        <v>0</v>
      </c>
      <c r="L49" s="6">
        <v>5.7000000000000002E-2</v>
      </c>
      <c r="M49" s="6">
        <v>1.7100000000000001E-2</v>
      </c>
      <c r="N49" s="6">
        <v>5.7000000000000002E-2</v>
      </c>
      <c r="O49" s="6">
        <v>1.7100000000000001E-2</v>
      </c>
      <c r="P49" s="6">
        <v>0</v>
      </c>
      <c r="Q49" s="4" t="s">
        <v>26</v>
      </c>
      <c r="R49" s="4">
        <v>0</v>
      </c>
      <c r="S49" s="4">
        <v>0</v>
      </c>
      <c r="T49" s="4">
        <v>8</v>
      </c>
      <c r="U49" s="4">
        <v>49</v>
      </c>
      <c r="V49" s="6">
        <f>IF(ISERROR(VLOOKUP($S$49,'TAR FIN'!$A$1:$O$85,15,0)),0,VLOOKUP($S$49,'TAR FIN'!$A$1:$O$85,15,0))</f>
        <v>0</v>
      </c>
      <c r="W49" s="6">
        <f>IF(ISERROR(VLOOKUP($T$49,'TAR FIN'!$A$1:$O$85,15,0)),0,VLOOKUP($T$49,'TAR FIN'!$A$1:$O$85,15,0))</f>
        <v>65.61</v>
      </c>
      <c r="X49" s="6">
        <f>IF(ISERROR(VLOOKUP($U$49,'TAR FIN'!$A$1:$O$85,15,0)),0,VLOOKUP($U$49,'TAR FIN'!$A$1:$O$85,15,0))</f>
        <v>263.29000000000002</v>
      </c>
      <c r="Y49" s="6"/>
      <c r="Z49" s="6">
        <f ca="1">('TUSD BE'!$AM$12+'TUSD BF'!$AM$12+'TUSD CVA'!$AM$12)*1</f>
        <v>100.34646310857573</v>
      </c>
      <c r="AA49" s="6">
        <f>('TE BE'!$AA$6+'TE BF'!$AA$6+'TE CVA'!$AA$6)*1</f>
        <v>210.64397598313801</v>
      </c>
      <c r="AB49" s="6">
        <f t="shared" si="0"/>
        <v>0</v>
      </c>
      <c r="AC49" s="6">
        <f t="shared" si="6"/>
        <v>13.123110000000002</v>
      </c>
      <c r="AD49" s="6">
        <f t="shared" si="2"/>
        <v>0</v>
      </c>
      <c r="AE49" s="6">
        <f t="shared" ca="1" si="7"/>
        <v>12.408518519759379</v>
      </c>
      <c r="AF49" s="4" t="s">
        <v>809</v>
      </c>
    </row>
    <row r="50" spans="1:32" ht="11.25" customHeight="1" x14ac:dyDescent="0.25">
      <c r="A50" s="4" t="s">
        <v>21</v>
      </c>
      <c r="B50" s="4" t="s">
        <v>33</v>
      </c>
      <c r="C50" s="4" t="s">
        <v>34</v>
      </c>
      <c r="D50" s="4" t="s">
        <v>44</v>
      </c>
      <c r="E50" s="4" t="s">
        <v>53</v>
      </c>
      <c r="F50" s="4" t="s">
        <v>25</v>
      </c>
      <c r="G50" s="4" t="s">
        <v>25</v>
      </c>
      <c r="H50" s="4" t="s">
        <v>36</v>
      </c>
      <c r="I50" s="5">
        <v>44317</v>
      </c>
      <c r="J50" s="6">
        <v>0</v>
      </c>
      <c r="K50" s="77">
        <v>0</v>
      </c>
      <c r="L50" s="6">
        <v>81.334000000000003</v>
      </c>
      <c r="M50" s="77">
        <v>81.334000000000003</v>
      </c>
      <c r="N50" s="6">
        <v>81.334000000000003</v>
      </c>
      <c r="O50" s="77">
        <v>81.334000000000003</v>
      </c>
      <c r="P50" s="6">
        <v>0</v>
      </c>
      <c r="Q50" s="4" t="s">
        <v>26</v>
      </c>
      <c r="R50" s="4">
        <v>0</v>
      </c>
      <c r="S50" s="4">
        <v>0</v>
      </c>
      <c r="T50" s="4">
        <v>8</v>
      </c>
      <c r="U50" s="4">
        <v>49</v>
      </c>
      <c r="V50" s="77">
        <f>IF(ISERROR(VLOOKUP($S$50,'TAR FIN'!$A$1:$O$85,15,0)),0,VLOOKUP($S$50,'TAR FIN'!$A$1:$O$85,15,0))</f>
        <v>0</v>
      </c>
      <c r="W50" s="77">
        <f>IF(ISERROR(VLOOKUP($T$50,'TAR FIN'!$A$1:$O$85,15,0)),0,VLOOKUP($T$50,'TAR FIN'!$A$1:$O$85,15,0))*(1-0.04)</f>
        <v>62.985599999999998</v>
      </c>
      <c r="X50" s="77">
        <f>IF(ISERROR(VLOOKUP($U$50,'TAR FIN'!$A$1:$O$85,15,0)),0,VLOOKUP($U$50,'TAR FIN'!$A$1:$O$85,15,0))*(1-0.04)</f>
        <v>252.75840000000002</v>
      </c>
      <c r="Y50" s="77"/>
      <c r="Z50" s="77">
        <f ca="1">('TUSD BE'!$AM$12+'TUSD BF'!$AM$12+'TUSD CVA'!$AM$12)*1*(1-0.02)</f>
        <v>98.339533846404223</v>
      </c>
      <c r="AA50" s="77">
        <f>('TE BE'!$AA$6+'TE BF'!$AA$6+'TE CVA'!$AA$6)*1*(1-0.02)</f>
        <v>206.43109646347523</v>
      </c>
      <c r="AB50" s="77">
        <f>(SUBSIDIO!$J$50*SUBSIDIO!$V$50)*(0.04)/(1-0.04)</f>
        <v>0</v>
      </c>
      <c r="AC50" s="77">
        <f>((SUBSIDIO!$L$50*SUBSIDIO!$W$50)+(SUBSIDIO!$N$50*SUBSIDIO!$X$50))*(0.04)/(1-0.04)</f>
        <v>1070.0301040000002</v>
      </c>
      <c r="AD50" s="77">
        <f>(SUBSIDIO!$J$50*SUBSIDIO!$Y$50)*(0.02)/(1-0.02)</f>
        <v>0</v>
      </c>
      <c r="AE50" s="77">
        <f ca="1">((SUBSIDIO!$L$50*SUBSIDIO!$Z$50)+(SUBSIDIO!$N$50*SUBSIDIO!$AA$50))*(0.02)/(1-0.02)</f>
        <v>505.88192746170893</v>
      </c>
      <c r="AF50" s="4" t="s">
        <v>808</v>
      </c>
    </row>
    <row r="51" spans="1:32" ht="11.25" customHeight="1" x14ac:dyDescent="0.25">
      <c r="A51" s="4" t="s">
        <v>21</v>
      </c>
      <c r="B51" s="4" t="s">
        <v>33</v>
      </c>
      <c r="C51" s="4" t="s">
        <v>34</v>
      </c>
      <c r="D51" s="4" t="s">
        <v>44</v>
      </c>
      <c r="E51" s="4" t="s">
        <v>53</v>
      </c>
      <c r="F51" s="4" t="s">
        <v>25</v>
      </c>
      <c r="G51" s="4" t="s">
        <v>25</v>
      </c>
      <c r="H51" s="4" t="s">
        <v>36</v>
      </c>
      <c r="I51" s="5">
        <v>44348</v>
      </c>
      <c r="J51" s="6">
        <v>0</v>
      </c>
      <c r="K51" s="77">
        <v>0</v>
      </c>
      <c r="L51" s="6">
        <v>26.411000000000001</v>
      </c>
      <c r="M51" s="77">
        <v>26.411000000000001</v>
      </c>
      <c r="N51" s="6">
        <v>26.411000000000001</v>
      </c>
      <c r="O51" s="77">
        <v>26.411000000000001</v>
      </c>
      <c r="P51" s="6">
        <v>0</v>
      </c>
      <c r="Q51" s="4" t="s">
        <v>26</v>
      </c>
      <c r="R51" s="4">
        <v>0</v>
      </c>
      <c r="S51" s="4">
        <v>0</v>
      </c>
      <c r="T51" s="4">
        <v>8</v>
      </c>
      <c r="U51" s="4">
        <v>49</v>
      </c>
      <c r="V51" s="77">
        <f>IF(ISERROR(VLOOKUP($S$51,'TAR FIN'!$A$1:$O$85,15,0)),0,VLOOKUP($S$51,'TAR FIN'!$A$1:$O$85,15,0))</f>
        <v>0</v>
      </c>
      <c r="W51" s="77">
        <f>IF(ISERROR(VLOOKUP($T$51,'TAR FIN'!$A$1:$O$85,15,0)),0,VLOOKUP($T$51,'TAR FIN'!$A$1:$O$85,15,0))*(1-0.04)</f>
        <v>62.985599999999998</v>
      </c>
      <c r="X51" s="77">
        <f>IF(ISERROR(VLOOKUP($U$51,'TAR FIN'!$A$1:$O$85,15,0)),0,VLOOKUP($U$51,'TAR FIN'!$A$1:$O$85,15,0))*(1-0.04)</f>
        <v>252.75840000000002</v>
      </c>
      <c r="Y51" s="77"/>
      <c r="Z51" s="77">
        <f ca="1">('TUSD BE'!$AM$12+'TUSD BF'!$AM$12+'TUSD CVA'!$AM$12)*1*(1-0.02)</f>
        <v>98.339533846404223</v>
      </c>
      <c r="AA51" s="77">
        <f>('TE BE'!$AA$6+'TE BF'!$AA$6+'TE CVA'!$AA$6)*1*(1-0.02)</f>
        <v>206.43109646347523</v>
      </c>
      <c r="AB51" s="77">
        <f>(SUBSIDIO!$J$51*SUBSIDIO!$V$51)*(0.04)/(1-0.04)</f>
        <v>0</v>
      </c>
      <c r="AC51" s="77">
        <f>((SUBSIDIO!$L$51*SUBSIDIO!$W$51)+(SUBSIDIO!$N$51*SUBSIDIO!$X$51))*(0.04)/(1-0.04)</f>
        <v>347.46311600000007</v>
      </c>
      <c r="AD51" s="77">
        <f>(SUBSIDIO!$J$51*SUBSIDIO!$Y$51)*(0.02)/(1-0.02)</f>
        <v>0</v>
      </c>
      <c r="AE51" s="77">
        <f ca="1">((SUBSIDIO!$L$51*SUBSIDIO!$Z$51)+(SUBSIDIO!$N$51*SUBSIDIO!$AA$51))*(0.02)/(1-0.02)</f>
        <v>164.27136973702503</v>
      </c>
      <c r="AF51" s="4" t="s">
        <v>808</v>
      </c>
    </row>
    <row r="52" spans="1:32" ht="11.25" customHeight="1" x14ac:dyDescent="0.25">
      <c r="A52" s="4" t="s">
        <v>21</v>
      </c>
      <c r="B52" s="4" t="s">
        <v>33</v>
      </c>
      <c r="C52" s="4" t="s">
        <v>34</v>
      </c>
      <c r="D52" s="4" t="s">
        <v>44</v>
      </c>
      <c r="E52" s="4" t="s">
        <v>53</v>
      </c>
      <c r="F52" s="4" t="s">
        <v>25</v>
      </c>
      <c r="G52" s="4" t="s">
        <v>25</v>
      </c>
      <c r="H52" s="4" t="s">
        <v>36</v>
      </c>
      <c r="I52" s="5">
        <v>44378</v>
      </c>
      <c r="J52" s="6">
        <v>0</v>
      </c>
      <c r="K52" s="77">
        <v>0</v>
      </c>
      <c r="L52" s="6">
        <v>42.161000000000001</v>
      </c>
      <c r="M52" s="77">
        <v>42.161000000000001</v>
      </c>
      <c r="N52" s="6">
        <v>42.161000000000001</v>
      </c>
      <c r="O52" s="77">
        <v>42.161000000000001</v>
      </c>
      <c r="P52" s="6">
        <v>0</v>
      </c>
      <c r="Q52" s="4" t="s">
        <v>26</v>
      </c>
      <c r="R52" s="4">
        <v>0</v>
      </c>
      <c r="S52" s="4">
        <v>0</v>
      </c>
      <c r="T52" s="4">
        <v>8</v>
      </c>
      <c r="U52" s="4">
        <v>49</v>
      </c>
      <c r="V52" s="77">
        <f>IF(ISERROR(VLOOKUP($S$52,'TAR FIN'!$A$1:$O$85,15,0)),0,VLOOKUP($S$52,'TAR FIN'!$A$1:$O$85,15,0))</f>
        <v>0</v>
      </c>
      <c r="W52" s="77">
        <f>IF(ISERROR(VLOOKUP($T$52,'TAR FIN'!$A$1:$O$85,15,0)),0,VLOOKUP($T$52,'TAR FIN'!$A$1:$O$85,15,0))*(1-0.04)</f>
        <v>62.985599999999998</v>
      </c>
      <c r="X52" s="77">
        <f>IF(ISERROR(VLOOKUP($U$52,'TAR FIN'!$A$1:$O$85,15,0)),0,VLOOKUP($U$52,'TAR FIN'!$A$1:$O$85,15,0))*(1-0.04)</f>
        <v>252.75840000000002</v>
      </c>
      <c r="Y52" s="77"/>
      <c r="Z52" s="77">
        <f ca="1">('TUSD BE'!$AM$12+'TUSD BF'!$AM$12+'TUSD CVA'!$AM$12)*1*(1-0.02)</f>
        <v>98.339533846404223</v>
      </c>
      <c r="AA52" s="77">
        <f>('TE BE'!$AA$6+'TE BF'!$AA$6+'TE CVA'!$AA$6)*1*(1-0.02)</f>
        <v>206.43109646347523</v>
      </c>
      <c r="AB52" s="77">
        <f>(SUBSIDIO!$J$52*SUBSIDIO!$V$52)*(0.04)/(1-0.04)</f>
        <v>0</v>
      </c>
      <c r="AC52" s="77">
        <f>((SUBSIDIO!$L$52*SUBSIDIO!$W$52)+(SUBSIDIO!$N$52*SUBSIDIO!$X$52))*(0.04)/(1-0.04)</f>
        <v>554.67011600000012</v>
      </c>
      <c r="AD52" s="77">
        <f>(SUBSIDIO!$J$52*SUBSIDIO!$Y$52)*(0.02)/(1-0.02)</f>
        <v>0</v>
      </c>
      <c r="AE52" s="77">
        <f ca="1">((SUBSIDIO!$L$52*SUBSIDIO!$Z$52)+(SUBSIDIO!$N$52*SUBSIDIO!$AA$52))*(0.02)/(1-0.02)</f>
        <v>262.23335805091483</v>
      </c>
      <c r="AF52" s="4" t="s">
        <v>808</v>
      </c>
    </row>
    <row r="53" spans="1:32" ht="11.25" customHeight="1" x14ac:dyDescent="0.25">
      <c r="A53" s="4" t="s">
        <v>21</v>
      </c>
      <c r="B53" s="4" t="s">
        <v>33</v>
      </c>
      <c r="C53" s="4" t="s">
        <v>34</v>
      </c>
      <c r="D53" s="4" t="s">
        <v>44</v>
      </c>
      <c r="E53" s="4" t="s">
        <v>53</v>
      </c>
      <c r="F53" s="4" t="s">
        <v>25</v>
      </c>
      <c r="G53" s="4" t="s">
        <v>25</v>
      </c>
      <c r="H53" s="4" t="s">
        <v>36</v>
      </c>
      <c r="I53" s="5">
        <v>44409</v>
      </c>
      <c r="J53" s="6">
        <v>0</v>
      </c>
      <c r="K53" s="77">
        <v>0</v>
      </c>
      <c r="L53" s="6">
        <v>63.097000000000001</v>
      </c>
      <c r="M53" s="77">
        <v>63.097000000000001</v>
      </c>
      <c r="N53" s="6">
        <v>63.097000000000001</v>
      </c>
      <c r="O53" s="77">
        <v>63.097000000000001</v>
      </c>
      <c r="P53" s="6">
        <v>0</v>
      </c>
      <c r="Q53" s="4" t="s">
        <v>26</v>
      </c>
      <c r="R53" s="4">
        <v>0</v>
      </c>
      <c r="S53" s="4">
        <v>0</v>
      </c>
      <c r="T53" s="4">
        <v>8</v>
      </c>
      <c r="U53" s="4">
        <v>49</v>
      </c>
      <c r="V53" s="77">
        <f>IF(ISERROR(VLOOKUP($S$53,'TAR FIN'!$A$1:$O$85,15,0)),0,VLOOKUP($S$53,'TAR FIN'!$A$1:$O$85,15,0))</f>
        <v>0</v>
      </c>
      <c r="W53" s="77">
        <f>IF(ISERROR(VLOOKUP($T$53,'TAR FIN'!$A$1:$O$85,15,0)),0,VLOOKUP($T$53,'TAR FIN'!$A$1:$O$85,15,0))*(1-0.04)</f>
        <v>62.985599999999998</v>
      </c>
      <c r="X53" s="77">
        <f>IF(ISERROR(VLOOKUP($U$53,'TAR FIN'!$A$1:$O$85,15,0)),0,VLOOKUP($U$53,'TAR FIN'!$A$1:$O$85,15,0))*(1-0.04)</f>
        <v>252.75840000000002</v>
      </c>
      <c r="Y53" s="77"/>
      <c r="Z53" s="77">
        <f ca="1">('TUSD BE'!$AM$12+'TUSD BF'!$AM$12+'TUSD CVA'!$AM$12)*1*(1-0.02)</f>
        <v>98.339533846404223</v>
      </c>
      <c r="AA53" s="77">
        <f>('TE BE'!$AA$6+'TE BF'!$AA$6+'TE CVA'!$AA$6)*1*(1-0.02)</f>
        <v>206.43109646347523</v>
      </c>
      <c r="AB53" s="77">
        <f>(SUBSIDIO!$J$53*SUBSIDIO!$V$53)*(0.04)/(1-0.04)</f>
        <v>0</v>
      </c>
      <c r="AC53" s="77">
        <f>((SUBSIDIO!$L$53*SUBSIDIO!$W$53)+(SUBSIDIO!$N$53*SUBSIDIO!$X$53))*(0.04)/(1-0.04)</f>
        <v>830.10413200000005</v>
      </c>
      <c r="AD53" s="77">
        <f>(SUBSIDIO!$J$53*SUBSIDIO!$Y$53)*(0.02)/(1-0.02)</f>
        <v>0</v>
      </c>
      <c r="AE53" s="77">
        <f ca="1">((SUBSIDIO!$L$53*SUBSIDIO!$Z$53)+(SUBSIDIO!$N$53*SUBSIDIO!$AA$53))*(0.02)/(1-0.02)</f>
        <v>392.45127470739726</v>
      </c>
      <c r="AF53" s="4" t="s">
        <v>808</v>
      </c>
    </row>
    <row r="54" spans="1:32" ht="11.25" customHeight="1" x14ac:dyDescent="0.25">
      <c r="A54" s="4" t="s">
        <v>21</v>
      </c>
      <c r="B54" s="4" t="s">
        <v>33</v>
      </c>
      <c r="C54" s="4" t="s">
        <v>34</v>
      </c>
      <c r="D54" s="4" t="s">
        <v>44</v>
      </c>
      <c r="E54" s="4" t="s">
        <v>53</v>
      </c>
      <c r="F54" s="4" t="s">
        <v>25</v>
      </c>
      <c r="G54" s="4" t="s">
        <v>25</v>
      </c>
      <c r="H54" s="4" t="s">
        <v>36</v>
      </c>
      <c r="I54" s="5">
        <v>44440</v>
      </c>
      <c r="J54" s="6">
        <v>0</v>
      </c>
      <c r="K54" s="77">
        <v>0</v>
      </c>
      <c r="L54" s="6">
        <v>77.786000000000001</v>
      </c>
      <c r="M54" s="77">
        <v>77.786000000000001</v>
      </c>
      <c r="N54" s="6">
        <v>77.786000000000001</v>
      </c>
      <c r="O54" s="77">
        <v>77.786000000000001</v>
      </c>
      <c r="P54" s="6">
        <v>0</v>
      </c>
      <c r="Q54" s="4" t="s">
        <v>26</v>
      </c>
      <c r="R54" s="4">
        <v>0</v>
      </c>
      <c r="S54" s="4">
        <v>0</v>
      </c>
      <c r="T54" s="4">
        <v>8</v>
      </c>
      <c r="U54" s="4">
        <v>49</v>
      </c>
      <c r="V54" s="77">
        <f>IF(ISERROR(VLOOKUP($S$54,'TAR FIN'!$A$1:$O$85,15,0)),0,VLOOKUP($S$54,'TAR FIN'!$A$1:$O$85,15,0))</f>
        <v>0</v>
      </c>
      <c r="W54" s="77">
        <f>IF(ISERROR(VLOOKUP($T$54,'TAR FIN'!$A$1:$O$85,15,0)),0,VLOOKUP($T$54,'TAR FIN'!$A$1:$O$85,15,0))*(1-0.04)</f>
        <v>62.985599999999998</v>
      </c>
      <c r="X54" s="77">
        <f>IF(ISERROR(VLOOKUP($U$54,'TAR FIN'!$A$1:$O$85,15,0)),0,VLOOKUP($U$54,'TAR FIN'!$A$1:$O$85,15,0))*(1-0.04)</f>
        <v>252.75840000000002</v>
      </c>
      <c r="Y54" s="77"/>
      <c r="Z54" s="77">
        <f ca="1">('TUSD BE'!$AM$12+'TUSD BF'!$AM$12+'TUSD CVA'!$AM$12)*1*(1-0.02)</f>
        <v>98.339533846404223</v>
      </c>
      <c r="AA54" s="77">
        <f>('TE BE'!$AA$6+'TE BF'!$AA$6+'TE CVA'!$AA$6)*1*(1-0.02)</f>
        <v>206.43109646347523</v>
      </c>
      <c r="AB54" s="77">
        <f>(SUBSIDIO!$J$54*SUBSIDIO!$V$54)*(0.04)/(1-0.04)</f>
        <v>0</v>
      </c>
      <c r="AC54" s="77">
        <f>((SUBSIDIO!$L$54*SUBSIDIO!$W$54)+(SUBSIDIO!$N$54*SUBSIDIO!$X$54))*(0.04)/(1-0.04)</f>
        <v>1023.3526160000001</v>
      </c>
      <c r="AD54" s="77">
        <f>(SUBSIDIO!$J$54*SUBSIDIO!$Y$54)*(0.02)/(1-0.02)</f>
        <v>0</v>
      </c>
      <c r="AE54" s="77">
        <f ca="1">((SUBSIDIO!$L$54*SUBSIDIO!$Z$54)+(SUBSIDIO!$N$54*SUBSIDIO!$AA$54))*(0.02)/(1-0.02)</f>
        <v>483.81404590376087</v>
      </c>
      <c r="AF54" s="4" t="s">
        <v>808</v>
      </c>
    </row>
    <row r="55" spans="1:32" ht="11.25" customHeight="1" x14ac:dyDescent="0.25">
      <c r="A55" s="4" t="s">
        <v>21</v>
      </c>
      <c r="B55" s="4" t="s">
        <v>33</v>
      </c>
      <c r="C55" s="4" t="s">
        <v>34</v>
      </c>
      <c r="D55" s="4" t="s">
        <v>44</v>
      </c>
      <c r="E55" s="4" t="s">
        <v>53</v>
      </c>
      <c r="F55" s="4" t="s">
        <v>25</v>
      </c>
      <c r="G55" s="4" t="s">
        <v>25</v>
      </c>
      <c r="H55" s="4" t="s">
        <v>36</v>
      </c>
      <c r="I55" s="5">
        <v>44470</v>
      </c>
      <c r="J55" s="6">
        <v>0</v>
      </c>
      <c r="K55" s="77">
        <v>0</v>
      </c>
      <c r="L55" s="6">
        <v>10.853999999999999</v>
      </c>
      <c r="M55" s="77">
        <v>10.853999999999999</v>
      </c>
      <c r="N55" s="6">
        <v>10.853999999999999</v>
      </c>
      <c r="O55" s="77">
        <v>10.853999999999999</v>
      </c>
      <c r="P55" s="6">
        <v>0</v>
      </c>
      <c r="Q55" s="4" t="s">
        <v>26</v>
      </c>
      <c r="R55" s="4">
        <v>0</v>
      </c>
      <c r="S55" s="4">
        <v>0</v>
      </c>
      <c r="T55" s="4">
        <v>8</v>
      </c>
      <c r="U55" s="4">
        <v>49</v>
      </c>
      <c r="V55" s="77">
        <f>IF(ISERROR(VLOOKUP($S$55,'TAR FIN'!$A$1:$O$85,15,0)),0,VLOOKUP($S$55,'TAR FIN'!$A$1:$O$85,15,0))</f>
        <v>0</v>
      </c>
      <c r="W55" s="77">
        <f>IF(ISERROR(VLOOKUP($T$55,'TAR FIN'!$A$1:$O$85,15,0)),0,VLOOKUP($T$55,'TAR FIN'!$A$1:$O$85,15,0))*(1-0.04)</f>
        <v>62.985599999999998</v>
      </c>
      <c r="X55" s="77">
        <f>IF(ISERROR(VLOOKUP($U$55,'TAR FIN'!$A$1:$O$85,15,0)),0,VLOOKUP($U$55,'TAR FIN'!$A$1:$O$85,15,0))*(1-0.04)</f>
        <v>252.75840000000002</v>
      </c>
      <c r="Y55" s="77"/>
      <c r="Z55" s="77">
        <f ca="1">('TUSD BE'!$AM$12+'TUSD BF'!$AM$12+'TUSD CVA'!$AM$12)*1*(1-0.02)</f>
        <v>98.339533846404223</v>
      </c>
      <c r="AA55" s="77">
        <f>('TE BE'!$AA$6+'TE BF'!$AA$6+'TE CVA'!$AA$6)*1*(1-0.02)</f>
        <v>206.43109646347523</v>
      </c>
      <c r="AB55" s="77">
        <f>(SUBSIDIO!$J$55*SUBSIDIO!$V$55)*(0.04)/(1-0.04)</f>
        <v>0</v>
      </c>
      <c r="AC55" s="77">
        <f>((SUBSIDIO!$L$55*SUBSIDIO!$W$55)+(SUBSIDIO!$N$55*SUBSIDIO!$X$55))*(0.04)/(1-0.04)</f>
        <v>142.79522400000002</v>
      </c>
      <c r="AD55" s="77">
        <f>(SUBSIDIO!$J$55*SUBSIDIO!$Y$55)*(0.02)/(1-0.02)</f>
        <v>0</v>
      </c>
      <c r="AE55" s="77">
        <f ca="1">((SUBSIDIO!$L$55*SUBSIDIO!$Z$55)+(SUBSIDIO!$N$55*SUBSIDIO!$AA$55))*(0.02)/(1-0.02)</f>
        <v>67.509804518029213</v>
      </c>
      <c r="AF55" s="4" t="s">
        <v>808</v>
      </c>
    </row>
    <row r="56" spans="1:32" ht="11.25" customHeight="1" x14ac:dyDescent="0.25">
      <c r="A56" s="4" t="s">
        <v>21</v>
      </c>
      <c r="B56" s="4" t="s">
        <v>33</v>
      </c>
      <c r="C56" s="4" t="s">
        <v>34</v>
      </c>
      <c r="D56" s="4" t="s">
        <v>44</v>
      </c>
      <c r="E56" s="4" t="s">
        <v>53</v>
      </c>
      <c r="F56" s="4" t="s">
        <v>25</v>
      </c>
      <c r="G56" s="4" t="s">
        <v>25</v>
      </c>
      <c r="H56" s="4" t="s">
        <v>36</v>
      </c>
      <c r="I56" s="5">
        <v>44501</v>
      </c>
      <c r="J56" s="6">
        <v>0</v>
      </c>
      <c r="K56" s="77">
        <v>0</v>
      </c>
      <c r="L56" s="6">
        <v>11.193</v>
      </c>
      <c r="M56" s="77">
        <v>11.193</v>
      </c>
      <c r="N56" s="6">
        <v>11.193</v>
      </c>
      <c r="O56" s="77">
        <v>11.193</v>
      </c>
      <c r="P56" s="6">
        <v>0</v>
      </c>
      <c r="Q56" s="4" t="s">
        <v>26</v>
      </c>
      <c r="R56" s="4">
        <v>0</v>
      </c>
      <c r="S56" s="4">
        <v>0</v>
      </c>
      <c r="T56" s="4">
        <v>8</v>
      </c>
      <c r="U56" s="4">
        <v>49</v>
      </c>
      <c r="V56" s="77">
        <f>IF(ISERROR(VLOOKUP($S$56,'TAR FIN'!$A$1:$O$85,15,0)),0,VLOOKUP($S$56,'TAR FIN'!$A$1:$O$85,15,0))</f>
        <v>0</v>
      </c>
      <c r="W56" s="77">
        <f>IF(ISERROR(VLOOKUP($T$56,'TAR FIN'!$A$1:$O$85,15,0)),0,VLOOKUP($T$56,'TAR FIN'!$A$1:$O$85,15,0))*(1-0.04)</f>
        <v>62.985599999999998</v>
      </c>
      <c r="X56" s="77">
        <f>IF(ISERROR(VLOOKUP($U$56,'TAR FIN'!$A$1:$O$85,15,0)),0,VLOOKUP($U$56,'TAR FIN'!$A$1:$O$85,15,0))*(1-0.04)</f>
        <v>252.75840000000002</v>
      </c>
      <c r="Y56" s="77"/>
      <c r="Z56" s="77">
        <f ca="1">('TUSD BE'!$AM$12+'TUSD BF'!$AM$12+'TUSD CVA'!$AM$12)*1*(1-0.02)</f>
        <v>98.339533846404223</v>
      </c>
      <c r="AA56" s="77">
        <f>('TE BE'!$AA$6+'TE BF'!$AA$6+'TE CVA'!$AA$6)*1*(1-0.02)</f>
        <v>206.43109646347523</v>
      </c>
      <c r="AB56" s="77">
        <f>(SUBSIDIO!$J$56*SUBSIDIO!$V$56)*(0.04)/(1-0.04)</f>
        <v>0</v>
      </c>
      <c r="AC56" s="77">
        <f>((SUBSIDIO!$L$56*SUBSIDIO!$W$56)+(SUBSIDIO!$N$56*SUBSIDIO!$X$56))*(0.04)/(1-0.04)</f>
        <v>147.25510800000001</v>
      </c>
      <c r="AD56" s="77">
        <f>(SUBSIDIO!$J$56*SUBSIDIO!$Y$56)*(0.02)/(1-0.02)</f>
        <v>0</v>
      </c>
      <c r="AE56" s="77">
        <f ca="1">((SUBSIDIO!$L$56*SUBSIDIO!$Z$56)+(SUBSIDIO!$N$56*SUBSIDIO!$AA$56))*(0.02)/(1-0.02)</f>
        <v>69.618319695071037</v>
      </c>
      <c r="AF56" s="4" t="s">
        <v>808</v>
      </c>
    </row>
    <row r="57" spans="1:32" ht="11.25" customHeight="1" x14ac:dyDescent="0.25">
      <c r="A57" s="4" t="s">
        <v>21</v>
      </c>
      <c r="B57" s="4" t="s">
        <v>33</v>
      </c>
      <c r="C57" s="4" t="s">
        <v>34</v>
      </c>
      <c r="D57" s="4" t="s">
        <v>44</v>
      </c>
      <c r="E57" s="4" t="s">
        <v>53</v>
      </c>
      <c r="F57" s="4" t="s">
        <v>25</v>
      </c>
      <c r="G57" s="4" t="s">
        <v>25</v>
      </c>
      <c r="H57" s="4" t="s">
        <v>36</v>
      </c>
      <c r="I57" s="5">
        <v>44531</v>
      </c>
      <c r="J57" s="6">
        <v>0</v>
      </c>
      <c r="K57" s="77">
        <v>0</v>
      </c>
      <c r="L57" s="6">
        <v>7.9580000000000002</v>
      </c>
      <c r="M57" s="77">
        <v>7.9580000000000002</v>
      </c>
      <c r="N57" s="6">
        <v>7.9580000000000002</v>
      </c>
      <c r="O57" s="77">
        <v>7.9580000000000002</v>
      </c>
      <c r="P57" s="6">
        <v>0</v>
      </c>
      <c r="Q57" s="4" t="s">
        <v>26</v>
      </c>
      <c r="R57" s="4">
        <v>0</v>
      </c>
      <c r="S57" s="4">
        <v>0</v>
      </c>
      <c r="T57" s="4">
        <v>8</v>
      </c>
      <c r="U57" s="4">
        <v>49</v>
      </c>
      <c r="V57" s="77">
        <f>IF(ISERROR(VLOOKUP($S$57,'TAR FIN'!$A$1:$O$85,15,0)),0,VLOOKUP($S$57,'TAR FIN'!$A$1:$O$85,15,0))</f>
        <v>0</v>
      </c>
      <c r="W57" s="77">
        <f>IF(ISERROR(VLOOKUP($T$57,'TAR FIN'!$A$1:$O$85,15,0)),0,VLOOKUP($T$57,'TAR FIN'!$A$1:$O$85,15,0))*(1-0.04)</f>
        <v>62.985599999999998</v>
      </c>
      <c r="X57" s="77">
        <f>IF(ISERROR(VLOOKUP($U$57,'TAR FIN'!$A$1:$O$85,15,0)),0,VLOOKUP($U$57,'TAR FIN'!$A$1:$O$85,15,0))*(1-0.04)</f>
        <v>252.75840000000002</v>
      </c>
      <c r="Y57" s="77"/>
      <c r="Z57" s="77">
        <f ca="1">('TUSD BE'!$AM$12+'TUSD BF'!$AM$12+'TUSD CVA'!$AM$12)*1*(1-0.02)</f>
        <v>98.339533846404223</v>
      </c>
      <c r="AA57" s="77">
        <f>('TE BE'!$AA$6+'TE BF'!$AA$6+'TE CVA'!$AA$6)*1*(1-0.02)</f>
        <v>206.43109646347523</v>
      </c>
      <c r="AB57" s="77">
        <f>(SUBSIDIO!$J$57*SUBSIDIO!$V$57)*(0.04)/(1-0.04)</f>
        <v>0</v>
      </c>
      <c r="AC57" s="77">
        <f>((SUBSIDIO!$L$57*SUBSIDIO!$W$57)+(SUBSIDIO!$N$57*SUBSIDIO!$X$57))*(0.04)/(1-0.04)</f>
        <v>104.69544800000001</v>
      </c>
      <c r="AD57" s="77">
        <f>(SUBSIDIO!$J$57*SUBSIDIO!$Y$57)*(0.02)/(1-0.02)</f>
        <v>0</v>
      </c>
      <c r="AE57" s="77">
        <f ca="1">((SUBSIDIO!$L$57*SUBSIDIO!$Z$57)+(SUBSIDIO!$N$57*SUBSIDIO!$AA$57))*(0.02)/(1-0.02)</f>
        <v>49.497238285837163</v>
      </c>
      <c r="AF57" s="4" t="s">
        <v>808</v>
      </c>
    </row>
    <row r="58" spans="1:32" ht="11.25" customHeight="1" x14ac:dyDescent="0.25">
      <c r="A58" s="4" t="s">
        <v>21</v>
      </c>
      <c r="B58" s="4" t="s">
        <v>33</v>
      </c>
      <c r="C58" s="4" t="s">
        <v>34</v>
      </c>
      <c r="D58" s="4" t="s">
        <v>44</v>
      </c>
      <c r="E58" s="4" t="s">
        <v>53</v>
      </c>
      <c r="F58" s="4" t="s">
        <v>25</v>
      </c>
      <c r="G58" s="4" t="s">
        <v>25</v>
      </c>
      <c r="H58" s="4" t="s">
        <v>36</v>
      </c>
      <c r="I58" s="5">
        <v>44562</v>
      </c>
      <c r="J58" s="6">
        <v>0</v>
      </c>
      <c r="K58" s="77">
        <v>0</v>
      </c>
      <c r="L58" s="6">
        <v>6.7270000000000003</v>
      </c>
      <c r="M58" s="77">
        <v>6.7270000000000003</v>
      </c>
      <c r="N58" s="6">
        <v>6.7270000000000003</v>
      </c>
      <c r="O58" s="77">
        <v>6.7270000000000003</v>
      </c>
      <c r="P58" s="6">
        <v>0</v>
      </c>
      <c r="Q58" s="4" t="s">
        <v>26</v>
      </c>
      <c r="R58" s="4">
        <v>0</v>
      </c>
      <c r="S58" s="4">
        <v>0</v>
      </c>
      <c r="T58" s="4">
        <v>8</v>
      </c>
      <c r="U58" s="4">
        <v>49</v>
      </c>
      <c r="V58" s="77">
        <f>IF(ISERROR(VLOOKUP($S$58,'TAR FIN'!$A$1:$O$85,15,0)),0,VLOOKUP($S$58,'TAR FIN'!$A$1:$O$85,15,0))</f>
        <v>0</v>
      </c>
      <c r="W58" s="77">
        <f>IF(ISERROR(VLOOKUP($T$58,'TAR FIN'!$A$1:$O$85,15,0)),0,VLOOKUP($T$58,'TAR FIN'!$A$1:$O$85,15,0))*(1-0.04)</f>
        <v>62.985599999999998</v>
      </c>
      <c r="X58" s="77">
        <f>IF(ISERROR(VLOOKUP($U$58,'TAR FIN'!$A$1:$O$85,15,0)),0,VLOOKUP($U$58,'TAR FIN'!$A$1:$O$85,15,0))*(1-0.04)</f>
        <v>252.75840000000002</v>
      </c>
      <c r="Y58" s="77"/>
      <c r="Z58" s="77">
        <f ca="1">('TUSD BE'!$AM$12+'TUSD BF'!$AM$12+'TUSD CVA'!$AM$12)*1*(1-0.02)</f>
        <v>98.339533846404223</v>
      </c>
      <c r="AA58" s="77">
        <f>('TE BE'!$AA$6+'TE BF'!$AA$6+'TE CVA'!$AA$6)*1*(1-0.02)</f>
        <v>206.43109646347523</v>
      </c>
      <c r="AB58" s="77">
        <f>(SUBSIDIO!$J$58*SUBSIDIO!$V$58)*(0.04)/(1-0.04)</f>
        <v>0</v>
      </c>
      <c r="AC58" s="77">
        <f>((SUBSIDIO!$L$58*SUBSIDIO!$W$58)+(SUBSIDIO!$N$58*SUBSIDIO!$X$58))*(0.04)/(1-0.04)</f>
        <v>88.500412000000011</v>
      </c>
      <c r="AD58" s="77">
        <f>(SUBSIDIO!$J$58*SUBSIDIO!$Y$58)*(0.02)/(1-0.02)</f>
        <v>0</v>
      </c>
      <c r="AE58" s="77">
        <f ca="1">((SUBSIDIO!$L$58*SUBSIDIO!$Z$58)+(SUBSIDIO!$N$58*SUBSIDIO!$AA$58))*(0.02)/(1-0.02)</f>
        <v>41.840653675399174</v>
      </c>
      <c r="AF58" s="4" t="s">
        <v>808</v>
      </c>
    </row>
    <row r="59" spans="1:32" ht="11.25" customHeight="1" x14ac:dyDescent="0.25">
      <c r="A59" s="4" t="s">
        <v>21</v>
      </c>
      <c r="B59" s="4" t="s">
        <v>33</v>
      </c>
      <c r="C59" s="4" t="s">
        <v>34</v>
      </c>
      <c r="D59" s="4" t="s">
        <v>44</v>
      </c>
      <c r="E59" s="4" t="s">
        <v>53</v>
      </c>
      <c r="F59" s="4" t="s">
        <v>25</v>
      </c>
      <c r="G59" s="4" t="s">
        <v>25</v>
      </c>
      <c r="H59" s="4" t="s">
        <v>36</v>
      </c>
      <c r="I59" s="5">
        <v>44593</v>
      </c>
      <c r="J59" s="6">
        <v>0</v>
      </c>
      <c r="K59" s="77">
        <v>0</v>
      </c>
      <c r="L59" s="6">
        <v>11.124000000000001</v>
      </c>
      <c r="M59" s="77">
        <v>11.124000000000001</v>
      </c>
      <c r="N59" s="6">
        <v>11.124000000000001</v>
      </c>
      <c r="O59" s="77">
        <v>11.124000000000001</v>
      </c>
      <c r="P59" s="6">
        <v>0</v>
      </c>
      <c r="Q59" s="4" t="s">
        <v>26</v>
      </c>
      <c r="R59" s="4">
        <v>0</v>
      </c>
      <c r="S59" s="4">
        <v>0</v>
      </c>
      <c r="T59" s="4">
        <v>8</v>
      </c>
      <c r="U59" s="4">
        <v>49</v>
      </c>
      <c r="V59" s="77">
        <f>IF(ISERROR(VLOOKUP($S$59,'TAR FIN'!$A$1:$O$85,15,0)),0,VLOOKUP($S$59,'TAR FIN'!$A$1:$O$85,15,0))</f>
        <v>0</v>
      </c>
      <c r="W59" s="77">
        <f>IF(ISERROR(VLOOKUP($T$59,'TAR FIN'!$A$1:$O$85,15,0)),0,VLOOKUP($T$59,'TAR FIN'!$A$1:$O$85,15,0))*(1-0.04)</f>
        <v>62.985599999999998</v>
      </c>
      <c r="X59" s="77">
        <f>IF(ISERROR(VLOOKUP($U$59,'TAR FIN'!$A$1:$O$85,15,0)),0,VLOOKUP($U$59,'TAR FIN'!$A$1:$O$85,15,0))*(1-0.04)</f>
        <v>252.75840000000002</v>
      </c>
      <c r="Y59" s="77"/>
      <c r="Z59" s="77">
        <f ca="1">('TUSD BE'!$AM$12+'TUSD BF'!$AM$12+'TUSD CVA'!$AM$12)*1*(1-0.02)</f>
        <v>98.339533846404223</v>
      </c>
      <c r="AA59" s="77">
        <f>('TE BE'!$AA$6+'TE BF'!$AA$6+'TE CVA'!$AA$6)*1*(1-0.02)</f>
        <v>206.43109646347523</v>
      </c>
      <c r="AB59" s="77">
        <f>(SUBSIDIO!$J$59*SUBSIDIO!$V$59)*(0.04)/(1-0.04)</f>
        <v>0</v>
      </c>
      <c r="AC59" s="77">
        <f>((SUBSIDIO!$L$59*SUBSIDIO!$W$59)+(SUBSIDIO!$N$59*SUBSIDIO!$X$59))*(0.04)/(1-0.04)</f>
        <v>146.34734400000002</v>
      </c>
      <c r="AD59" s="77">
        <f>(SUBSIDIO!$J$59*SUBSIDIO!$Y$59)*(0.02)/(1-0.02)</f>
        <v>0</v>
      </c>
      <c r="AE59" s="77">
        <f ca="1">((SUBSIDIO!$L$59*SUBSIDIO!$Z$59)+(SUBSIDIO!$N$59*SUBSIDIO!$AA$59))*(0.02)/(1-0.02)</f>
        <v>69.189152889124486</v>
      </c>
      <c r="AF59" s="4" t="s">
        <v>808</v>
      </c>
    </row>
    <row r="60" spans="1:32" ht="11.25" customHeight="1" x14ac:dyDescent="0.25">
      <c r="A60" s="4" t="s">
        <v>21</v>
      </c>
      <c r="B60" s="4" t="s">
        <v>33</v>
      </c>
      <c r="C60" s="4" t="s">
        <v>34</v>
      </c>
      <c r="D60" s="4" t="s">
        <v>44</v>
      </c>
      <c r="E60" s="4" t="s">
        <v>53</v>
      </c>
      <c r="F60" s="4" t="s">
        <v>25</v>
      </c>
      <c r="G60" s="4" t="s">
        <v>25</v>
      </c>
      <c r="H60" s="4" t="s">
        <v>36</v>
      </c>
      <c r="I60" s="5">
        <v>44621</v>
      </c>
      <c r="J60" s="6">
        <v>0</v>
      </c>
      <c r="K60" s="77">
        <v>0</v>
      </c>
      <c r="L60" s="6">
        <v>18.661999999999999</v>
      </c>
      <c r="M60" s="77">
        <v>18.661999999999999</v>
      </c>
      <c r="N60" s="6">
        <v>18.661999999999999</v>
      </c>
      <c r="O60" s="77">
        <v>18.661999999999999</v>
      </c>
      <c r="P60" s="6">
        <v>0</v>
      </c>
      <c r="Q60" s="4" t="s">
        <v>26</v>
      </c>
      <c r="R60" s="4">
        <v>0</v>
      </c>
      <c r="S60" s="4">
        <v>0</v>
      </c>
      <c r="T60" s="4">
        <v>8</v>
      </c>
      <c r="U60" s="4">
        <v>49</v>
      </c>
      <c r="V60" s="77">
        <f>IF(ISERROR(VLOOKUP($S$60,'TAR FIN'!$A$1:$O$85,15,0)),0,VLOOKUP($S$60,'TAR FIN'!$A$1:$O$85,15,0))</f>
        <v>0</v>
      </c>
      <c r="W60" s="77">
        <f>IF(ISERROR(VLOOKUP($T$60,'TAR FIN'!$A$1:$O$85,15,0)),0,VLOOKUP($T$60,'TAR FIN'!$A$1:$O$85,15,0))*(1-0.04)</f>
        <v>62.985599999999998</v>
      </c>
      <c r="X60" s="77">
        <f>IF(ISERROR(VLOOKUP($U$60,'TAR FIN'!$A$1:$O$85,15,0)),0,VLOOKUP($U$60,'TAR FIN'!$A$1:$O$85,15,0))*(1-0.04)</f>
        <v>252.75840000000002</v>
      </c>
      <c r="Y60" s="77"/>
      <c r="Z60" s="77">
        <f ca="1">('TUSD BE'!$AM$12+'TUSD BF'!$AM$12+'TUSD CVA'!$AM$12)*1*(1-0.02)</f>
        <v>98.339533846404223</v>
      </c>
      <c r="AA60" s="77">
        <f>('TE BE'!$AA$6+'TE BF'!$AA$6+'TE CVA'!$AA$6)*1*(1-0.02)</f>
        <v>206.43109646347523</v>
      </c>
      <c r="AB60" s="77">
        <f>(SUBSIDIO!$J$60*SUBSIDIO!$V$60)*(0.04)/(1-0.04)</f>
        <v>0</v>
      </c>
      <c r="AC60" s="77">
        <f>((SUBSIDIO!$L$60*SUBSIDIO!$W$60)+(SUBSIDIO!$N$60*SUBSIDIO!$X$60))*(0.04)/(1-0.04)</f>
        <v>245.51727200000002</v>
      </c>
      <c r="AD60" s="77">
        <f>(SUBSIDIO!$J$60*SUBSIDIO!$Y$60)*(0.02)/(1-0.02)</f>
        <v>0</v>
      </c>
      <c r="AE60" s="77">
        <f ca="1">((SUBSIDIO!$L$60*SUBSIDIO!$Z$60)+(SUBSIDIO!$N$60*SUBSIDIO!$AA$60))*(0.02)/(1-0.02)</f>
        <v>116.07407148659124</v>
      </c>
      <c r="AF60" s="4" t="s">
        <v>808</v>
      </c>
    </row>
    <row r="61" spans="1:32" ht="11.25" customHeight="1" x14ac:dyDescent="0.25">
      <c r="A61" s="4" t="s">
        <v>21</v>
      </c>
      <c r="B61" s="4" t="s">
        <v>33</v>
      </c>
      <c r="C61" s="4" t="s">
        <v>34</v>
      </c>
      <c r="D61" s="4" t="s">
        <v>44</v>
      </c>
      <c r="E61" s="4" t="s">
        <v>53</v>
      </c>
      <c r="F61" s="4" t="s">
        <v>25</v>
      </c>
      <c r="G61" s="4" t="s">
        <v>25</v>
      </c>
      <c r="H61" s="4" t="s">
        <v>36</v>
      </c>
      <c r="I61" s="5">
        <v>44652</v>
      </c>
      <c r="J61" s="6">
        <v>0</v>
      </c>
      <c r="K61" s="77">
        <v>0</v>
      </c>
      <c r="L61" s="6">
        <v>7.1369999999999996</v>
      </c>
      <c r="M61" s="77">
        <v>7.1369999999999996</v>
      </c>
      <c r="N61" s="6">
        <v>7.1369999999999996</v>
      </c>
      <c r="O61" s="77">
        <v>7.1369999999999996</v>
      </c>
      <c r="P61" s="6">
        <v>0</v>
      </c>
      <c r="Q61" s="4" t="s">
        <v>26</v>
      </c>
      <c r="R61" s="4">
        <v>0</v>
      </c>
      <c r="S61" s="4">
        <v>0</v>
      </c>
      <c r="T61" s="4">
        <v>8</v>
      </c>
      <c r="U61" s="4">
        <v>49</v>
      </c>
      <c r="V61" s="77">
        <f>IF(ISERROR(VLOOKUP($S$61,'TAR FIN'!$A$1:$O$85,15,0)),0,VLOOKUP($S$61,'TAR FIN'!$A$1:$O$85,15,0))</f>
        <v>0</v>
      </c>
      <c r="W61" s="77">
        <f>IF(ISERROR(VLOOKUP($T$61,'TAR FIN'!$A$1:$O$85,15,0)),0,VLOOKUP($T$61,'TAR FIN'!$A$1:$O$85,15,0))*(1-0.04)</f>
        <v>62.985599999999998</v>
      </c>
      <c r="X61" s="77">
        <f>IF(ISERROR(VLOOKUP($U$61,'TAR FIN'!$A$1:$O$85,15,0)),0,VLOOKUP($U$61,'TAR FIN'!$A$1:$O$85,15,0))*(1-0.04)</f>
        <v>252.75840000000002</v>
      </c>
      <c r="Y61" s="77"/>
      <c r="Z61" s="77">
        <f ca="1">('TUSD BE'!$AM$12+'TUSD BF'!$AM$12+'TUSD CVA'!$AM$12)*1*(1-0.02)</f>
        <v>98.339533846404223</v>
      </c>
      <c r="AA61" s="77">
        <f>('TE BE'!$AA$6+'TE BF'!$AA$6+'TE CVA'!$AA$6)*1*(1-0.02)</f>
        <v>206.43109646347523</v>
      </c>
      <c r="AB61" s="77">
        <f>(SUBSIDIO!$J$61*SUBSIDIO!$V$61)*(0.04)/(1-0.04)</f>
        <v>0</v>
      </c>
      <c r="AC61" s="77">
        <f>((SUBSIDIO!$L$61*SUBSIDIO!$W$61)+(SUBSIDIO!$N$61*SUBSIDIO!$X$61))*(0.04)/(1-0.04)</f>
        <v>93.894372000000018</v>
      </c>
      <c r="AD61" s="77">
        <f>(SUBSIDIO!$J$61*SUBSIDIO!$Y$61)*(0.02)/(1-0.02)</f>
        <v>0</v>
      </c>
      <c r="AE61" s="77">
        <f ca="1">((SUBSIDIO!$L$61*SUBSIDIO!$Z$61)+(SUBSIDIO!$N$61*SUBSIDIO!$AA$61))*(0.02)/(1-0.02)</f>
        <v>44.390775275951214</v>
      </c>
      <c r="AF61" s="4" t="s">
        <v>808</v>
      </c>
    </row>
    <row r="62" spans="1:32" ht="11.25" customHeight="1" x14ac:dyDescent="0.25">
      <c r="A62" s="4" t="s">
        <v>21</v>
      </c>
      <c r="B62" s="4" t="s">
        <v>33</v>
      </c>
      <c r="C62" s="4" t="s">
        <v>34</v>
      </c>
      <c r="D62" s="4" t="s">
        <v>44</v>
      </c>
      <c r="E62" s="4" t="s">
        <v>53</v>
      </c>
      <c r="F62" s="4" t="s">
        <v>25</v>
      </c>
      <c r="G62" s="4" t="s">
        <v>25</v>
      </c>
      <c r="H62" s="4" t="s">
        <v>25</v>
      </c>
      <c r="I62" s="5">
        <v>44317</v>
      </c>
      <c r="J62" s="6">
        <v>487</v>
      </c>
      <c r="K62" s="77">
        <v>487</v>
      </c>
      <c r="L62" s="6">
        <v>0</v>
      </c>
      <c r="M62" s="77">
        <v>0</v>
      </c>
      <c r="N62" s="6">
        <v>0</v>
      </c>
      <c r="O62" s="77">
        <v>0</v>
      </c>
      <c r="P62" s="6">
        <v>5</v>
      </c>
      <c r="Q62" s="4" t="s">
        <v>26</v>
      </c>
      <c r="R62" s="4">
        <v>0</v>
      </c>
      <c r="S62" s="4">
        <v>6</v>
      </c>
      <c r="T62" s="4">
        <v>0</v>
      </c>
      <c r="U62" s="4">
        <v>0</v>
      </c>
      <c r="V62" s="77">
        <f>IF(ISERROR(VLOOKUP($S$62,'TAR FIN'!$A$1:$O$85,15,0)),0,VLOOKUP($S$62,'TAR FIN'!$A$1:$O$85,15,0))*(1-0.04)</f>
        <v>18.5472</v>
      </c>
      <c r="W62" s="77">
        <f>IF(ISERROR(VLOOKUP($T$62,'TAR FIN'!$A$1:$O$85,15,0)),0,VLOOKUP($T$62,'TAR FIN'!$A$1:$O$85,15,0))</f>
        <v>0</v>
      </c>
      <c r="X62" s="77">
        <f>IF(ISERROR(VLOOKUP($U$62,'TAR FIN'!$A$1:$O$85,15,0)),0,VLOOKUP($U$62,'TAR FIN'!$A$1:$O$85,15,0))</f>
        <v>0</v>
      </c>
      <c r="Y62" s="77">
        <f ca="1">('TUSD BE'!$AM$10+'TUSD BF'!$AM$10+'TUSD CVA'!$AM$10)*1*(1-0.02)</f>
        <v>16.346441090586261</v>
      </c>
      <c r="Z62" s="77"/>
      <c r="AA62" s="77"/>
      <c r="AB62" s="77">
        <f>(SUBSIDIO!$J$62*SUBSIDIO!$V$62)*(0.04)/(1-0.04)</f>
        <v>376.35360000000003</v>
      </c>
      <c r="AC62" s="77">
        <f>((SUBSIDIO!$L$62*SUBSIDIO!$W$62)+(SUBSIDIO!$N$62*SUBSIDIO!$X$62))*(0.04)/(1-0.04)</f>
        <v>0</v>
      </c>
      <c r="AD62" s="77">
        <f ca="1">(SUBSIDIO!$J$62*SUBSIDIO!$Y$62)*(0.02)/(1-0.02)</f>
        <v>162.46360839011243</v>
      </c>
      <c r="AE62" s="77">
        <f>((SUBSIDIO!$L$62*SUBSIDIO!$Z$62)+(SUBSIDIO!$N$62*SUBSIDIO!$AA$62))*(0.02)/(1-0.02)</f>
        <v>0</v>
      </c>
      <c r="AF62" s="4" t="s">
        <v>808</v>
      </c>
    </row>
    <row r="63" spans="1:32" ht="11.25" customHeight="1" x14ac:dyDescent="0.25">
      <c r="A63" s="4" t="s">
        <v>21</v>
      </c>
      <c r="B63" s="4" t="s">
        <v>33</v>
      </c>
      <c r="C63" s="4" t="s">
        <v>34</v>
      </c>
      <c r="D63" s="4" t="s">
        <v>44</v>
      </c>
      <c r="E63" s="4" t="s">
        <v>53</v>
      </c>
      <c r="F63" s="4" t="s">
        <v>25</v>
      </c>
      <c r="G63" s="4" t="s">
        <v>25</v>
      </c>
      <c r="H63" s="4" t="s">
        <v>25</v>
      </c>
      <c r="I63" s="5">
        <v>44348</v>
      </c>
      <c r="J63" s="6">
        <v>385</v>
      </c>
      <c r="K63" s="77">
        <v>385</v>
      </c>
      <c r="L63" s="6">
        <v>0</v>
      </c>
      <c r="M63" s="77">
        <v>0</v>
      </c>
      <c r="N63" s="6">
        <v>0</v>
      </c>
      <c r="O63" s="77">
        <v>0</v>
      </c>
      <c r="P63" s="6">
        <v>5</v>
      </c>
      <c r="Q63" s="4" t="s">
        <v>26</v>
      </c>
      <c r="R63" s="4">
        <v>0</v>
      </c>
      <c r="S63" s="4">
        <v>6</v>
      </c>
      <c r="T63" s="4">
        <v>0</v>
      </c>
      <c r="U63" s="4">
        <v>0</v>
      </c>
      <c r="V63" s="77">
        <f>IF(ISERROR(VLOOKUP($S$63,'TAR FIN'!$A$1:$O$85,15,0)),0,VLOOKUP($S$63,'TAR FIN'!$A$1:$O$85,15,0))*(1-0.04)</f>
        <v>18.5472</v>
      </c>
      <c r="W63" s="77">
        <f>IF(ISERROR(VLOOKUP($T$63,'TAR FIN'!$A$1:$O$85,15,0)),0,VLOOKUP($T$63,'TAR FIN'!$A$1:$O$85,15,0))</f>
        <v>0</v>
      </c>
      <c r="X63" s="77">
        <f>IF(ISERROR(VLOOKUP($U$63,'TAR FIN'!$A$1:$O$85,15,0)),0,VLOOKUP($U$63,'TAR FIN'!$A$1:$O$85,15,0))</f>
        <v>0</v>
      </c>
      <c r="Y63" s="77">
        <f ca="1">('TUSD BE'!$AM$10+'TUSD BF'!$AM$10+'TUSD CVA'!$AM$10)*1*(1-0.02)</f>
        <v>16.346441090586261</v>
      </c>
      <c r="Z63" s="77"/>
      <c r="AA63" s="77"/>
      <c r="AB63" s="77">
        <f>(SUBSIDIO!$J$63*SUBSIDIO!$V$63)*(0.04)/(1-0.04)</f>
        <v>297.52800000000002</v>
      </c>
      <c r="AC63" s="77">
        <f>((SUBSIDIO!$L$63*SUBSIDIO!$W$63)+(SUBSIDIO!$N$63*SUBSIDIO!$X$63))*(0.04)/(1-0.04)</f>
        <v>0</v>
      </c>
      <c r="AD63" s="77">
        <f ca="1">(SUBSIDIO!$J$63*SUBSIDIO!$Y$63)*(0.02)/(1-0.02)</f>
        <v>128.43632285460635</v>
      </c>
      <c r="AE63" s="77">
        <f>((SUBSIDIO!$L$63*SUBSIDIO!$Z$63)+(SUBSIDIO!$N$63*SUBSIDIO!$AA$63))*(0.02)/(1-0.02)</f>
        <v>0</v>
      </c>
      <c r="AF63" s="4" t="s">
        <v>808</v>
      </c>
    </row>
    <row r="64" spans="1:32" ht="11.25" customHeight="1" x14ac:dyDescent="0.25">
      <c r="A64" s="4" t="s">
        <v>21</v>
      </c>
      <c r="B64" s="4" t="s">
        <v>33</v>
      </c>
      <c r="C64" s="4" t="s">
        <v>34</v>
      </c>
      <c r="D64" s="4" t="s">
        <v>44</v>
      </c>
      <c r="E64" s="4" t="s">
        <v>53</v>
      </c>
      <c r="F64" s="4" t="s">
        <v>25</v>
      </c>
      <c r="G64" s="4" t="s">
        <v>25</v>
      </c>
      <c r="H64" s="4" t="s">
        <v>25</v>
      </c>
      <c r="I64" s="5">
        <v>44378</v>
      </c>
      <c r="J64" s="6">
        <v>389</v>
      </c>
      <c r="K64" s="77">
        <v>389</v>
      </c>
      <c r="L64" s="6">
        <v>0</v>
      </c>
      <c r="M64" s="77">
        <v>0</v>
      </c>
      <c r="N64" s="6">
        <v>0</v>
      </c>
      <c r="O64" s="77">
        <v>0</v>
      </c>
      <c r="P64" s="6">
        <v>5</v>
      </c>
      <c r="Q64" s="4" t="s">
        <v>26</v>
      </c>
      <c r="R64" s="4">
        <v>0</v>
      </c>
      <c r="S64" s="4">
        <v>6</v>
      </c>
      <c r="T64" s="4">
        <v>0</v>
      </c>
      <c r="U64" s="4">
        <v>0</v>
      </c>
      <c r="V64" s="77">
        <f>IF(ISERROR(VLOOKUP($S$64,'TAR FIN'!$A$1:$O$85,15,0)),0,VLOOKUP($S$64,'TAR FIN'!$A$1:$O$85,15,0))*(1-0.04)</f>
        <v>18.5472</v>
      </c>
      <c r="W64" s="77">
        <f>IF(ISERROR(VLOOKUP($T$64,'TAR FIN'!$A$1:$O$85,15,0)),0,VLOOKUP($T$64,'TAR FIN'!$A$1:$O$85,15,0))</f>
        <v>0</v>
      </c>
      <c r="X64" s="77">
        <f>IF(ISERROR(VLOOKUP($U$64,'TAR FIN'!$A$1:$O$85,15,0)),0,VLOOKUP($U$64,'TAR FIN'!$A$1:$O$85,15,0))</f>
        <v>0</v>
      </c>
      <c r="Y64" s="77">
        <f ca="1">('TUSD BE'!$AM$10+'TUSD BF'!$AM$10+'TUSD CVA'!$AM$10)*1*(1-0.02)</f>
        <v>16.346441090586261</v>
      </c>
      <c r="Z64" s="77"/>
      <c r="AA64" s="77"/>
      <c r="AB64" s="77">
        <f>(SUBSIDIO!$J$64*SUBSIDIO!$V$64)*(0.04)/(1-0.04)</f>
        <v>300.61920000000003</v>
      </c>
      <c r="AC64" s="77">
        <f>((SUBSIDIO!$L$64*SUBSIDIO!$W$64)+(SUBSIDIO!$N$64*SUBSIDIO!$X$64))*(0.04)/(1-0.04)</f>
        <v>0</v>
      </c>
      <c r="AD64" s="77">
        <f ca="1">(SUBSIDIO!$J$64*SUBSIDIO!$Y$64)*(0.02)/(1-0.02)</f>
        <v>129.77072620893992</v>
      </c>
      <c r="AE64" s="77">
        <f>((SUBSIDIO!$L$64*SUBSIDIO!$Z$64)+(SUBSIDIO!$N$64*SUBSIDIO!$AA$64))*(0.02)/(1-0.02)</f>
        <v>0</v>
      </c>
      <c r="AF64" s="4" t="s">
        <v>808</v>
      </c>
    </row>
    <row r="65" spans="1:32" ht="11.25" customHeight="1" x14ac:dyDescent="0.25">
      <c r="A65" s="4" t="s">
        <v>21</v>
      </c>
      <c r="B65" s="4" t="s">
        <v>33</v>
      </c>
      <c r="C65" s="4" t="s">
        <v>34</v>
      </c>
      <c r="D65" s="4" t="s">
        <v>44</v>
      </c>
      <c r="E65" s="4" t="s">
        <v>53</v>
      </c>
      <c r="F65" s="4" t="s">
        <v>25</v>
      </c>
      <c r="G65" s="4" t="s">
        <v>25</v>
      </c>
      <c r="H65" s="4" t="s">
        <v>25</v>
      </c>
      <c r="I65" s="5">
        <v>44409</v>
      </c>
      <c r="J65" s="6">
        <v>502</v>
      </c>
      <c r="K65" s="77">
        <v>502</v>
      </c>
      <c r="L65" s="6">
        <v>0</v>
      </c>
      <c r="M65" s="77">
        <v>0</v>
      </c>
      <c r="N65" s="6">
        <v>0</v>
      </c>
      <c r="O65" s="77">
        <v>0</v>
      </c>
      <c r="P65" s="6">
        <v>5</v>
      </c>
      <c r="Q65" s="4" t="s">
        <v>26</v>
      </c>
      <c r="R65" s="4">
        <v>0</v>
      </c>
      <c r="S65" s="4">
        <v>6</v>
      </c>
      <c r="T65" s="4">
        <v>0</v>
      </c>
      <c r="U65" s="4">
        <v>0</v>
      </c>
      <c r="V65" s="77">
        <f>IF(ISERROR(VLOOKUP($S$65,'TAR FIN'!$A$1:$O$85,15,0)),0,VLOOKUP($S$65,'TAR FIN'!$A$1:$O$85,15,0))*(1-0.04)</f>
        <v>18.5472</v>
      </c>
      <c r="W65" s="77">
        <f>IF(ISERROR(VLOOKUP($T$65,'TAR FIN'!$A$1:$O$85,15,0)),0,VLOOKUP($T$65,'TAR FIN'!$A$1:$O$85,15,0))</f>
        <v>0</v>
      </c>
      <c r="X65" s="77">
        <f>IF(ISERROR(VLOOKUP($U$65,'TAR FIN'!$A$1:$O$85,15,0)),0,VLOOKUP($U$65,'TAR FIN'!$A$1:$O$85,15,0))</f>
        <v>0</v>
      </c>
      <c r="Y65" s="77">
        <f ca="1">('TUSD BE'!$AM$10+'TUSD BF'!$AM$10+'TUSD CVA'!$AM$10)*1*(1-0.02)</f>
        <v>16.346441090586261</v>
      </c>
      <c r="Z65" s="77"/>
      <c r="AA65" s="77"/>
      <c r="AB65" s="77">
        <f>(SUBSIDIO!$J$65*SUBSIDIO!$V$65)*(0.04)/(1-0.04)</f>
        <v>387.94560000000001</v>
      </c>
      <c r="AC65" s="77">
        <f>((SUBSIDIO!$L$65*SUBSIDIO!$W$65)+(SUBSIDIO!$N$65*SUBSIDIO!$X$65))*(0.04)/(1-0.04)</f>
        <v>0</v>
      </c>
      <c r="AD65" s="77">
        <f ca="1">(SUBSIDIO!$J$65*SUBSIDIO!$Y$65)*(0.02)/(1-0.02)</f>
        <v>167.46762096886334</v>
      </c>
      <c r="AE65" s="77">
        <f>((SUBSIDIO!$L$65*SUBSIDIO!$Z$65)+(SUBSIDIO!$N$65*SUBSIDIO!$AA$65))*(0.02)/(1-0.02)</f>
        <v>0</v>
      </c>
      <c r="AF65" s="4" t="s">
        <v>808</v>
      </c>
    </row>
    <row r="66" spans="1:32" ht="11.25" customHeight="1" x14ac:dyDescent="0.25">
      <c r="A66" s="4" t="s">
        <v>21</v>
      </c>
      <c r="B66" s="4" t="s">
        <v>33</v>
      </c>
      <c r="C66" s="4" t="s">
        <v>34</v>
      </c>
      <c r="D66" s="4" t="s">
        <v>44</v>
      </c>
      <c r="E66" s="4" t="s">
        <v>53</v>
      </c>
      <c r="F66" s="4" t="s">
        <v>25</v>
      </c>
      <c r="G66" s="4" t="s">
        <v>25</v>
      </c>
      <c r="H66" s="4" t="s">
        <v>25</v>
      </c>
      <c r="I66" s="5">
        <v>44440</v>
      </c>
      <c r="J66" s="6">
        <v>496</v>
      </c>
      <c r="K66" s="77">
        <v>496</v>
      </c>
      <c r="L66" s="6">
        <v>0</v>
      </c>
      <c r="M66" s="77">
        <v>0</v>
      </c>
      <c r="N66" s="6">
        <v>0</v>
      </c>
      <c r="O66" s="77">
        <v>0</v>
      </c>
      <c r="P66" s="6">
        <v>5</v>
      </c>
      <c r="Q66" s="4" t="s">
        <v>26</v>
      </c>
      <c r="R66" s="4">
        <v>0</v>
      </c>
      <c r="S66" s="4">
        <v>6</v>
      </c>
      <c r="T66" s="4">
        <v>0</v>
      </c>
      <c r="U66" s="4">
        <v>0</v>
      </c>
      <c r="V66" s="77">
        <f>IF(ISERROR(VLOOKUP($S$66,'TAR FIN'!$A$1:$O$85,15,0)),0,VLOOKUP($S$66,'TAR FIN'!$A$1:$O$85,15,0))*(1-0.04)</f>
        <v>18.5472</v>
      </c>
      <c r="W66" s="77">
        <f>IF(ISERROR(VLOOKUP($T$66,'TAR FIN'!$A$1:$O$85,15,0)),0,VLOOKUP($T$66,'TAR FIN'!$A$1:$O$85,15,0))</f>
        <v>0</v>
      </c>
      <c r="X66" s="77">
        <f>IF(ISERROR(VLOOKUP($U$66,'TAR FIN'!$A$1:$O$85,15,0)),0,VLOOKUP($U$66,'TAR FIN'!$A$1:$O$85,15,0))</f>
        <v>0</v>
      </c>
      <c r="Y66" s="77">
        <f ca="1">('TUSD BE'!$AM$10+'TUSD BF'!$AM$10+'TUSD CVA'!$AM$10)*1*(1-0.02)</f>
        <v>16.346441090586261</v>
      </c>
      <c r="Z66" s="77"/>
      <c r="AA66" s="77"/>
      <c r="AB66" s="77">
        <f>(SUBSIDIO!$J$66*SUBSIDIO!$V$66)*(0.04)/(1-0.04)</f>
        <v>383.30880000000002</v>
      </c>
      <c r="AC66" s="77">
        <f>((SUBSIDIO!$L$66*SUBSIDIO!$W$66)+(SUBSIDIO!$N$66*SUBSIDIO!$X$66))*(0.04)/(1-0.04)</f>
        <v>0</v>
      </c>
      <c r="AD66" s="77">
        <f ca="1">(SUBSIDIO!$J$66*SUBSIDIO!$Y$66)*(0.02)/(1-0.02)</f>
        <v>165.46601593736298</v>
      </c>
      <c r="AE66" s="77">
        <f>((SUBSIDIO!$L$66*SUBSIDIO!$Z$66)+(SUBSIDIO!$N$66*SUBSIDIO!$AA$66))*(0.02)/(1-0.02)</f>
        <v>0</v>
      </c>
      <c r="AF66" s="4" t="s">
        <v>808</v>
      </c>
    </row>
    <row r="67" spans="1:32" ht="11.25" customHeight="1" x14ac:dyDescent="0.25">
      <c r="A67" s="4" t="s">
        <v>21</v>
      </c>
      <c r="B67" s="4" t="s">
        <v>33</v>
      </c>
      <c r="C67" s="4" t="s">
        <v>34</v>
      </c>
      <c r="D67" s="4" t="s">
        <v>44</v>
      </c>
      <c r="E67" s="4" t="s">
        <v>53</v>
      </c>
      <c r="F67" s="4" t="s">
        <v>25</v>
      </c>
      <c r="G67" s="4" t="s">
        <v>25</v>
      </c>
      <c r="H67" s="4" t="s">
        <v>25</v>
      </c>
      <c r="I67" s="5">
        <v>44470</v>
      </c>
      <c r="J67" s="6">
        <v>466</v>
      </c>
      <c r="K67" s="77">
        <v>466</v>
      </c>
      <c r="L67" s="6">
        <v>0</v>
      </c>
      <c r="M67" s="77">
        <v>0</v>
      </c>
      <c r="N67" s="6">
        <v>0</v>
      </c>
      <c r="O67" s="77">
        <v>0</v>
      </c>
      <c r="P67" s="6">
        <v>5</v>
      </c>
      <c r="Q67" s="4" t="s">
        <v>26</v>
      </c>
      <c r="R67" s="4">
        <v>0</v>
      </c>
      <c r="S67" s="4">
        <v>6</v>
      </c>
      <c r="T67" s="4">
        <v>0</v>
      </c>
      <c r="U67" s="4">
        <v>0</v>
      </c>
      <c r="V67" s="77">
        <f>IF(ISERROR(VLOOKUP($S$67,'TAR FIN'!$A$1:$O$85,15,0)),0,VLOOKUP($S$67,'TAR FIN'!$A$1:$O$85,15,0))*(1-0.04)</f>
        <v>18.5472</v>
      </c>
      <c r="W67" s="77">
        <f>IF(ISERROR(VLOOKUP($T$67,'TAR FIN'!$A$1:$O$85,15,0)),0,VLOOKUP($T$67,'TAR FIN'!$A$1:$O$85,15,0))</f>
        <v>0</v>
      </c>
      <c r="X67" s="77">
        <f>IF(ISERROR(VLOOKUP($U$67,'TAR FIN'!$A$1:$O$85,15,0)),0,VLOOKUP($U$67,'TAR FIN'!$A$1:$O$85,15,0))</f>
        <v>0</v>
      </c>
      <c r="Y67" s="77">
        <f ca="1">('TUSD BE'!$AM$10+'TUSD BF'!$AM$10+'TUSD CVA'!$AM$10)*1*(1-0.02)</f>
        <v>16.346441090586261</v>
      </c>
      <c r="Z67" s="77"/>
      <c r="AA67" s="77"/>
      <c r="AB67" s="77">
        <f>(SUBSIDIO!$J$67*SUBSIDIO!$V$67)*(0.04)/(1-0.04)</f>
        <v>360.12479999999999</v>
      </c>
      <c r="AC67" s="77">
        <f>((SUBSIDIO!$L$67*SUBSIDIO!$W$67)+(SUBSIDIO!$N$67*SUBSIDIO!$X$67))*(0.04)/(1-0.04)</f>
        <v>0</v>
      </c>
      <c r="AD67" s="77">
        <f ca="1">(SUBSIDIO!$J$67*SUBSIDIO!$Y$67)*(0.02)/(1-0.02)</f>
        <v>155.45799077986118</v>
      </c>
      <c r="AE67" s="77">
        <f>((SUBSIDIO!$L$67*SUBSIDIO!$Z$67)+(SUBSIDIO!$N$67*SUBSIDIO!$AA$67))*(0.02)/(1-0.02)</f>
        <v>0</v>
      </c>
      <c r="AF67" s="4" t="s">
        <v>808</v>
      </c>
    </row>
    <row r="68" spans="1:32" ht="11.25" customHeight="1" x14ac:dyDescent="0.25">
      <c r="A68" s="4" t="s">
        <v>21</v>
      </c>
      <c r="B68" s="4" t="s">
        <v>33</v>
      </c>
      <c r="C68" s="4" t="s">
        <v>34</v>
      </c>
      <c r="D68" s="4" t="s">
        <v>44</v>
      </c>
      <c r="E68" s="4" t="s">
        <v>53</v>
      </c>
      <c r="F68" s="4" t="s">
        <v>25</v>
      </c>
      <c r="G68" s="4" t="s">
        <v>25</v>
      </c>
      <c r="H68" s="4" t="s">
        <v>25</v>
      </c>
      <c r="I68" s="5">
        <v>44501</v>
      </c>
      <c r="J68" s="6">
        <v>311</v>
      </c>
      <c r="K68" s="77">
        <v>311</v>
      </c>
      <c r="L68" s="6">
        <v>0</v>
      </c>
      <c r="M68" s="77">
        <v>0</v>
      </c>
      <c r="N68" s="6">
        <v>0</v>
      </c>
      <c r="O68" s="77">
        <v>0</v>
      </c>
      <c r="P68" s="6">
        <v>4</v>
      </c>
      <c r="Q68" s="4" t="s">
        <v>26</v>
      </c>
      <c r="R68" s="4">
        <v>0</v>
      </c>
      <c r="S68" s="4">
        <v>6</v>
      </c>
      <c r="T68" s="4">
        <v>0</v>
      </c>
      <c r="U68" s="4">
        <v>0</v>
      </c>
      <c r="V68" s="77">
        <f>IF(ISERROR(VLOOKUP($S$68,'TAR FIN'!$A$1:$O$85,15,0)),0,VLOOKUP($S$68,'TAR FIN'!$A$1:$O$85,15,0))*(1-0.04)</f>
        <v>18.5472</v>
      </c>
      <c r="W68" s="77">
        <f>IF(ISERROR(VLOOKUP($T$68,'TAR FIN'!$A$1:$O$85,15,0)),0,VLOOKUP($T$68,'TAR FIN'!$A$1:$O$85,15,0))</f>
        <v>0</v>
      </c>
      <c r="X68" s="77">
        <f>IF(ISERROR(VLOOKUP($U$68,'TAR FIN'!$A$1:$O$85,15,0)),0,VLOOKUP($U$68,'TAR FIN'!$A$1:$O$85,15,0))</f>
        <v>0</v>
      </c>
      <c r="Y68" s="77">
        <f ca="1">('TUSD BE'!$AM$10+'TUSD BF'!$AM$10+'TUSD CVA'!$AM$10)*1*(1-0.02)</f>
        <v>16.346441090586261</v>
      </c>
      <c r="Z68" s="77"/>
      <c r="AA68" s="77"/>
      <c r="AB68" s="77">
        <f>(SUBSIDIO!$J$68*SUBSIDIO!$V$68)*(0.04)/(1-0.04)</f>
        <v>240.34080000000006</v>
      </c>
      <c r="AC68" s="77">
        <f>((SUBSIDIO!$L$68*SUBSIDIO!$W$68)+(SUBSIDIO!$N$68*SUBSIDIO!$X$68))*(0.04)/(1-0.04)</f>
        <v>0</v>
      </c>
      <c r="AD68" s="77">
        <f ca="1">(SUBSIDIO!$J$68*SUBSIDIO!$Y$68)*(0.02)/(1-0.02)</f>
        <v>103.74986079943525</v>
      </c>
      <c r="AE68" s="77">
        <f>((SUBSIDIO!$L$68*SUBSIDIO!$Z$68)+(SUBSIDIO!$N$68*SUBSIDIO!$AA$68))*(0.02)/(1-0.02)</f>
        <v>0</v>
      </c>
      <c r="AF68" s="4" t="s">
        <v>808</v>
      </c>
    </row>
    <row r="69" spans="1:32" ht="11.25" customHeight="1" x14ac:dyDescent="0.25">
      <c r="A69" s="4" t="s">
        <v>21</v>
      </c>
      <c r="B69" s="4" t="s">
        <v>33</v>
      </c>
      <c r="C69" s="4" t="s">
        <v>34</v>
      </c>
      <c r="D69" s="4" t="s">
        <v>44</v>
      </c>
      <c r="E69" s="4" t="s">
        <v>53</v>
      </c>
      <c r="F69" s="4" t="s">
        <v>25</v>
      </c>
      <c r="G69" s="4" t="s">
        <v>25</v>
      </c>
      <c r="H69" s="4" t="s">
        <v>25</v>
      </c>
      <c r="I69" s="5">
        <v>44531</v>
      </c>
      <c r="J69" s="6">
        <v>307</v>
      </c>
      <c r="K69" s="77">
        <v>307</v>
      </c>
      <c r="L69" s="6">
        <v>0</v>
      </c>
      <c r="M69" s="77">
        <v>0</v>
      </c>
      <c r="N69" s="6">
        <v>0</v>
      </c>
      <c r="O69" s="77">
        <v>0</v>
      </c>
      <c r="P69" s="6">
        <v>4</v>
      </c>
      <c r="Q69" s="4" t="s">
        <v>26</v>
      </c>
      <c r="R69" s="4">
        <v>0</v>
      </c>
      <c r="S69" s="4">
        <v>6</v>
      </c>
      <c r="T69" s="4">
        <v>0</v>
      </c>
      <c r="U69" s="4">
        <v>0</v>
      </c>
      <c r="V69" s="77">
        <f>IF(ISERROR(VLOOKUP($S$69,'TAR FIN'!$A$1:$O$85,15,0)),0,VLOOKUP($S$69,'TAR FIN'!$A$1:$O$85,15,0))*(1-0.04)</f>
        <v>18.5472</v>
      </c>
      <c r="W69" s="77">
        <f>IF(ISERROR(VLOOKUP($T$69,'TAR FIN'!$A$1:$O$85,15,0)),0,VLOOKUP($T$69,'TAR FIN'!$A$1:$O$85,15,0))</f>
        <v>0</v>
      </c>
      <c r="X69" s="77">
        <f>IF(ISERROR(VLOOKUP($U$69,'TAR FIN'!$A$1:$O$85,15,0)),0,VLOOKUP($U$69,'TAR FIN'!$A$1:$O$85,15,0))</f>
        <v>0</v>
      </c>
      <c r="Y69" s="77">
        <f ca="1">('TUSD BE'!$AM$10+'TUSD BF'!$AM$10+'TUSD CVA'!$AM$10)*1*(1-0.02)</f>
        <v>16.346441090586261</v>
      </c>
      <c r="Z69" s="77"/>
      <c r="AA69" s="77"/>
      <c r="AB69" s="77">
        <f>(SUBSIDIO!$J$69*SUBSIDIO!$V$69)*(0.04)/(1-0.04)</f>
        <v>237.24960000000002</v>
      </c>
      <c r="AC69" s="77">
        <f>((SUBSIDIO!$L$69*SUBSIDIO!$W$69)+(SUBSIDIO!$N$69*SUBSIDIO!$X$69))*(0.04)/(1-0.04)</f>
        <v>0</v>
      </c>
      <c r="AD69" s="77">
        <f ca="1">(SUBSIDIO!$J$69*SUBSIDIO!$Y$69)*(0.02)/(1-0.02)</f>
        <v>102.41545744510168</v>
      </c>
      <c r="AE69" s="77">
        <f>((SUBSIDIO!$L$69*SUBSIDIO!$Z$69)+(SUBSIDIO!$N$69*SUBSIDIO!$AA$69))*(0.02)/(1-0.02)</f>
        <v>0</v>
      </c>
      <c r="AF69" s="4" t="s">
        <v>808</v>
      </c>
    </row>
    <row r="70" spans="1:32" ht="11.25" customHeight="1" x14ac:dyDescent="0.25">
      <c r="A70" s="4" t="s">
        <v>21</v>
      </c>
      <c r="B70" s="4" t="s">
        <v>33</v>
      </c>
      <c r="C70" s="4" t="s">
        <v>34</v>
      </c>
      <c r="D70" s="4" t="s">
        <v>44</v>
      </c>
      <c r="E70" s="4" t="s">
        <v>53</v>
      </c>
      <c r="F70" s="4" t="s">
        <v>25</v>
      </c>
      <c r="G70" s="4" t="s">
        <v>25</v>
      </c>
      <c r="H70" s="4" t="s">
        <v>25</v>
      </c>
      <c r="I70" s="5">
        <v>44562</v>
      </c>
      <c r="J70" s="6">
        <v>403</v>
      </c>
      <c r="K70" s="77">
        <v>403</v>
      </c>
      <c r="L70" s="6">
        <v>0</v>
      </c>
      <c r="M70" s="77">
        <v>0</v>
      </c>
      <c r="N70" s="6">
        <v>0</v>
      </c>
      <c r="O70" s="77">
        <v>0</v>
      </c>
      <c r="P70" s="6">
        <v>4</v>
      </c>
      <c r="Q70" s="4" t="s">
        <v>26</v>
      </c>
      <c r="R70" s="4">
        <v>0</v>
      </c>
      <c r="S70" s="4">
        <v>6</v>
      </c>
      <c r="T70" s="4">
        <v>0</v>
      </c>
      <c r="U70" s="4">
        <v>0</v>
      </c>
      <c r="V70" s="77">
        <f>IF(ISERROR(VLOOKUP($S$70,'TAR FIN'!$A$1:$O$85,15,0)),0,VLOOKUP($S$70,'TAR FIN'!$A$1:$O$85,15,0))*(1-0.04)</f>
        <v>18.5472</v>
      </c>
      <c r="W70" s="77">
        <f>IF(ISERROR(VLOOKUP($T$70,'TAR FIN'!$A$1:$O$85,15,0)),0,VLOOKUP($T$70,'TAR FIN'!$A$1:$O$85,15,0))</f>
        <v>0</v>
      </c>
      <c r="X70" s="77">
        <f>IF(ISERROR(VLOOKUP($U$70,'TAR FIN'!$A$1:$O$85,15,0)),0,VLOOKUP($U$70,'TAR FIN'!$A$1:$O$85,15,0))</f>
        <v>0</v>
      </c>
      <c r="Y70" s="77">
        <f ca="1">('TUSD BE'!$AM$10+'TUSD BF'!$AM$10+'TUSD CVA'!$AM$10)*1*(1-0.02)</f>
        <v>16.346441090586261</v>
      </c>
      <c r="Z70" s="77"/>
      <c r="AA70" s="77"/>
      <c r="AB70" s="77">
        <f>(SUBSIDIO!$J$70*SUBSIDIO!$V$70)*(0.04)/(1-0.04)</f>
        <v>311.4384</v>
      </c>
      <c r="AC70" s="77">
        <f>((SUBSIDIO!$L$70*SUBSIDIO!$W$70)+(SUBSIDIO!$N$70*SUBSIDIO!$X$70))*(0.04)/(1-0.04)</f>
        <v>0</v>
      </c>
      <c r="AD70" s="77">
        <f ca="1">(SUBSIDIO!$J$70*SUBSIDIO!$Y$70)*(0.02)/(1-0.02)</f>
        <v>134.44113794910743</v>
      </c>
      <c r="AE70" s="77">
        <f>((SUBSIDIO!$L$70*SUBSIDIO!$Z$70)+(SUBSIDIO!$N$70*SUBSIDIO!$AA$70))*(0.02)/(1-0.02)</f>
        <v>0</v>
      </c>
      <c r="AF70" s="4" t="s">
        <v>808</v>
      </c>
    </row>
    <row r="71" spans="1:32" ht="11.25" customHeight="1" x14ac:dyDescent="0.25">
      <c r="A71" s="4" t="s">
        <v>21</v>
      </c>
      <c r="B71" s="4" t="s">
        <v>33</v>
      </c>
      <c r="C71" s="4" t="s">
        <v>34</v>
      </c>
      <c r="D71" s="4" t="s">
        <v>44</v>
      </c>
      <c r="E71" s="4" t="s">
        <v>53</v>
      </c>
      <c r="F71" s="4" t="s">
        <v>25</v>
      </c>
      <c r="G71" s="4" t="s">
        <v>25</v>
      </c>
      <c r="H71" s="4" t="s">
        <v>25</v>
      </c>
      <c r="I71" s="5">
        <v>44593</v>
      </c>
      <c r="J71" s="6">
        <v>319</v>
      </c>
      <c r="K71" s="77">
        <v>319</v>
      </c>
      <c r="L71" s="6">
        <v>0</v>
      </c>
      <c r="M71" s="77">
        <v>0</v>
      </c>
      <c r="N71" s="6">
        <v>0</v>
      </c>
      <c r="O71" s="77">
        <v>0</v>
      </c>
      <c r="P71" s="6">
        <v>4</v>
      </c>
      <c r="Q71" s="4" t="s">
        <v>26</v>
      </c>
      <c r="R71" s="4">
        <v>0</v>
      </c>
      <c r="S71" s="4">
        <v>6</v>
      </c>
      <c r="T71" s="4">
        <v>0</v>
      </c>
      <c r="U71" s="4">
        <v>0</v>
      </c>
      <c r="V71" s="77">
        <f>IF(ISERROR(VLOOKUP($S$71,'TAR FIN'!$A$1:$O$85,15,0)),0,VLOOKUP($S$71,'TAR FIN'!$A$1:$O$85,15,0))*(1-0.04)</f>
        <v>18.5472</v>
      </c>
      <c r="W71" s="77">
        <f>IF(ISERROR(VLOOKUP($T$71,'TAR FIN'!$A$1:$O$85,15,0)),0,VLOOKUP($T$71,'TAR FIN'!$A$1:$O$85,15,0))</f>
        <v>0</v>
      </c>
      <c r="X71" s="77">
        <f>IF(ISERROR(VLOOKUP($U$71,'TAR FIN'!$A$1:$O$85,15,0)),0,VLOOKUP($U$71,'TAR FIN'!$A$1:$O$85,15,0))</f>
        <v>0</v>
      </c>
      <c r="Y71" s="77">
        <f ca="1">('TUSD BE'!$AM$10+'TUSD BF'!$AM$10+'TUSD CVA'!$AM$10)*1*(1-0.02)</f>
        <v>16.346441090586261</v>
      </c>
      <c r="Z71" s="77"/>
      <c r="AA71" s="77"/>
      <c r="AB71" s="77">
        <f>(SUBSIDIO!$J$71*SUBSIDIO!$V$71)*(0.04)/(1-0.04)</f>
        <v>246.52320000000003</v>
      </c>
      <c r="AC71" s="77">
        <f>((SUBSIDIO!$L$71*SUBSIDIO!$W$71)+(SUBSIDIO!$N$71*SUBSIDIO!$X$71))*(0.04)/(1-0.04)</f>
        <v>0</v>
      </c>
      <c r="AD71" s="77">
        <f ca="1">(SUBSIDIO!$J$71*SUBSIDIO!$Y$71)*(0.02)/(1-0.02)</f>
        <v>106.4186675081024</v>
      </c>
      <c r="AE71" s="77">
        <f>((SUBSIDIO!$L$71*SUBSIDIO!$Z$71)+(SUBSIDIO!$N$71*SUBSIDIO!$AA$71))*(0.02)/(1-0.02)</f>
        <v>0</v>
      </c>
      <c r="AF71" s="4" t="s">
        <v>808</v>
      </c>
    </row>
    <row r="72" spans="1:32" ht="11.25" customHeight="1" x14ac:dyDescent="0.25">
      <c r="A72" s="4" t="s">
        <v>21</v>
      </c>
      <c r="B72" s="4" t="s">
        <v>33</v>
      </c>
      <c r="C72" s="4" t="s">
        <v>34</v>
      </c>
      <c r="D72" s="4" t="s">
        <v>44</v>
      </c>
      <c r="E72" s="4" t="s">
        <v>53</v>
      </c>
      <c r="F72" s="4" t="s">
        <v>25</v>
      </c>
      <c r="G72" s="4" t="s">
        <v>25</v>
      </c>
      <c r="H72" s="4" t="s">
        <v>25</v>
      </c>
      <c r="I72" s="5">
        <v>44621</v>
      </c>
      <c r="J72" s="6">
        <v>767</v>
      </c>
      <c r="K72" s="77">
        <v>767</v>
      </c>
      <c r="L72" s="6">
        <v>0</v>
      </c>
      <c r="M72" s="77">
        <v>0</v>
      </c>
      <c r="N72" s="6">
        <v>0</v>
      </c>
      <c r="O72" s="77">
        <v>0</v>
      </c>
      <c r="P72" s="6">
        <v>4</v>
      </c>
      <c r="Q72" s="4" t="s">
        <v>26</v>
      </c>
      <c r="R72" s="4">
        <v>0</v>
      </c>
      <c r="S72" s="4">
        <v>6</v>
      </c>
      <c r="T72" s="4">
        <v>0</v>
      </c>
      <c r="U72" s="4">
        <v>0</v>
      </c>
      <c r="V72" s="77">
        <f>IF(ISERROR(VLOOKUP($S$72,'TAR FIN'!$A$1:$O$85,15,0)),0,VLOOKUP($S$72,'TAR FIN'!$A$1:$O$85,15,0))*(1-0.04)</f>
        <v>18.5472</v>
      </c>
      <c r="W72" s="77">
        <f>IF(ISERROR(VLOOKUP($T$72,'TAR FIN'!$A$1:$O$85,15,0)),0,VLOOKUP($T$72,'TAR FIN'!$A$1:$O$85,15,0))</f>
        <v>0</v>
      </c>
      <c r="X72" s="77">
        <f>IF(ISERROR(VLOOKUP($U$72,'TAR FIN'!$A$1:$O$85,15,0)),0,VLOOKUP($U$72,'TAR FIN'!$A$1:$O$85,15,0))</f>
        <v>0</v>
      </c>
      <c r="Y72" s="77">
        <f ca="1">('TUSD BE'!$AM$10+'TUSD BF'!$AM$10+'TUSD CVA'!$AM$10)*1*(1-0.02)</f>
        <v>16.346441090586261</v>
      </c>
      <c r="Z72" s="77"/>
      <c r="AA72" s="77"/>
      <c r="AB72" s="77">
        <f>(SUBSIDIO!$J$72*SUBSIDIO!$V$72)*(0.04)/(1-0.04)</f>
        <v>592.73760000000004</v>
      </c>
      <c r="AC72" s="77">
        <f>((SUBSIDIO!$L$72*SUBSIDIO!$W$72)+(SUBSIDIO!$N$72*SUBSIDIO!$X$72))*(0.04)/(1-0.04)</f>
        <v>0</v>
      </c>
      <c r="AD72" s="77">
        <f ca="1">(SUBSIDIO!$J$72*SUBSIDIO!$Y$72)*(0.02)/(1-0.02)</f>
        <v>255.8718431934625</v>
      </c>
      <c r="AE72" s="77">
        <f>((SUBSIDIO!$L$72*SUBSIDIO!$Z$72)+(SUBSIDIO!$N$72*SUBSIDIO!$AA$72))*(0.02)/(1-0.02)</f>
        <v>0</v>
      </c>
      <c r="AF72" s="4" t="s">
        <v>808</v>
      </c>
    </row>
    <row r="73" spans="1:32" ht="11.25" customHeight="1" x14ac:dyDescent="0.25">
      <c r="A73" s="4" t="s">
        <v>21</v>
      </c>
      <c r="B73" s="4" t="s">
        <v>33</v>
      </c>
      <c r="C73" s="4" t="s">
        <v>34</v>
      </c>
      <c r="D73" s="4" t="s">
        <v>44</v>
      </c>
      <c r="E73" s="4" t="s">
        <v>53</v>
      </c>
      <c r="F73" s="4" t="s">
        <v>25</v>
      </c>
      <c r="G73" s="4" t="s">
        <v>25</v>
      </c>
      <c r="H73" s="4" t="s">
        <v>25</v>
      </c>
      <c r="I73" s="5">
        <v>44652</v>
      </c>
      <c r="J73" s="6">
        <v>367</v>
      </c>
      <c r="K73" s="77">
        <v>367</v>
      </c>
      <c r="L73" s="6">
        <v>0</v>
      </c>
      <c r="M73" s="77">
        <v>0</v>
      </c>
      <c r="N73" s="6">
        <v>0</v>
      </c>
      <c r="O73" s="77">
        <v>0</v>
      </c>
      <c r="P73" s="6">
        <v>4</v>
      </c>
      <c r="Q73" s="4" t="s">
        <v>26</v>
      </c>
      <c r="R73" s="4">
        <v>0</v>
      </c>
      <c r="S73" s="4">
        <v>6</v>
      </c>
      <c r="T73" s="4">
        <v>0</v>
      </c>
      <c r="U73" s="4">
        <v>0</v>
      </c>
      <c r="V73" s="77">
        <f>IF(ISERROR(VLOOKUP($S$73,'TAR FIN'!$A$1:$O$85,15,0)),0,VLOOKUP($S$73,'TAR FIN'!$A$1:$O$85,15,0))*(1-0.04)</f>
        <v>18.5472</v>
      </c>
      <c r="W73" s="77">
        <f>IF(ISERROR(VLOOKUP($T$73,'TAR FIN'!$A$1:$O$85,15,0)),0,VLOOKUP($T$73,'TAR FIN'!$A$1:$O$85,15,0))</f>
        <v>0</v>
      </c>
      <c r="X73" s="77">
        <f>IF(ISERROR(VLOOKUP($U$73,'TAR FIN'!$A$1:$O$85,15,0)),0,VLOOKUP($U$73,'TAR FIN'!$A$1:$O$85,15,0))</f>
        <v>0</v>
      </c>
      <c r="Y73" s="77">
        <f ca="1">('TUSD BE'!$AM$10+'TUSD BF'!$AM$10+'TUSD CVA'!$AM$10)*1*(1-0.02)</f>
        <v>16.346441090586261</v>
      </c>
      <c r="Z73" s="77"/>
      <c r="AA73" s="77"/>
      <c r="AB73" s="77">
        <f>(SUBSIDIO!$J$73*SUBSIDIO!$V$73)*(0.04)/(1-0.04)</f>
        <v>283.61760000000004</v>
      </c>
      <c r="AC73" s="77">
        <f>((SUBSIDIO!$L$73*SUBSIDIO!$W$73)+(SUBSIDIO!$N$73*SUBSIDIO!$X$73))*(0.04)/(1-0.04)</f>
        <v>0</v>
      </c>
      <c r="AD73" s="77">
        <f ca="1">(SUBSIDIO!$J$73*SUBSIDIO!$Y$73)*(0.02)/(1-0.02)</f>
        <v>122.43150776010526</v>
      </c>
      <c r="AE73" s="77">
        <f>((SUBSIDIO!$L$73*SUBSIDIO!$Z$73)+(SUBSIDIO!$N$73*SUBSIDIO!$AA$73))*(0.02)/(1-0.02)</f>
        <v>0</v>
      </c>
      <c r="AF73" s="4" t="s">
        <v>808</v>
      </c>
    </row>
    <row r="74" spans="1:32" ht="11.25" customHeight="1" x14ac:dyDescent="0.25">
      <c r="A74" s="4" t="s">
        <v>21</v>
      </c>
      <c r="B74" s="4" t="s">
        <v>33</v>
      </c>
      <c r="C74" s="4" t="s">
        <v>34</v>
      </c>
      <c r="D74" s="4" t="s">
        <v>44</v>
      </c>
      <c r="E74" s="4" t="s">
        <v>53</v>
      </c>
      <c r="F74" s="4" t="s">
        <v>25</v>
      </c>
      <c r="G74" s="4" t="s">
        <v>25</v>
      </c>
      <c r="H74" s="4" t="s">
        <v>35</v>
      </c>
      <c r="I74" s="5">
        <v>44317</v>
      </c>
      <c r="J74" s="6">
        <v>0</v>
      </c>
      <c r="K74" s="77">
        <v>0</v>
      </c>
      <c r="L74" s="6">
        <v>3.048</v>
      </c>
      <c r="M74" s="77">
        <v>3.048</v>
      </c>
      <c r="N74" s="6">
        <v>3.048</v>
      </c>
      <c r="O74" s="77">
        <v>3.048</v>
      </c>
      <c r="P74" s="6">
        <v>0</v>
      </c>
      <c r="Q74" s="4" t="s">
        <v>26</v>
      </c>
      <c r="R74" s="4">
        <v>0</v>
      </c>
      <c r="S74" s="4">
        <v>0</v>
      </c>
      <c r="T74" s="4">
        <v>7</v>
      </c>
      <c r="U74" s="4">
        <v>48</v>
      </c>
      <c r="V74" s="77">
        <f>IF(ISERROR(VLOOKUP($S$74,'TAR FIN'!$A$1:$O$85,15,0)),0,VLOOKUP($S$74,'TAR FIN'!$A$1:$O$85,15,0))</f>
        <v>0</v>
      </c>
      <c r="W74" s="77">
        <f>IF(ISERROR(VLOOKUP($T$74,'TAR FIN'!$A$1:$O$85,15,0)),0,VLOOKUP($T$74,'TAR FIN'!$A$1:$O$85,15,0))*(1-0.04)</f>
        <v>910.22399999999993</v>
      </c>
      <c r="X74" s="77">
        <f>IF(ISERROR(VLOOKUP($U$74,'TAR FIN'!$A$1:$O$85,15,0)),0,VLOOKUP($U$74,'TAR FIN'!$A$1:$O$85,15,0))*(1-0.04)</f>
        <v>252.75840000000002</v>
      </c>
      <c r="Y74" s="77"/>
      <c r="Z74" s="77">
        <f ca="1">('TUSD BE'!$AM$11+'TUSD BF'!$AM$11+'TUSD CVA'!$AM$11)*1*(1-0.02)</f>
        <v>956.89459124248037</v>
      </c>
      <c r="AA74" s="77">
        <f>('TE BE'!$AA$5+'TE BF'!$AA$5+'TE CVA'!$AA$5)*1*(1-0.02)</f>
        <v>206.43109646347523</v>
      </c>
      <c r="AB74" s="77">
        <f>(SUBSIDIO!$J$74*SUBSIDIO!$V$74)*(0.04)/(1-0.04)</f>
        <v>0</v>
      </c>
      <c r="AC74" s="77">
        <f>((SUBSIDIO!$L$74*SUBSIDIO!$W$74)+(SUBSIDIO!$N$74*SUBSIDIO!$X$74))*(0.04)/(1-0.04)</f>
        <v>147.69876479999999</v>
      </c>
      <c r="AD74" s="77">
        <f>(SUBSIDIO!$J$74*SUBSIDIO!$Y$74)*(0.02)/(1-0.02)</f>
        <v>0</v>
      </c>
      <c r="AE74" s="77">
        <f ca="1">((SUBSIDIO!$L$74*SUBSIDIO!$Z$74)+(SUBSIDIO!$N$74*SUBSIDIO!$AA$74))*(0.02)/(1-0.02)</f>
        <v>72.36360604342353</v>
      </c>
      <c r="AF74" s="4" t="s">
        <v>808</v>
      </c>
    </row>
    <row r="75" spans="1:32" ht="11.25" customHeight="1" x14ac:dyDescent="0.25">
      <c r="A75" s="4" t="s">
        <v>21</v>
      </c>
      <c r="B75" s="4" t="s">
        <v>33</v>
      </c>
      <c r="C75" s="4" t="s">
        <v>34</v>
      </c>
      <c r="D75" s="4" t="s">
        <v>44</v>
      </c>
      <c r="E75" s="4" t="s">
        <v>53</v>
      </c>
      <c r="F75" s="4" t="s">
        <v>25</v>
      </c>
      <c r="G75" s="4" t="s">
        <v>25</v>
      </c>
      <c r="H75" s="4" t="s">
        <v>35</v>
      </c>
      <c r="I75" s="5">
        <v>44348</v>
      </c>
      <c r="J75" s="6">
        <v>0</v>
      </c>
      <c r="K75" s="77">
        <v>0</v>
      </c>
      <c r="L75" s="6">
        <v>0.34399999999999997</v>
      </c>
      <c r="M75" s="77">
        <v>0.34399999999999997</v>
      </c>
      <c r="N75" s="6">
        <v>0.34399999999999997</v>
      </c>
      <c r="O75" s="77">
        <v>0.34399999999999997</v>
      </c>
      <c r="P75" s="6">
        <v>0</v>
      </c>
      <c r="Q75" s="4" t="s">
        <v>26</v>
      </c>
      <c r="R75" s="4">
        <v>0</v>
      </c>
      <c r="S75" s="4">
        <v>0</v>
      </c>
      <c r="T75" s="4">
        <v>7</v>
      </c>
      <c r="U75" s="4">
        <v>48</v>
      </c>
      <c r="V75" s="77">
        <f>IF(ISERROR(VLOOKUP($S$75,'TAR FIN'!$A$1:$O$85,15,0)),0,VLOOKUP($S$75,'TAR FIN'!$A$1:$O$85,15,0))</f>
        <v>0</v>
      </c>
      <c r="W75" s="77">
        <f>IF(ISERROR(VLOOKUP($T$75,'TAR FIN'!$A$1:$O$85,15,0)),0,VLOOKUP($T$75,'TAR FIN'!$A$1:$O$85,15,0))*(1-0.04)</f>
        <v>910.22399999999993</v>
      </c>
      <c r="X75" s="77">
        <f>IF(ISERROR(VLOOKUP($U$75,'TAR FIN'!$A$1:$O$85,15,0)),0,VLOOKUP($U$75,'TAR FIN'!$A$1:$O$85,15,0))*(1-0.04)</f>
        <v>252.75840000000002</v>
      </c>
      <c r="Y75" s="77"/>
      <c r="Z75" s="77">
        <f ca="1">('TUSD BE'!$AM$11+'TUSD BF'!$AM$11+'TUSD CVA'!$AM$11)*1*(1-0.02)</f>
        <v>956.89459124248037</v>
      </c>
      <c r="AA75" s="77">
        <f>('TE BE'!$AA$5+'TE BF'!$AA$5+'TE CVA'!$AA$5)*1*(1-0.02)</f>
        <v>206.43109646347523</v>
      </c>
      <c r="AB75" s="77">
        <f>(SUBSIDIO!$J$75*SUBSIDIO!$V$75)*(0.04)/(1-0.04)</f>
        <v>0</v>
      </c>
      <c r="AC75" s="77">
        <f>((SUBSIDIO!$L$75*SUBSIDIO!$W$75)+(SUBSIDIO!$N$75*SUBSIDIO!$X$75))*(0.04)/(1-0.04)</f>
        <v>16.669414399999997</v>
      </c>
      <c r="AD75" s="77">
        <f>(SUBSIDIO!$J$75*SUBSIDIO!$Y$75)*(0.02)/(1-0.02)</f>
        <v>0</v>
      </c>
      <c r="AE75" s="77">
        <f ca="1">((SUBSIDIO!$L$75*SUBSIDIO!$Z$75)+(SUBSIDIO!$N$75*SUBSIDIO!$AA$75))*(0.02)/(1-0.02)</f>
        <v>8.1670211545071165</v>
      </c>
      <c r="AF75" s="4" t="s">
        <v>808</v>
      </c>
    </row>
    <row r="76" spans="1:32" ht="11.25" customHeight="1" x14ac:dyDescent="0.25">
      <c r="A76" s="4" t="s">
        <v>21</v>
      </c>
      <c r="B76" s="4" t="s">
        <v>33</v>
      </c>
      <c r="C76" s="4" t="s">
        <v>34</v>
      </c>
      <c r="D76" s="4" t="s">
        <v>44</v>
      </c>
      <c r="E76" s="4" t="s">
        <v>53</v>
      </c>
      <c r="F76" s="4" t="s">
        <v>25</v>
      </c>
      <c r="G76" s="4" t="s">
        <v>25</v>
      </c>
      <c r="H76" s="4" t="s">
        <v>35</v>
      </c>
      <c r="I76" s="5">
        <v>44378</v>
      </c>
      <c r="J76" s="6">
        <v>0</v>
      </c>
      <c r="K76" s="77">
        <v>0</v>
      </c>
      <c r="L76" s="6">
        <v>1.044</v>
      </c>
      <c r="M76" s="77">
        <v>1.044</v>
      </c>
      <c r="N76" s="6">
        <v>1.044</v>
      </c>
      <c r="O76" s="77">
        <v>1.044</v>
      </c>
      <c r="P76" s="6">
        <v>0</v>
      </c>
      <c r="Q76" s="4" t="s">
        <v>26</v>
      </c>
      <c r="R76" s="4">
        <v>0</v>
      </c>
      <c r="S76" s="4">
        <v>0</v>
      </c>
      <c r="T76" s="4">
        <v>7</v>
      </c>
      <c r="U76" s="4">
        <v>48</v>
      </c>
      <c r="V76" s="77">
        <f>IF(ISERROR(VLOOKUP($S$76,'TAR FIN'!$A$1:$O$85,15,0)),0,VLOOKUP($S$76,'TAR FIN'!$A$1:$O$85,15,0))</f>
        <v>0</v>
      </c>
      <c r="W76" s="77">
        <f>IF(ISERROR(VLOOKUP($T$76,'TAR FIN'!$A$1:$O$85,15,0)),0,VLOOKUP($T$76,'TAR FIN'!$A$1:$O$85,15,0))*(1-0.04)</f>
        <v>910.22399999999993</v>
      </c>
      <c r="X76" s="77">
        <f>IF(ISERROR(VLOOKUP($U$76,'TAR FIN'!$A$1:$O$85,15,0)),0,VLOOKUP($U$76,'TAR FIN'!$A$1:$O$85,15,0))*(1-0.04)</f>
        <v>252.75840000000002</v>
      </c>
      <c r="Y76" s="77"/>
      <c r="Z76" s="77">
        <f ca="1">('TUSD BE'!$AM$11+'TUSD BF'!$AM$11+'TUSD CVA'!$AM$11)*1*(1-0.02)</f>
        <v>956.89459124248037</v>
      </c>
      <c r="AA76" s="77">
        <f>('TE BE'!$AA$5+'TE BF'!$AA$5+'TE CVA'!$AA$5)*1*(1-0.02)</f>
        <v>206.43109646347523</v>
      </c>
      <c r="AB76" s="77">
        <f>(SUBSIDIO!$J$76*SUBSIDIO!$V$76)*(0.04)/(1-0.04)</f>
        <v>0</v>
      </c>
      <c r="AC76" s="77">
        <f>((SUBSIDIO!$L$76*SUBSIDIO!$W$76)+(SUBSIDIO!$N$76*SUBSIDIO!$X$76))*(0.04)/(1-0.04)</f>
        <v>50.589734400000005</v>
      </c>
      <c r="AD76" s="77">
        <f>(SUBSIDIO!$J$76*SUBSIDIO!$Y$76)*(0.02)/(1-0.02)</f>
        <v>0</v>
      </c>
      <c r="AE76" s="77">
        <f ca="1">((SUBSIDIO!$L$76*SUBSIDIO!$Z$76)+(SUBSIDIO!$N$76*SUBSIDIO!$AA$76))*(0.02)/(1-0.02)</f>
        <v>24.785959550306487</v>
      </c>
      <c r="AF76" s="4" t="s">
        <v>808</v>
      </c>
    </row>
    <row r="77" spans="1:32" ht="11.25" customHeight="1" x14ac:dyDescent="0.25">
      <c r="A77" s="4" t="s">
        <v>21</v>
      </c>
      <c r="B77" s="4" t="s">
        <v>33</v>
      </c>
      <c r="C77" s="4" t="s">
        <v>34</v>
      </c>
      <c r="D77" s="4" t="s">
        <v>44</v>
      </c>
      <c r="E77" s="4" t="s">
        <v>53</v>
      </c>
      <c r="F77" s="4" t="s">
        <v>25</v>
      </c>
      <c r="G77" s="4" t="s">
        <v>25</v>
      </c>
      <c r="H77" s="4" t="s">
        <v>35</v>
      </c>
      <c r="I77" s="5">
        <v>44409</v>
      </c>
      <c r="J77" s="6">
        <v>0</v>
      </c>
      <c r="K77" s="77">
        <v>0</v>
      </c>
      <c r="L77" s="6">
        <v>1.976</v>
      </c>
      <c r="M77" s="77">
        <v>1.976</v>
      </c>
      <c r="N77" s="6">
        <v>1.976</v>
      </c>
      <c r="O77" s="77">
        <v>1.976</v>
      </c>
      <c r="P77" s="6">
        <v>0</v>
      </c>
      <c r="Q77" s="4" t="s">
        <v>26</v>
      </c>
      <c r="R77" s="4">
        <v>0</v>
      </c>
      <c r="S77" s="4">
        <v>0</v>
      </c>
      <c r="T77" s="4">
        <v>7</v>
      </c>
      <c r="U77" s="4">
        <v>48</v>
      </c>
      <c r="V77" s="77">
        <f>IF(ISERROR(VLOOKUP($S$77,'TAR FIN'!$A$1:$O$85,15,0)),0,VLOOKUP($S$77,'TAR FIN'!$A$1:$O$85,15,0))</f>
        <v>0</v>
      </c>
      <c r="W77" s="77">
        <f>IF(ISERROR(VLOOKUP($T$77,'TAR FIN'!$A$1:$O$85,15,0)),0,VLOOKUP($T$77,'TAR FIN'!$A$1:$O$85,15,0))*(1-0.04)</f>
        <v>910.22399999999993</v>
      </c>
      <c r="X77" s="77">
        <f>IF(ISERROR(VLOOKUP($U$77,'TAR FIN'!$A$1:$O$85,15,0)),0,VLOOKUP($U$77,'TAR FIN'!$A$1:$O$85,15,0))*(1-0.04)</f>
        <v>252.75840000000002</v>
      </c>
      <c r="Y77" s="77"/>
      <c r="Z77" s="77">
        <f ca="1">('TUSD BE'!$AM$11+'TUSD BF'!$AM$11+'TUSD CVA'!$AM$11)*1*(1-0.02)</f>
        <v>956.89459124248037</v>
      </c>
      <c r="AA77" s="77">
        <f>('TE BE'!$AA$5+'TE BF'!$AA$5+'TE CVA'!$AA$5)*1*(1-0.02)</f>
        <v>206.43109646347523</v>
      </c>
      <c r="AB77" s="77">
        <f>(SUBSIDIO!$J$77*SUBSIDIO!$V$77)*(0.04)/(1-0.04)</f>
        <v>0</v>
      </c>
      <c r="AC77" s="77">
        <f>((SUBSIDIO!$L$77*SUBSIDIO!$W$77)+(SUBSIDIO!$N$77*SUBSIDIO!$X$77))*(0.04)/(1-0.04)</f>
        <v>95.752217599999994</v>
      </c>
      <c r="AD77" s="77">
        <f>(SUBSIDIO!$J$77*SUBSIDIO!$Y$77)*(0.02)/(1-0.02)</f>
        <v>0</v>
      </c>
      <c r="AE77" s="77">
        <f ca="1">((SUBSIDIO!$L$77*SUBSIDIO!$Z$77)+(SUBSIDIO!$N$77*SUBSIDIO!$AA$77))*(0.02)/(1-0.02)</f>
        <v>46.912888957285062</v>
      </c>
      <c r="AF77" s="4" t="s">
        <v>808</v>
      </c>
    </row>
    <row r="78" spans="1:32" ht="11.25" customHeight="1" x14ac:dyDescent="0.25">
      <c r="A78" s="4" t="s">
        <v>21</v>
      </c>
      <c r="B78" s="4" t="s">
        <v>33</v>
      </c>
      <c r="C78" s="4" t="s">
        <v>34</v>
      </c>
      <c r="D78" s="4" t="s">
        <v>44</v>
      </c>
      <c r="E78" s="4" t="s">
        <v>53</v>
      </c>
      <c r="F78" s="4" t="s">
        <v>25</v>
      </c>
      <c r="G78" s="4" t="s">
        <v>25</v>
      </c>
      <c r="H78" s="4" t="s">
        <v>35</v>
      </c>
      <c r="I78" s="5">
        <v>44440</v>
      </c>
      <c r="J78" s="6">
        <v>0</v>
      </c>
      <c r="K78" s="77">
        <v>0</v>
      </c>
      <c r="L78" s="6">
        <v>2.6779999999999999</v>
      </c>
      <c r="M78" s="77">
        <v>2.6779999999999999</v>
      </c>
      <c r="N78" s="6">
        <v>2.6779999999999999</v>
      </c>
      <c r="O78" s="77">
        <v>2.6779999999999999</v>
      </c>
      <c r="P78" s="6">
        <v>0</v>
      </c>
      <c r="Q78" s="4" t="s">
        <v>26</v>
      </c>
      <c r="R78" s="4">
        <v>0</v>
      </c>
      <c r="S78" s="4">
        <v>0</v>
      </c>
      <c r="T78" s="4">
        <v>7</v>
      </c>
      <c r="U78" s="4">
        <v>48</v>
      </c>
      <c r="V78" s="77">
        <f>IF(ISERROR(VLOOKUP($S$78,'TAR FIN'!$A$1:$O$85,15,0)),0,VLOOKUP($S$78,'TAR FIN'!$A$1:$O$85,15,0))</f>
        <v>0</v>
      </c>
      <c r="W78" s="77">
        <f>IF(ISERROR(VLOOKUP($T$78,'TAR FIN'!$A$1:$O$85,15,0)),0,VLOOKUP($T$78,'TAR FIN'!$A$1:$O$85,15,0))*(1-0.04)</f>
        <v>910.22399999999993</v>
      </c>
      <c r="X78" s="77">
        <f>IF(ISERROR(VLOOKUP($U$78,'TAR FIN'!$A$1:$O$85,15,0)),0,VLOOKUP($U$78,'TAR FIN'!$A$1:$O$85,15,0))*(1-0.04)</f>
        <v>252.75840000000002</v>
      </c>
      <c r="Y78" s="77"/>
      <c r="Z78" s="77">
        <f ca="1">('TUSD BE'!$AM$11+'TUSD BF'!$AM$11+'TUSD CVA'!$AM$11)*1*(1-0.02)</f>
        <v>956.89459124248037</v>
      </c>
      <c r="AA78" s="77">
        <f>('TE BE'!$AA$5+'TE BF'!$AA$5+'TE CVA'!$AA$5)*1*(1-0.02)</f>
        <v>206.43109646347523</v>
      </c>
      <c r="AB78" s="77">
        <f>(SUBSIDIO!$J$78*SUBSIDIO!$V$78)*(0.04)/(1-0.04)</f>
        <v>0</v>
      </c>
      <c r="AC78" s="77">
        <f>((SUBSIDIO!$L$78*SUBSIDIO!$W$78)+(SUBSIDIO!$N$78*SUBSIDIO!$X$78))*(0.04)/(1-0.04)</f>
        <v>129.76945280000001</v>
      </c>
      <c r="AD78" s="77">
        <f>(SUBSIDIO!$J$78*SUBSIDIO!$Y$78)*(0.02)/(1-0.02)</f>
        <v>0</v>
      </c>
      <c r="AE78" s="77">
        <f ca="1">((SUBSIDIO!$L$78*SUBSIDIO!$Z$78)+(SUBSIDIO!$N$78*SUBSIDIO!$AA$78))*(0.02)/(1-0.02)</f>
        <v>63.57931003421529</v>
      </c>
      <c r="AF78" s="4" t="s">
        <v>808</v>
      </c>
    </row>
    <row r="79" spans="1:32" ht="11.25" customHeight="1" x14ac:dyDescent="0.25">
      <c r="A79" s="4" t="s">
        <v>21</v>
      </c>
      <c r="B79" s="4" t="s">
        <v>33</v>
      </c>
      <c r="C79" s="4" t="s">
        <v>34</v>
      </c>
      <c r="D79" s="4" t="s">
        <v>44</v>
      </c>
      <c r="E79" s="4" t="s">
        <v>53</v>
      </c>
      <c r="F79" s="4" t="s">
        <v>25</v>
      </c>
      <c r="G79" s="4" t="s">
        <v>25</v>
      </c>
      <c r="H79" s="4" t="s">
        <v>35</v>
      </c>
      <c r="I79" s="5">
        <v>44470</v>
      </c>
      <c r="J79" s="6">
        <v>0</v>
      </c>
      <c r="K79" s="77">
        <v>0</v>
      </c>
      <c r="L79" s="6">
        <v>1.6E-2</v>
      </c>
      <c r="M79" s="77">
        <v>1.6E-2</v>
      </c>
      <c r="N79" s="6">
        <v>1.6E-2</v>
      </c>
      <c r="O79" s="77">
        <v>1.6E-2</v>
      </c>
      <c r="P79" s="6">
        <v>0</v>
      </c>
      <c r="Q79" s="4" t="s">
        <v>26</v>
      </c>
      <c r="R79" s="4">
        <v>0</v>
      </c>
      <c r="S79" s="4">
        <v>0</v>
      </c>
      <c r="T79" s="4">
        <v>7</v>
      </c>
      <c r="U79" s="4">
        <v>48</v>
      </c>
      <c r="V79" s="77">
        <f>IF(ISERROR(VLOOKUP($S$79,'TAR FIN'!$A$1:$O$85,15,0)),0,VLOOKUP($S$79,'TAR FIN'!$A$1:$O$85,15,0))</f>
        <v>0</v>
      </c>
      <c r="W79" s="77">
        <f>IF(ISERROR(VLOOKUP($T$79,'TAR FIN'!$A$1:$O$85,15,0)),0,VLOOKUP($T$79,'TAR FIN'!$A$1:$O$85,15,0))*(1-0.04)</f>
        <v>910.22399999999993</v>
      </c>
      <c r="X79" s="77">
        <f>IF(ISERROR(VLOOKUP($U$79,'TAR FIN'!$A$1:$O$85,15,0)),0,VLOOKUP($U$79,'TAR FIN'!$A$1:$O$85,15,0))*(1-0.04)</f>
        <v>252.75840000000002</v>
      </c>
      <c r="Y79" s="77"/>
      <c r="Z79" s="77">
        <f ca="1">('TUSD BE'!$AM$11+'TUSD BF'!$AM$11+'TUSD CVA'!$AM$11)*1*(1-0.02)</f>
        <v>956.89459124248037</v>
      </c>
      <c r="AA79" s="77">
        <f>('TE BE'!$AA$5+'TE BF'!$AA$5+'TE CVA'!$AA$5)*1*(1-0.02)</f>
        <v>206.43109646347523</v>
      </c>
      <c r="AB79" s="77">
        <f>(SUBSIDIO!$J$79*SUBSIDIO!$V$79)*(0.04)/(1-0.04)</f>
        <v>0</v>
      </c>
      <c r="AC79" s="77">
        <f>((SUBSIDIO!$L$79*SUBSIDIO!$W$79)+(SUBSIDIO!$N$79*SUBSIDIO!$X$79))*(0.04)/(1-0.04)</f>
        <v>0.77532160000000006</v>
      </c>
      <c r="AD79" s="77">
        <f>(SUBSIDIO!$J$79*SUBSIDIO!$Y$79)*(0.02)/(1-0.02)</f>
        <v>0</v>
      </c>
      <c r="AE79" s="77">
        <f ca="1">((SUBSIDIO!$L$79*SUBSIDIO!$Z$79)+(SUBSIDIO!$N$79*SUBSIDIO!$AA$79))*(0.02)/(1-0.02)</f>
        <v>0.37986144904684266</v>
      </c>
      <c r="AF79" s="4" t="s">
        <v>808</v>
      </c>
    </row>
    <row r="80" spans="1:32" ht="11.25" customHeight="1" x14ac:dyDescent="0.25">
      <c r="A80" s="4" t="s">
        <v>21</v>
      </c>
      <c r="B80" s="4" t="s">
        <v>33</v>
      </c>
      <c r="C80" s="4" t="s">
        <v>34</v>
      </c>
      <c r="D80" s="4" t="s">
        <v>44</v>
      </c>
      <c r="E80" s="4" t="s">
        <v>53</v>
      </c>
      <c r="F80" s="4" t="s">
        <v>25</v>
      </c>
      <c r="G80" s="4" t="s">
        <v>25</v>
      </c>
      <c r="H80" s="4" t="s">
        <v>35</v>
      </c>
      <c r="I80" s="5">
        <v>44501</v>
      </c>
      <c r="J80" s="6">
        <v>0</v>
      </c>
      <c r="K80" s="77">
        <v>0</v>
      </c>
      <c r="L80" s="6">
        <v>1.7999999999999999E-2</v>
      </c>
      <c r="M80" s="77">
        <v>1.7999999999999999E-2</v>
      </c>
      <c r="N80" s="6">
        <v>1.7999999999999999E-2</v>
      </c>
      <c r="O80" s="77">
        <v>1.7999999999999999E-2</v>
      </c>
      <c r="P80" s="6">
        <v>0</v>
      </c>
      <c r="Q80" s="4" t="s">
        <v>26</v>
      </c>
      <c r="R80" s="4">
        <v>0</v>
      </c>
      <c r="S80" s="4">
        <v>0</v>
      </c>
      <c r="T80" s="4">
        <v>7</v>
      </c>
      <c r="U80" s="4">
        <v>48</v>
      </c>
      <c r="V80" s="77">
        <f>IF(ISERROR(VLOOKUP($S$80,'TAR FIN'!$A$1:$O$85,15,0)),0,VLOOKUP($S$80,'TAR FIN'!$A$1:$O$85,15,0))</f>
        <v>0</v>
      </c>
      <c r="W80" s="77">
        <f>IF(ISERROR(VLOOKUP($T$80,'TAR FIN'!$A$1:$O$85,15,0)),0,VLOOKUP($T$80,'TAR FIN'!$A$1:$O$85,15,0))*(1-0.04)</f>
        <v>910.22399999999993</v>
      </c>
      <c r="X80" s="77">
        <f>IF(ISERROR(VLOOKUP($U$80,'TAR FIN'!$A$1:$O$85,15,0)),0,VLOOKUP($U$80,'TAR FIN'!$A$1:$O$85,15,0))*(1-0.04)</f>
        <v>252.75840000000002</v>
      </c>
      <c r="Y80" s="77"/>
      <c r="Z80" s="77">
        <f ca="1">('TUSD BE'!$AM$11+'TUSD BF'!$AM$11+'TUSD CVA'!$AM$11)*1*(1-0.02)</f>
        <v>956.89459124248037</v>
      </c>
      <c r="AA80" s="77">
        <f>('TE BE'!$AA$5+'TE BF'!$AA$5+'TE CVA'!$AA$5)*1*(1-0.02)</f>
        <v>206.43109646347523</v>
      </c>
      <c r="AB80" s="77">
        <f>(SUBSIDIO!$J$80*SUBSIDIO!$V$80)*(0.04)/(1-0.04)</f>
        <v>0</v>
      </c>
      <c r="AC80" s="77">
        <f>((SUBSIDIO!$L$80*SUBSIDIO!$W$80)+(SUBSIDIO!$N$80*SUBSIDIO!$X$80))*(0.04)/(1-0.04)</f>
        <v>0.87223679999999992</v>
      </c>
      <c r="AD80" s="77">
        <f>(SUBSIDIO!$J$80*SUBSIDIO!$Y$80)*(0.02)/(1-0.02)</f>
        <v>0</v>
      </c>
      <c r="AE80" s="77">
        <f ca="1">((SUBSIDIO!$L$80*SUBSIDIO!$Z$80)+(SUBSIDIO!$N$80*SUBSIDIO!$AA$80))*(0.02)/(1-0.02)</f>
        <v>0.42734413017769796</v>
      </c>
      <c r="AF80" s="4" t="s">
        <v>808</v>
      </c>
    </row>
    <row r="81" spans="1:32" ht="11.25" customHeight="1" x14ac:dyDescent="0.25">
      <c r="A81" s="4" t="s">
        <v>21</v>
      </c>
      <c r="B81" s="4" t="s">
        <v>33</v>
      </c>
      <c r="C81" s="4" t="s">
        <v>34</v>
      </c>
      <c r="D81" s="4" t="s">
        <v>44</v>
      </c>
      <c r="E81" s="4" t="s">
        <v>53</v>
      </c>
      <c r="F81" s="4" t="s">
        <v>25</v>
      </c>
      <c r="G81" s="4" t="s">
        <v>25</v>
      </c>
      <c r="H81" s="4" t="s">
        <v>35</v>
      </c>
      <c r="I81" s="5">
        <v>44531</v>
      </c>
      <c r="J81" s="6">
        <v>0</v>
      </c>
      <c r="K81" s="77">
        <v>0</v>
      </c>
      <c r="L81" s="6">
        <v>0.1</v>
      </c>
      <c r="M81" s="77">
        <v>0.1</v>
      </c>
      <c r="N81" s="6">
        <v>0.1</v>
      </c>
      <c r="O81" s="77">
        <v>0.1</v>
      </c>
      <c r="P81" s="6">
        <v>0</v>
      </c>
      <c r="Q81" s="4" t="s">
        <v>26</v>
      </c>
      <c r="R81" s="4">
        <v>0</v>
      </c>
      <c r="S81" s="4">
        <v>0</v>
      </c>
      <c r="T81" s="4">
        <v>7</v>
      </c>
      <c r="U81" s="4">
        <v>48</v>
      </c>
      <c r="V81" s="77">
        <f>IF(ISERROR(VLOOKUP($S$81,'TAR FIN'!$A$1:$O$85,15,0)),0,VLOOKUP($S$81,'TAR FIN'!$A$1:$O$85,15,0))</f>
        <v>0</v>
      </c>
      <c r="W81" s="77">
        <f>IF(ISERROR(VLOOKUP($T$81,'TAR FIN'!$A$1:$O$85,15,0)),0,VLOOKUP($T$81,'TAR FIN'!$A$1:$O$85,15,0))*(1-0.04)</f>
        <v>910.22399999999993</v>
      </c>
      <c r="X81" s="77">
        <f>IF(ISERROR(VLOOKUP($U$81,'TAR FIN'!$A$1:$O$85,15,0)),0,VLOOKUP($U$81,'TAR FIN'!$A$1:$O$85,15,0))*(1-0.04)</f>
        <v>252.75840000000002</v>
      </c>
      <c r="Y81" s="77"/>
      <c r="Z81" s="77">
        <f ca="1">('TUSD BE'!$AM$11+'TUSD BF'!$AM$11+'TUSD CVA'!$AM$11)*1*(1-0.02)</f>
        <v>956.89459124248037</v>
      </c>
      <c r="AA81" s="77">
        <f>('TE BE'!$AA$5+'TE BF'!$AA$5+'TE CVA'!$AA$5)*1*(1-0.02)</f>
        <v>206.43109646347523</v>
      </c>
      <c r="AB81" s="77">
        <f>(SUBSIDIO!$J$81*SUBSIDIO!$V$81)*(0.04)/(1-0.04)</f>
        <v>0</v>
      </c>
      <c r="AC81" s="77">
        <f>((SUBSIDIO!$L$81*SUBSIDIO!$W$81)+(SUBSIDIO!$N$81*SUBSIDIO!$X$81))*(0.04)/(1-0.04)</f>
        <v>4.8457600000000012</v>
      </c>
      <c r="AD81" s="77">
        <f>(SUBSIDIO!$J$81*SUBSIDIO!$Y$81)*(0.02)/(1-0.02)</f>
        <v>0</v>
      </c>
      <c r="AE81" s="77">
        <f ca="1">((SUBSIDIO!$L$81*SUBSIDIO!$Z$81)+(SUBSIDIO!$N$81*SUBSIDIO!$AA$81))*(0.02)/(1-0.02)</f>
        <v>2.3741340565427667</v>
      </c>
      <c r="AF81" s="4" t="s">
        <v>808</v>
      </c>
    </row>
    <row r="82" spans="1:32" ht="11.25" customHeight="1" x14ac:dyDescent="0.25">
      <c r="A82" s="4" t="s">
        <v>21</v>
      </c>
      <c r="B82" s="4" t="s">
        <v>33</v>
      </c>
      <c r="C82" s="4" t="s">
        <v>34</v>
      </c>
      <c r="D82" s="4" t="s">
        <v>44</v>
      </c>
      <c r="E82" s="4" t="s">
        <v>53</v>
      </c>
      <c r="F82" s="4" t="s">
        <v>25</v>
      </c>
      <c r="G82" s="4" t="s">
        <v>25</v>
      </c>
      <c r="H82" s="4" t="s">
        <v>35</v>
      </c>
      <c r="I82" s="5">
        <v>44562</v>
      </c>
      <c r="J82" s="6">
        <v>0</v>
      </c>
      <c r="K82" s="77">
        <v>0</v>
      </c>
      <c r="L82" s="6">
        <v>0.128</v>
      </c>
      <c r="M82" s="77">
        <v>0.128</v>
      </c>
      <c r="N82" s="6">
        <v>0.128</v>
      </c>
      <c r="O82" s="77">
        <v>0.128</v>
      </c>
      <c r="P82" s="6">
        <v>0</v>
      </c>
      <c r="Q82" s="4" t="s">
        <v>26</v>
      </c>
      <c r="R82" s="4">
        <v>0</v>
      </c>
      <c r="S82" s="4">
        <v>0</v>
      </c>
      <c r="T82" s="4">
        <v>7</v>
      </c>
      <c r="U82" s="4">
        <v>48</v>
      </c>
      <c r="V82" s="77">
        <f>IF(ISERROR(VLOOKUP($S$82,'TAR FIN'!$A$1:$O$85,15,0)),0,VLOOKUP($S$82,'TAR FIN'!$A$1:$O$85,15,0))</f>
        <v>0</v>
      </c>
      <c r="W82" s="77">
        <f>IF(ISERROR(VLOOKUP($T$82,'TAR FIN'!$A$1:$O$85,15,0)),0,VLOOKUP($T$82,'TAR FIN'!$A$1:$O$85,15,0))*(1-0.04)</f>
        <v>910.22399999999993</v>
      </c>
      <c r="X82" s="77">
        <f>IF(ISERROR(VLOOKUP($U$82,'TAR FIN'!$A$1:$O$85,15,0)),0,VLOOKUP($U$82,'TAR FIN'!$A$1:$O$85,15,0))*(1-0.04)</f>
        <v>252.75840000000002</v>
      </c>
      <c r="Y82" s="77"/>
      <c r="Z82" s="77">
        <f ca="1">('TUSD BE'!$AM$11+'TUSD BF'!$AM$11+'TUSD CVA'!$AM$11)*1*(1-0.02)</f>
        <v>956.89459124248037</v>
      </c>
      <c r="AA82" s="77">
        <f>('TE BE'!$AA$5+'TE BF'!$AA$5+'TE CVA'!$AA$5)*1*(1-0.02)</f>
        <v>206.43109646347523</v>
      </c>
      <c r="AB82" s="77">
        <f>(SUBSIDIO!$J$82*SUBSIDIO!$V$82)*(0.04)/(1-0.04)</f>
        <v>0</v>
      </c>
      <c r="AC82" s="77">
        <f>((SUBSIDIO!$L$82*SUBSIDIO!$W$82)+(SUBSIDIO!$N$82*SUBSIDIO!$X$82))*(0.04)/(1-0.04)</f>
        <v>6.2025728000000004</v>
      </c>
      <c r="AD82" s="77">
        <f>(SUBSIDIO!$J$82*SUBSIDIO!$Y$82)*(0.02)/(1-0.02)</f>
        <v>0</v>
      </c>
      <c r="AE82" s="77">
        <f ca="1">((SUBSIDIO!$L$82*SUBSIDIO!$Z$82)+(SUBSIDIO!$N$82*SUBSIDIO!$AA$82))*(0.02)/(1-0.02)</f>
        <v>3.0388915923747413</v>
      </c>
      <c r="AF82" s="4" t="s">
        <v>808</v>
      </c>
    </row>
    <row r="83" spans="1:32" ht="11.25" customHeight="1" x14ac:dyDescent="0.25">
      <c r="A83" s="4" t="s">
        <v>21</v>
      </c>
      <c r="B83" s="4" t="s">
        <v>33</v>
      </c>
      <c r="C83" s="4" t="s">
        <v>34</v>
      </c>
      <c r="D83" s="4" t="s">
        <v>44</v>
      </c>
      <c r="E83" s="4" t="s">
        <v>53</v>
      </c>
      <c r="F83" s="4" t="s">
        <v>25</v>
      </c>
      <c r="G83" s="4" t="s">
        <v>25</v>
      </c>
      <c r="H83" s="4" t="s">
        <v>35</v>
      </c>
      <c r="I83" s="5">
        <v>44593</v>
      </c>
      <c r="J83" s="6">
        <v>0</v>
      </c>
      <c r="K83" s="77">
        <v>0</v>
      </c>
      <c r="L83" s="6">
        <v>0.19800000000000001</v>
      </c>
      <c r="M83" s="77">
        <v>0.19800000000000001</v>
      </c>
      <c r="N83" s="6">
        <v>0.19800000000000001</v>
      </c>
      <c r="O83" s="77">
        <v>0.19800000000000001</v>
      </c>
      <c r="P83" s="6">
        <v>0</v>
      </c>
      <c r="Q83" s="4" t="s">
        <v>26</v>
      </c>
      <c r="R83" s="4">
        <v>0</v>
      </c>
      <c r="S83" s="4">
        <v>0</v>
      </c>
      <c r="T83" s="4">
        <v>7</v>
      </c>
      <c r="U83" s="4">
        <v>48</v>
      </c>
      <c r="V83" s="77">
        <f>IF(ISERROR(VLOOKUP($S$83,'TAR FIN'!$A$1:$O$85,15,0)),0,VLOOKUP($S$83,'TAR FIN'!$A$1:$O$85,15,0))</f>
        <v>0</v>
      </c>
      <c r="W83" s="77">
        <f>IF(ISERROR(VLOOKUP($T$83,'TAR FIN'!$A$1:$O$85,15,0)),0,VLOOKUP($T$83,'TAR FIN'!$A$1:$O$85,15,0))*(1-0.04)</f>
        <v>910.22399999999993</v>
      </c>
      <c r="X83" s="77">
        <f>IF(ISERROR(VLOOKUP($U$83,'TAR FIN'!$A$1:$O$85,15,0)),0,VLOOKUP($U$83,'TAR FIN'!$A$1:$O$85,15,0))*(1-0.04)</f>
        <v>252.75840000000002</v>
      </c>
      <c r="Y83" s="77"/>
      <c r="Z83" s="77">
        <f ca="1">('TUSD BE'!$AM$11+'TUSD BF'!$AM$11+'TUSD CVA'!$AM$11)*1*(1-0.02)</f>
        <v>956.89459124248037</v>
      </c>
      <c r="AA83" s="77">
        <f>('TE BE'!$AA$5+'TE BF'!$AA$5+'TE CVA'!$AA$5)*1*(1-0.02)</f>
        <v>206.43109646347523</v>
      </c>
      <c r="AB83" s="77">
        <f>(SUBSIDIO!$J$83*SUBSIDIO!$V$83)*(0.04)/(1-0.04)</f>
        <v>0</v>
      </c>
      <c r="AC83" s="77">
        <f>((SUBSIDIO!$L$83*SUBSIDIO!$W$83)+(SUBSIDIO!$N$83*SUBSIDIO!$X$83))*(0.04)/(1-0.04)</f>
        <v>9.594604799999999</v>
      </c>
      <c r="AD83" s="77">
        <f>(SUBSIDIO!$J$83*SUBSIDIO!$Y$83)*(0.02)/(1-0.02)</f>
        <v>0</v>
      </c>
      <c r="AE83" s="77">
        <f ca="1">((SUBSIDIO!$L$83*SUBSIDIO!$Z$83)+(SUBSIDIO!$N$83*SUBSIDIO!$AA$83))*(0.02)/(1-0.02)</f>
        <v>4.700785431954678</v>
      </c>
      <c r="AF83" s="4" t="s">
        <v>808</v>
      </c>
    </row>
    <row r="84" spans="1:32" ht="11.25" customHeight="1" x14ac:dyDescent="0.25">
      <c r="A84" s="4" t="s">
        <v>21</v>
      </c>
      <c r="B84" s="4" t="s">
        <v>33</v>
      </c>
      <c r="C84" s="4" t="s">
        <v>34</v>
      </c>
      <c r="D84" s="4" t="s">
        <v>44</v>
      </c>
      <c r="E84" s="4" t="s">
        <v>53</v>
      </c>
      <c r="F84" s="4" t="s">
        <v>25</v>
      </c>
      <c r="G84" s="4" t="s">
        <v>25</v>
      </c>
      <c r="H84" s="4" t="s">
        <v>35</v>
      </c>
      <c r="I84" s="5">
        <v>44621</v>
      </c>
      <c r="J84" s="6">
        <v>0</v>
      </c>
      <c r="K84" s="77">
        <v>0</v>
      </c>
      <c r="L84" s="6">
        <v>0.214</v>
      </c>
      <c r="M84" s="77">
        <v>0.214</v>
      </c>
      <c r="N84" s="6">
        <v>0.214</v>
      </c>
      <c r="O84" s="77">
        <v>0.214</v>
      </c>
      <c r="P84" s="6">
        <v>0</v>
      </c>
      <c r="Q84" s="4" t="s">
        <v>26</v>
      </c>
      <c r="R84" s="4">
        <v>0</v>
      </c>
      <c r="S84" s="4">
        <v>0</v>
      </c>
      <c r="T84" s="4">
        <v>7</v>
      </c>
      <c r="U84" s="4">
        <v>48</v>
      </c>
      <c r="V84" s="77">
        <f>IF(ISERROR(VLOOKUP($S$84,'TAR FIN'!$A$1:$O$85,15,0)),0,VLOOKUP($S$84,'TAR FIN'!$A$1:$O$85,15,0))</f>
        <v>0</v>
      </c>
      <c r="W84" s="77">
        <f>IF(ISERROR(VLOOKUP($T$84,'TAR FIN'!$A$1:$O$85,15,0)),0,VLOOKUP($T$84,'TAR FIN'!$A$1:$O$85,15,0))*(1-0.04)</f>
        <v>910.22399999999993</v>
      </c>
      <c r="X84" s="77">
        <f>IF(ISERROR(VLOOKUP($U$84,'TAR FIN'!$A$1:$O$85,15,0)),0,VLOOKUP($U$84,'TAR FIN'!$A$1:$O$85,15,0))*(1-0.04)</f>
        <v>252.75840000000002</v>
      </c>
      <c r="Y84" s="77"/>
      <c r="Z84" s="77">
        <f ca="1">('TUSD BE'!$AM$11+'TUSD BF'!$AM$11+'TUSD CVA'!$AM$11)*1*(1-0.02)</f>
        <v>956.89459124248037</v>
      </c>
      <c r="AA84" s="77">
        <f>('TE BE'!$AA$5+'TE BF'!$AA$5+'TE CVA'!$AA$5)*1*(1-0.02)</f>
        <v>206.43109646347523</v>
      </c>
      <c r="AB84" s="77">
        <f>(SUBSIDIO!$J$84*SUBSIDIO!$V$84)*(0.04)/(1-0.04)</f>
        <v>0</v>
      </c>
      <c r="AC84" s="77">
        <f>((SUBSIDIO!$L$84*SUBSIDIO!$W$84)+(SUBSIDIO!$N$84*SUBSIDIO!$X$84))*(0.04)/(1-0.04)</f>
        <v>10.369926400000001</v>
      </c>
      <c r="AD84" s="77">
        <f>(SUBSIDIO!$J$84*SUBSIDIO!$Y$84)*(0.02)/(1-0.02)</f>
        <v>0</v>
      </c>
      <c r="AE84" s="77">
        <f ca="1">((SUBSIDIO!$L$84*SUBSIDIO!$Z$84)+(SUBSIDIO!$N$84*SUBSIDIO!$AA$84))*(0.02)/(1-0.02)</f>
        <v>5.0806468810015213</v>
      </c>
      <c r="AF84" s="4" t="s">
        <v>808</v>
      </c>
    </row>
    <row r="85" spans="1:32" ht="11.25" customHeight="1" x14ac:dyDescent="0.25">
      <c r="A85" s="4" t="s">
        <v>21</v>
      </c>
      <c r="B85" s="4" t="s">
        <v>33</v>
      </c>
      <c r="C85" s="4" t="s">
        <v>34</v>
      </c>
      <c r="D85" s="4" t="s">
        <v>44</v>
      </c>
      <c r="E85" s="4" t="s">
        <v>53</v>
      </c>
      <c r="F85" s="4" t="s">
        <v>25</v>
      </c>
      <c r="G85" s="4" t="s">
        <v>25</v>
      </c>
      <c r="H85" s="4" t="s">
        <v>35</v>
      </c>
      <c r="I85" s="5">
        <v>44652</v>
      </c>
      <c r="J85" s="6">
        <v>0</v>
      </c>
      <c r="K85" s="77">
        <v>0</v>
      </c>
      <c r="L85" s="6">
        <v>2.7E-2</v>
      </c>
      <c r="M85" s="77">
        <v>2.7E-2</v>
      </c>
      <c r="N85" s="6">
        <v>2.7E-2</v>
      </c>
      <c r="O85" s="77">
        <v>2.7E-2</v>
      </c>
      <c r="P85" s="6">
        <v>0</v>
      </c>
      <c r="Q85" s="4" t="s">
        <v>26</v>
      </c>
      <c r="R85" s="4">
        <v>0</v>
      </c>
      <c r="S85" s="4">
        <v>0</v>
      </c>
      <c r="T85" s="4">
        <v>7</v>
      </c>
      <c r="U85" s="4">
        <v>48</v>
      </c>
      <c r="V85" s="77">
        <f>IF(ISERROR(VLOOKUP($S$85,'TAR FIN'!$A$1:$O$85,15,0)),0,VLOOKUP($S$85,'TAR FIN'!$A$1:$O$85,15,0))</f>
        <v>0</v>
      </c>
      <c r="W85" s="77">
        <f>IF(ISERROR(VLOOKUP($T$85,'TAR FIN'!$A$1:$O$85,15,0)),0,VLOOKUP($T$85,'TAR FIN'!$A$1:$O$85,15,0))*(1-0.04)</f>
        <v>910.22399999999993</v>
      </c>
      <c r="X85" s="77">
        <f>IF(ISERROR(VLOOKUP($U$85,'TAR FIN'!$A$1:$O$85,15,0)),0,VLOOKUP($U$85,'TAR FIN'!$A$1:$O$85,15,0))*(1-0.04)</f>
        <v>252.75840000000002</v>
      </c>
      <c r="Y85" s="77"/>
      <c r="Z85" s="77">
        <f ca="1">('TUSD BE'!$AM$11+'TUSD BF'!$AM$11+'TUSD CVA'!$AM$11)*1*(1-0.02)</f>
        <v>956.89459124248037</v>
      </c>
      <c r="AA85" s="77">
        <f>('TE BE'!$AA$5+'TE BF'!$AA$5+'TE CVA'!$AA$5)*1*(1-0.02)</f>
        <v>206.43109646347523</v>
      </c>
      <c r="AB85" s="77">
        <f>(SUBSIDIO!$J$85*SUBSIDIO!$V$85)*(0.04)/(1-0.04)</f>
        <v>0</v>
      </c>
      <c r="AC85" s="77">
        <f>((SUBSIDIO!$L$85*SUBSIDIO!$W$85)+(SUBSIDIO!$N$85*SUBSIDIO!$X$85))*(0.04)/(1-0.04)</f>
        <v>1.3083551999999998</v>
      </c>
      <c r="AD85" s="77">
        <f>(SUBSIDIO!$J$85*SUBSIDIO!$Y$85)*(0.02)/(1-0.02)</f>
        <v>0</v>
      </c>
      <c r="AE85" s="77">
        <f ca="1">((SUBSIDIO!$L$85*SUBSIDIO!$Z$85)+(SUBSIDIO!$N$85*SUBSIDIO!$AA$85))*(0.02)/(1-0.02)</f>
        <v>0.64101619526654696</v>
      </c>
      <c r="AF85" s="4" t="s">
        <v>808</v>
      </c>
    </row>
    <row r="86" spans="1:32" ht="11.25" customHeight="1" x14ac:dyDescent="0.25">
      <c r="A86" s="4" t="s">
        <v>21</v>
      </c>
      <c r="B86" s="4" t="s">
        <v>33</v>
      </c>
      <c r="C86" s="4" t="s">
        <v>34</v>
      </c>
      <c r="D86" s="4" t="s">
        <v>44</v>
      </c>
      <c r="E86" s="4" t="s">
        <v>25</v>
      </c>
      <c r="F86" s="4" t="s">
        <v>25</v>
      </c>
      <c r="G86" s="4" t="s">
        <v>25</v>
      </c>
      <c r="H86" s="4" t="s">
        <v>36</v>
      </c>
      <c r="I86" s="5">
        <v>44317</v>
      </c>
      <c r="J86" s="6">
        <v>0</v>
      </c>
      <c r="K86" s="77">
        <v>0</v>
      </c>
      <c r="L86" s="6">
        <v>1497.307</v>
      </c>
      <c r="M86" s="77">
        <v>1497.307</v>
      </c>
      <c r="N86" s="6">
        <v>1497.307</v>
      </c>
      <c r="O86" s="77">
        <v>1497.307</v>
      </c>
      <c r="P86" s="6">
        <v>0</v>
      </c>
      <c r="Q86" s="4" t="s">
        <v>26</v>
      </c>
      <c r="R86" s="4">
        <v>0</v>
      </c>
      <c r="S86" s="4">
        <v>0</v>
      </c>
      <c r="T86" s="4">
        <v>8</v>
      </c>
      <c r="U86" s="4">
        <v>49</v>
      </c>
      <c r="V86" s="77">
        <f>IF(ISERROR(VLOOKUP($S$86,'TAR FIN'!$A$1:$O$85,15,0)),0,VLOOKUP($S$86,'TAR FIN'!$A$1:$O$85,15,0))</f>
        <v>0</v>
      </c>
      <c r="W86" s="77">
        <f>IF(ISERROR(VLOOKUP($T$86,'TAR FIN'!$A$1:$O$85,15,0)),0,VLOOKUP($T$86,'TAR FIN'!$A$1:$O$85,15,0))*(1-0.04)</f>
        <v>62.985599999999998</v>
      </c>
      <c r="X86" s="77">
        <f>IF(ISERROR(VLOOKUP($U$86,'TAR FIN'!$A$1:$O$85,15,0)),0,VLOOKUP($U$86,'TAR FIN'!$A$1:$O$85,15,0))*(1-0.04)</f>
        <v>252.75840000000002</v>
      </c>
      <c r="Y86" s="77"/>
      <c r="Z86" s="77">
        <f ca="1">('TUSD BE'!$AM$12+'TUSD BF'!$AM$12+'TUSD CVA'!$AM$12)*1*(1-0.02)</f>
        <v>98.339533846404223</v>
      </c>
      <c r="AA86" s="77">
        <f>('TE BE'!$AA$6+'TE BF'!$AA$6+'TE CVA'!$AA$6)*1*(1-0.02)</f>
        <v>206.43109646347523</v>
      </c>
      <c r="AB86" s="77">
        <f>(SUBSIDIO!$J$86*SUBSIDIO!$V$86)*(0.04)/(1-0.04)</f>
        <v>0</v>
      </c>
      <c r="AC86" s="77">
        <f>((SUBSIDIO!$L$86*SUBSIDIO!$W$86)+(SUBSIDIO!$N$86*SUBSIDIO!$X$86))*(0.04)/(1-0.04)</f>
        <v>19698.570892000003</v>
      </c>
      <c r="AD86" s="77">
        <f>(SUBSIDIO!$J$86*SUBSIDIO!$Y$86)*(0.02)/(1-0.02)</f>
        <v>0</v>
      </c>
      <c r="AE86" s="77">
        <f ca="1">((SUBSIDIO!$L$86*SUBSIDIO!$Z$86)+(SUBSIDIO!$N$86*SUBSIDIO!$AA$86))*(0.02)/(1-0.02)</f>
        <v>9312.9632277019336</v>
      </c>
      <c r="AF86" s="4" t="s">
        <v>808</v>
      </c>
    </row>
    <row r="87" spans="1:32" ht="11.25" customHeight="1" x14ac:dyDescent="0.25">
      <c r="A87" s="4" t="s">
        <v>21</v>
      </c>
      <c r="B87" s="4" t="s">
        <v>33</v>
      </c>
      <c r="C87" s="4" t="s">
        <v>34</v>
      </c>
      <c r="D87" s="4" t="s">
        <v>44</v>
      </c>
      <c r="E87" s="4" t="s">
        <v>25</v>
      </c>
      <c r="F87" s="4" t="s">
        <v>25</v>
      </c>
      <c r="G87" s="4" t="s">
        <v>25</v>
      </c>
      <c r="H87" s="4" t="s">
        <v>36</v>
      </c>
      <c r="I87" s="5">
        <v>44348</v>
      </c>
      <c r="J87" s="6">
        <v>0</v>
      </c>
      <c r="K87" s="77">
        <v>0</v>
      </c>
      <c r="L87" s="6">
        <v>1484.1410000000001</v>
      </c>
      <c r="M87" s="77">
        <v>1484.1410000000001</v>
      </c>
      <c r="N87" s="6">
        <v>1484.1410000000001</v>
      </c>
      <c r="O87" s="77">
        <v>1484.1410000000001</v>
      </c>
      <c r="P87" s="6">
        <v>0</v>
      </c>
      <c r="Q87" s="4" t="s">
        <v>26</v>
      </c>
      <c r="R87" s="4">
        <v>0</v>
      </c>
      <c r="S87" s="4">
        <v>0</v>
      </c>
      <c r="T87" s="4">
        <v>8</v>
      </c>
      <c r="U87" s="4">
        <v>49</v>
      </c>
      <c r="V87" s="77">
        <f>IF(ISERROR(VLOOKUP($S$87,'TAR FIN'!$A$1:$O$85,15,0)),0,VLOOKUP($S$87,'TAR FIN'!$A$1:$O$85,15,0))</f>
        <v>0</v>
      </c>
      <c r="W87" s="77">
        <f>IF(ISERROR(VLOOKUP($T$87,'TAR FIN'!$A$1:$O$85,15,0)),0,VLOOKUP($T$87,'TAR FIN'!$A$1:$O$85,15,0))*(1-0.04)</f>
        <v>62.985599999999998</v>
      </c>
      <c r="X87" s="77">
        <f>IF(ISERROR(VLOOKUP($U$87,'TAR FIN'!$A$1:$O$85,15,0)),0,VLOOKUP($U$87,'TAR FIN'!$A$1:$O$85,15,0))*(1-0.04)</f>
        <v>252.75840000000002</v>
      </c>
      <c r="Y87" s="77"/>
      <c r="Z87" s="77">
        <f ca="1">('TUSD BE'!$AM$12+'TUSD BF'!$AM$12+'TUSD CVA'!$AM$12)*1*(1-0.02)</f>
        <v>98.339533846404223</v>
      </c>
      <c r="AA87" s="77">
        <f>('TE BE'!$AA$6+'TE BF'!$AA$6+'TE CVA'!$AA$6)*1*(1-0.02)</f>
        <v>206.43109646347523</v>
      </c>
      <c r="AB87" s="77">
        <f>(SUBSIDIO!$J$87*SUBSIDIO!$V$87)*(0.04)/(1-0.04)</f>
        <v>0</v>
      </c>
      <c r="AC87" s="77">
        <f>((SUBSIDIO!$L$87*SUBSIDIO!$W$87)+(SUBSIDIO!$N$87*SUBSIDIO!$X$87))*(0.04)/(1-0.04)</f>
        <v>19525.358996000003</v>
      </c>
      <c r="AD87" s="77">
        <f>(SUBSIDIO!$J$87*SUBSIDIO!$Y$87)*(0.02)/(1-0.02)</f>
        <v>0</v>
      </c>
      <c r="AE87" s="77">
        <f ca="1">((SUBSIDIO!$L$87*SUBSIDIO!$Z$87)+(SUBSIDIO!$N$87*SUBSIDIO!$AA$87))*(0.02)/(1-0.02)</f>
        <v>9231.0732252803027</v>
      </c>
      <c r="AF87" s="4" t="s">
        <v>808</v>
      </c>
    </row>
    <row r="88" spans="1:32" ht="11.25" customHeight="1" x14ac:dyDescent="0.25">
      <c r="A88" s="4" t="s">
        <v>21</v>
      </c>
      <c r="B88" s="4" t="s">
        <v>33</v>
      </c>
      <c r="C88" s="4" t="s">
        <v>34</v>
      </c>
      <c r="D88" s="4" t="s">
        <v>44</v>
      </c>
      <c r="E88" s="4" t="s">
        <v>25</v>
      </c>
      <c r="F88" s="4" t="s">
        <v>25</v>
      </c>
      <c r="G88" s="4" t="s">
        <v>25</v>
      </c>
      <c r="H88" s="4" t="s">
        <v>36</v>
      </c>
      <c r="I88" s="5">
        <v>44378</v>
      </c>
      <c r="J88" s="6">
        <v>0</v>
      </c>
      <c r="K88" s="77">
        <v>0</v>
      </c>
      <c r="L88" s="6">
        <v>1533.3710000000001</v>
      </c>
      <c r="M88" s="77">
        <v>1533.3710000000001</v>
      </c>
      <c r="N88" s="6">
        <v>1533.3710000000001</v>
      </c>
      <c r="O88" s="77">
        <v>1533.3710000000001</v>
      </c>
      <c r="P88" s="6">
        <v>0</v>
      </c>
      <c r="Q88" s="4" t="s">
        <v>26</v>
      </c>
      <c r="R88" s="4">
        <v>0</v>
      </c>
      <c r="S88" s="4">
        <v>0</v>
      </c>
      <c r="T88" s="4">
        <v>8</v>
      </c>
      <c r="U88" s="4">
        <v>49</v>
      </c>
      <c r="V88" s="77">
        <f>IF(ISERROR(VLOOKUP($S$88,'TAR FIN'!$A$1:$O$85,15,0)),0,VLOOKUP($S$88,'TAR FIN'!$A$1:$O$85,15,0))</f>
        <v>0</v>
      </c>
      <c r="W88" s="77">
        <f>IF(ISERROR(VLOOKUP($T$88,'TAR FIN'!$A$1:$O$85,15,0)),0,VLOOKUP($T$88,'TAR FIN'!$A$1:$O$85,15,0))*(1-0.04)</f>
        <v>62.985599999999998</v>
      </c>
      <c r="X88" s="77">
        <f>IF(ISERROR(VLOOKUP($U$88,'TAR FIN'!$A$1:$O$85,15,0)),0,VLOOKUP($U$88,'TAR FIN'!$A$1:$O$85,15,0))*(1-0.04)</f>
        <v>252.75840000000002</v>
      </c>
      <c r="Y88" s="77"/>
      <c r="Z88" s="77">
        <f ca="1">('TUSD BE'!$AM$12+'TUSD BF'!$AM$12+'TUSD CVA'!$AM$12)*1*(1-0.02)</f>
        <v>98.339533846404223</v>
      </c>
      <c r="AA88" s="77">
        <f>('TE BE'!$AA$6+'TE BF'!$AA$6+'TE CVA'!$AA$6)*1*(1-0.02)</f>
        <v>206.43109646347523</v>
      </c>
      <c r="AB88" s="77">
        <f>(SUBSIDIO!$J$88*SUBSIDIO!$V$88)*(0.04)/(1-0.04)</f>
        <v>0</v>
      </c>
      <c r="AC88" s="77">
        <f>((SUBSIDIO!$L$88*SUBSIDIO!$W$88)+(SUBSIDIO!$N$88*SUBSIDIO!$X$88))*(0.04)/(1-0.04)</f>
        <v>20173.028876000004</v>
      </c>
      <c r="AD88" s="77">
        <f>(SUBSIDIO!$J$88*SUBSIDIO!$Y$88)*(0.02)/(1-0.02)</f>
        <v>0</v>
      </c>
      <c r="AE88" s="77">
        <f ca="1">((SUBSIDIO!$L$88*SUBSIDIO!$Z$88)+(SUBSIDIO!$N$88*SUBSIDIO!$AA$88))*(0.02)/(1-0.02)</f>
        <v>9537.2744116100039</v>
      </c>
      <c r="AF88" s="4" t="s">
        <v>808</v>
      </c>
    </row>
    <row r="89" spans="1:32" ht="11.25" customHeight="1" x14ac:dyDescent="0.25">
      <c r="A89" s="4" t="s">
        <v>21</v>
      </c>
      <c r="B89" s="4" t="s">
        <v>33</v>
      </c>
      <c r="C89" s="4" t="s">
        <v>34</v>
      </c>
      <c r="D89" s="4" t="s">
        <v>44</v>
      </c>
      <c r="E89" s="4" t="s">
        <v>25</v>
      </c>
      <c r="F89" s="4" t="s">
        <v>25</v>
      </c>
      <c r="G89" s="4" t="s">
        <v>25</v>
      </c>
      <c r="H89" s="4" t="s">
        <v>36</v>
      </c>
      <c r="I89" s="5">
        <v>44409</v>
      </c>
      <c r="J89" s="6">
        <v>0</v>
      </c>
      <c r="K89" s="77">
        <v>0</v>
      </c>
      <c r="L89" s="6">
        <v>1605.268</v>
      </c>
      <c r="M89" s="77">
        <v>1605.268</v>
      </c>
      <c r="N89" s="6">
        <v>1605.268</v>
      </c>
      <c r="O89" s="77">
        <v>1605.268</v>
      </c>
      <c r="P89" s="6">
        <v>0</v>
      </c>
      <c r="Q89" s="4" t="s">
        <v>26</v>
      </c>
      <c r="R89" s="4">
        <v>0</v>
      </c>
      <c r="S89" s="4">
        <v>0</v>
      </c>
      <c r="T89" s="4">
        <v>8</v>
      </c>
      <c r="U89" s="4">
        <v>49</v>
      </c>
      <c r="V89" s="77">
        <f>IF(ISERROR(VLOOKUP($S$89,'TAR FIN'!$A$1:$O$85,15,0)),0,VLOOKUP($S$89,'TAR FIN'!$A$1:$O$85,15,0))</f>
        <v>0</v>
      </c>
      <c r="W89" s="77">
        <f>IF(ISERROR(VLOOKUP($T$89,'TAR FIN'!$A$1:$O$85,15,0)),0,VLOOKUP($T$89,'TAR FIN'!$A$1:$O$85,15,0))*(1-0.04)</f>
        <v>62.985599999999998</v>
      </c>
      <c r="X89" s="77">
        <f>IF(ISERROR(VLOOKUP($U$89,'TAR FIN'!$A$1:$O$85,15,0)),0,VLOOKUP($U$89,'TAR FIN'!$A$1:$O$85,15,0))*(1-0.04)</f>
        <v>252.75840000000002</v>
      </c>
      <c r="Y89" s="77"/>
      <c r="Z89" s="77">
        <f ca="1">('TUSD BE'!$AM$12+'TUSD BF'!$AM$12+'TUSD CVA'!$AM$12)*1*(1-0.02)</f>
        <v>98.339533846404223</v>
      </c>
      <c r="AA89" s="77">
        <f>('TE BE'!$AA$6+'TE BF'!$AA$6+'TE CVA'!$AA$6)*1*(1-0.02)</f>
        <v>206.43109646347523</v>
      </c>
      <c r="AB89" s="77">
        <f>(SUBSIDIO!$J$89*SUBSIDIO!$V$89)*(0.04)/(1-0.04)</f>
        <v>0</v>
      </c>
      <c r="AC89" s="77">
        <f>((SUBSIDIO!$L$89*SUBSIDIO!$W$89)+(SUBSIDIO!$N$89*SUBSIDIO!$X$89))*(0.04)/(1-0.04)</f>
        <v>21118.905808000003</v>
      </c>
      <c r="AD89" s="77">
        <f>(SUBSIDIO!$J$89*SUBSIDIO!$Y$89)*(0.02)/(1-0.02)</f>
        <v>0</v>
      </c>
      <c r="AE89" s="77">
        <f ca="1">((SUBSIDIO!$L$89*SUBSIDIO!$Z$89)+(SUBSIDIO!$N$89*SUBSIDIO!$AA$89))*(0.02)/(1-0.02)</f>
        <v>9984.4600035975436</v>
      </c>
      <c r="AF89" s="4" t="s">
        <v>808</v>
      </c>
    </row>
    <row r="90" spans="1:32" ht="11.25" customHeight="1" x14ac:dyDescent="0.25">
      <c r="A90" s="4" t="s">
        <v>28</v>
      </c>
      <c r="B90" s="4" t="s">
        <v>33</v>
      </c>
      <c r="C90" s="4" t="s">
        <v>34</v>
      </c>
      <c r="D90" s="4" t="s">
        <v>44</v>
      </c>
      <c r="E90" s="4" t="s">
        <v>25</v>
      </c>
      <c r="F90" s="4" t="s">
        <v>25</v>
      </c>
      <c r="G90" s="4" t="s">
        <v>25</v>
      </c>
      <c r="H90" s="4" t="s">
        <v>36</v>
      </c>
      <c r="I90" s="5">
        <v>44409</v>
      </c>
      <c r="J90" s="6">
        <v>0</v>
      </c>
      <c r="K90" s="77">
        <v>0</v>
      </c>
      <c r="L90" s="6">
        <v>6.8630000000000004</v>
      </c>
      <c r="M90" s="77">
        <v>6.8630000000000004</v>
      </c>
      <c r="N90" s="6">
        <v>6.8630000000000004</v>
      </c>
      <c r="O90" s="77">
        <v>6.8630000000000004</v>
      </c>
      <c r="P90" s="6">
        <v>0</v>
      </c>
      <c r="Q90" s="4" t="s">
        <v>26</v>
      </c>
      <c r="R90" s="4">
        <v>0</v>
      </c>
      <c r="S90" s="4">
        <v>0</v>
      </c>
      <c r="T90" s="4">
        <v>8</v>
      </c>
      <c r="U90" s="4">
        <v>49</v>
      </c>
      <c r="V90" s="77">
        <f>IF(ISERROR(VLOOKUP($S$90,'TAR FIN'!$A$1:$O$85,15,0)),0,VLOOKUP($S$90,'TAR FIN'!$A$1:$O$85,15,0))</f>
        <v>0</v>
      </c>
      <c r="W90" s="77">
        <f>IF(ISERROR(VLOOKUP($T$90,'TAR FIN'!$A$1:$O$85,15,0)),0,VLOOKUP($T$90,'TAR FIN'!$A$1:$O$85,15,0))*(1-0.04)</f>
        <v>62.985599999999998</v>
      </c>
      <c r="X90" s="77">
        <f>IF(ISERROR(VLOOKUP($U$90,'TAR FIN'!$A$1:$O$85,15,0)),0,VLOOKUP($U$90,'TAR FIN'!$A$1:$O$85,15,0))*(1-0.04)</f>
        <v>252.75840000000002</v>
      </c>
      <c r="Y90" s="77"/>
      <c r="Z90" s="77">
        <f ca="1">('TUSD BE'!$AM$12+'TUSD BF'!$AM$12+'TUSD CVA'!$AM$12)*1*(1-0.02)</f>
        <v>98.339533846404223</v>
      </c>
      <c r="AA90" s="77">
        <f>('TE BE'!$AA$6+'TE BF'!$AA$6+'TE CVA'!$AA$6)*1*(1-0.02)</f>
        <v>206.43109646347523</v>
      </c>
      <c r="AB90" s="77">
        <f>(SUBSIDIO!$J$90*SUBSIDIO!$V$90)*(0.04)/(1-0.04)</f>
        <v>0</v>
      </c>
      <c r="AC90" s="77">
        <f>((SUBSIDIO!$L$90*SUBSIDIO!$W$90)+(SUBSIDIO!$N$90*SUBSIDIO!$X$90))*(0.04)/(1-0.04)</f>
        <v>90.289628000000008</v>
      </c>
      <c r="AD90" s="77">
        <f>(SUBSIDIO!$J$90*SUBSIDIO!$Y$90)*(0.02)/(1-0.02)</f>
        <v>0</v>
      </c>
      <c r="AE90" s="77">
        <f ca="1">((SUBSIDIO!$L$90*SUBSIDIO!$Z$90)+(SUBSIDIO!$N$90*SUBSIDIO!$AA$90))*(0.02)/(1-0.02)</f>
        <v>42.686547669728633</v>
      </c>
      <c r="AF90" s="4" t="s">
        <v>808</v>
      </c>
    </row>
    <row r="91" spans="1:32" ht="11.25" customHeight="1" x14ac:dyDescent="0.25">
      <c r="A91" s="4" t="s">
        <v>21</v>
      </c>
      <c r="B91" s="4" t="s">
        <v>33</v>
      </c>
      <c r="C91" s="4" t="s">
        <v>34</v>
      </c>
      <c r="D91" s="4" t="s">
        <v>44</v>
      </c>
      <c r="E91" s="4" t="s">
        <v>25</v>
      </c>
      <c r="F91" s="4" t="s">
        <v>25</v>
      </c>
      <c r="G91" s="4" t="s">
        <v>25</v>
      </c>
      <c r="H91" s="4" t="s">
        <v>36</v>
      </c>
      <c r="I91" s="5">
        <v>44440</v>
      </c>
      <c r="J91" s="6">
        <v>0</v>
      </c>
      <c r="K91" s="77">
        <v>0</v>
      </c>
      <c r="L91" s="6">
        <v>1987.703</v>
      </c>
      <c r="M91" s="77">
        <v>1987.703</v>
      </c>
      <c r="N91" s="6">
        <v>1987.703</v>
      </c>
      <c r="O91" s="77">
        <v>1987.703</v>
      </c>
      <c r="P91" s="6">
        <v>0</v>
      </c>
      <c r="Q91" s="4" t="s">
        <v>26</v>
      </c>
      <c r="R91" s="4">
        <v>0</v>
      </c>
      <c r="S91" s="4">
        <v>0</v>
      </c>
      <c r="T91" s="4">
        <v>8</v>
      </c>
      <c r="U91" s="4">
        <v>49</v>
      </c>
      <c r="V91" s="77">
        <f>IF(ISERROR(VLOOKUP($S$91,'TAR FIN'!$A$1:$O$85,15,0)),0,VLOOKUP($S$91,'TAR FIN'!$A$1:$O$85,15,0))</f>
        <v>0</v>
      </c>
      <c r="W91" s="77">
        <f>IF(ISERROR(VLOOKUP($T$91,'TAR FIN'!$A$1:$O$85,15,0)),0,VLOOKUP($T$91,'TAR FIN'!$A$1:$O$85,15,0))*(1-0.04)</f>
        <v>62.985599999999998</v>
      </c>
      <c r="X91" s="77">
        <f>IF(ISERROR(VLOOKUP($U$91,'TAR FIN'!$A$1:$O$85,15,0)),0,VLOOKUP($U$91,'TAR FIN'!$A$1:$O$85,15,0))*(1-0.04)</f>
        <v>252.75840000000002</v>
      </c>
      <c r="Y91" s="77"/>
      <c r="Z91" s="77">
        <f ca="1">('TUSD BE'!$AM$12+'TUSD BF'!$AM$12+'TUSD CVA'!$AM$12)*1*(1-0.02)</f>
        <v>98.339533846404223</v>
      </c>
      <c r="AA91" s="77">
        <f>('TE BE'!$AA$6+'TE BF'!$AA$6+'TE CVA'!$AA$6)*1*(1-0.02)</f>
        <v>206.43109646347523</v>
      </c>
      <c r="AB91" s="77">
        <f>(SUBSIDIO!$J$91*SUBSIDIO!$V$91)*(0.04)/(1-0.04)</f>
        <v>0</v>
      </c>
      <c r="AC91" s="77">
        <f>((SUBSIDIO!$L$91*SUBSIDIO!$W$91)+(SUBSIDIO!$N$91*SUBSIDIO!$X$91))*(0.04)/(1-0.04)</f>
        <v>26150.220668000002</v>
      </c>
      <c r="AD91" s="77">
        <f>(SUBSIDIO!$J$91*SUBSIDIO!$Y$91)*(0.02)/(1-0.02)</f>
        <v>0</v>
      </c>
      <c r="AE91" s="77">
        <f ca="1">((SUBSIDIO!$L$91*SUBSIDIO!$Z$91)+(SUBSIDIO!$N$91*SUBSIDIO!$AA$91))*(0.02)/(1-0.02)</f>
        <v>12363.132575078334</v>
      </c>
      <c r="AF91" s="4" t="s">
        <v>808</v>
      </c>
    </row>
    <row r="92" spans="1:32" ht="11.25" customHeight="1" x14ac:dyDescent="0.25">
      <c r="A92" s="4" t="s">
        <v>28</v>
      </c>
      <c r="B92" s="4" t="s">
        <v>33</v>
      </c>
      <c r="C92" s="4" t="s">
        <v>34</v>
      </c>
      <c r="D92" s="4" t="s">
        <v>44</v>
      </c>
      <c r="E92" s="4" t="s">
        <v>25</v>
      </c>
      <c r="F92" s="4" t="s">
        <v>25</v>
      </c>
      <c r="G92" s="4" t="s">
        <v>25</v>
      </c>
      <c r="H92" s="4" t="s">
        <v>36</v>
      </c>
      <c r="I92" s="5">
        <v>44440</v>
      </c>
      <c r="J92" s="6">
        <v>0</v>
      </c>
      <c r="K92" s="77">
        <v>0</v>
      </c>
      <c r="L92" s="6">
        <v>13.683999999999999</v>
      </c>
      <c r="M92" s="77">
        <v>13.683999999999999</v>
      </c>
      <c r="N92" s="6">
        <v>13.683999999999999</v>
      </c>
      <c r="O92" s="77">
        <v>13.683999999999999</v>
      </c>
      <c r="P92" s="6">
        <v>0</v>
      </c>
      <c r="Q92" s="4" t="s">
        <v>26</v>
      </c>
      <c r="R92" s="4">
        <v>0</v>
      </c>
      <c r="S92" s="4">
        <v>0</v>
      </c>
      <c r="T92" s="4">
        <v>8</v>
      </c>
      <c r="U92" s="4">
        <v>49</v>
      </c>
      <c r="V92" s="77">
        <f>IF(ISERROR(VLOOKUP($S$92,'TAR FIN'!$A$1:$O$85,15,0)),0,VLOOKUP($S$92,'TAR FIN'!$A$1:$O$85,15,0))</f>
        <v>0</v>
      </c>
      <c r="W92" s="77">
        <f>IF(ISERROR(VLOOKUP($T$92,'TAR FIN'!$A$1:$O$85,15,0)),0,VLOOKUP($T$92,'TAR FIN'!$A$1:$O$85,15,0))*(1-0.04)</f>
        <v>62.985599999999998</v>
      </c>
      <c r="X92" s="77">
        <f>IF(ISERROR(VLOOKUP($U$92,'TAR FIN'!$A$1:$O$85,15,0)),0,VLOOKUP($U$92,'TAR FIN'!$A$1:$O$85,15,0))*(1-0.04)</f>
        <v>252.75840000000002</v>
      </c>
      <c r="Y92" s="77"/>
      <c r="Z92" s="77">
        <f ca="1">('TUSD BE'!$AM$12+'TUSD BF'!$AM$12+'TUSD CVA'!$AM$12)*1*(1-0.02)</f>
        <v>98.339533846404223</v>
      </c>
      <c r="AA92" s="77">
        <f>('TE BE'!$AA$6+'TE BF'!$AA$6+'TE CVA'!$AA$6)*1*(1-0.02)</f>
        <v>206.43109646347523</v>
      </c>
      <c r="AB92" s="77">
        <f>(SUBSIDIO!$J$92*SUBSIDIO!$V$92)*(0.04)/(1-0.04)</f>
        <v>0</v>
      </c>
      <c r="AC92" s="77">
        <f>((SUBSIDIO!$L$92*SUBSIDIO!$W$92)+(SUBSIDIO!$N$92*SUBSIDIO!$X$92))*(0.04)/(1-0.04)</f>
        <v>180.026704</v>
      </c>
      <c r="AD92" s="77">
        <f>(SUBSIDIO!$J$92*SUBSIDIO!$Y$92)*(0.02)/(1-0.02)</f>
        <v>0</v>
      </c>
      <c r="AE92" s="77">
        <f ca="1">((SUBSIDIO!$L$92*SUBSIDIO!$Z$92)+(SUBSIDIO!$N$92*SUBSIDIO!$AA$92))*(0.02)/(1-0.02)</f>
        <v>85.111863370620213</v>
      </c>
      <c r="AF92" s="4" t="s">
        <v>808</v>
      </c>
    </row>
    <row r="93" spans="1:32" ht="11.25" customHeight="1" x14ac:dyDescent="0.25">
      <c r="A93" s="4" t="s">
        <v>21</v>
      </c>
      <c r="B93" s="4" t="s">
        <v>33</v>
      </c>
      <c r="C93" s="4" t="s">
        <v>34</v>
      </c>
      <c r="D93" s="4" t="s">
        <v>44</v>
      </c>
      <c r="E93" s="4" t="s">
        <v>25</v>
      </c>
      <c r="F93" s="4" t="s">
        <v>25</v>
      </c>
      <c r="G93" s="4" t="s">
        <v>25</v>
      </c>
      <c r="H93" s="4" t="s">
        <v>36</v>
      </c>
      <c r="I93" s="5">
        <v>44470</v>
      </c>
      <c r="J93" s="6">
        <v>0</v>
      </c>
      <c r="K93" s="77">
        <v>0</v>
      </c>
      <c r="L93" s="6">
        <v>2111.8159999999998</v>
      </c>
      <c r="M93" s="77">
        <v>2111.8159999999998</v>
      </c>
      <c r="N93" s="6">
        <v>2111.8159999999998</v>
      </c>
      <c r="O93" s="77">
        <v>2111.8159999999998</v>
      </c>
      <c r="P93" s="6">
        <v>0</v>
      </c>
      <c r="Q93" s="4" t="s">
        <v>26</v>
      </c>
      <c r="R93" s="4">
        <v>0</v>
      </c>
      <c r="S93" s="4">
        <v>0</v>
      </c>
      <c r="T93" s="4">
        <v>8</v>
      </c>
      <c r="U93" s="4">
        <v>49</v>
      </c>
      <c r="V93" s="77">
        <f>IF(ISERROR(VLOOKUP($S$93,'TAR FIN'!$A$1:$O$85,15,0)),0,VLOOKUP($S$93,'TAR FIN'!$A$1:$O$85,15,0))</f>
        <v>0</v>
      </c>
      <c r="W93" s="77">
        <f>IF(ISERROR(VLOOKUP($T$93,'TAR FIN'!$A$1:$O$85,15,0)),0,VLOOKUP($T$93,'TAR FIN'!$A$1:$O$85,15,0))*(1-0.04)</f>
        <v>62.985599999999998</v>
      </c>
      <c r="X93" s="77">
        <f>IF(ISERROR(VLOOKUP($U$93,'TAR FIN'!$A$1:$O$85,15,0)),0,VLOOKUP($U$93,'TAR FIN'!$A$1:$O$85,15,0))*(1-0.04)</f>
        <v>252.75840000000002</v>
      </c>
      <c r="Y93" s="77"/>
      <c r="Z93" s="77">
        <f ca="1">('TUSD BE'!$AM$12+'TUSD BF'!$AM$12+'TUSD CVA'!$AM$12)*1*(1-0.02)</f>
        <v>98.339533846404223</v>
      </c>
      <c r="AA93" s="77">
        <f>('TE BE'!$AA$6+'TE BF'!$AA$6+'TE CVA'!$AA$6)*1*(1-0.02)</f>
        <v>206.43109646347523</v>
      </c>
      <c r="AB93" s="77">
        <f>(SUBSIDIO!$J$93*SUBSIDIO!$V$93)*(0.04)/(1-0.04)</f>
        <v>0</v>
      </c>
      <c r="AC93" s="77">
        <f>((SUBSIDIO!$L$93*SUBSIDIO!$W$93)+(SUBSIDIO!$N$93*SUBSIDIO!$X$93))*(0.04)/(1-0.04)</f>
        <v>27783.051296000001</v>
      </c>
      <c r="AD93" s="77">
        <f>(SUBSIDIO!$J$93*SUBSIDIO!$Y$93)*(0.02)/(1-0.02)</f>
        <v>0</v>
      </c>
      <c r="AE93" s="77">
        <f ca="1">((SUBSIDIO!$L$93*SUBSIDIO!$Z$93)+(SUBSIDIO!$N$93*SUBSIDIO!$AA$93))*(0.02)/(1-0.02)</f>
        <v>13135.091702418129</v>
      </c>
      <c r="AF93" s="4" t="s">
        <v>808</v>
      </c>
    </row>
    <row r="94" spans="1:32" ht="11.25" customHeight="1" x14ac:dyDescent="0.25">
      <c r="A94" s="4" t="s">
        <v>28</v>
      </c>
      <c r="B94" s="4" t="s">
        <v>33</v>
      </c>
      <c r="C94" s="4" t="s">
        <v>34</v>
      </c>
      <c r="D94" s="4" t="s">
        <v>44</v>
      </c>
      <c r="E94" s="4" t="s">
        <v>25</v>
      </c>
      <c r="F94" s="4" t="s">
        <v>25</v>
      </c>
      <c r="G94" s="4" t="s">
        <v>25</v>
      </c>
      <c r="H94" s="4" t="s">
        <v>36</v>
      </c>
      <c r="I94" s="5">
        <v>44470</v>
      </c>
      <c r="J94" s="6">
        <v>0</v>
      </c>
      <c r="K94" s="77">
        <v>0</v>
      </c>
      <c r="L94" s="6">
        <v>22.838999999999999</v>
      </c>
      <c r="M94" s="77">
        <v>22.838999999999999</v>
      </c>
      <c r="N94" s="6">
        <v>22.838999999999999</v>
      </c>
      <c r="O94" s="77">
        <v>22.838999999999999</v>
      </c>
      <c r="P94" s="6">
        <v>0</v>
      </c>
      <c r="Q94" s="4" t="s">
        <v>26</v>
      </c>
      <c r="R94" s="4">
        <v>0</v>
      </c>
      <c r="S94" s="4">
        <v>0</v>
      </c>
      <c r="T94" s="4">
        <v>8</v>
      </c>
      <c r="U94" s="4">
        <v>49</v>
      </c>
      <c r="V94" s="77">
        <f>IF(ISERROR(VLOOKUP($S$94,'TAR FIN'!$A$1:$O$85,15,0)),0,VLOOKUP($S$94,'TAR FIN'!$A$1:$O$85,15,0))</f>
        <v>0</v>
      </c>
      <c r="W94" s="77">
        <f>IF(ISERROR(VLOOKUP($T$94,'TAR FIN'!$A$1:$O$85,15,0)),0,VLOOKUP($T$94,'TAR FIN'!$A$1:$O$85,15,0))*(1-0.04)</f>
        <v>62.985599999999998</v>
      </c>
      <c r="X94" s="77">
        <f>IF(ISERROR(VLOOKUP($U$94,'TAR FIN'!$A$1:$O$85,15,0)),0,VLOOKUP($U$94,'TAR FIN'!$A$1:$O$85,15,0))*(1-0.04)</f>
        <v>252.75840000000002</v>
      </c>
      <c r="Y94" s="77"/>
      <c r="Z94" s="77">
        <f ca="1">('TUSD BE'!$AM$12+'TUSD BF'!$AM$12+'TUSD CVA'!$AM$12)*1*(1-0.02)</f>
        <v>98.339533846404223</v>
      </c>
      <c r="AA94" s="77">
        <f>('TE BE'!$AA$6+'TE BF'!$AA$6+'TE CVA'!$AA$6)*1*(1-0.02)</f>
        <v>206.43109646347523</v>
      </c>
      <c r="AB94" s="77">
        <f>(SUBSIDIO!$J$94*SUBSIDIO!$V$94)*(0.04)/(1-0.04)</f>
        <v>0</v>
      </c>
      <c r="AC94" s="77">
        <f>((SUBSIDIO!$L$94*SUBSIDIO!$W$94)+(SUBSIDIO!$N$94*SUBSIDIO!$X$94))*(0.04)/(1-0.04)</f>
        <v>300.46988399999998</v>
      </c>
      <c r="AD94" s="77">
        <f>(SUBSIDIO!$J$94*SUBSIDIO!$Y$94)*(0.02)/(1-0.02)</f>
        <v>0</v>
      </c>
      <c r="AE94" s="77">
        <f ca="1">((SUBSIDIO!$L$94*SUBSIDIO!$Z$94)+(SUBSIDIO!$N$94*SUBSIDIO!$AA$94))*(0.02)/(1-0.02)</f>
        <v>142.05421276831299</v>
      </c>
      <c r="AF94" s="4" t="s">
        <v>808</v>
      </c>
    </row>
    <row r="95" spans="1:32" ht="11.25" customHeight="1" x14ac:dyDescent="0.25">
      <c r="A95" s="4" t="s">
        <v>21</v>
      </c>
      <c r="B95" s="4" t="s">
        <v>33</v>
      </c>
      <c r="C95" s="4" t="s">
        <v>34</v>
      </c>
      <c r="D95" s="4" t="s">
        <v>44</v>
      </c>
      <c r="E95" s="4" t="s">
        <v>25</v>
      </c>
      <c r="F95" s="4" t="s">
        <v>25</v>
      </c>
      <c r="G95" s="4" t="s">
        <v>25</v>
      </c>
      <c r="H95" s="4" t="s">
        <v>36</v>
      </c>
      <c r="I95" s="5">
        <v>44501</v>
      </c>
      <c r="J95" s="6">
        <v>0</v>
      </c>
      <c r="K95" s="77">
        <v>0</v>
      </c>
      <c r="L95" s="6">
        <v>2204.989</v>
      </c>
      <c r="M95" s="77">
        <v>2204.989</v>
      </c>
      <c r="N95" s="6">
        <v>2204.989</v>
      </c>
      <c r="O95" s="77">
        <v>2204.989</v>
      </c>
      <c r="P95" s="6">
        <v>0</v>
      </c>
      <c r="Q95" s="4" t="s">
        <v>26</v>
      </c>
      <c r="R95" s="4">
        <v>0</v>
      </c>
      <c r="S95" s="4">
        <v>0</v>
      </c>
      <c r="T95" s="4">
        <v>8</v>
      </c>
      <c r="U95" s="4">
        <v>49</v>
      </c>
      <c r="V95" s="77">
        <f>IF(ISERROR(VLOOKUP($S$95,'TAR FIN'!$A$1:$O$85,15,0)),0,VLOOKUP($S$95,'TAR FIN'!$A$1:$O$85,15,0))</f>
        <v>0</v>
      </c>
      <c r="W95" s="77">
        <f>IF(ISERROR(VLOOKUP($T$95,'TAR FIN'!$A$1:$O$85,15,0)),0,VLOOKUP($T$95,'TAR FIN'!$A$1:$O$85,15,0))*(1-0.04)</f>
        <v>62.985599999999998</v>
      </c>
      <c r="X95" s="77">
        <f>IF(ISERROR(VLOOKUP($U$95,'TAR FIN'!$A$1:$O$85,15,0)),0,VLOOKUP($U$95,'TAR FIN'!$A$1:$O$85,15,0))*(1-0.04)</f>
        <v>252.75840000000002</v>
      </c>
      <c r="Y95" s="77"/>
      <c r="Z95" s="77">
        <f ca="1">('TUSD BE'!$AM$12+'TUSD BF'!$AM$12+'TUSD CVA'!$AM$12)*1*(1-0.02)</f>
        <v>98.339533846404223</v>
      </c>
      <c r="AA95" s="77">
        <f>('TE BE'!$AA$6+'TE BF'!$AA$6+'TE CVA'!$AA$6)*1*(1-0.02)</f>
        <v>206.43109646347523</v>
      </c>
      <c r="AB95" s="77">
        <f>(SUBSIDIO!$J$95*SUBSIDIO!$V$95)*(0.04)/(1-0.04)</f>
        <v>0</v>
      </c>
      <c r="AC95" s="77">
        <f>((SUBSIDIO!$L$95*SUBSIDIO!$W$95)+(SUBSIDIO!$N$95*SUBSIDIO!$X$95))*(0.04)/(1-0.04)</f>
        <v>29008.835284000001</v>
      </c>
      <c r="AD95" s="77">
        <f>(SUBSIDIO!$J$95*SUBSIDIO!$Y$95)*(0.02)/(1-0.02)</f>
        <v>0</v>
      </c>
      <c r="AE95" s="77">
        <f ca="1">((SUBSIDIO!$L$95*SUBSIDIO!$Z$95)+(SUBSIDIO!$N$95*SUBSIDIO!$AA$95))*(0.02)/(1-0.02)</f>
        <v>13714.609946047975</v>
      </c>
      <c r="AF95" s="4" t="s">
        <v>808</v>
      </c>
    </row>
    <row r="96" spans="1:32" ht="11.25" customHeight="1" x14ac:dyDescent="0.25">
      <c r="A96" s="4" t="s">
        <v>21</v>
      </c>
      <c r="B96" s="4" t="s">
        <v>33</v>
      </c>
      <c r="C96" s="4" t="s">
        <v>34</v>
      </c>
      <c r="D96" s="4" t="s">
        <v>44</v>
      </c>
      <c r="E96" s="4" t="s">
        <v>25</v>
      </c>
      <c r="F96" s="4" t="s">
        <v>25</v>
      </c>
      <c r="G96" s="4" t="s">
        <v>25</v>
      </c>
      <c r="H96" s="4" t="s">
        <v>36</v>
      </c>
      <c r="I96" s="5">
        <v>44531</v>
      </c>
      <c r="J96" s="6">
        <v>0</v>
      </c>
      <c r="K96" s="77">
        <v>0</v>
      </c>
      <c r="L96" s="6">
        <v>2329.8919999999998</v>
      </c>
      <c r="M96" s="77">
        <v>2329.8919999999998</v>
      </c>
      <c r="N96" s="6">
        <v>2329.8919999999998</v>
      </c>
      <c r="O96" s="77">
        <v>2329.8919999999998</v>
      </c>
      <c r="P96" s="6">
        <v>0</v>
      </c>
      <c r="Q96" s="4" t="s">
        <v>26</v>
      </c>
      <c r="R96" s="4">
        <v>0</v>
      </c>
      <c r="S96" s="4">
        <v>0</v>
      </c>
      <c r="T96" s="4">
        <v>8</v>
      </c>
      <c r="U96" s="4">
        <v>49</v>
      </c>
      <c r="V96" s="77">
        <f>IF(ISERROR(VLOOKUP($S$96,'TAR FIN'!$A$1:$O$85,15,0)),0,VLOOKUP($S$96,'TAR FIN'!$A$1:$O$85,15,0))</f>
        <v>0</v>
      </c>
      <c r="W96" s="77">
        <f>IF(ISERROR(VLOOKUP($T$96,'TAR FIN'!$A$1:$O$85,15,0)),0,VLOOKUP($T$96,'TAR FIN'!$A$1:$O$85,15,0))*(1-0.04)</f>
        <v>62.985599999999998</v>
      </c>
      <c r="X96" s="77">
        <f>IF(ISERROR(VLOOKUP($U$96,'TAR FIN'!$A$1:$O$85,15,0)),0,VLOOKUP($U$96,'TAR FIN'!$A$1:$O$85,15,0))*(1-0.04)</f>
        <v>252.75840000000002</v>
      </c>
      <c r="Y96" s="77"/>
      <c r="Z96" s="77">
        <f ca="1">('TUSD BE'!$AM$12+'TUSD BF'!$AM$12+'TUSD CVA'!$AM$12)*1*(1-0.02)</f>
        <v>98.339533846404223</v>
      </c>
      <c r="AA96" s="77">
        <f>('TE BE'!$AA$6+'TE BF'!$AA$6+'TE CVA'!$AA$6)*1*(1-0.02)</f>
        <v>206.43109646347523</v>
      </c>
      <c r="AB96" s="77">
        <f>(SUBSIDIO!$J$96*SUBSIDIO!$V$96)*(0.04)/(1-0.04)</f>
        <v>0</v>
      </c>
      <c r="AC96" s="77">
        <f>((SUBSIDIO!$L$96*SUBSIDIO!$W$96)+(SUBSIDIO!$N$96*SUBSIDIO!$X$96))*(0.04)/(1-0.04)</f>
        <v>30652.059152000005</v>
      </c>
      <c r="AD96" s="77">
        <f>(SUBSIDIO!$J$96*SUBSIDIO!$Y$96)*(0.02)/(1-0.02)</f>
        <v>0</v>
      </c>
      <c r="AE96" s="77">
        <f ca="1">((SUBSIDIO!$L$96*SUBSIDIO!$Z$96)+(SUBSIDIO!$N$96*SUBSIDIO!$AA$96))*(0.02)/(1-0.02)</f>
        <v>14491.482722325421</v>
      </c>
      <c r="AF96" s="4" t="s">
        <v>808</v>
      </c>
    </row>
    <row r="97" spans="1:32" ht="11.25" customHeight="1" x14ac:dyDescent="0.25">
      <c r="A97" s="4" t="s">
        <v>28</v>
      </c>
      <c r="B97" s="4" t="s">
        <v>33</v>
      </c>
      <c r="C97" s="4" t="s">
        <v>34</v>
      </c>
      <c r="D97" s="4" t="s">
        <v>44</v>
      </c>
      <c r="E97" s="4" t="s">
        <v>25</v>
      </c>
      <c r="F97" s="4" t="s">
        <v>25</v>
      </c>
      <c r="G97" s="4" t="s">
        <v>25</v>
      </c>
      <c r="H97" s="4" t="s">
        <v>36</v>
      </c>
      <c r="I97" s="5">
        <v>44531</v>
      </c>
      <c r="J97" s="6">
        <v>0</v>
      </c>
      <c r="K97" s="77">
        <v>0</v>
      </c>
      <c r="L97" s="6">
        <v>13.545999999999999</v>
      </c>
      <c r="M97" s="77">
        <v>13.545999999999999</v>
      </c>
      <c r="N97" s="6">
        <v>13.545999999999999</v>
      </c>
      <c r="O97" s="77">
        <v>13.545999999999999</v>
      </c>
      <c r="P97" s="6">
        <v>0</v>
      </c>
      <c r="Q97" s="4" t="s">
        <v>26</v>
      </c>
      <c r="R97" s="4">
        <v>0</v>
      </c>
      <c r="S97" s="4">
        <v>0</v>
      </c>
      <c r="T97" s="4">
        <v>8</v>
      </c>
      <c r="U97" s="4">
        <v>49</v>
      </c>
      <c r="V97" s="77">
        <f>IF(ISERROR(VLOOKUP($S$97,'TAR FIN'!$A$1:$O$85,15,0)),0,VLOOKUP($S$97,'TAR FIN'!$A$1:$O$85,15,0))</f>
        <v>0</v>
      </c>
      <c r="W97" s="77">
        <f>IF(ISERROR(VLOOKUP($T$97,'TAR FIN'!$A$1:$O$85,15,0)),0,VLOOKUP($T$97,'TAR FIN'!$A$1:$O$85,15,0))*(1-0.04)</f>
        <v>62.985599999999998</v>
      </c>
      <c r="X97" s="77">
        <f>IF(ISERROR(VLOOKUP($U$97,'TAR FIN'!$A$1:$O$85,15,0)),0,VLOOKUP($U$97,'TAR FIN'!$A$1:$O$85,15,0))*(1-0.04)</f>
        <v>252.75840000000002</v>
      </c>
      <c r="Y97" s="77"/>
      <c r="Z97" s="77">
        <f ca="1">('TUSD BE'!$AM$12+'TUSD BF'!$AM$12+'TUSD CVA'!$AM$12)*1*(1-0.02)</f>
        <v>98.339533846404223</v>
      </c>
      <c r="AA97" s="77">
        <f>('TE BE'!$AA$6+'TE BF'!$AA$6+'TE CVA'!$AA$6)*1*(1-0.02)</f>
        <v>206.43109646347523</v>
      </c>
      <c r="AB97" s="77">
        <f>(SUBSIDIO!$J$97*SUBSIDIO!$V$97)*(0.04)/(1-0.04)</f>
        <v>0</v>
      </c>
      <c r="AC97" s="77">
        <f>((SUBSIDIO!$L$97*SUBSIDIO!$W$97)+(SUBSIDIO!$N$97*SUBSIDIO!$X$97))*(0.04)/(1-0.04)</f>
        <v>178.21117599999999</v>
      </c>
      <c r="AD97" s="77">
        <f>(SUBSIDIO!$J$97*SUBSIDIO!$Y$97)*(0.02)/(1-0.02)</f>
        <v>0</v>
      </c>
      <c r="AE97" s="77">
        <f ca="1">((SUBSIDIO!$L$97*SUBSIDIO!$Z$97)+(SUBSIDIO!$N$97*SUBSIDIO!$AA$97))*(0.02)/(1-0.02)</f>
        <v>84.253529758727083</v>
      </c>
      <c r="AF97" s="4" t="s">
        <v>808</v>
      </c>
    </row>
    <row r="98" spans="1:32" ht="11.25" customHeight="1" x14ac:dyDescent="0.25">
      <c r="A98" s="4" t="s">
        <v>21</v>
      </c>
      <c r="B98" s="4" t="s">
        <v>33</v>
      </c>
      <c r="C98" s="4" t="s">
        <v>34</v>
      </c>
      <c r="D98" s="4" t="s">
        <v>44</v>
      </c>
      <c r="E98" s="4" t="s">
        <v>25</v>
      </c>
      <c r="F98" s="4" t="s">
        <v>25</v>
      </c>
      <c r="G98" s="4" t="s">
        <v>25</v>
      </c>
      <c r="H98" s="4" t="s">
        <v>36</v>
      </c>
      <c r="I98" s="5">
        <v>44562</v>
      </c>
      <c r="J98" s="6">
        <v>0</v>
      </c>
      <c r="K98" s="77">
        <v>0</v>
      </c>
      <c r="L98" s="6">
        <v>2430.29</v>
      </c>
      <c r="M98" s="77">
        <v>2430.29</v>
      </c>
      <c r="N98" s="6">
        <v>2430.29</v>
      </c>
      <c r="O98" s="77">
        <v>2430.29</v>
      </c>
      <c r="P98" s="6">
        <v>0</v>
      </c>
      <c r="Q98" s="4" t="s">
        <v>26</v>
      </c>
      <c r="R98" s="4">
        <v>0</v>
      </c>
      <c r="S98" s="4">
        <v>0</v>
      </c>
      <c r="T98" s="4">
        <v>8</v>
      </c>
      <c r="U98" s="4">
        <v>49</v>
      </c>
      <c r="V98" s="77">
        <f>IF(ISERROR(VLOOKUP($S$98,'TAR FIN'!$A$1:$O$85,15,0)),0,VLOOKUP($S$98,'TAR FIN'!$A$1:$O$85,15,0))</f>
        <v>0</v>
      </c>
      <c r="W98" s="77">
        <f>IF(ISERROR(VLOOKUP($T$98,'TAR FIN'!$A$1:$O$85,15,0)),0,VLOOKUP($T$98,'TAR FIN'!$A$1:$O$85,15,0))*(1-0.04)</f>
        <v>62.985599999999998</v>
      </c>
      <c r="X98" s="77">
        <f>IF(ISERROR(VLOOKUP($U$98,'TAR FIN'!$A$1:$O$85,15,0)),0,VLOOKUP($U$98,'TAR FIN'!$A$1:$O$85,15,0))*(1-0.04)</f>
        <v>252.75840000000002</v>
      </c>
      <c r="Y98" s="77"/>
      <c r="Z98" s="77">
        <f ca="1">('TUSD BE'!$AM$12+'TUSD BF'!$AM$12+'TUSD CVA'!$AM$12)*1*(1-0.02)</f>
        <v>98.339533846404223</v>
      </c>
      <c r="AA98" s="77">
        <f>('TE BE'!$AA$6+'TE BF'!$AA$6+'TE CVA'!$AA$6)*1*(1-0.02)</f>
        <v>206.43109646347523</v>
      </c>
      <c r="AB98" s="77">
        <f>(SUBSIDIO!$J$98*SUBSIDIO!$V$98)*(0.04)/(1-0.04)</f>
        <v>0</v>
      </c>
      <c r="AC98" s="77">
        <f>((SUBSIDIO!$L$98*SUBSIDIO!$W$98)+(SUBSIDIO!$N$98*SUBSIDIO!$X$98))*(0.04)/(1-0.04)</f>
        <v>31972.895240000005</v>
      </c>
      <c r="AD98" s="77">
        <f>(SUBSIDIO!$J$98*SUBSIDIO!$Y$98)*(0.02)/(1-0.02)</f>
        <v>0</v>
      </c>
      <c r="AE98" s="77">
        <f ca="1">((SUBSIDIO!$L$98*SUBSIDIO!$Z$98)+(SUBSIDIO!$N$98*SUBSIDIO!$AA$98))*(0.02)/(1-0.02)</f>
        <v>15115.939084404017</v>
      </c>
      <c r="AF98" s="4" t="s">
        <v>808</v>
      </c>
    </row>
    <row r="99" spans="1:32" ht="11.25" customHeight="1" x14ac:dyDescent="0.25">
      <c r="A99" s="4" t="s">
        <v>28</v>
      </c>
      <c r="B99" s="4" t="s">
        <v>33</v>
      </c>
      <c r="C99" s="4" t="s">
        <v>34</v>
      </c>
      <c r="D99" s="4" t="s">
        <v>44</v>
      </c>
      <c r="E99" s="4" t="s">
        <v>25</v>
      </c>
      <c r="F99" s="4" t="s">
        <v>25</v>
      </c>
      <c r="G99" s="4" t="s">
        <v>25</v>
      </c>
      <c r="H99" s="4" t="s">
        <v>36</v>
      </c>
      <c r="I99" s="5">
        <v>44562</v>
      </c>
      <c r="J99" s="6">
        <v>0</v>
      </c>
      <c r="K99" s="77">
        <v>0</v>
      </c>
      <c r="L99" s="6">
        <v>8.6039999999999992</v>
      </c>
      <c r="M99" s="77">
        <v>8.6039999999999992</v>
      </c>
      <c r="N99" s="6">
        <v>8.6039999999999992</v>
      </c>
      <c r="O99" s="77">
        <v>8.6039999999999992</v>
      </c>
      <c r="P99" s="6">
        <v>0</v>
      </c>
      <c r="Q99" s="4" t="s">
        <v>26</v>
      </c>
      <c r="R99" s="4">
        <v>0</v>
      </c>
      <c r="S99" s="4">
        <v>0</v>
      </c>
      <c r="T99" s="4">
        <v>8</v>
      </c>
      <c r="U99" s="4">
        <v>49</v>
      </c>
      <c r="V99" s="77">
        <f>IF(ISERROR(VLOOKUP($S$99,'TAR FIN'!$A$1:$O$85,15,0)),0,VLOOKUP($S$99,'TAR FIN'!$A$1:$O$85,15,0))</f>
        <v>0</v>
      </c>
      <c r="W99" s="77">
        <f>IF(ISERROR(VLOOKUP($T$99,'TAR FIN'!$A$1:$O$85,15,0)),0,VLOOKUP($T$99,'TAR FIN'!$A$1:$O$85,15,0))*(1-0.04)</f>
        <v>62.985599999999998</v>
      </c>
      <c r="X99" s="77">
        <f>IF(ISERROR(VLOOKUP($U$99,'TAR FIN'!$A$1:$O$85,15,0)),0,VLOOKUP($U$99,'TAR FIN'!$A$1:$O$85,15,0))*(1-0.04)</f>
        <v>252.75840000000002</v>
      </c>
      <c r="Y99" s="77"/>
      <c r="Z99" s="77">
        <f ca="1">('TUSD BE'!$AM$12+'TUSD BF'!$AM$12+'TUSD CVA'!$AM$12)*1*(1-0.02)</f>
        <v>98.339533846404223</v>
      </c>
      <c r="AA99" s="77">
        <f>('TE BE'!$AA$6+'TE BF'!$AA$6+'TE CVA'!$AA$6)*1*(1-0.02)</f>
        <v>206.43109646347523</v>
      </c>
      <c r="AB99" s="77">
        <f>(SUBSIDIO!$J$99*SUBSIDIO!$V$99)*(0.04)/(1-0.04)</f>
        <v>0</v>
      </c>
      <c r="AC99" s="77">
        <f>((SUBSIDIO!$L$99*SUBSIDIO!$W$99)+(SUBSIDIO!$N$99*SUBSIDIO!$X$99))*(0.04)/(1-0.04)</f>
        <v>113.19422400000001</v>
      </c>
      <c r="AD99" s="77">
        <f>(SUBSIDIO!$J$99*SUBSIDIO!$Y$99)*(0.02)/(1-0.02)</f>
        <v>0</v>
      </c>
      <c r="AE99" s="77">
        <f ca="1">((SUBSIDIO!$L$99*SUBSIDIO!$Z$99)+(SUBSIDIO!$N$99*SUBSIDIO!$AA$99))*(0.02)/(1-0.02)</f>
        <v>53.515234758902096</v>
      </c>
      <c r="AF99" s="4" t="s">
        <v>808</v>
      </c>
    </row>
    <row r="100" spans="1:32" ht="11.25" customHeight="1" x14ac:dyDescent="0.25">
      <c r="A100" s="4" t="s">
        <v>21</v>
      </c>
      <c r="B100" s="4" t="s">
        <v>33</v>
      </c>
      <c r="C100" s="4" t="s">
        <v>34</v>
      </c>
      <c r="D100" s="4" t="s">
        <v>44</v>
      </c>
      <c r="E100" s="4" t="s">
        <v>25</v>
      </c>
      <c r="F100" s="4" t="s">
        <v>25</v>
      </c>
      <c r="G100" s="4" t="s">
        <v>25</v>
      </c>
      <c r="H100" s="4" t="s">
        <v>36</v>
      </c>
      <c r="I100" s="5">
        <v>44593</v>
      </c>
      <c r="J100" s="6">
        <v>0</v>
      </c>
      <c r="K100" s="77">
        <v>0</v>
      </c>
      <c r="L100" s="6">
        <v>2171.7860000000001</v>
      </c>
      <c r="M100" s="77">
        <v>2171.7860000000001</v>
      </c>
      <c r="N100" s="6">
        <v>2171.7860000000001</v>
      </c>
      <c r="O100" s="77">
        <v>2171.7860000000001</v>
      </c>
      <c r="P100" s="6">
        <v>0</v>
      </c>
      <c r="Q100" s="4" t="s">
        <v>26</v>
      </c>
      <c r="R100" s="4">
        <v>0</v>
      </c>
      <c r="S100" s="4">
        <v>0</v>
      </c>
      <c r="T100" s="4">
        <v>8</v>
      </c>
      <c r="U100" s="4">
        <v>49</v>
      </c>
      <c r="V100" s="77">
        <f>IF(ISERROR(VLOOKUP($S$100,'TAR FIN'!$A$1:$O$85,15,0)),0,VLOOKUP($S$100,'TAR FIN'!$A$1:$O$85,15,0))</f>
        <v>0</v>
      </c>
      <c r="W100" s="77">
        <f>IF(ISERROR(VLOOKUP($T$100,'TAR FIN'!$A$1:$O$85,15,0)),0,VLOOKUP($T$100,'TAR FIN'!$A$1:$O$85,15,0))*(1-0.04)</f>
        <v>62.985599999999998</v>
      </c>
      <c r="X100" s="77">
        <f>IF(ISERROR(VLOOKUP($U$100,'TAR FIN'!$A$1:$O$85,15,0)),0,VLOOKUP($U$100,'TAR FIN'!$A$1:$O$85,15,0))*(1-0.04)</f>
        <v>252.75840000000002</v>
      </c>
      <c r="Y100" s="77"/>
      <c r="Z100" s="77">
        <f ca="1">('TUSD BE'!$AM$12+'TUSD BF'!$AM$12+'TUSD CVA'!$AM$12)*1*(1-0.02)</f>
        <v>98.339533846404223</v>
      </c>
      <c r="AA100" s="77">
        <f>('TE BE'!$AA$6+'TE BF'!$AA$6+'TE CVA'!$AA$6)*1*(1-0.02)</f>
        <v>206.43109646347523</v>
      </c>
      <c r="AB100" s="77">
        <f>(SUBSIDIO!$J$100*SUBSIDIO!$V$100)*(0.04)/(1-0.04)</f>
        <v>0</v>
      </c>
      <c r="AC100" s="77">
        <f>((SUBSIDIO!$L$100*SUBSIDIO!$W$100)+(SUBSIDIO!$N$100*SUBSIDIO!$X$100))*(0.04)/(1-0.04)</f>
        <v>28572.016616000004</v>
      </c>
      <c r="AD100" s="77">
        <f>(SUBSIDIO!$J$100*SUBSIDIO!$Y$100)*(0.02)/(1-0.02)</f>
        <v>0</v>
      </c>
      <c r="AE100" s="77">
        <f ca="1">((SUBSIDIO!$L$100*SUBSIDIO!$Z$100)+(SUBSIDIO!$N$100*SUBSIDIO!$AA$100))*(0.02)/(1-0.02)</f>
        <v>13508.093635064733</v>
      </c>
      <c r="AF100" s="4" t="s">
        <v>808</v>
      </c>
    </row>
    <row r="101" spans="1:32" ht="11.25" customHeight="1" x14ac:dyDescent="0.25">
      <c r="A101" s="4" t="s">
        <v>21</v>
      </c>
      <c r="B101" s="4" t="s">
        <v>33</v>
      </c>
      <c r="C101" s="4" t="s">
        <v>34</v>
      </c>
      <c r="D101" s="4" t="s">
        <v>44</v>
      </c>
      <c r="E101" s="4" t="s">
        <v>25</v>
      </c>
      <c r="F101" s="4" t="s">
        <v>25</v>
      </c>
      <c r="G101" s="4" t="s">
        <v>25</v>
      </c>
      <c r="H101" s="4" t="s">
        <v>36</v>
      </c>
      <c r="I101" s="5">
        <v>44621</v>
      </c>
      <c r="J101" s="6">
        <v>0</v>
      </c>
      <c r="K101" s="77">
        <v>0</v>
      </c>
      <c r="L101" s="6">
        <v>2384.8110000000001</v>
      </c>
      <c r="M101" s="77">
        <v>2384.8110000000001</v>
      </c>
      <c r="N101" s="6">
        <v>2384.8110000000001</v>
      </c>
      <c r="O101" s="77">
        <v>2384.8110000000001</v>
      </c>
      <c r="P101" s="6">
        <v>0</v>
      </c>
      <c r="Q101" s="4" t="s">
        <v>26</v>
      </c>
      <c r="R101" s="4">
        <v>0</v>
      </c>
      <c r="S101" s="4">
        <v>0</v>
      </c>
      <c r="T101" s="4">
        <v>8</v>
      </c>
      <c r="U101" s="4">
        <v>49</v>
      </c>
      <c r="V101" s="77">
        <f>IF(ISERROR(VLOOKUP($S$101,'TAR FIN'!$A$1:$O$85,15,0)),0,VLOOKUP($S$101,'TAR FIN'!$A$1:$O$85,15,0))</f>
        <v>0</v>
      </c>
      <c r="W101" s="77">
        <f>IF(ISERROR(VLOOKUP($T$101,'TAR FIN'!$A$1:$O$85,15,0)),0,VLOOKUP($T$101,'TAR FIN'!$A$1:$O$85,15,0))*(1-0.04)</f>
        <v>62.985599999999998</v>
      </c>
      <c r="X101" s="77">
        <f>IF(ISERROR(VLOOKUP($U$101,'TAR FIN'!$A$1:$O$85,15,0)),0,VLOOKUP($U$101,'TAR FIN'!$A$1:$O$85,15,0))*(1-0.04)</f>
        <v>252.75840000000002</v>
      </c>
      <c r="Y101" s="77"/>
      <c r="Z101" s="77">
        <f ca="1">('TUSD BE'!$AM$12+'TUSD BF'!$AM$12+'TUSD CVA'!$AM$12)*1*(1-0.02)</f>
        <v>98.339533846404223</v>
      </c>
      <c r="AA101" s="77">
        <f>('TE BE'!$AA$6+'TE BF'!$AA$6+'TE CVA'!$AA$6)*1*(1-0.02)</f>
        <v>206.43109646347523</v>
      </c>
      <c r="AB101" s="77">
        <f>(SUBSIDIO!$J$101*SUBSIDIO!$V$101)*(0.04)/(1-0.04)</f>
        <v>0</v>
      </c>
      <c r="AC101" s="77">
        <f>((SUBSIDIO!$L$101*SUBSIDIO!$W$101)+(SUBSIDIO!$N$101*SUBSIDIO!$X$101))*(0.04)/(1-0.04)</f>
        <v>31374.573516000008</v>
      </c>
      <c r="AD101" s="77">
        <f>(SUBSIDIO!$J$101*SUBSIDIO!$Y$101)*(0.02)/(1-0.02)</f>
        <v>0</v>
      </c>
      <c r="AE101" s="77">
        <f ca="1">((SUBSIDIO!$L$101*SUBSIDIO!$Z$101)+(SUBSIDIO!$N$101*SUBSIDIO!$AA$101))*(0.02)/(1-0.02)</f>
        <v>14833.068400814976</v>
      </c>
      <c r="AF101" s="4" t="s">
        <v>808</v>
      </c>
    </row>
    <row r="102" spans="1:32" ht="11.25" customHeight="1" x14ac:dyDescent="0.25">
      <c r="A102" s="4" t="s">
        <v>28</v>
      </c>
      <c r="B102" s="4" t="s">
        <v>33</v>
      </c>
      <c r="C102" s="4" t="s">
        <v>34</v>
      </c>
      <c r="D102" s="4" t="s">
        <v>44</v>
      </c>
      <c r="E102" s="4" t="s">
        <v>25</v>
      </c>
      <c r="F102" s="4" t="s">
        <v>25</v>
      </c>
      <c r="G102" s="4" t="s">
        <v>25</v>
      </c>
      <c r="H102" s="4" t="s">
        <v>36</v>
      </c>
      <c r="I102" s="5">
        <v>44621</v>
      </c>
      <c r="J102" s="6">
        <v>0</v>
      </c>
      <c r="K102" s="77">
        <v>0</v>
      </c>
      <c r="L102" s="6">
        <v>70.647999999999996</v>
      </c>
      <c r="M102" s="77">
        <v>70.647999999999996</v>
      </c>
      <c r="N102" s="6">
        <v>70.647999999999996</v>
      </c>
      <c r="O102" s="77">
        <v>70.647999999999996</v>
      </c>
      <c r="P102" s="6">
        <v>0</v>
      </c>
      <c r="Q102" s="4" t="s">
        <v>26</v>
      </c>
      <c r="R102" s="4">
        <v>0</v>
      </c>
      <c r="S102" s="4">
        <v>0</v>
      </c>
      <c r="T102" s="4">
        <v>8</v>
      </c>
      <c r="U102" s="4">
        <v>49</v>
      </c>
      <c r="V102" s="77">
        <f>IF(ISERROR(VLOOKUP($S$102,'TAR FIN'!$A$1:$O$85,15,0)),0,VLOOKUP($S$102,'TAR FIN'!$A$1:$O$85,15,0))</f>
        <v>0</v>
      </c>
      <c r="W102" s="77">
        <f>IF(ISERROR(VLOOKUP($T$102,'TAR FIN'!$A$1:$O$85,15,0)),0,VLOOKUP($T$102,'TAR FIN'!$A$1:$O$85,15,0))*(1-0.04)</f>
        <v>62.985599999999998</v>
      </c>
      <c r="X102" s="77">
        <f>IF(ISERROR(VLOOKUP($U$102,'TAR FIN'!$A$1:$O$85,15,0)),0,VLOOKUP($U$102,'TAR FIN'!$A$1:$O$85,15,0))*(1-0.04)</f>
        <v>252.75840000000002</v>
      </c>
      <c r="Y102" s="77"/>
      <c r="Z102" s="77">
        <f ca="1">('TUSD BE'!$AM$12+'TUSD BF'!$AM$12+'TUSD CVA'!$AM$12)*1*(1-0.02)</f>
        <v>98.339533846404223</v>
      </c>
      <c r="AA102" s="77">
        <f>('TE BE'!$AA$6+'TE BF'!$AA$6+'TE CVA'!$AA$6)*1*(1-0.02)</f>
        <v>206.43109646347523</v>
      </c>
      <c r="AB102" s="77">
        <f>(SUBSIDIO!$J$102*SUBSIDIO!$V$102)*(0.04)/(1-0.04)</f>
        <v>0</v>
      </c>
      <c r="AC102" s="77">
        <f>((SUBSIDIO!$L$102*SUBSIDIO!$W$102)+(SUBSIDIO!$N$102*SUBSIDIO!$X$102))*(0.04)/(1-0.04)</f>
        <v>929.44508800000006</v>
      </c>
      <c r="AD102" s="77">
        <f>(SUBSIDIO!$J$102*SUBSIDIO!$Y$102)*(0.02)/(1-0.02)</f>
        <v>0</v>
      </c>
      <c r="AE102" s="77">
        <f ca="1">((SUBSIDIO!$L$102*SUBSIDIO!$Z$102)+(SUBSIDIO!$N$102*SUBSIDIO!$AA$102))*(0.02)/(1-0.02)</f>
        <v>439.41705081902779</v>
      </c>
      <c r="AF102" s="4" t="s">
        <v>808</v>
      </c>
    </row>
    <row r="103" spans="1:32" ht="11.25" customHeight="1" x14ac:dyDescent="0.25">
      <c r="A103" s="4" t="s">
        <v>21</v>
      </c>
      <c r="B103" s="4" t="s">
        <v>33</v>
      </c>
      <c r="C103" s="4" t="s">
        <v>34</v>
      </c>
      <c r="D103" s="4" t="s">
        <v>44</v>
      </c>
      <c r="E103" s="4" t="s">
        <v>25</v>
      </c>
      <c r="F103" s="4" t="s">
        <v>25</v>
      </c>
      <c r="G103" s="4" t="s">
        <v>25</v>
      </c>
      <c r="H103" s="4" t="s">
        <v>36</v>
      </c>
      <c r="I103" s="5">
        <v>44652</v>
      </c>
      <c r="J103" s="6">
        <v>0</v>
      </c>
      <c r="K103" s="77">
        <v>0</v>
      </c>
      <c r="L103" s="6">
        <v>1900.2560000000001</v>
      </c>
      <c r="M103" s="77">
        <v>1900.2560000000001</v>
      </c>
      <c r="N103" s="6">
        <v>1900.2560000000001</v>
      </c>
      <c r="O103" s="77">
        <v>1900.2560000000001</v>
      </c>
      <c r="P103" s="6">
        <v>0</v>
      </c>
      <c r="Q103" s="4" t="s">
        <v>26</v>
      </c>
      <c r="R103" s="4">
        <v>0</v>
      </c>
      <c r="S103" s="4">
        <v>0</v>
      </c>
      <c r="T103" s="4">
        <v>8</v>
      </c>
      <c r="U103" s="4">
        <v>49</v>
      </c>
      <c r="V103" s="77">
        <f>IF(ISERROR(VLOOKUP($S$103,'TAR FIN'!$A$1:$O$85,15,0)),0,VLOOKUP($S$103,'TAR FIN'!$A$1:$O$85,15,0))</f>
        <v>0</v>
      </c>
      <c r="W103" s="77">
        <f>IF(ISERROR(VLOOKUP($T$103,'TAR FIN'!$A$1:$O$85,15,0)),0,VLOOKUP($T$103,'TAR FIN'!$A$1:$O$85,15,0))*(1-0.04)</f>
        <v>62.985599999999998</v>
      </c>
      <c r="X103" s="77">
        <f>IF(ISERROR(VLOOKUP($U$103,'TAR FIN'!$A$1:$O$85,15,0)),0,VLOOKUP($U$103,'TAR FIN'!$A$1:$O$85,15,0))*(1-0.04)</f>
        <v>252.75840000000002</v>
      </c>
      <c r="Y103" s="77"/>
      <c r="Z103" s="77">
        <f ca="1">('TUSD BE'!$AM$12+'TUSD BF'!$AM$12+'TUSD CVA'!$AM$12)*1*(1-0.02)</f>
        <v>98.339533846404223</v>
      </c>
      <c r="AA103" s="77">
        <f>('TE BE'!$AA$6+'TE BF'!$AA$6+'TE CVA'!$AA$6)*1*(1-0.02)</f>
        <v>206.43109646347523</v>
      </c>
      <c r="AB103" s="77">
        <f>(SUBSIDIO!$J$103*SUBSIDIO!$V$103)*(0.04)/(1-0.04)</f>
        <v>0</v>
      </c>
      <c r="AC103" s="77">
        <f>((SUBSIDIO!$L$103*SUBSIDIO!$W$103)+(SUBSIDIO!$N$103*SUBSIDIO!$X$103))*(0.04)/(1-0.04)</f>
        <v>24999.767936000004</v>
      </c>
      <c r="AD103" s="77">
        <f>(SUBSIDIO!$J$103*SUBSIDIO!$Y$103)*(0.02)/(1-0.02)</f>
        <v>0</v>
      </c>
      <c r="AE103" s="77">
        <f ca="1">((SUBSIDIO!$L$103*SUBSIDIO!$Z$103)+(SUBSIDIO!$N$103*SUBSIDIO!$AA$103))*(0.02)/(1-0.02)</f>
        <v>11819.228956533272</v>
      </c>
      <c r="AF103" s="4" t="s">
        <v>808</v>
      </c>
    </row>
    <row r="104" spans="1:32" ht="11.25" customHeight="1" x14ac:dyDescent="0.25">
      <c r="A104" s="4" t="s">
        <v>21</v>
      </c>
      <c r="B104" s="4" t="s">
        <v>33</v>
      </c>
      <c r="C104" s="4" t="s">
        <v>34</v>
      </c>
      <c r="D104" s="4" t="s">
        <v>44</v>
      </c>
      <c r="E104" s="4" t="s">
        <v>25</v>
      </c>
      <c r="F104" s="4" t="s">
        <v>25</v>
      </c>
      <c r="G104" s="4" t="s">
        <v>25</v>
      </c>
      <c r="H104" s="4" t="s">
        <v>25</v>
      </c>
      <c r="I104" s="5">
        <v>44317</v>
      </c>
      <c r="J104" s="6">
        <v>6735</v>
      </c>
      <c r="K104" s="77">
        <v>6735</v>
      </c>
      <c r="L104" s="6">
        <v>0</v>
      </c>
      <c r="M104" s="77">
        <v>0</v>
      </c>
      <c r="N104" s="6">
        <v>0</v>
      </c>
      <c r="O104" s="77">
        <v>0</v>
      </c>
      <c r="P104" s="6">
        <v>48</v>
      </c>
      <c r="Q104" s="4" t="s">
        <v>26</v>
      </c>
      <c r="R104" s="4">
        <v>0</v>
      </c>
      <c r="S104" s="4">
        <v>6</v>
      </c>
      <c r="T104" s="4">
        <v>0</v>
      </c>
      <c r="U104" s="4">
        <v>0</v>
      </c>
      <c r="V104" s="77">
        <f>IF(ISERROR(VLOOKUP($S$104,'TAR FIN'!$A$1:$O$85,15,0)),0,VLOOKUP($S$104,'TAR FIN'!$A$1:$O$85,15,0))*(1-0.04)</f>
        <v>18.5472</v>
      </c>
      <c r="W104" s="77">
        <f>IF(ISERROR(VLOOKUP($T$104,'TAR FIN'!$A$1:$O$85,15,0)),0,VLOOKUP($T$104,'TAR FIN'!$A$1:$O$85,15,0))</f>
        <v>0</v>
      </c>
      <c r="X104" s="77">
        <f>IF(ISERROR(VLOOKUP($U$104,'TAR FIN'!$A$1:$O$85,15,0)),0,VLOOKUP($U$104,'TAR FIN'!$A$1:$O$85,15,0))</f>
        <v>0</v>
      </c>
      <c r="Y104" s="77">
        <f ca="1">('TUSD BE'!$AM$10+'TUSD BF'!$AM$10+'TUSD CVA'!$AM$10)*1*(1-0.02)</f>
        <v>16.346441090586261</v>
      </c>
      <c r="Z104" s="77"/>
      <c r="AA104" s="77"/>
      <c r="AB104" s="77">
        <f>(SUBSIDIO!$J$104*SUBSIDIO!$V$104)*(0.04)/(1-0.04)</f>
        <v>5204.8080000000009</v>
      </c>
      <c r="AC104" s="77">
        <f>((SUBSIDIO!$L$104*SUBSIDIO!$W$104)+(SUBSIDIO!$N$104*SUBSIDIO!$X$104))*(0.04)/(1-0.04)</f>
        <v>0</v>
      </c>
      <c r="AD104" s="77">
        <f ca="1">(SUBSIDIO!$J$104*SUBSIDIO!$Y$104)*(0.02)/(1-0.02)</f>
        <v>2246.8016478591526</v>
      </c>
      <c r="AE104" s="77">
        <f>((SUBSIDIO!$L$104*SUBSIDIO!$Z$104)+(SUBSIDIO!$N$104*SUBSIDIO!$AA$104))*(0.02)/(1-0.02)</f>
        <v>0</v>
      </c>
      <c r="AF104" s="4" t="s">
        <v>808</v>
      </c>
    </row>
    <row r="105" spans="1:32" ht="11.25" customHeight="1" x14ac:dyDescent="0.25">
      <c r="A105" s="4" t="s">
        <v>28</v>
      </c>
      <c r="B105" s="4" t="s">
        <v>33</v>
      </c>
      <c r="C105" s="4" t="s">
        <v>34</v>
      </c>
      <c r="D105" s="4" t="s">
        <v>44</v>
      </c>
      <c r="E105" s="4" t="s">
        <v>25</v>
      </c>
      <c r="F105" s="4" t="s">
        <v>25</v>
      </c>
      <c r="G105" s="4" t="s">
        <v>25</v>
      </c>
      <c r="H105" s="4" t="s">
        <v>25</v>
      </c>
      <c r="I105" s="5">
        <v>44317</v>
      </c>
      <c r="J105" s="6">
        <v>63</v>
      </c>
      <c r="K105" s="77">
        <v>63</v>
      </c>
      <c r="L105" s="6">
        <v>0</v>
      </c>
      <c r="M105" s="77">
        <v>0</v>
      </c>
      <c r="N105" s="6">
        <v>0</v>
      </c>
      <c r="O105" s="77">
        <v>0</v>
      </c>
      <c r="P105" s="6">
        <v>1</v>
      </c>
      <c r="Q105" s="4" t="s">
        <v>26</v>
      </c>
      <c r="R105" s="4">
        <v>0</v>
      </c>
      <c r="S105" s="4">
        <v>6</v>
      </c>
      <c r="T105" s="4">
        <v>0</v>
      </c>
      <c r="U105" s="4">
        <v>0</v>
      </c>
      <c r="V105" s="77">
        <f>IF(ISERROR(VLOOKUP($S$105,'TAR FIN'!$A$1:$O$85,15,0)),0,VLOOKUP($S$105,'TAR FIN'!$A$1:$O$85,15,0))*(1-0.04)</f>
        <v>18.5472</v>
      </c>
      <c r="W105" s="77">
        <f>IF(ISERROR(VLOOKUP($T$105,'TAR FIN'!$A$1:$O$85,15,0)),0,VLOOKUP($T$105,'TAR FIN'!$A$1:$O$85,15,0))</f>
        <v>0</v>
      </c>
      <c r="X105" s="77">
        <f>IF(ISERROR(VLOOKUP($U$105,'TAR FIN'!$A$1:$O$85,15,0)),0,VLOOKUP($U$105,'TAR FIN'!$A$1:$O$85,15,0))</f>
        <v>0</v>
      </c>
      <c r="Y105" s="77">
        <f ca="1">('TUSD BE'!$AM$10+'TUSD BF'!$AM$10+'TUSD CVA'!$AM$10)*1*(1-0.02)</f>
        <v>16.346441090586261</v>
      </c>
      <c r="Z105" s="77"/>
      <c r="AA105" s="77"/>
      <c r="AB105" s="77">
        <f>(SUBSIDIO!$J$105*SUBSIDIO!$V$105)*(0.04)/(1-0.04)</f>
        <v>48.686400000000006</v>
      </c>
      <c r="AC105" s="77">
        <f>((SUBSIDIO!$L$105*SUBSIDIO!$W$105)+(SUBSIDIO!$N$105*SUBSIDIO!$X$105))*(0.04)/(1-0.04)</f>
        <v>0</v>
      </c>
      <c r="AD105" s="77">
        <f ca="1">(SUBSIDIO!$J$105*SUBSIDIO!$Y$105)*(0.02)/(1-0.02)</f>
        <v>21.016852830753763</v>
      </c>
      <c r="AE105" s="77">
        <f>((SUBSIDIO!$L$105*SUBSIDIO!$Z$105)+(SUBSIDIO!$N$105*SUBSIDIO!$AA$105))*(0.02)/(1-0.02)</f>
        <v>0</v>
      </c>
      <c r="AF105" s="4" t="s">
        <v>808</v>
      </c>
    </row>
    <row r="106" spans="1:32" ht="11.25" customHeight="1" x14ac:dyDescent="0.25">
      <c r="A106" s="4" t="s">
        <v>21</v>
      </c>
      <c r="B106" s="4" t="s">
        <v>33</v>
      </c>
      <c r="C106" s="4" t="s">
        <v>34</v>
      </c>
      <c r="D106" s="4" t="s">
        <v>44</v>
      </c>
      <c r="E106" s="4" t="s">
        <v>25</v>
      </c>
      <c r="F106" s="4" t="s">
        <v>25</v>
      </c>
      <c r="G106" s="4" t="s">
        <v>25</v>
      </c>
      <c r="H106" s="4" t="s">
        <v>25</v>
      </c>
      <c r="I106" s="5">
        <v>44348</v>
      </c>
      <c r="J106" s="6">
        <v>6004</v>
      </c>
      <c r="K106" s="77">
        <v>6004</v>
      </c>
      <c r="L106" s="6">
        <v>0</v>
      </c>
      <c r="M106" s="77">
        <v>0</v>
      </c>
      <c r="N106" s="6">
        <v>0</v>
      </c>
      <c r="O106" s="77">
        <v>0</v>
      </c>
      <c r="P106" s="6">
        <v>48</v>
      </c>
      <c r="Q106" s="4" t="s">
        <v>26</v>
      </c>
      <c r="R106" s="4">
        <v>0</v>
      </c>
      <c r="S106" s="4">
        <v>6</v>
      </c>
      <c r="T106" s="4">
        <v>0</v>
      </c>
      <c r="U106" s="4">
        <v>0</v>
      </c>
      <c r="V106" s="77">
        <f>IF(ISERROR(VLOOKUP($S$106,'TAR FIN'!$A$1:$O$85,15,0)),0,VLOOKUP($S$106,'TAR FIN'!$A$1:$O$85,15,0))*(1-0.04)</f>
        <v>18.5472</v>
      </c>
      <c r="W106" s="77">
        <f>IF(ISERROR(VLOOKUP($T$106,'TAR FIN'!$A$1:$O$85,15,0)),0,VLOOKUP($T$106,'TAR FIN'!$A$1:$O$85,15,0))</f>
        <v>0</v>
      </c>
      <c r="X106" s="77">
        <f>IF(ISERROR(VLOOKUP($U$106,'TAR FIN'!$A$1:$O$85,15,0)),0,VLOOKUP($U$106,'TAR FIN'!$A$1:$O$85,15,0))</f>
        <v>0</v>
      </c>
      <c r="Y106" s="77">
        <f ca="1">('TUSD BE'!$AM$10+'TUSD BF'!$AM$10+'TUSD CVA'!$AM$10)*1*(1-0.02)</f>
        <v>16.346441090586261</v>
      </c>
      <c r="Z106" s="77"/>
      <c r="AA106" s="77"/>
      <c r="AB106" s="77">
        <f>(SUBSIDIO!$J$106*SUBSIDIO!$V$106)*(0.04)/(1-0.04)</f>
        <v>4639.8912000000009</v>
      </c>
      <c r="AC106" s="77">
        <f>((SUBSIDIO!$L$106*SUBSIDIO!$W$106)+(SUBSIDIO!$N$106*SUBSIDIO!$X$106))*(0.04)/(1-0.04)</f>
        <v>0</v>
      </c>
      <c r="AD106" s="77">
        <f ca="1">(SUBSIDIO!$J$106*SUBSIDIO!$Y$106)*(0.02)/(1-0.02)</f>
        <v>2002.9394348546921</v>
      </c>
      <c r="AE106" s="77">
        <f>((SUBSIDIO!$L$106*SUBSIDIO!$Z$106)+(SUBSIDIO!$N$106*SUBSIDIO!$AA$106))*(0.02)/(1-0.02)</f>
        <v>0</v>
      </c>
      <c r="AF106" s="4" t="s">
        <v>808</v>
      </c>
    </row>
    <row r="107" spans="1:32" ht="11.25" customHeight="1" x14ac:dyDescent="0.25">
      <c r="A107" s="4" t="s">
        <v>28</v>
      </c>
      <c r="B107" s="4" t="s">
        <v>33</v>
      </c>
      <c r="C107" s="4" t="s">
        <v>34</v>
      </c>
      <c r="D107" s="4" t="s">
        <v>44</v>
      </c>
      <c r="E107" s="4" t="s">
        <v>25</v>
      </c>
      <c r="F107" s="4" t="s">
        <v>25</v>
      </c>
      <c r="G107" s="4" t="s">
        <v>25</v>
      </c>
      <c r="H107" s="4" t="s">
        <v>25</v>
      </c>
      <c r="I107" s="5">
        <v>44348</v>
      </c>
      <c r="J107" s="6">
        <v>117</v>
      </c>
      <c r="K107" s="77">
        <v>117</v>
      </c>
      <c r="L107" s="6">
        <v>0</v>
      </c>
      <c r="M107" s="77">
        <v>0</v>
      </c>
      <c r="N107" s="6">
        <v>0</v>
      </c>
      <c r="O107" s="77">
        <v>0</v>
      </c>
      <c r="P107" s="6">
        <v>1</v>
      </c>
      <c r="Q107" s="4" t="s">
        <v>26</v>
      </c>
      <c r="R107" s="4">
        <v>0</v>
      </c>
      <c r="S107" s="4">
        <v>6</v>
      </c>
      <c r="T107" s="4">
        <v>0</v>
      </c>
      <c r="U107" s="4">
        <v>0</v>
      </c>
      <c r="V107" s="77">
        <f>IF(ISERROR(VLOOKUP($S$107,'TAR FIN'!$A$1:$O$85,15,0)),0,VLOOKUP($S$107,'TAR FIN'!$A$1:$O$85,15,0))*(1-0.04)</f>
        <v>18.5472</v>
      </c>
      <c r="W107" s="77">
        <f>IF(ISERROR(VLOOKUP($T$107,'TAR FIN'!$A$1:$O$85,15,0)),0,VLOOKUP($T$107,'TAR FIN'!$A$1:$O$85,15,0))</f>
        <v>0</v>
      </c>
      <c r="X107" s="77">
        <f>IF(ISERROR(VLOOKUP($U$107,'TAR FIN'!$A$1:$O$85,15,0)),0,VLOOKUP($U$107,'TAR FIN'!$A$1:$O$85,15,0))</f>
        <v>0</v>
      </c>
      <c r="Y107" s="77">
        <f ca="1">('TUSD BE'!$AM$10+'TUSD BF'!$AM$10+'TUSD CVA'!$AM$10)*1*(1-0.02)</f>
        <v>16.346441090586261</v>
      </c>
      <c r="Z107" s="77"/>
      <c r="AA107" s="77"/>
      <c r="AB107" s="77">
        <f>(SUBSIDIO!$J$107*SUBSIDIO!$V$107)*(0.04)/(1-0.04)</f>
        <v>90.417599999999993</v>
      </c>
      <c r="AC107" s="77">
        <f>((SUBSIDIO!$L$107*SUBSIDIO!$W$107)+(SUBSIDIO!$N$107*SUBSIDIO!$X$107))*(0.04)/(1-0.04)</f>
        <v>0</v>
      </c>
      <c r="AD107" s="77">
        <f ca="1">(SUBSIDIO!$J$107*SUBSIDIO!$Y$107)*(0.02)/(1-0.02)</f>
        <v>39.031298114256991</v>
      </c>
      <c r="AE107" s="77">
        <f>((SUBSIDIO!$L$107*SUBSIDIO!$Z$107)+(SUBSIDIO!$N$107*SUBSIDIO!$AA$107))*(0.02)/(1-0.02)</f>
        <v>0</v>
      </c>
      <c r="AF107" s="4" t="s">
        <v>808</v>
      </c>
    </row>
    <row r="108" spans="1:32" ht="11.25" customHeight="1" x14ac:dyDescent="0.25">
      <c r="A108" s="4" t="s">
        <v>21</v>
      </c>
      <c r="B108" s="4" t="s">
        <v>33</v>
      </c>
      <c r="C108" s="4" t="s">
        <v>34</v>
      </c>
      <c r="D108" s="4" t="s">
        <v>44</v>
      </c>
      <c r="E108" s="4" t="s">
        <v>25</v>
      </c>
      <c r="F108" s="4" t="s">
        <v>25</v>
      </c>
      <c r="G108" s="4" t="s">
        <v>25</v>
      </c>
      <c r="H108" s="4" t="s">
        <v>25</v>
      </c>
      <c r="I108" s="5">
        <v>44378</v>
      </c>
      <c r="J108" s="6">
        <v>5704</v>
      </c>
      <c r="K108" s="77">
        <v>5704</v>
      </c>
      <c r="L108" s="6">
        <v>0</v>
      </c>
      <c r="M108" s="77">
        <v>0</v>
      </c>
      <c r="N108" s="6">
        <v>0</v>
      </c>
      <c r="O108" s="77">
        <v>0</v>
      </c>
      <c r="P108" s="6">
        <v>48</v>
      </c>
      <c r="Q108" s="4" t="s">
        <v>26</v>
      </c>
      <c r="R108" s="4">
        <v>0</v>
      </c>
      <c r="S108" s="4">
        <v>6</v>
      </c>
      <c r="T108" s="4">
        <v>0</v>
      </c>
      <c r="U108" s="4">
        <v>0</v>
      </c>
      <c r="V108" s="77">
        <f>IF(ISERROR(VLOOKUP($S$108,'TAR FIN'!$A$1:$O$85,15,0)),0,VLOOKUP($S$108,'TAR FIN'!$A$1:$O$85,15,0))*(1-0.04)</f>
        <v>18.5472</v>
      </c>
      <c r="W108" s="77">
        <f>IF(ISERROR(VLOOKUP($T$108,'TAR FIN'!$A$1:$O$85,15,0)),0,VLOOKUP($T$108,'TAR FIN'!$A$1:$O$85,15,0))</f>
        <v>0</v>
      </c>
      <c r="X108" s="77">
        <f>IF(ISERROR(VLOOKUP($U$108,'TAR FIN'!$A$1:$O$85,15,0)),0,VLOOKUP($U$108,'TAR FIN'!$A$1:$O$85,15,0))</f>
        <v>0</v>
      </c>
      <c r="Y108" s="77">
        <f ca="1">('TUSD BE'!$AM$10+'TUSD BF'!$AM$10+'TUSD CVA'!$AM$10)*1*(1-0.02)</f>
        <v>16.346441090586261</v>
      </c>
      <c r="Z108" s="77"/>
      <c r="AA108" s="77"/>
      <c r="AB108" s="77">
        <f>(SUBSIDIO!$J$108*SUBSIDIO!$V$108)*(0.04)/(1-0.04)</f>
        <v>4408.0511999999999</v>
      </c>
      <c r="AC108" s="77">
        <f>((SUBSIDIO!$L$108*SUBSIDIO!$W$108)+(SUBSIDIO!$N$108*SUBSIDIO!$X$108))*(0.04)/(1-0.04)</f>
        <v>0</v>
      </c>
      <c r="AD108" s="77">
        <f ca="1">(SUBSIDIO!$J$108*SUBSIDIO!$Y$108)*(0.02)/(1-0.02)</f>
        <v>1902.8591832796744</v>
      </c>
      <c r="AE108" s="77">
        <f>((SUBSIDIO!$L$108*SUBSIDIO!$Z$108)+(SUBSIDIO!$N$108*SUBSIDIO!$AA$108))*(0.02)/(1-0.02)</f>
        <v>0</v>
      </c>
      <c r="AF108" s="4" t="s">
        <v>808</v>
      </c>
    </row>
    <row r="109" spans="1:32" ht="11.25" customHeight="1" x14ac:dyDescent="0.25">
      <c r="A109" s="4" t="s">
        <v>28</v>
      </c>
      <c r="B109" s="4" t="s">
        <v>33</v>
      </c>
      <c r="C109" s="4" t="s">
        <v>34</v>
      </c>
      <c r="D109" s="4" t="s">
        <v>44</v>
      </c>
      <c r="E109" s="4" t="s">
        <v>25</v>
      </c>
      <c r="F109" s="4" t="s">
        <v>25</v>
      </c>
      <c r="G109" s="4" t="s">
        <v>25</v>
      </c>
      <c r="H109" s="4" t="s">
        <v>25</v>
      </c>
      <c r="I109" s="5">
        <v>44378</v>
      </c>
      <c r="J109" s="6">
        <v>127</v>
      </c>
      <c r="K109" s="77">
        <v>127</v>
      </c>
      <c r="L109" s="6">
        <v>0</v>
      </c>
      <c r="M109" s="77">
        <v>0</v>
      </c>
      <c r="N109" s="6">
        <v>0</v>
      </c>
      <c r="O109" s="77">
        <v>0</v>
      </c>
      <c r="P109" s="6">
        <v>1</v>
      </c>
      <c r="Q109" s="4" t="s">
        <v>26</v>
      </c>
      <c r="R109" s="4">
        <v>0</v>
      </c>
      <c r="S109" s="4">
        <v>6</v>
      </c>
      <c r="T109" s="4">
        <v>0</v>
      </c>
      <c r="U109" s="4">
        <v>0</v>
      </c>
      <c r="V109" s="77">
        <f>IF(ISERROR(VLOOKUP($S$109,'TAR FIN'!$A$1:$O$85,15,0)),0,VLOOKUP($S$109,'TAR FIN'!$A$1:$O$85,15,0))*(1-0.04)</f>
        <v>18.5472</v>
      </c>
      <c r="W109" s="77">
        <f>IF(ISERROR(VLOOKUP($T$109,'TAR FIN'!$A$1:$O$85,15,0)),0,VLOOKUP($T$109,'TAR FIN'!$A$1:$O$85,15,0))</f>
        <v>0</v>
      </c>
      <c r="X109" s="77">
        <f>IF(ISERROR(VLOOKUP($U$109,'TAR FIN'!$A$1:$O$85,15,0)),0,VLOOKUP($U$109,'TAR FIN'!$A$1:$O$85,15,0))</f>
        <v>0</v>
      </c>
      <c r="Y109" s="77">
        <f ca="1">('TUSD BE'!$AM$10+'TUSD BF'!$AM$10+'TUSD CVA'!$AM$10)*1*(1-0.02)</f>
        <v>16.346441090586261</v>
      </c>
      <c r="Z109" s="77"/>
      <c r="AA109" s="77"/>
      <c r="AB109" s="77">
        <f>(SUBSIDIO!$J$109*SUBSIDIO!$V$109)*(0.04)/(1-0.04)</f>
        <v>98.145600000000016</v>
      </c>
      <c r="AC109" s="77">
        <f>((SUBSIDIO!$L$109*SUBSIDIO!$W$109)+(SUBSIDIO!$N$109*SUBSIDIO!$X$109))*(0.04)/(1-0.04)</f>
        <v>0</v>
      </c>
      <c r="AD109" s="77">
        <f ca="1">(SUBSIDIO!$J$109*SUBSIDIO!$Y$109)*(0.02)/(1-0.02)</f>
        <v>42.367306500090919</v>
      </c>
      <c r="AE109" s="77">
        <f>((SUBSIDIO!$L$109*SUBSIDIO!$Z$109)+(SUBSIDIO!$N$109*SUBSIDIO!$AA$109))*(0.02)/(1-0.02)</f>
        <v>0</v>
      </c>
      <c r="AF109" s="4" t="s">
        <v>808</v>
      </c>
    </row>
    <row r="110" spans="1:32" ht="11.25" customHeight="1" x14ac:dyDescent="0.25">
      <c r="A110" s="4" t="s">
        <v>21</v>
      </c>
      <c r="B110" s="4" t="s">
        <v>33</v>
      </c>
      <c r="C110" s="4" t="s">
        <v>34</v>
      </c>
      <c r="D110" s="4" t="s">
        <v>44</v>
      </c>
      <c r="E110" s="4" t="s">
        <v>25</v>
      </c>
      <c r="F110" s="4" t="s">
        <v>25</v>
      </c>
      <c r="G110" s="4" t="s">
        <v>25</v>
      </c>
      <c r="H110" s="4" t="s">
        <v>25</v>
      </c>
      <c r="I110" s="5">
        <v>44409</v>
      </c>
      <c r="J110" s="6">
        <v>6448</v>
      </c>
      <c r="K110" s="77">
        <v>6448</v>
      </c>
      <c r="L110" s="6">
        <v>0</v>
      </c>
      <c r="M110" s="77">
        <v>0</v>
      </c>
      <c r="N110" s="6">
        <v>0</v>
      </c>
      <c r="O110" s="77">
        <v>0</v>
      </c>
      <c r="P110" s="6">
        <v>46</v>
      </c>
      <c r="Q110" s="4" t="s">
        <v>26</v>
      </c>
      <c r="R110" s="4">
        <v>0</v>
      </c>
      <c r="S110" s="4">
        <v>6</v>
      </c>
      <c r="T110" s="4">
        <v>0</v>
      </c>
      <c r="U110" s="4">
        <v>0</v>
      </c>
      <c r="V110" s="77">
        <f>IF(ISERROR(VLOOKUP($S$110,'TAR FIN'!$A$1:$O$85,15,0)),0,VLOOKUP($S$110,'TAR FIN'!$A$1:$O$85,15,0))*(1-0.04)</f>
        <v>18.5472</v>
      </c>
      <c r="W110" s="77">
        <f>IF(ISERROR(VLOOKUP($T$110,'TAR FIN'!$A$1:$O$85,15,0)),0,VLOOKUP($T$110,'TAR FIN'!$A$1:$O$85,15,0))</f>
        <v>0</v>
      </c>
      <c r="X110" s="77">
        <f>IF(ISERROR(VLOOKUP($U$110,'TAR FIN'!$A$1:$O$85,15,0)),0,VLOOKUP($U$110,'TAR FIN'!$A$1:$O$85,15,0))</f>
        <v>0</v>
      </c>
      <c r="Y110" s="77">
        <f ca="1">('TUSD BE'!$AM$10+'TUSD BF'!$AM$10+'TUSD CVA'!$AM$10)*1*(1-0.02)</f>
        <v>16.346441090586261</v>
      </c>
      <c r="Z110" s="77"/>
      <c r="AA110" s="77"/>
      <c r="AB110" s="77">
        <f>(SUBSIDIO!$J$110*SUBSIDIO!$V$110)*(0.04)/(1-0.04)</f>
        <v>4983.0144</v>
      </c>
      <c r="AC110" s="77">
        <f>((SUBSIDIO!$L$110*SUBSIDIO!$W$110)+(SUBSIDIO!$N$110*SUBSIDIO!$X$110))*(0.04)/(1-0.04)</f>
        <v>0</v>
      </c>
      <c r="AD110" s="77">
        <f ca="1">(SUBSIDIO!$J$110*SUBSIDIO!$Y$110)*(0.02)/(1-0.02)</f>
        <v>2151.0582071857189</v>
      </c>
      <c r="AE110" s="77">
        <f>((SUBSIDIO!$L$110*SUBSIDIO!$Z$110)+(SUBSIDIO!$N$110*SUBSIDIO!$AA$110))*(0.02)/(1-0.02)</f>
        <v>0</v>
      </c>
      <c r="AF110" s="4" t="s">
        <v>808</v>
      </c>
    </row>
    <row r="111" spans="1:32" ht="11.25" customHeight="1" x14ac:dyDescent="0.25">
      <c r="A111" s="4" t="s">
        <v>28</v>
      </c>
      <c r="B111" s="4" t="s">
        <v>33</v>
      </c>
      <c r="C111" s="4" t="s">
        <v>34</v>
      </c>
      <c r="D111" s="4" t="s">
        <v>44</v>
      </c>
      <c r="E111" s="4" t="s">
        <v>25</v>
      </c>
      <c r="F111" s="4" t="s">
        <v>25</v>
      </c>
      <c r="G111" s="4" t="s">
        <v>25</v>
      </c>
      <c r="H111" s="4" t="s">
        <v>25</v>
      </c>
      <c r="I111" s="5">
        <v>44409</v>
      </c>
      <c r="J111" s="6">
        <v>279</v>
      </c>
      <c r="K111" s="77">
        <v>279</v>
      </c>
      <c r="L111" s="6">
        <v>0</v>
      </c>
      <c r="M111" s="77">
        <v>0</v>
      </c>
      <c r="N111" s="6">
        <v>0</v>
      </c>
      <c r="O111" s="77">
        <v>0</v>
      </c>
      <c r="P111" s="6">
        <v>2</v>
      </c>
      <c r="Q111" s="4" t="s">
        <v>26</v>
      </c>
      <c r="R111" s="4">
        <v>0</v>
      </c>
      <c r="S111" s="4">
        <v>6</v>
      </c>
      <c r="T111" s="4">
        <v>0</v>
      </c>
      <c r="U111" s="4">
        <v>0</v>
      </c>
      <c r="V111" s="77">
        <f>IF(ISERROR(VLOOKUP($S$111,'TAR FIN'!$A$1:$O$85,15,0)),0,VLOOKUP($S$111,'TAR FIN'!$A$1:$O$85,15,0))*(1-0.04)</f>
        <v>18.5472</v>
      </c>
      <c r="W111" s="77">
        <f>IF(ISERROR(VLOOKUP($T$111,'TAR FIN'!$A$1:$O$85,15,0)),0,VLOOKUP($T$111,'TAR FIN'!$A$1:$O$85,15,0))</f>
        <v>0</v>
      </c>
      <c r="X111" s="77">
        <f>IF(ISERROR(VLOOKUP($U$111,'TAR FIN'!$A$1:$O$85,15,0)),0,VLOOKUP($U$111,'TAR FIN'!$A$1:$O$85,15,0))</f>
        <v>0</v>
      </c>
      <c r="Y111" s="77">
        <f ca="1">('TUSD BE'!$AM$10+'TUSD BF'!$AM$10+'TUSD CVA'!$AM$10)*1*(1-0.02)</f>
        <v>16.346441090586261</v>
      </c>
      <c r="Z111" s="77"/>
      <c r="AA111" s="77"/>
      <c r="AB111" s="77">
        <f>(SUBSIDIO!$J$111*SUBSIDIO!$V$111)*(0.04)/(1-0.04)</f>
        <v>215.61120000000003</v>
      </c>
      <c r="AC111" s="77">
        <f>((SUBSIDIO!$L$111*SUBSIDIO!$W$111)+(SUBSIDIO!$N$111*SUBSIDIO!$X$111))*(0.04)/(1-0.04)</f>
        <v>0</v>
      </c>
      <c r="AD111" s="77">
        <f ca="1">(SUBSIDIO!$J$111*SUBSIDIO!$Y$111)*(0.02)/(1-0.02)</f>
        <v>93.074633964766676</v>
      </c>
      <c r="AE111" s="77">
        <f>((SUBSIDIO!$L$111*SUBSIDIO!$Z$111)+(SUBSIDIO!$N$111*SUBSIDIO!$AA$111))*(0.02)/(1-0.02)</f>
        <v>0</v>
      </c>
      <c r="AF111" s="4" t="s">
        <v>808</v>
      </c>
    </row>
    <row r="112" spans="1:32" ht="11.25" customHeight="1" x14ac:dyDescent="0.25">
      <c r="A112" s="4" t="s">
        <v>21</v>
      </c>
      <c r="B112" s="4" t="s">
        <v>33</v>
      </c>
      <c r="C112" s="4" t="s">
        <v>34</v>
      </c>
      <c r="D112" s="4" t="s">
        <v>44</v>
      </c>
      <c r="E112" s="4" t="s">
        <v>25</v>
      </c>
      <c r="F112" s="4" t="s">
        <v>25</v>
      </c>
      <c r="G112" s="4" t="s">
        <v>25</v>
      </c>
      <c r="H112" s="4" t="s">
        <v>25</v>
      </c>
      <c r="I112" s="5">
        <v>44440</v>
      </c>
      <c r="J112" s="6">
        <v>9002</v>
      </c>
      <c r="K112" s="77">
        <v>9002</v>
      </c>
      <c r="L112" s="6">
        <v>0</v>
      </c>
      <c r="M112" s="77">
        <v>0</v>
      </c>
      <c r="N112" s="6">
        <v>0</v>
      </c>
      <c r="O112" s="77">
        <v>0</v>
      </c>
      <c r="P112" s="6">
        <v>47</v>
      </c>
      <c r="Q112" s="4" t="s">
        <v>26</v>
      </c>
      <c r="R112" s="4">
        <v>0</v>
      </c>
      <c r="S112" s="4">
        <v>6</v>
      </c>
      <c r="T112" s="4">
        <v>0</v>
      </c>
      <c r="U112" s="4">
        <v>0</v>
      </c>
      <c r="V112" s="77">
        <f>IF(ISERROR(VLOOKUP($S$112,'TAR FIN'!$A$1:$O$85,15,0)),0,VLOOKUP($S$112,'TAR FIN'!$A$1:$O$85,15,0))*(1-0.04)</f>
        <v>18.5472</v>
      </c>
      <c r="W112" s="77">
        <f>IF(ISERROR(VLOOKUP($T$112,'TAR FIN'!$A$1:$O$85,15,0)),0,VLOOKUP($T$112,'TAR FIN'!$A$1:$O$85,15,0))</f>
        <v>0</v>
      </c>
      <c r="X112" s="77">
        <f>IF(ISERROR(VLOOKUP($U$112,'TAR FIN'!$A$1:$O$85,15,0)),0,VLOOKUP($U$112,'TAR FIN'!$A$1:$O$85,15,0))</f>
        <v>0</v>
      </c>
      <c r="Y112" s="77">
        <f ca="1">('TUSD BE'!$AM$10+'TUSD BF'!$AM$10+'TUSD CVA'!$AM$10)*1*(1-0.02)</f>
        <v>16.346441090586261</v>
      </c>
      <c r="Z112" s="77"/>
      <c r="AA112" s="77"/>
      <c r="AB112" s="77">
        <f>(SUBSIDIO!$J$112*SUBSIDIO!$V$112)*(0.04)/(1-0.04)</f>
        <v>6956.7455999999993</v>
      </c>
      <c r="AC112" s="77">
        <f>((SUBSIDIO!$L$112*SUBSIDIO!$W$112)+(SUBSIDIO!$N$112*SUBSIDIO!$X$112))*(0.04)/(1-0.04)</f>
        <v>0</v>
      </c>
      <c r="AD112" s="77">
        <f ca="1">(SUBSIDIO!$J$112*SUBSIDIO!$Y$112)*(0.02)/(1-0.02)</f>
        <v>3003.0747489277041</v>
      </c>
      <c r="AE112" s="77">
        <f>((SUBSIDIO!$L$112*SUBSIDIO!$Z$112)+(SUBSIDIO!$N$112*SUBSIDIO!$AA$112))*(0.02)/(1-0.02)</f>
        <v>0</v>
      </c>
      <c r="AF112" s="4" t="s">
        <v>808</v>
      </c>
    </row>
    <row r="113" spans="1:32" ht="11.25" customHeight="1" x14ac:dyDescent="0.25">
      <c r="A113" s="4" t="s">
        <v>28</v>
      </c>
      <c r="B113" s="4" t="s">
        <v>33</v>
      </c>
      <c r="C113" s="4" t="s">
        <v>34</v>
      </c>
      <c r="D113" s="4" t="s">
        <v>44</v>
      </c>
      <c r="E113" s="4" t="s">
        <v>25</v>
      </c>
      <c r="F113" s="4" t="s">
        <v>25</v>
      </c>
      <c r="G113" s="4" t="s">
        <v>25</v>
      </c>
      <c r="H113" s="4" t="s">
        <v>25</v>
      </c>
      <c r="I113" s="5">
        <v>44440</v>
      </c>
      <c r="J113" s="6">
        <v>320</v>
      </c>
      <c r="K113" s="77">
        <v>320</v>
      </c>
      <c r="L113" s="6">
        <v>0</v>
      </c>
      <c r="M113" s="77">
        <v>0</v>
      </c>
      <c r="N113" s="6">
        <v>0</v>
      </c>
      <c r="O113" s="77">
        <v>0</v>
      </c>
      <c r="P113" s="6">
        <v>3</v>
      </c>
      <c r="Q113" s="4" t="s">
        <v>26</v>
      </c>
      <c r="R113" s="4">
        <v>0</v>
      </c>
      <c r="S113" s="4">
        <v>6</v>
      </c>
      <c r="T113" s="4">
        <v>0</v>
      </c>
      <c r="U113" s="4">
        <v>0</v>
      </c>
      <c r="V113" s="77">
        <f>IF(ISERROR(VLOOKUP($S$113,'TAR FIN'!$A$1:$O$85,15,0)),0,VLOOKUP($S$113,'TAR FIN'!$A$1:$O$85,15,0))*(1-0.04)</f>
        <v>18.5472</v>
      </c>
      <c r="W113" s="77">
        <f>IF(ISERROR(VLOOKUP($T$113,'TAR FIN'!$A$1:$O$85,15,0)),0,VLOOKUP($T$113,'TAR FIN'!$A$1:$O$85,15,0))</f>
        <v>0</v>
      </c>
      <c r="X113" s="77">
        <f>IF(ISERROR(VLOOKUP($U$113,'TAR FIN'!$A$1:$O$85,15,0)),0,VLOOKUP($U$113,'TAR FIN'!$A$1:$O$85,15,0))</f>
        <v>0</v>
      </c>
      <c r="Y113" s="77">
        <f ca="1">('TUSD BE'!$AM$10+'TUSD BF'!$AM$10+'TUSD CVA'!$AM$10)*1*(1-0.02)</f>
        <v>16.346441090586261</v>
      </c>
      <c r="Z113" s="77"/>
      <c r="AA113" s="77"/>
      <c r="AB113" s="77">
        <f>(SUBSIDIO!$J$113*SUBSIDIO!$V$113)*(0.04)/(1-0.04)</f>
        <v>247.29600000000002</v>
      </c>
      <c r="AC113" s="77">
        <f>((SUBSIDIO!$L$113*SUBSIDIO!$W$113)+(SUBSIDIO!$N$113*SUBSIDIO!$X$113))*(0.04)/(1-0.04)</f>
        <v>0</v>
      </c>
      <c r="AD113" s="77">
        <f ca="1">(SUBSIDIO!$J$113*SUBSIDIO!$Y$113)*(0.02)/(1-0.02)</f>
        <v>106.75226834668581</v>
      </c>
      <c r="AE113" s="77">
        <f>((SUBSIDIO!$L$113*SUBSIDIO!$Z$113)+(SUBSIDIO!$N$113*SUBSIDIO!$AA$113))*(0.02)/(1-0.02)</f>
        <v>0</v>
      </c>
      <c r="AF113" s="4" t="s">
        <v>808</v>
      </c>
    </row>
    <row r="114" spans="1:32" ht="11.25" customHeight="1" x14ac:dyDescent="0.25">
      <c r="A114" s="4" t="s">
        <v>21</v>
      </c>
      <c r="B114" s="4" t="s">
        <v>33</v>
      </c>
      <c r="C114" s="4" t="s">
        <v>34</v>
      </c>
      <c r="D114" s="4" t="s">
        <v>44</v>
      </c>
      <c r="E114" s="4" t="s">
        <v>25</v>
      </c>
      <c r="F114" s="4" t="s">
        <v>25</v>
      </c>
      <c r="G114" s="4" t="s">
        <v>25</v>
      </c>
      <c r="H114" s="4" t="s">
        <v>25</v>
      </c>
      <c r="I114" s="5">
        <v>44470</v>
      </c>
      <c r="J114" s="6">
        <v>8558</v>
      </c>
      <c r="K114" s="77">
        <v>8558</v>
      </c>
      <c r="L114" s="6">
        <v>0</v>
      </c>
      <c r="M114" s="77">
        <v>0</v>
      </c>
      <c r="N114" s="6">
        <v>0</v>
      </c>
      <c r="O114" s="77">
        <v>0</v>
      </c>
      <c r="P114" s="6">
        <v>46</v>
      </c>
      <c r="Q114" s="4" t="s">
        <v>26</v>
      </c>
      <c r="R114" s="4">
        <v>0</v>
      </c>
      <c r="S114" s="4">
        <v>6</v>
      </c>
      <c r="T114" s="4">
        <v>0</v>
      </c>
      <c r="U114" s="4">
        <v>0</v>
      </c>
      <c r="V114" s="77">
        <f>IF(ISERROR(VLOOKUP($S$114,'TAR FIN'!$A$1:$O$85,15,0)),0,VLOOKUP($S$114,'TAR FIN'!$A$1:$O$85,15,0))*(1-0.04)</f>
        <v>18.5472</v>
      </c>
      <c r="W114" s="77">
        <f>IF(ISERROR(VLOOKUP($T$114,'TAR FIN'!$A$1:$O$85,15,0)),0,VLOOKUP($T$114,'TAR FIN'!$A$1:$O$85,15,0))</f>
        <v>0</v>
      </c>
      <c r="X114" s="77">
        <f>IF(ISERROR(VLOOKUP($U$114,'TAR FIN'!$A$1:$O$85,15,0)),0,VLOOKUP($U$114,'TAR FIN'!$A$1:$O$85,15,0))</f>
        <v>0</v>
      </c>
      <c r="Y114" s="77">
        <f ca="1">('TUSD BE'!$AM$10+'TUSD BF'!$AM$10+'TUSD CVA'!$AM$10)*1*(1-0.02)</f>
        <v>16.346441090586261</v>
      </c>
      <c r="Z114" s="77"/>
      <c r="AA114" s="77"/>
      <c r="AB114" s="77">
        <f>(SUBSIDIO!$J$114*SUBSIDIO!$V$114)*(0.04)/(1-0.04)</f>
        <v>6613.6224000000011</v>
      </c>
      <c r="AC114" s="77">
        <f>((SUBSIDIO!$L$114*SUBSIDIO!$W$114)+(SUBSIDIO!$N$114*SUBSIDIO!$X$114))*(0.04)/(1-0.04)</f>
        <v>0</v>
      </c>
      <c r="AD114" s="77">
        <f ca="1">(SUBSIDIO!$J$114*SUBSIDIO!$Y$114)*(0.02)/(1-0.02)</f>
        <v>2854.9559765966774</v>
      </c>
      <c r="AE114" s="77">
        <f>((SUBSIDIO!$L$114*SUBSIDIO!$Z$114)+(SUBSIDIO!$N$114*SUBSIDIO!$AA$114))*(0.02)/(1-0.02)</f>
        <v>0</v>
      </c>
      <c r="AF114" s="4" t="s">
        <v>808</v>
      </c>
    </row>
    <row r="115" spans="1:32" ht="11.25" customHeight="1" x14ac:dyDescent="0.25">
      <c r="A115" s="4" t="s">
        <v>28</v>
      </c>
      <c r="B115" s="4" t="s">
        <v>33</v>
      </c>
      <c r="C115" s="4" t="s">
        <v>34</v>
      </c>
      <c r="D115" s="4" t="s">
        <v>44</v>
      </c>
      <c r="E115" s="4" t="s">
        <v>25</v>
      </c>
      <c r="F115" s="4" t="s">
        <v>25</v>
      </c>
      <c r="G115" s="4" t="s">
        <v>25</v>
      </c>
      <c r="H115" s="4" t="s">
        <v>25</v>
      </c>
      <c r="I115" s="5">
        <v>44470</v>
      </c>
      <c r="J115" s="6">
        <v>209</v>
      </c>
      <c r="K115" s="77">
        <v>209</v>
      </c>
      <c r="L115" s="6">
        <v>0</v>
      </c>
      <c r="M115" s="77">
        <v>0</v>
      </c>
      <c r="N115" s="6">
        <v>0</v>
      </c>
      <c r="O115" s="77">
        <v>0</v>
      </c>
      <c r="P115" s="6">
        <v>2</v>
      </c>
      <c r="Q115" s="4" t="s">
        <v>26</v>
      </c>
      <c r="R115" s="4">
        <v>0</v>
      </c>
      <c r="S115" s="4">
        <v>6</v>
      </c>
      <c r="T115" s="4">
        <v>0</v>
      </c>
      <c r="U115" s="4">
        <v>0</v>
      </c>
      <c r="V115" s="77">
        <f>IF(ISERROR(VLOOKUP($S$115,'TAR FIN'!$A$1:$O$85,15,0)),0,VLOOKUP($S$115,'TAR FIN'!$A$1:$O$85,15,0))*(1-0.04)</f>
        <v>18.5472</v>
      </c>
      <c r="W115" s="77">
        <f>IF(ISERROR(VLOOKUP($T$115,'TAR FIN'!$A$1:$O$85,15,0)),0,VLOOKUP($T$115,'TAR FIN'!$A$1:$O$85,15,0))</f>
        <v>0</v>
      </c>
      <c r="X115" s="77">
        <f>IF(ISERROR(VLOOKUP($U$115,'TAR FIN'!$A$1:$O$85,15,0)),0,VLOOKUP($U$115,'TAR FIN'!$A$1:$O$85,15,0))</f>
        <v>0</v>
      </c>
      <c r="Y115" s="77">
        <f ca="1">('TUSD BE'!$AM$10+'TUSD BF'!$AM$10+'TUSD CVA'!$AM$10)*1*(1-0.02)</f>
        <v>16.346441090586261</v>
      </c>
      <c r="Z115" s="77"/>
      <c r="AA115" s="77"/>
      <c r="AB115" s="77">
        <f>(SUBSIDIO!$J$115*SUBSIDIO!$V$115)*(0.04)/(1-0.04)</f>
        <v>161.51519999999999</v>
      </c>
      <c r="AC115" s="77">
        <f>((SUBSIDIO!$L$115*SUBSIDIO!$W$115)+(SUBSIDIO!$N$115*SUBSIDIO!$X$115))*(0.04)/(1-0.04)</f>
        <v>0</v>
      </c>
      <c r="AD115" s="77">
        <f ca="1">(SUBSIDIO!$J$115*SUBSIDIO!$Y$115)*(0.02)/(1-0.02)</f>
        <v>69.722575263929158</v>
      </c>
      <c r="AE115" s="77">
        <f>((SUBSIDIO!$L$115*SUBSIDIO!$Z$115)+(SUBSIDIO!$N$115*SUBSIDIO!$AA$115))*(0.02)/(1-0.02)</f>
        <v>0</v>
      </c>
      <c r="AF115" s="4" t="s">
        <v>808</v>
      </c>
    </row>
    <row r="116" spans="1:32" ht="11.25" customHeight="1" x14ac:dyDescent="0.25">
      <c r="A116" s="4" t="s">
        <v>21</v>
      </c>
      <c r="B116" s="4" t="s">
        <v>33</v>
      </c>
      <c r="C116" s="4" t="s">
        <v>34</v>
      </c>
      <c r="D116" s="4" t="s">
        <v>44</v>
      </c>
      <c r="E116" s="4" t="s">
        <v>25</v>
      </c>
      <c r="F116" s="4" t="s">
        <v>25</v>
      </c>
      <c r="G116" s="4" t="s">
        <v>25</v>
      </c>
      <c r="H116" s="4" t="s">
        <v>25</v>
      </c>
      <c r="I116" s="5">
        <v>44501</v>
      </c>
      <c r="J116" s="6">
        <v>7866</v>
      </c>
      <c r="K116" s="77">
        <v>7866</v>
      </c>
      <c r="L116" s="6">
        <v>0</v>
      </c>
      <c r="M116" s="77">
        <v>0</v>
      </c>
      <c r="N116" s="6">
        <v>0</v>
      </c>
      <c r="O116" s="77">
        <v>0</v>
      </c>
      <c r="P116" s="6">
        <v>47</v>
      </c>
      <c r="Q116" s="4" t="s">
        <v>26</v>
      </c>
      <c r="R116" s="4">
        <v>0</v>
      </c>
      <c r="S116" s="4">
        <v>6</v>
      </c>
      <c r="T116" s="4">
        <v>0</v>
      </c>
      <c r="U116" s="4">
        <v>0</v>
      </c>
      <c r="V116" s="77">
        <f>IF(ISERROR(VLOOKUP($S$116,'TAR FIN'!$A$1:$O$85,15,0)),0,VLOOKUP($S$116,'TAR FIN'!$A$1:$O$85,15,0))*(1-0.04)</f>
        <v>18.5472</v>
      </c>
      <c r="W116" s="77">
        <f>IF(ISERROR(VLOOKUP($T$116,'TAR FIN'!$A$1:$O$85,15,0)),0,VLOOKUP($T$116,'TAR FIN'!$A$1:$O$85,15,0))</f>
        <v>0</v>
      </c>
      <c r="X116" s="77">
        <f>IF(ISERROR(VLOOKUP($U$116,'TAR FIN'!$A$1:$O$85,15,0)),0,VLOOKUP($U$116,'TAR FIN'!$A$1:$O$85,15,0))</f>
        <v>0</v>
      </c>
      <c r="Y116" s="77">
        <f ca="1">('TUSD BE'!$AM$10+'TUSD BF'!$AM$10+'TUSD CVA'!$AM$10)*1*(1-0.02)</f>
        <v>16.346441090586261</v>
      </c>
      <c r="Z116" s="77"/>
      <c r="AA116" s="77"/>
      <c r="AB116" s="77">
        <f>(SUBSIDIO!$J$116*SUBSIDIO!$V$116)*(0.04)/(1-0.04)</f>
        <v>6078.8448000000008</v>
      </c>
      <c r="AC116" s="77">
        <f>((SUBSIDIO!$L$116*SUBSIDIO!$W$116)+(SUBSIDIO!$N$116*SUBSIDIO!$X$116))*(0.04)/(1-0.04)</f>
        <v>0</v>
      </c>
      <c r="AD116" s="77">
        <f ca="1">(SUBSIDIO!$J$116*SUBSIDIO!$Y$116)*(0.02)/(1-0.02)</f>
        <v>2624.1041962969703</v>
      </c>
      <c r="AE116" s="77">
        <f>((SUBSIDIO!$L$116*SUBSIDIO!$Z$116)+(SUBSIDIO!$N$116*SUBSIDIO!$AA$116))*(0.02)/(1-0.02)</f>
        <v>0</v>
      </c>
      <c r="AF116" s="4" t="s">
        <v>808</v>
      </c>
    </row>
    <row r="117" spans="1:32" ht="11.25" customHeight="1" x14ac:dyDescent="0.25">
      <c r="A117" s="4" t="s">
        <v>28</v>
      </c>
      <c r="B117" s="4" t="s">
        <v>33</v>
      </c>
      <c r="C117" s="4" t="s">
        <v>34</v>
      </c>
      <c r="D117" s="4" t="s">
        <v>44</v>
      </c>
      <c r="E117" s="4" t="s">
        <v>25</v>
      </c>
      <c r="F117" s="4" t="s">
        <v>25</v>
      </c>
      <c r="G117" s="4" t="s">
        <v>25</v>
      </c>
      <c r="H117" s="4" t="s">
        <v>25</v>
      </c>
      <c r="I117" s="5">
        <v>44501</v>
      </c>
      <c r="J117" s="6">
        <v>275</v>
      </c>
      <c r="K117" s="77">
        <v>275</v>
      </c>
      <c r="L117" s="6">
        <v>0</v>
      </c>
      <c r="M117" s="77">
        <v>0</v>
      </c>
      <c r="N117" s="6">
        <v>0</v>
      </c>
      <c r="O117" s="77">
        <v>0</v>
      </c>
      <c r="P117" s="6">
        <v>2</v>
      </c>
      <c r="Q117" s="4" t="s">
        <v>26</v>
      </c>
      <c r="R117" s="4">
        <v>0</v>
      </c>
      <c r="S117" s="4">
        <v>6</v>
      </c>
      <c r="T117" s="4">
        <v>0</v>
      </c>
      <c r="U117" s="4">
        <v>0</v>
      </c>
      <c r="V117" s="77">
        <f>IF(ISERROR(VLOOKUP($S$117,'TAR FIN'!$A$1:$O$85,15,0)),0,VLOOKUP($S$117,'TAR FIN'!$A$1:$O$85,15,0))*(1-0.04)</f>
        <v>18.5472</v>
      </c>
      <c r="W117" s="77">
        <f>IF(ISERROR(VLOOKUP($T$117,'TAR FIN'!$A$1:$O$85,15,0)),0,VLOOKUP($T$117,'TAR FIN'!$A$1:$O$85,15,0))</f>
        <v>0</v>
      </c>
      <c r="X117" s="77">
        <f>IF(ISERROR(VLOOKUP($U$117,'TAR FIN'!$A$1:$O$85,15,0)),0,VLOOKUP($U$117,'TAR FIN'!$A$1:$O$85,15,0))</f>
        <v>0</v>
      </c>
      <c r="Y117" s="77">
        <f ca="1">('TUSD BE'!$AM$10+'TUSD BF'!$AM$10+'TUSD CVA'!$AM$10)*1*(1-0.02)</f>
        <v>16.346441090586261</v>
      </c>
      <c r="Z117" s="77"/>
      <c r="AA117" s="77"/>
      <c r="AB117" s="77">
        <f>(SUBSIDIO!$J$117*SUBSIDIO!$V$117)*(0.04)/(1-0.04)</f>
        <v>212.52</v>
      </c>
      <c r="AC117" s="77">
        <f>((SUBSIDIO!$L$117*SUBSIDIO!$W$117)+(SUBSIDIO!$N$117*SUBSIDIO!$X$117))*(0.04)/(1-0.04)</f>
        <v>0</v>
      </c>
      <c r="AD117" s="77">
        <f ca="1">(SUBSIDIO!$J$117*SUBSIDIO!$Y$117)*(0.02)/(1-0.02)</f>
        <v>91.740230610433102</v>
      </c>
      <c r="AE117" s="77">
        <f>((SUBSIDIO!$L$117*SUBSIDIO!$Z$117)+(SUBSIDIO!$N$117*SUBSIDIO!$AA$117))*(0.02)/(1-0.02)</f>
        <v>0</v>
      </c>
      <c r="AF117" s="4" t="s">
        <v>808</v>
      </c>
    </row>
    <row r="118" spans="1:32" ht="11.25" customHeight="1" x14ac:dyDescent="0.25">
      <c r="A118" s="4" t="s">
        <v>21</v>
      </c>
      <c r="B118" s="4" t="s">
        <v>33</v>
      </c>
      <c r="C118" s="4" t="s">
        <v>34</v>
      </c>
      <c r="D118" s="4" t="s">
        <v>44</v>
      </c>
      <c r="E118" s="4" t="s">
        <v>25</v>
      </c>
      <c r="F118" s="4" t="s">
        <v>25</v>
      </c>
      <c r="G118" s="4" t="s">
        <v>25</v>
      </c>
      <c r="H118" s="4" t="s">
        <v>25</v>
      </c>
      <c r="I118" s="5">
        <v>44531</v>
      </c>
      <c r="J118" s="6">
        <v>8612</v>
      </c>
      <c r="K118" s="77">
        <v>8612</v>
      </c>
      <c r="L118" s="6">
        <v>0</v>
      </c>
      <c r="M118" s="77">
        <v>0</v>
      </c>
      <c r="N118" s="6">
        <v>0</v>
      </c>
      <c r="O118" s="77">
        <v>0</v>
      </c>
      <c r="P118" s="6">
        <v>47</v>
      </c>
      <c r="Q118" s="4" t="s">
        <v>26</v>
      </c>
      <c r="R118" s="4">
        <v>0</v>
      </c>
      <c r="S118" s="4">
        <v>6</v>
      </c>
      <c r="T118" s="4">
        <v>0</v>
      </c>
      <c r="U118" s="4">
        <v>0</v>
      </c>
      <c r="V118" s="77">
        <f>IF(ISERROR(VLOOKUP($S$118,'TAR FIN'!$A$1:$O$85,15,0)),0,VLOOKUP($S$118,'TAR FIN'!$A$1:$O$85,15,0))*(1-0.04)</f>
        <v>18.5472</v>
      </c>
      <c r="W118" s="77">
        <f>IF(ISERROR(VLOOKUP($T$118,'TAR FIN'!$A$1:$O$85,15,0)),0,VLOOKUP($T$118,'TAR FIN'!$A$1:$O$85,15,0))</f>
        <v>0</v>
      </c>
      <c r="X118" s="77">
        <f>IF(ISERROR(VLOOKUP($U$118,'TAR FIN'!$A$1:$O$85,15,0)),0,VLOOKUP($U$118,'TAR FIN'!$A$1:$O$85,15,0))</f>
        <v>0</v>
      </c>
      <c r="Y118" s="77">
        <f ca="1">('TUSD BE'!$AM$10+'TUSD BF'!$AM$10+'TUSD CVA'!$AM$10)*1*(1-0.02)</f>
        <v>16.346441090586261</v>
      </c>
      <c r="Z118" s="77"/>
      <c r="AA118" s="77"/>
      <c r="AB118" s="77">
        <f>(SUBSIDIO!$J$118*SUBSIDIO!$V$118)*(0.04)/(1-0.04)</f>
        <v>6655.3536000000004</v>
      </c>
      <c r="AC118" s="77">
        <f>((SUBSIDIO!$L$118*SUBSIDIO!$W$118)+(SUBSIDIO!$N$118*SUBSIDIO!$X$118))*(0.04)/(1-0.04)</f>
        <v>0</v>
      </c>
      <c r="AD118" s="77">
        <f ca="1">(SUBSIDIO!$J$118*SUBSIDIO!$Y$118)*(0.02)/(1-0.02)</f>
        <v>2872.9704218801812</v>
      </c>
      <c r="AE118" s="77">
        <f>((SUBSIDIO!$L$118*SUBSIDIO!$Z$118)+(SUBSIDIO!$N$118*SUBSIDIO!$AA$118))*(0.02)/(1-0.02)</f>
        <v>0</v>
      </c>
      <c r="AF118" s="4" t="s">
        <v>808</v>
      </c>
    </row>
    <row r="119" spans="1:32" ht="11.25" customHeight="1" x14ac:dyDescent="0.25">
      <c r="A119" s="4" t="s">
        <v>28</v>
      </c>
      <c r="B119" s="4" t="s">
        <v>33</v>
      </c>
      <c r="C119" s="4" t="s">
        <v>34</v>
      </c>
      <c r="D119" s="4" t="s">
        <v>44</v>
      </c>
      <c r="E119" s="4" t="s">
        <v>25</v>
      </c>
      <c r="F119" s="4" t="s">
        <v>25</v>
      </c>
      <c r="G119" s="4" t="s">
        <v>25</v>
      </c>
      <c r="H119" s="4" t="s">
        <v>25</v>
      </c>
      <c r="I119" s="5">
        <v>44531</v>
      </c>
      <c r="J119" s="6">
        <v>541</v>
      </c>
      <c r="K119" s="77">
        <v>541</v>
      </c>
      <c r="L119" s="6">
        <v>0</v>
      </c>
      <c r="M119" s="77">
        <v>0</v>
      </c>
      <c r="N119" s="6">
        <v>0</v>
      </c>
      <c r="O119" s="77">
        <v>0</v>
      </c>
      <c r="P119" s="6">
        <v>2</v>
      </c>
      <c r="Q119" s="4" t="s">
        <v>26</v>
      </c>
      <c r="R119" s="4">
        <v>0</v>
      </c>
      <c r="S119" s="4">
        <v>6</v>
      </c>
      <c r="T119" s="4">
        <v>0</v>
      </c>
      <c r="U119" s="4">
        <v>0</v>
      </c>
      <c r="V119" s="77">
        <f>IF(ISERROR(VLOOKUP($S$119,'TAR FIN'!$A$1:$O$85,15,0)),0,VLOOKUP($S$119,'TAR FIN'!$A$1:$O$85,15,0))*(1-0.04)</f>
        <v>18.5472</v>
      </c>
      <c r="W119" s="77">
        <f>IF(ISERROR(VLOOKUP($T$119,'TAR FIN'!$A$1:$O$85,15,0)),0,VLOOKUP($T$119,'TAR FIN'!$A$1:$O$85,15,0))</f>
        <v>0</v>
      </c>
      <c r="X119" s="77">
        <f>IF(ISERROR(VLOOKUP($U$119,'TAR FIN'!$A$1:$O$85,15,0)),0,VLOOKUP($U$119,'TAR FIN'!$A$1:$O$85,15,0))</f>
        <v>0</v>
      </c>
      <c r="Y119" s="77">
        <f ca="1">('TUSD BE'!$AM$10+'TUSD BF'!$AM$10+'TUSD CVA'!$AM$10)*1*(1-0.02)</f>
        <v>16.346441090586261</v>
      </c>
      <c r="Z119" s="77"/>
      <c r="AA119" s="77"/>
      <c r="AB119" s="77">
        <f>(SUBSIDIO!$J$119*SUBSIDIO!$V$119)*(0.04)/(1-0.04)</f>
        <v>418.08480000000003</v>
      </c>
      <c r="AC119" s="77">
        <f>((SUBSIDIO!$L$119*SUBSIDIO!$W$119)+(SUBSIDIO!$N$119*SUBSIDIO!$X$119))*(0.04)/(1-0.04)</f>
        <v>0</v>
      </c>
      <c r="AD119" s="77">
        <f ca="1">(SUBSIDIO!$J$119*SUBSIDIO!$Y$119)*(0.02)/(1-0.02)</f>
        <v>180.47805367361565</v>
      </c>
      <c r="AE119" s="77">
        <f>((SUBSIDIO!$L$119*SUBSIDIO!$Z$119)+(SUBSIDIO!$N$119*SUBSIDIO!$AA$119))*(0.02)/(1-0.02)</f>
        <v>0</v>
      </c>
      <c r="AF119" s="4" t="s">
        <v>808</v>
      </c>
    </row>
    <row r="120" spans="1:32" ht="11.25" customHeight="1" x14ac:dyDescent="0.25">
      <c r="A120" s="4" t="s">
        <v>21</v>
      </c>
      <c r="B120" s="4" t="s">
        <v>33</v>
      </c>
      <c r="C120" s="4" t="s">
        <v>34</v>
      </c>
      <c r="D120" s="4" t="s">
        <v>44</v>
      </c>
      <c r="E120" s="4" t="s">
        <v>25</v>
      </c>
      <c r="F120" s="4" t="s">
        <v>25</v>
      </c>
      <c r="G120" s="4" t="s">
        <v>25</v>
      </c>
      <c r="H120" s="4" t="s">
        <v>25</v>
      </c>
      <c r="I120" s="5">
        <v>44562</v>
      </c>
      <c r="J120" s="6">
        <v>8678</v>
      </c>
      <c r="K120" s="77">
        <v>8678</v>
      </c>
      <c r="L120" s="6">
        <v>0</v>
      </c>
      <c r="M120" s="77">
        <v>0</v>
      </c>
      <c r="N120" s="6">
        <v>0</v>
      </c>
      <c r="O120" s="77">
        <v>0</v>
      </c>
      <c r="P120" s="6">
        <v>45</v>
      </c>
      <c r="Q120" s="4" t="s">
        <v>26</v>
      </c>
      <c r="R120" s="4">
        <v>0</v>
      </c>
      <c r="S120" s="4">
        <v>6</v>
      </c>
      <c r="T120" s="4">
        <v>0</v>
      </c>
      <c r="U120" s="4">
        <v>0</v>
      </c>
      <c r="V120" s="77">
        <f>IF(ISERROR(VLOOKUP($S$120,'TAR FIN'!$A$1:$O$85,15,0)),0,VLOOKUP($S$120,'TAR FIN'!$A$1:$O$85,15,0))*(1-0.04)</f>
        <v>18.5472</v>
      </c>
      <c r="W120" s="77">
        <f>IF(ISERROR(VLOOKUP($T$120,'TAR FIN'!$A$1:$O$85,15,0)),0,VLOOKUP($T$120,'TAR FIN'!$A$1:$O$85,15,0))</f>
        <v>0</v>
      </c>
      <c r="X120" s="77">
        <f>IF(ISERROR(VLOOKUP($U$120,'TAR FIN'!$A$1:$O$85,15,0)),0,VLOOKUP($U$120,'TAR FIN'!$A$1:$O$85,15,0))</f>
        <v>0</v>
      </c>
      <c r="Y120" s="77">
        <f ca="1">('TUSD BE'!$AM$10+'TUSD BF'!$AM$10+'TUSD CVA'!$AM$10)*1*(1-0.02)</f>
        <v>16.346441090586261</v>
      </c>
      <c r="Z120" s="77"/>
      <c r="AA120" s="77"/>
      <c r="AB120" s="77">
        <f>(SUBSIDIO!$J$120*SUBSIDIO!$V$120)*(0.04)/(1-0.04)</f>
        <v>6706.3584000000001</v>
      </c>
      <c r="AC120" s="77">
        <f>((SUBSIDIO!$L$120*SUBSIDIO!$W$120)+(SUBSIDIO!$N$120*SUBSIDIO!$X$120))*(0.04)/(1-0.04)</f>
        <v>0</v>
      </c>
      <c r="AD120" s="77">
        <f ca="1">(SUBSIDIO!$J$120*SUBSIDIO!$Y$120)*(0.02)/(1-0.02)</f>
        <v>2894.9880772266852</v>
      </c>
      <c r="AE120" s="77">
        <f>((SUBSIDIO!$L$120*SUBSIDIO!$Z$120)+(SUBSIDIO!$N$120*SUBSIDIO!$AA$120))*(0.02)/(1-0.02)</f>
        <v>0</v>
      </c>
      <c r="AF120" s="4" t="s">
        <v>808</v>
      </c>
    </row>
    <row r="121" spans="1:32" ht="11.25" customHeight="1" x14ac:dyDescent="0.25">
      <c r="A121" s="4" t="s">
        <v>28</v>
      </c>
      <c r="B121" s="4" t="s">
        <v>33</v>
      </c>
      <c r="C121" s="4" t="s">
        <v>34</v>
      </c>
      <c r="D121" s="4" t="s">
        <v>44</v>
      </c>
      <c r="E121" s="4" t="s">
        <v>25</v>
      </c>
      <c r="F121" s="4" t="s">
        <v>25</v>
      </c>
      <c r="G121" s="4" t="s">
        <v>25</v>
      </c>
      <c r="H121" s="4" t="s">
        <v>25</v>
      </c>
      <c r="I121" s="5">
        <v>44562</v>
      </c>
      <c r="J121" s="6">
        <v>268</v>
      </c>
      <c r="K121" s="77">
        <v>268</v>
      </c>
      <c r="L121" s="6">
        <v>0</v>
      </c>
      <c r="M121" s="77">
        <v>0</v>
      </c>
      <c r="N121" s="6">
        <v>0</v>
      </c>
      <c r="O121" s="77">
        <v>0</v>
      </c>
      <c r="P121" s="6">
        <v>2</v>
      </c>
      <c r="Q121" s="4" t="s">
        <v>26</v>
      </c>
      <c r="R121" s="4">
        <v>0</v>
      </c>
      <c r="S121" s="4">
        <v>6</v>
      </c>
      <c r="T121" s="4">
        <v>0</v>
      </c>
      <c r="U121" s="4">
        <v>0</v>
      </c>
      <c r="V121" s="77">
        <f>IF(ISERROR(VLOOKUP($S$121,'TAR FIN'!$A$1:$O$85,15,0)),0,VLOOKUP($S$121,'TAR FIN'!$A$1:$O$85,15,0))*(1-0.04)</f>
        <v>18.5472</v>
      </c>
      <c r="W121" s="77">
        <f>IF(ISERROR(VLOOKUP($T$121,'TAR FIN'!$A$1:$O$85,15,0)),0,VLOOKUP($T$121,'TAR FIN'!$A$1:$O$85,15,0))</f>
        <v>0</v>
      </c>
      <c r="X121" s="77">
        <f>IF(ISERROR(VLOOKUP($U$121,'TAR FIN'!$A$1:$O$85,15,0)),0,VLOOKUP($U$121,'TAR FIN'!$A$1:$O$85,15,0))</f>
        <v>0</v>
      </c>
      <c r="Y121" s="77">
        <f ca="1">('TUSD BE'!$AM$10+'TUSD BF'!$AM$10+'TUSD CVA'!$AM$10)*1*(1-0.02)</f>
        <v>16.346441090586261</v>
      </c>
      <c r="Z121" s="77"/>
      <c r="AA121" s="77"/>
      <c r="AB121" s="77">
        <f>(SUBSIDIO!$J$121*SUBSIDIO!$V$121)*(0.04)/(1-0.04)</f>
        <v>207.11040000000003</v>
      </c>
      <c r="AC121" s="77">
        <f>((SUBSIDIO!$L$121*SUBSIDIO!$W$121)+(SUBSIDIO!$N$121*SUBSIDIO!$X$121))*(0.04)/(1-0.04)</f>
        <v>0</v>
      </c>
      <c r="AD121" s="77">
        <f ca="1">(SUBSIDIO!$J$121*SUBSIDIO!$Y$121)*(0.02)/(1-0.02)</f>
        <v>89.405024740349347</v>
      </c>
      <c r="AE121" s="77">
        <f>((SUBSIDIO!$L$121*SUBSIDIO!$Z$121)+(SUBSIDIO!$N$121*SUBSIDIO!$AA$121))*(0.02)/(1-0.02)</f>
        <v>0</v>
      </c>
      <c r="AF121" s="4" t="s">
        <v>808</v>
      </c>
    </row>
    <row r="122" spans="1:32" ht="11.25" customHeight="1" x14ac:dyDescent="0.25">
      <c r="A122" s="4" t="s">
        <v>21</v>
      </c>
      <c r="B122" s="4" t="s">
        <v>33</v>
      </c>
      <c r="C122" s="4" t="s">
        <v>34</v>
      </c>
      <c r="D122" s="4" t="s">
        <v>44</v>
      </c>
      <c r="E122" s="4" t="s">
        <v>25</v>
      </c>
      <c r="F122" s="4" t="s">
        <v>25</v>
      </c>
      <c r="G122" s="4" t="s">
        <v>25</v>
      </c>
      <c r="H122" s="4" t="s">
        <v>25</v>
      </c>
      <c r="I122" s="5">
        <v>44593</v>
      </c>
      <c r="J122" s="6">
        <v>7872</v>
      </c>
      <c r="K122" s="77">
        <v>7872</v>
      </c>
      <c r="L122" s="6">
        <v>0</v>
      </c>
      <c r="M122" s="77">
        <v>0</v>
      </c>
      <c r="N122" s="6">
        <v>0</v>
      </c>
      <c r="O122" s="77">
        <v>0</v>
      </c>
      <c r="P122" s="6">
        <v>41</v>
      </c>
      <c r="Q122" s="4" t="s">
        <v>26</v>
      </c>
      <c r="R122" s="4">
        <v>0</v>
      </c>
      <c r="S122" s="4">
        <v>6</v>
      </c>
      <c r="T122" s="4">
        <v>0</v>
      </c>
      <c r="U122" s="4">
        <v>0</v>
      </c>
      <c r="V122" s="77">
        <f>IF(ISERROR(VLOOKUP($S$122,'TAR FIN'!$A$1:$O$85,15,0)),0,VLOOKUP($S$122,'TAR FIN'!$A$1:$O$85,15,0))*(1-0.04)</f>
        <v>18.5472</v>
      </c>
      <c r="W122" s="77">
        <f>IF(ISERROR(VLOOKUP($T$122,'TAR FIN'!$A$1:$O$85,15,0)),0,VLOOKUP($T$122,'TAR FIN'!$A$1:$O$85,15,0))</f>
        <v>0</v>
      </c>
      <c r="X122" s="77">
        <f>IF(ISERROR(VLOOKUP($U$122,'TAR FIN'!$A$1:$O$85,15,0)),0,VLOOKUP($U$122,'TAR FIN'!$A$1:$O$85,15,0))</f>
        <v>0</v>
      </c>
      <c r="Y122" s="77">
        <f ca="1">('TUSD BE'!$AM$10+'TUSD BF'!$AM$10+'TUSD CVA'!$AM$10)*1*(1-0.02)</f>
        <v>16.346441090586261</v>
      </c>
      <c r="Z122" s="77"/>
      <c r="AA122" s="77"/>
      <c r="AB122" s="77">
        <f>(SUBSIDIO!$J$122*SUBSIDIO!$V$122)*(0.04)/(1-0.04)</f>
        <v>6083.481600000001</v>
      </c>
      <c r="AC122" s="77">
        <f>((SUBSIDIO!$L$122*SUBSIDIO!$W$122)+(SUBSIDIO!$N$122*SUBSIDIO!$X$122))*(0.04)/(1-0.04)</f>
        <v>0</v>
      </c>
      <c r="AD122" s="77">
        <f ca="1">(SUBSIDIO!$J$122*SUBSIDIO!$Y$122)*(0.02)/(1-0.02)</f>
        <v>2626.1058013284705</v>
      </c>
      <c r="AE122" s="77">
        <f>((SUBSIDIO!$L$122*SUBSIDIO!$Z$122)+(SUBSIDIO!$N$122*SUBSIDIO!$AA$122))*(0.02)/(1-0.02)</f>
        <v>0</v>
      </c>
      <c r="AF122" s="4" t="s">
        <v>808</v>
      </c>
    </row>
    <row r="123" spans="1:32" ht="11.25" customHeight="1" x14ac:dyDescent="0.25">
      <c r="A123" s="4" t="s">
        <v>28</v>
      </c>
      <c r="B123" s="4" t="s">
        <v>33</v>
      </c>
      <c r="C123" s="4" t="s">
        <v>34</v>
      </c>
      <c r="D123" s="4" t="s">
        <v>44</v>
      </c>
      <c r="E123" s="4" t="s">
        <v>25</v>
      </c>
      <c r="F123" s="4" t="s">
        <v>25</v>
      </c>
      <c r="G123" s="4" t="s">
        <v>25</v>
      </c>
      <c r="H123" s="4" t="s">
        <v>25</v>
      </c>
      <c r="I123" s="5">
        <v>44593</v>
      </c>
      <c r="J123" s="6">
        <v>271</v>
      </c>
      <c r="K123" s="77">
        <v>271</v>
      </c>
      <c r="L123" s="6">
        <v>0</v>
      </c>
      <c r="M123" s="77">
        <v>0</v>
      </c>
      <c r="N123" s="6">
        <v>0</v>
      </c>
      <c r="O123" s="77">
        <v>0</v>
      </c>
      <c r="P123" s="6">
        <v>2</v>
      </c>
      <c r="Q123" s="4" t="s">
        <v>26</v>
      </c>
      <c r="R123" s="4">
        <v>0</v>
      </c>
      <c r="S123" s="4">
        <v>6</v>
      </c>
      <c r="T123" s="4">
        <v>0</v>
      </c>
      <c r="U123" s="4">
        <v>0</v>
      </c>
      <c r="V123" s="77">
        <f>IF(ISERROR(VLOOKUP($S$123,'TAR FIN'!$A$1:$O$85,15,0)),0,VLOOKUP($S$123,'TAR FIN'!$A$1:$O$85,15,0))*(1-0.04)</f>
        <v>18.5472</v>
      </c>
      <c r="W123" s="77">
        <f>IF(ISERROR(VLOOKUP($T$123,'TAR FIN'!$A$1:$O$85,15,0)),0,VLOOKUP($T$123,'TAR FIN'!$A$1:$O$85,15,0))</f>
        <v>0</v>
      </c>
      <c r="X123" s="77">
        <f>IF(ISERROR(VLOOKUP($U$123,'TAR FIN'!$A$1:$O$85,15,0)),0,VLOOKUP($U$123,'TAR FIN'!$A$1:$O$85,15,0))</f>
        <v>0</v>
      </c>
      <c r="Y123" s="77">
        <f ca="1">('TUSD BE'!$AM$10+'TUSD BF'!$AM$10+'TUSD CVA'!$AM$10)*1*(1-0.02)</f>
        <v>16.346441090586261</v>
      </c>
      <c r="Z123" s="77"/>
      <c r="AA123" s="77"/>
      <c r="AB123" s="77">
        <f>(SUBSIDIO!$J$123*SUBSIDIO!$V$123)*(0.04)/(1-0.04)</f>
        <v>209.4288</v>
      </c>
      <c r="AC123" s="77">
        <f>((SUBSIDIO!$L$123*SUBSIDIO!$W$123)+(SUBSIDIO!$N$123*SUBSIDIO!$X$123))*(0.04)/(1-0.04)</f>
        <v>0</v>
      </c>
      <c r="AD123" s="77">
        <f ca="1">(SUBSIDIO!$J$123*SUBSIDIO!$Y$123)*(0.02)/(1-0.02)</f>
        <v>90.405827256099528</v>
      </c>
      <c r="AE123" s="77">
        <f>((SUBSIDIO!$L$123*SUBSIDIO!$Z$123)+(SUBSIDIO!$N$123*SUBSIDIO!$AA$123))*(0.02)/(1-0.02)</f>
        <v>0</v>
      </c>
      <c r="AF123" s="4" t="s">
        <v>808</v>
      </c>
    </row>
    <row r="124" spans="1:32" ht="11.25" customHeight="1" x14ac:dyDescent="0.25">
      <c r="A124" s="4" t="s">
        <v>21</v>
      </c>
      <c r="B124" s="4" t="s">
        <v>33</v>
      </c>
      <c r="C124" s="4" t="s">
        <v>34</v>
      </c>
      <c r="D124" s="4" t="s">
        <v>44</v>
      </c>
      <c r="E124" s="4" t="s">
        <v>25</v>
      </c>
      <c r="F124" s="4" t="s">
        <v>25</v>
      </c>
      <c r="G124" s="4" t="s">
        <v>25</v>
      </c>
      <c r="H124" s="4" t="s">
        <v>25</v>
      </c>
      <c r="I124" s="5">
        <v>44621</v>
      </c>
      <c r="J124" s="6">
        <v>7637</v>
      </c>
      <c r="K124" s="77">
        <v>7637</v>
      </c>
      <c r="L124" s="6">
        <v>0</v>
      </c>
      <c r="M124" s="77">
        <v>0</v>
      </c>
      <c r="N124" s="6">
        <v>0</v>
      </c>
      <c r="O124" s="77">
        <v>0</v>
      </c>
      <c r="P124" s="6">
        <v>39</v>
      </c>
      <c r="Q124" s="4" t="s">
        <v>26</v>
      </c>
      <c r="R124" s="4">
        <v>0</v>
      </c>
      <c r="S124" s="4">
        <v>6</v>
      </c>
      <c r="T124" s="4">
        <v>0</v>
      </c>
      <c r="U124" s="4">
        <v>0</v>
      </c>
      <c r="V124" s="77">
        <f>IF(ISERROR(VLOOKUP($S$124,'TAR FIN'!$A$1:$O$85,15,0)),0,VLOOKUP($S$124,'TAR FIN'!$A$1:$O$85,15,0))*(1-0.04)</f>
        <v>18.5472</v>
      </c>
      <c r="W124" s="77">
        <f>IF(ISERROR(VLOOKUP($T$124,'TAR FIN'!$A$1:$O$85,15,0)),0,VLOOKUP($T$124,'TAR FIN'!$A$1:$O$85,15,0))</f>
        <v>0</v>
      </c>
      <c r="X124" s="77">
        <f>IF(ISERROR(VLOOKUP($U$124,'TAR FIN'!$A$1:$O$85,15,0)),0,VLOOKUP($U$124,'TAR FIN'!$A$1:$O$85,15,0))</f>
        <v>0</v>
      </c>
      <c r="Y124" s="77">
        <f ca="1">('TUSD BE'!$AM$10+'TUSD BF'!$AM$10+'TUSD CVA'!$AM$10)*1*(1-0.02)</f>
        <v>16.346441090586261</v>
      </c>
      <c r="Z124" s="77"/>
      <c r="AA124" s="77"/>
      <c r="AB124" s="77">
        <f>(SUBSIDIO!$J$124*SUBSIDIO!$V$124)*(0.04)/(1-0.04)</f>
        <v>5901.8735999999999</v>
      </c>
      <c r="AC124" s="77">
        <f>((SUBSIDIO!$L$124*SUBSIDIO!$W$124)+(SUBSIDIO!$N$124*SUBSIDIO!$X$124))*(0.04)/(1-0.04)</f>
        <v>0</v>
      </c>
      <c r="AD124" s="77">
        <f ca="1">(SUBSIDIO!$J$124*SUBSIDIO!$Y$124)*(0.02)/(1-0.02)</f>
        <v>2547.709604261373</v>
      </c>
      <c r="AE124" s="77">
        <f>((SUBSIDIO!$L$124*SUBSIDIO!$Z$124)+(SUBSIDIO!$N$124*SUBSIDIO!$AA$124))*(0.02)/(1-0.02)</f>
        <v>0</v>
      </c>
      <c r="AF124" s="4" t="s">
        <v>808</v>
      </c>
    </row>
    <row r="125" spans="1:32" ht="11.25" customHeight="1" x14ac:dyDescent="0.25">
      <c r="A125" s="4" t="s">
        <v>28</v>
      </c>
      <c r="B125" s="4" t="s">
        <v>33</v>
      </c>
      <c r="C125" s="4" t="s">
        <v>34</v>
      </c>
      <c r="D125" s="4" t="s">
        <v>44</v>
      </c>
      <c r="E125" s="4" t="s">
        <v>25</v>
      </c>
      <c r="F125" s="4" t="s">
        <v>25</v>
      </c>
      <c r="G125" s="4" t="s">
        <v>25</v>
      </c>
      <c r="H125" s="4" t="s">
        <v>25</v>
      </c>
      <c r="I125" s="5">
        <v>44621</v>
      </c>
      <c r="J125" s="6">
        <v>669</v>
      </c>
      <c r="K125" s="77">
        <v>669</v>
      </c>
      <c r="L125" s="6">
        <v>0</v>
      </c>
      <c r="M125" s="77">
        <v>0</v>
      </c>
      <c r="N125" s="6">
        <v>0</v>
      </c>
      <c r="O125" s="77">
        <v>0</v>
      </c>
      <c r="P125" s="6">
        <v>4</v>
      </c>
      <c r="Q125" s="4" t="s">
        <v>26</v>
      </c>
      <c r="R125" s="4">
        <v>0</v>
      </c>
      <c r="S125" s="4">
        <v>6</v>
      </c>
      <c r="T125" s="4">
        <v>0</v>
      </c>
      <c r="U125" s="4">
        <v>0</v>
      </c>
      <c r="V125" s="77">
        <f>IF(ISERROR(VLOOKUP($S$125,'TAR FIN'!$A$1:$O$85,15,0)),0,VLOOKUP($S$125,'TAR FIN'!$A$1:$O$85,15,0))*(1-0.04)</f>
        <v>18.5472</v>
      </c>
      <c r="W125" s="77">
        <f>IF(ISERROR(VLOOKUP($T$125,'TAR FIN'!$A$1:$O$85,15,0)),0,VLOOKUP($T$125,'TAR FIN'!$A$1:$O$85,15,0))</f>
        <v>0</v>
      </c>
      <c r="X125" s="77">
        <f>IF(ISERROR(VLOOKUP($U$125,'TAR FIN'!$A$1:$O$85,15,0)),0,VLOOKUP($U$125,'TAR FIN'!$A$1:$O$85,15,0))</f>
        <v>0</v>
      </c>
      <c r="Y125" s="77">
        <f ca="1">('TUSD BE'!$AM$10+'TUSD BF'!$AM$10+'TUSD CVA'!$AM$10)*1*(1-0.02)</f>
        <v>16.346441090586261</v>
      </c>
      <c r="Z125" s="77"/>
      <c r="AA125" s="77"/>
      <c r="AB125" s="77">
        <f>(SUBSIDIO!$J$125*SUBSIDIO!$V$125)*(0.04)/(1-0.04)</f>
        <v>517.00319999999999</v>
      </c>
      <c r="AC125" s="77">
        <f>((SUBSIDIO!$L$125*SUBSIDIO!$W$125)+(SUBSIDIO!$N$125*SUBSIDIO!$X$125))*(0.04)/(1-0.04)</f>
        <v>0</v>
      </c>
      <c r="AD125" s="77">
        <f ca="1">(SUBSIDIO!$J$125*SUBSIDIO!$Y$125)*(0.02)/(1-0.02)</f>
        <v>223.17896101228999</v>
      </c>
      <c r="AE125" s="77">
        <f>((SUBSIDIO!$L$125*SUBSIDIO!$Z$125)+(SUBSIDIO!$N$125*SUBSIDIO!$AA$125))*(0.02)/(1-0.02)</f>
        <v>0</v>
      </c>
      <c r="AF125" s="4" t="s">
        <v>808</v>
      </c>
    </row>
    <row r="126" spans="1:32" ht="11.25" customHeight="1" x14ac:dyDescent="0.25">
      <c r="A126" s="4" t="s">
        <v>21</v>
      </c>
      <c r="B126" s="4" t="s">
        <v>33</v>
      </c>
      <c r="C126" s="4" t="s">
        <v>34</v>
      </c>
      <c r="D126" s="4" t="s">
        <v>44</v>
      </c>
      <c r="E126" s="4" t="s">
        <v>25</v>
      </c>
      <c r="F126" s="4" t="s">
        <v>25</v>
      </c>
      <c r="G126" s="4" t="s">
        <v>25</v>
      </c>
      <c r="H126" s="4" t="s">
        <v>25</v>
      </c>
      <c r="I126" s="5">
        <v>44652</v>
      </c>
      <c r="J126" s="6">
        <v>7118</v>
      </c>
      <c r="K126" s="77">
        <v>7118</v>
      </c>
      <c r="L126" s="6">
        <v>0</v>
      </c>
      <c r="M126" s="77">
        <v>0</v>
      </c>
      <c r="N126" s="6">
        <v>0</v>
      </c>
      <c r="O126" s="77">
        <v>0</v>
      </c>
      <c r="P126" s="6">
        <v>39</v>
      </c>
      <c r="Q126" s="4" t="s">
        <v>26</v>
      </c>
      <c r="R126" s="4">
        <v>0</v>
      </c>
      <c r="S126" s="4">
        <v>6</v>
      </c>
      <c r="T126" s="4">
        <v>0</v>
      </c>
      <c r="U126" s="4">
        <v>0</v>
      </c>
      <c r="V126" s="77">
        <f>IF(ISERROR(VLOOKUP($S$126,'TAR FIN'!$A$1:$O$85,15,0)),0,VLOOKUP($S$126,'TAR FIN'!$A$1:$O$85,15,0))*(1-0.04)</f>
        <v>18.5472</v>
      </c>
      <c r="W126" s="77">
        <f>IF(ISERROR(VLOOKUP($T$126,'TAR FIN'!$A$1:$O$85,15,0)),0,VLOOKUP($T$126,'TAR FIN'!$A$1:$O$85,15,0))</f>
        <v>0</v>
      </c>
      <c r="X126" s="77">
        <f>IF(ISERROR(VLOOKUP($U$126,'TAR FIN'!$A$1:$O$85,15,0)),0,VLOOKUP($U$126,'TAR FIN'!$A$1:$O$85,15,0))</f>
        <v>0</v>
      </c>
      <c r="Y126" s="77">
        <f ca="1">('TUSD BE'!$AM$10+'TUSD BF'!$AM$10+'TUSD CVA'!$AM$10)*1*(1-0.02)</f>
        <v>16.346441090586261</v>
      </c>
      <c r="Z126" s="77"/>
      <c r="AA126" s="77"/>
      <c r="AB126" s="77">
        <f>(SUBSIDIO!$J$126*SUBSIDIO!$V$126)*(0.04)/(1-0.04)</f>
        <v>5500.7904000000008</v>
      </c>
      <c r="AC126" s="77">
        <f>((SUBSIDIO!$L$126*SUBSIDIO!$W$126)+(SUBSIDIO!$N$126*SUBSIDIO!$X$126))*(0.04)/(1-0.04)</f>
        <v>0</v>
      </c>
      <c r="AD126" s="77">
        <f ca="1">(SUBSIDIO!$J$126*SUBSIDIO!$Y$126)*(0.02)/(1-0.02)</f>
        <v>2374.5707690365921</v>
      </c>
      <c r="AE126" s="77">
        <f>((SUBSIDIO!$L$126*SUBSIDIO!$Z$126)+(SUBSIDIO!$N$126*SUBSIDIO!$AA$126))*(0.02)/(1-0.02)</f>
        <v>0</v>
      </c>
      <c r="AF126" s="4" t="s">
        <v>808</v>
      </c>
    </row>
    <row r="127" spans="1:32" ht="11.25" customHeight="1" x14ac:dyDescent="0.25">
      <c r="A127" s="4" t="s">
        <v>21</v>
      </c>
      <c r="B127" s="4" t="s">
        <v>33</v>
      </c>
      <c r="C127" s="4" t="s">
        <v>34</v>
      </c>
      <c r="D127" s="4" t="s">
        <v>44</v>
      </c>
      <c r="E127" s="4" t="s">
        <v>25</v>
      </c>
      <c r="F127" s="4" t="s">
        <v>25</v>
      </c>
      <c r="G127" s="4" t="s">
        <v>25</v>
      </c>
      <c r="H127" s="4" t="s">
        <v>35</v>
      </c>
      <c r="I127" s="5">
        <v>44317</v>
      </c>
      <c r="J127" s="6">
        <v>0</v>
      </c>
      <c r="K127" s="77">
        <v>0</v>
      </c>
      <c r="L127" s="6">
        <v>77.981999999999999</v>
      </c>
      <c r="M127" s="77">
        <v>77.981999999999999</v>
      </c>
      <c r="N127" s="6">
        <v>77.981999999999999</v>
      </c>
      <c r="O127" s="77">
        <v>77.981999999999999</v>
      </c>
      <c r="P127" s="6">
        <v>0</v>
      </c>
      <c r="Q127" s="4" t="s">
        <v>26</v>
      </c>
      <c r="R127" s="4">
        <v>0</v>
      </c>
      <c r="S127" s="4">
        <v>0</v>
      </c>
      <c r="T127" s="4">
        <v>7</v>
      </c>
      <c r="U127" s="4">
        <v>48</v>
      </c>
      <c r="V127" s="77">
        <f>IF(ISERROR(VLOOKUP($S$127,'TAR FIN'!$A$1:$O$85,15,0)),0,VLOOKUP($S$127,'TAR FIN'!$A$1:$O$85,15,0))</f>
        <v>0</v>
      </c>
      <c r="W127" s="77">
        <f>IF(ISERROR(VLOOKUP($T$127,'TAR FIN'!$A$1:$O$85,15,0)),0,VLOOKUP($T$127,'TAR FIN'!$A$1:$O$85,15,0))*(1-0.04)</f>
        <v>910.22399999999993</v>
      </c>
      <c r="X127" s="77">
        <f>IF(ISERROR(VLOOKUP($U$127,'TAR FIN'!$A$1:$O$85,15,0)),0,VLOOKUP($U$127,'TAR FIN'!$A$1:$O$85,15,0))*(1-0.04)</f>
        <v>252.75840000000002</v>
      </c>
      <c r="Y127" s="77"/>
      <c r="Z127" s="77">
        <f ca="1">('TUSD BE'!$AM$11+'TUSD BF'!$AM$11+'TUSD CVA'!$AM$11)*1*(1-0.02)</f>
        <v>956.89459124248037</v>
      </c>
      <c r="AA127" s="77">
        <f>('TE BE'!$AA$5+'TE BF'!$AA$5+'TE CVA'!$AA$5)*1*(1-0.02)</f>
        <v>206.43109646347523</v>
      </c>
      <c r="AB127" s="77">
        <f>(SUBSIDIO!$J$127*SUBSIDIO!$V$127)*(0.04)/(1-0.04)</f>
        <v>0</v>
      </c>
      <c r="AC127" s="77">
        <f>((SUBSIDIO!$L$127*SUBSIDIO!$W$127)+(SUBSIDIO!$N$127*SUBSIDIO!$X$127))*(0.04)/(1-0.04)</f>
        <v>3778.8205631999999</v>
      </c>
      <c r="AD127" s="77">
        <f>(SUBSIDIO!$J$127*SUBSIDIO!$Y$127)*(0.02)/(1-0.02)</f>
        <v>0</v>
      </c>
      <c r="AE127" s="77">
        <f ca="1">((SUBSIDIO!$L$127*SUBSIDIO!$Z$127)+(SUBSIDIO!$N$127*SUBSIDIO!$AA$127))*(0.02)/(1-0.02)</f>
        <v>1851.3972199731804</v>
      </c>
      <c r="AF127" s="4" t="s">
        <v>808</v>
      </c>
    </row>
    <row r="128" spans="1:32" ht="11.25" customHeight="1" x14ac:dyDescent="0.25">
      <c r="A128" s="4" t="s">
        <v>21</v>
      </c>
      <c r="B128" s="4" t="s">
        <v>33</v>
      </c>
      <c r="C128" s="4" t="s">
        <v>34</v>
      </c>
      <c r="D128" s="4" t="s">
        <v>44</v>
      </c>
      <c r="E128" s="4" t="s">
        <v>25</v>
      </c>
      <c r="F128" s="4" t="s">
        <v>25</v>
      </c>
      <c r="G128" s="4" t="s">
        <v>25</v>
      </c>
      <c r="H128" s="4" t="s">
        <v>35</v>
      </c>
      <c r="I128" s="5">
        <v>44348</v>
      </c>
      <c r="J128" s="6">
        <v>0</v>
      </c>
      <c r="K128" s="77">
        <v>0</v>
      </c>
      <c r="L128" s="6">
        <v>63.808</v>
      </c>
      <c r="M128" s="77">
        <v>63.808</v>
      </c>
      <c r="N128" s="6">
        <v>63.808</v>
      </c>
      <c r="O128" s="77">
        <v>63.808</v>
      </c>
      <c r="P128" s="6">
        <v>0</v>
      </c>
      <c r="Q128" s="4" t="s">
        <v>26</v>
      </c>
      <c r="R128" s="4">
        <v>0</v>
      </c>
      <c r="S128" s="4">
        <v>0</v>
      </c>
      <c r="T128" s="4">
        <v>7</v>
      </c>
      <c r="U128" s="4">
        <v>48</v>
      </c>
      <c r="V128" s="77">
        <f>IF(ISERROR(VLOOKUP($S$128,'TAR FIN'!$A$1:$O$85,15,0)),0,VLOOKUP($S$128,'TAR FIN'!$A$1:$O$85,15,0))</f>
        <v>0</v>
      </c>
      <c r="W128" s="77">
        <f>IF(ISERROR(VLOOKUP($T$128,'TAR FIN'!$A$1:$O$85,15,0)),0,VLOOKUP($T$128,'TAR FIN'!$A$1:$O$85,15,0))*(1-0.04)</f>
        <v>910.22399999999993</v>
      </c>
      <c r="X128" s="77">
        <f>IF(ISERROR(VLOOKUP($U$128,'TAR FIN'!$A$1:$O$85,15,0)),0,VLOOKUP($U$128,'TAR FIN'!$A$1:$O$85,15,0))*(1-0.04)</f>
        <v>252.75840000000002</v>
      </c>
      <c r="Y128" s="77"/>
      <c r="Z128" s="77">
        <f ca="1">('TUSD BE'!$AM$11+'TUSD BF'!$AM$11+'TUSD CVA'!$AM$11)*1*(1-0.02)</f>
        <v>956.89459124248037</v>
      </c>
      <c r="AA128" s="77">
        <f>('TE BE'!$AA$5+'TE BF'!$AA$5+'TE CVA'!$AA$5)*1*(1-0.02)</f>
        <v>206.43109646347523</v>
      </c>
      <c r="AB128" s="77">
        <f>(SUBSIDIO!$J$128*SUBSIDIO!$V$128)*(0.04)/(1-0.04)</f>
        <v>0</v>
      </c>
      <c r="AC128" s="77">
        <f>((SUBSIDIO!$L$128*SUBSIDIO!$W$128)+(SUBSIDIO!$N$128*SUBSIDIO!$X$128))*(0.04)/(1-0.04)</f>
        <v>3091.9825408000002</v>
      </c>
      <c r="AD128" s="77">
        <f>(SUBSIDIO!$J$128*SUBSIDIO!$Y$128)*(0.02)/(1-0.02)</f>
        <v>0</v>
      </c>
      <c r="AE128" s="77">
        <f ca="1">((SUBSIDIO!$L$128*SUBSIDIO!$Z$128)+(SUBSIDIO!$N$128*SUBSIDIO!$AA$128))*(0.02)/(1-0.02)</f>
        <v>1514.8874587988084</v>
      </c>
      <c r="AF128" s="4" t="s">
        <v>808</v>
      </c>
    </row>
    <row r="129" spans="1:32" ht="11.25" customHeight="1" x14ac:dyDescent="0.25">
      <c r="A129" s="4" t="s">
        <v>21</v>
      </c>
      <c r="B129" s="4" t="s">
        <v>33</v>
      </c>
      <c r="C129" s="4" t="s">
        <v>34</v>
      </c>
      <c r="D129" s="4" t="s">
        <v>44</v>
      </c>
      <c r="E129" s="4" t="s">
        <v>25</v>
      </c>
      <c r="F129" s="4" t="s">
        <v>25</v>
      </c>
      <c r="G129" s="4" t="s">
        <v>25</v>
      </c>
      <c r="H129" s="4" t="s">
        <v>35</v>
      </c>
      <c r="I129" s="5">
        <v>44378</v>
      </c>
      <c r="J129" s="6">
        <v>0</v>
      </c>
      <c r="K129" s="77">
        <v>0</v>
      </c>
      <c r="L129" s="6">
        <v>64.644999999999996</v>
      </c>
      <c r="M129" s="77">
        <v>64.644999999999996</v>
      </c>
      <c r="N129" s="6">
        <v>64.644999999999996</v>
      </c>
      <c r="O129" s="77">
        <v>64.644999999999996</v>
      </c>
      <c r="P129" s="6">
        <v>0</v>
      </c>
      <c r="Q129" s="4" t="s">
        <v>26</v>
      </c>
      <c r="R129" s="4">
        <v>0</v>
      </c>
      <c r="S129" s="4">
        <v>0</v>
      </c>
      <c r="T129" s="4">
        <v>7</v>
      </c>
      <c r="U129" s="4">
        <v>48</v>
      </c>
      <c r="V129" s="77">
        <f>IF(ISERROR(VLOOKUP($S$129,'TAR FIN'!$A$1:$O$85,15,0)),0,VLOOKUP($S$129,'TAR FIN'!$A$1:$O$85,15,0))</f>
        <v>0</v>
      </c>
      <c r="W129" s="77">
        <f>IF(ISERROR(VLOOKUP($T$129,'TAR FIN'!$A$1:$O$85,15,0)),0,VLOOKUP($T$129,'TAR FIN'!$A$1:$O$85,15,0))*(1-0.04)</f>
        <v>910.22399999999993</v>
      </c>
      <c r="X129" s="77">
        <f>IF(ISERROR(VLOOKUP($U$129,'TAR FIN'!$A$1:$O$85,15,0)),0,VLOOKUP($U$129,'TAR FIN'!$A$1:$O$85,15,0))*(1-0.04)</f>
        <v>252.75840000000002</v>
      </c>
      <c r="Y129" s="77"/>
      <c r="Z129" s="77">
        <f ca="1">('TUSD BE'!$AM$11+'TUSD BF'!$AM$11+'TUSD CVA'!$AM$11)*1*(1-0.02)</f>
        <v>956.89459124248037</v>
      </c>
      <c r="AA129" s="77">
        <f>('TE BE'!$AA$5+'TE BF'!$AA$5+'TE CVA'!$AA$5)*1*(1-0.02)</f>
        <v>206.43109646347523</v>
      </c>
      <c r="AB129" s="77">
        <f>(SUBSIDIO!$J$129*SUBSIDIO!$V$129)*(0.04)/(1-0.04)</f>
        <v>0</v>
      </c>
      <c r="AC129" s="77">
        <f>((SUBSIDIO!$L$129*SUBSIDIO!$W$129)+(SUBSIDIO!$N$129*SUBSIDIO!$X$129))*(0.04)/(1-0.04)</f>
        <v>3132.5415520000001</v>
      </c>
      <c r="AD129" s="77">
        <f>(SUBSIDIO!$J$129*SUBSIDIO!$Y$129)*(0.02)/(1-0.02)</f>
        <v>0</v>
      </c>
      <c r="AE129" s="77">
        <f ca="1">((SUBSIDIO!$L$129*SUBSIDIO!$Z$129)+(SUBSIDIO!$N$129*SUBSIDIO!$AA$129))*(0.02)/(1-0.02)</f>
        <v>1534.7589608520714</v>
      </c>
      <c r="AF129" s="4" t="s">
        <v>808</v>
      </c>
    </row>
    <row r="130" spans="1:32" ht="11.25" customHeight="1" x14ac:dyDescent="0.25">
      <c r="A130" s="4" t="s">
        <v>21</v>
      </c>
      <c r="B130" s="4" t="s">
        <v>33</v>
      </c>
      <c r="C130" s="4" t="s">
        <v>34</v>
      </c>
      <c r="D130" s="4" t="s">
        <v>44</v>
      </c>
      <c r="E130" s="4" t="s">
        <v>25</v>
      </c>
      <c r="F130" s="4" t="s">
        <v>25</v>
      </c>
      <c r="G130" s="4" t="s">
        <v>25</v>
      </c>
      <c r="H130" s="4" t="s">
        <v>35</v>
      </c>
      <c r="I130" s="5">
        <v>44409</v>
      </c>
      <c r="J130" s="6">
        <v>0</v>
      </c>
      <c r="K130" s="77">
        <v>0</v>
      </c>
      <c r="L130" s="6">
        <v>65.417000000000002</v>
      </c>
      <c r="M130" s="77">
        <v>65.417000000000002</v>
      </c>
      <c r="N130" s="6">
        <v>65.417000000000002</v>
      </c>
      <c r="O130" s="77">
        <v>65.417000000000002</v>
      </c>
      <c r="P130" s="6">
        <v>0</v>
      </c>
      <c r="Q130" s="4" t="s">
        <v>26</v>
      </c>
      <c r="R130" s="4">
        <v>0</v>
      </c>
      <c r="S130" s="4">
        <v>0</v>
      </c>
      <c r="T130" s="4">
        <v>7</v>
      </c>
      <c r="U130" s="4">
        <v>48</v>
      </c>
      <c r="V130" s="77">
        <f>IF(ISERROR(VLOOKUP($S$130,'TAR FIN'!$A$1:$O$85,15,0)),0,VLOOKUP($S$130,'TAR FIN'!$A$1:$O$85,15,0))</f>
        <v>0</v>
      </c>
      <c r="W130" s="77">
        <f>IF(ISERROR(VLOOKUP($T$130,'TAR FIN'!$A$1:$O$85,15,0)),0,VLOOKUP($T$130,'TAR FIN'!$A$1:$O$85,15,0))*(1-0.04)</f>
        <v>910.22399999999993</v>
      </c>
      <c r="X130" s="77">
        <f>IF(ISERROR(VLOOKUP($U$130,'TAR FIN'!$A$1:$O$85,15,0)),0,VLOOKUP($U$130,'TAR FIN'!$A$1:$O$85,15,0))*(1-0.04)</f>
        <v>252.75840000000002</v>
      </c>
      <c r="Y130" s="77"/>
      <c r="Z130" s="77">
        <f ca="1">('TUSD BE'!$AM$11+'TUSD BF'!$AM$11+'TUSD CVA'!$AM$11)*1*(1-0.02)</f>
        <v>956.89459124248037</v>
      </c>
      <c r="AA130" s="77">
        <f>('TE BE'!$AA$5+'TE BF'!$AA$5+'TE CVA'!$AA$5)*1*(1-0.02)</f>
        <v>206.43109646347523</v>
      </c>
      <c r="AB130" s="77">
        <f>(SUBSIDIO!$J$130*SUBSIDIO!$V$130)*(0.04)/(1-0.04)</f>
        <v>0</v>
      </c>
      <c r="AC130" s="77">
        <f>((SUBSIDIO!$L$130*SUBSIDIO!$W$130)+(SUBSIDIO!$N$130*SUBSIDIO!$X$130))*(0.04)/(1-0.04)</f>
        <v>3169.9508192000003</v>
      </c>
      <c r="AD130" s="77">
        <f>(SUBSIDIO!$J$130*SUBSIDIO!$Y$130)*(0.02)/(1-0.02)</f>
        <v>0</v>
      </c>
      <c r="AE130" s="77">
        <f ca="1">((SUBSIDIO!$L$130*SUBSIDIO!$Z$130)+(SUBSIDIO!$N$130*SUBSIDIO!$AA$130))*(0.02)/(1-0.02)</f>
        <v>1553.0872757685815</v>
      </c>
      <c r="AF130" s="4" t="s">
        <v>808</v>
      </c>
    </row>
    <row r="131" spans="1:32" ht="11.25" customHeight="1" x14ac:dyDescent="0.25">
      <c r="A131" s="4" t="s">
        <v>28</v>
      </c>
      <c r="B131" s="4" t="s">
        <v>33</v>
      </c>
      <c r="C131" s="4" t="s">
        <v>34</v>
      </c>
      <c r="D131" s="4" t="s">
        <v>44</v>
      </c>
      <c r="E131" s="4" t="s">
        <v>25</v>
      </c>
      <c r="F131" s="4" t="s">
        <v>25</v>
      </c>
      <c r="G131" s="4" t="s">
        <v>25</v>
      </c>
      <c r="H131" s="4" t="s">
        <v>35</v>
      </c>
      <c r="I131" s="5">
        <v>44409</v>
      </c>
      <c r="J131" s="6">
        <v>0</v>
      </c>
      <c r="K131" s="77">
        <v>0</v>
      </c>
      <c r="L131" s="6">
        <v>0.44500000000000001</v>
      </c>
      <c r="M131" s="77">
        <v>0.44500000000000001</v>
      </c>
      <c r="N131" s="6">
        <v>0.44500000000000001</v>
      </c>
      <c r="O131" s="77">
        <v>0.44500000000000001</v>
      </c>
      <c r="P131" s="6">
        <v>0</v>
      </c>
      <c r="Q131" s="4" t="s">
        <v>26</v>
      </c>
      <c r="R131" s="4">
        <v>0</v>
      </c>
      <c r="S131" s="4">
        <v>0</v>
      </c>
      <c r="T131" s="4">
        <v>7</v>
      </c>
      <c r="U131" s="4">
        <v>48</v>
      </c>
      <c r="V131" s="77">
        <f>IF(ISERROR(VLOOKUP($S$131,'TAR FIN'!$A$1:$O$85,15,0)),0,VLOOKUP($S$131,'TAR FIN'!$A$1:$O$85,15,0))</f>
        <v>0</v>
      </c>
      <c r="W131" s="77">
        <f>IF(ISERROR(VLOOKUP($T$131,'TAR FIN'!$A$1:$O$85,15,0)),0,VLOOKUP($T$131,'TAR FIN'!$A$1:$O$85,15,0))*(1-0.04)</f>
        <v>910.22399999999993</v>
      </c>
      <c r="X131" s="77">
        <f>IF(ISERROR(VLOOKUP($U$131,'TAR FIN'!$A$1:$O$85,15,0)),0,VLOOKUP($U$131,'TAR FIN'!$A$1:$O$85,15,0))*(1-0.04)</f>
        <v>252.75840000000002</v>
      </c>
      <c r="Y131" s="77"/>
      <c r="Z131" s="77">
        <f ca="1">('TUSD BE'!$AM$11+'TUSD BF'!$AM$11+'TUSD CVA'!$AM$11)*1*(1-0.02)</f>
        <v>956.89459124248037</v>
      </c>
      <c r="AA131" s="77">
        <f>('TE BE'!$AA$5+'TE BF'!$AA$5+'TE CVA'!$AA$5)*1*(1-0.02)</f>
        <v>206.43109646347523</v>
      </c>
      <c r="AB131" s="77">
        <f>(SUBSIDIO!$J$131*SUBSIDIO!$V$131)*(0.04)/(1-0.04)</f>
        <v>0</v>
      </c>
      <c r="AC131" s="77">
        <f>((SUBSIDIO!$L$131*SUBSIDIO!$W$131)+(SUBSIDIO!$N$131*SUBSIDIO!$X$131))*(0.04)/(1-0.04)</f>
        <v>21.563631999999998</v>
      </c>
      <c r="AD131" s="77">
        <f>(SUBSIDIO!$J$131*SUBSIDIO!$Y$131)*(0.02)/(1-0.02)</f>
        <v>0</v>
      </c>
      <c r="AE131" s="77">
        <f ca="1">((SUBSIDIO!$L$131*SUBSIDIO!$Z$131)+(SUBSIDIO!$N$131*SUBSIDIO!$AA$131))*(0.02)/(1-0.02)</f>
        <v>10.564896551615311</v>
      </c>
      <c r="AF131" s="4" t="s">
        <v>808</v>
      </c>
    </row>
    <row r="132" spans="1:32" ht="11.25" customHeight="1" x14ac:dyDescent="0.25">
      <c r="A132" s="4" t="s">
        <v>21</v>
      </c>
      <c r="B132" s="4" t="s">
        <v>33</v>
      </c>
      <c r="C132" s="4" t="s">
        <v>34</v>
      </c>
      <c r="D132" s="4" t="s">
        <v>44</v>
      </c>
      <c r="E132" s="4" t="s">
        <v>25</v>
      </c>
      <c r="F132" s="4" t="s">
        <v>25</v>
      </c>
      <c r="G132" s="4" t="s">
        <v>25</v>
      </c>
      <c r="H132" s="4" t="s">
        <v>35</v>
      </c>
      <c r="I132" s="5">
        <v>44440</v>
      </c>
      <c r="J132" s="6">
        <v>0</v>
      </c>
      <c r="K132" s="77">
        <v>0</v>
      </c>
      <c r="L132" s="6">
        <v>73.748000000000005</v>
      </c>
      <c r="M132" s="77">
        <v>73.748000000000005</v>
      </c>
      <c r="N132" s="6">
        <v>73.748000000000005</v>
      </c>
      <c r="O132" s="77">
        <v>73.748000000000005</v>
      </c>
      <c r="P132" s="6">
        <v>0</v>
      </c>
      <c r="Q132" s="4" t="s">
        <v>26</v>
      </c>
      <c r="R132" s="4">
        <v>0</v>
      </c>
      <c r="S132" s="4">
        <v>0</v>
      </c>
      <c r="T132" s="4">
        <v>7</v>
      </c>
      <c r="U132" s="4">
        <v>48</v>
      </c>
      <c r="V132" s="77">
        <f>IF(ISERROR(VLOOKUP($S$132,'TAR FIN'!$A$1:$O$85,15,0)),0,VLOOKUP($S$132,'TAR FIN'!$A$1:$O$85,15,0))</f>
        <v>0</v>
      </c>
      <c r="W132" s="77">
        <f>IF(ISERROR(VLOOKUP($T$132,'TAR FIN'!$A$1:$O$85,15,0)),0,VLOOKUP($T$132,'TAR FIN'!$A$1:$O$85,15,0))*(1-0.04)</f>
        <v>910.22399999999993</v>
      </c>
      <c r="X132" s="77">
        <f>IF(ISERROR(VLOOKUP($U$132,'TAR FIN'!$A$1:$O$85,15,0)),0,VLOOKUP($U$132,'TAR FIN'!$A$1:$O$85,15,0))*(1-0.04)</f>
        <v>252.75840000000002</v>
      </c>
      <c r="Y132" s="77"/>
      <c r="Z132" s="77">
        <f ca="1">('TUSD BE'!$AM$11+'TUSD BF'!$AM$11+'TUSD CVA'!$AM$11)*1*(1-0.02)</f>
        <v>956.89459124248037</v>
      </c>
      <c r="AA132" s="77">
        <f>('TE BE'!$AA$5+'TE BF'!$AA$5+'TE CVA'!$AA$5)*1*(1-0.02)</f>
        <v>206.43109646347523</v>
      </c>
      <c r="AB132" s="77">
        <f>(SUBSIDIO!$J$132*SUBSIDIO!$V$132)*(0.04)/(1-0.04)</f>
        <v>0</v>
      </c>
      <c r="AC132" s="77">
        <f>((SUBSIDIO!$L$132*SUBSIDIO!$W$132)+(SUBSIDIO!$N$132*SUBSIDIO!$X$132))*(0.04)/(1-0.04)</f>
        <v>3573.6510848000007</v>
      </c>
      <c r="AD132" s="77">
        <f>(SUBSIDIO!$J$132*SUBSIDIO!$Y$132)*(0.02)/(1-0.02)</f>
        <v>0</v>
      </c>
      <c r="AE132" s="77">
        <f ca="1">((SUBSIDIO!$L$132*SUBSIDIO!$Z$132)+(SUBSIDIO!$N$132*SUBSIDIO!$AA$132))*(0.02)/(1-0.02)</f>
        <v>1750.8763840191598</v>
      </c>
      <c r="AF132" s="4" t="s">
        <v>808</v>
      </c>
    </row>
    <row r="133" spans="1:32" ht="11.25" customHeight="1" x14ac:dyDescent="0.25">
      <c r="A133" s="4" t="s">
        <v>28</v>
      </c>
      <c r="B133" s="4" t="s">
        <v>33</v>
      </c>
      <c r="C133" s="4" t="s">
        <v>34</v>
      </c>
      <c r="D133" s="4" t="s">
        <v>44</v>
      </c>
      <c r="E133" s="4" t="s">
        <v>25</v>
      </c>
      <c r="F133" s="4" t="s">
        <v>25</v>
      </c>
      <c r="G133" s="4" t="s">
        <v>25</v>
      </c>
      <c r="H133" s="4" t="s">
        <v>35</v>
      </c>
      <c r="I133" s="5">
        <v>44440</v>
      </c>
      <c r="J133" s="6">
        <v>0</v>
      </c>
      <c r="K133" s="77">
        <v>0</v>
      </c>
      <c r="L133" s="6">
        <v>4.085</v>
      </c>
      <c r="M133" s="77">
        <v>4.085</v>
      </c>
      <c r="N133" s="6">
        <v>4.085</v>
      </c>
      <c r="O133" s="77">
        <v>4.085</v>
      </c>
      <c r="P133" s="6">
        <v>0</v>
      </c>
      <c r="Q133" s="4" t="s">
        <v>26</v>
      </c>
      <c r="R133" s="4">
        <v>0</v>
      </c>
      <c r="S133" s="4">
        <v>0</v>
      </c>
      <c r="T133" s="4">
        <v>7</v>
      </c>
      <c r="U133" s="4">
        <v>48</v>
      </c>
      <c r="V133" s="77">
        <f>IF(ISERROR(VLOOKUP($S$133,'TAR FIN'!$A$1:$O$85,15,0)),0,VLOOKUP($S$133,'TAR FIN'!$A$1:$O$85,15,0))</f>
        <v>0</v>
      </c>
      <c r="W133" s="77">
        <f>IF(ISERROR(VLOOKUP($T$133,'TAR FIN'!$A$1:$O$85,15,0)),0,VLOOKUP($T$133,'TAR FIN'!$A$1:$O$85,15,0))*(1-0.04)</f>
        <v>910.22399999999993</v>
      </c>
      <c r="X133" s="77">
        <f>IF(ISERROR(VLOOKUP($U$133,'TAR FIN'!$A$1:$O$85,15,0)),0,VLOOKUP($U$133,'TAR FIN'!$A$1:$O$85,15,0))*(1-0.04)</f>
        <v>252.75840000000002</v>
      </c>
      <c r="Y133" s="77"/>
      <c r="Z133" s="77">
        <f ca="1">('TUSD BE'!$AM$11+'TUSD BF'!$AM$11+'TUSD CVA'!$AM$11)*1*(1-0.02)</f>
        <v>956.89459124248037</v>
      </c>
      <c r="AA133" s="77">
        <f>('TE BE'!$AA$5+'TE BF'!$AA$5+'TE CVA'!$AA$5)*1*(1-0.02)</f>
        <v>206.43109646347523</v>
      </c>
      <c r="AB133" s="77">
        <f>(SUBSIDIO!$J$133*SUBSIDIO!$V$133)*(0.04)/(1-0.04)</f>
        <v>0</v>
      </c>
      <c r="AC133" s="77">
        <f>((SUBSIDIO!$L$133*SUBSIDIO!$W$133)+(SUBSIDIO!$N$133*SUBSIDIO!$X$133))*(0.04)/(1-0.04)</f>
        <v>197.949296</v>
      </c>
      <c r="AD133" s="77">
        <f>(SUBSIDIO!$J$133*SUBSIDIO!$Y$133)*(0.02)/(1-0.02)</f>
        <v>0</v>
      </c>
      <c r="AE133" s="77">
        <f ca="1">((SUBSIDIO!$L$133*SUBSIDIO!$Z$133)+(SUBSIDIO!$N$133*SUBSIDIO!$AA$133))*(0.02)/(1-0.02)</f>
        <v>96.983376209772004</v>
      </c>
      <c r="AF133" s="4" t="s">
        <v>808</v>
      </c>
    </row>
    <row r="134" spans="1:32" ht="11.25" customHeight="1" x14ac:dyDescent="0.25">
      <c r="A134" s="4" t="s">
        <v>21</v>
      </c>
      <c r="B134" s="4" t="s">
        <v>33</v>
      </c>
      <c r="C134" s="4" t="s">
        <v>34</v>
      </c>
      <c r="D134" s="4" t="s">
        <v>44</v>
      </c>
      <c r="E134" s="4" t="s">
        <v>25</v>
      </c>
      <c r="F134" s="4" t="s">
        <v>25</v>
      </c>
      <c r="G134" s="4" t="s">
        <v>25</v>
      </c>
      <c r="H134" s="4" t="s">
        <v>35</v>
      </c>
      <c r="I134" s="5">
        <v>44470</v>
      </c>
      <c r="J134" s="6">
        <v>0</v>
      </c>
      <c r="K134" s="77">
        <v>0</v>
      </c>
      <c r="L134" s="6">
        <v>69.872</v>
      </c>
      <c r="M134" s="77">
        <v>69.872</v>
      </c>
      <c r="N134" s="6">
        <v>69.872</v>
      </c>
      <c r="O134" s="77">
        <v>69.872</v>
      </c>
      <c r="P134" s="6">
        <v>0</v>
      </c>
      <c r="Q134" s="4" t="s">
        <v>26</v>
      </c>
      <c r="R134" s="4">
        <v>0</v>
      </c>
      <c r="S134" s="4">
        <v>0</v>
      </c>
      <c r="T134" s="4">
        <v>7</v>
      </c>
      <c r="U134" s="4">
        <v>48</v>
      </c>
      <c r="V134" s="77">
        <f>IF(ISERROR(VLOOKUP($S$134,'TAR FIN'!$A$1:$O$85,15,0)),0,VLOOKUP($S$134,'TAR FIN'!$A$1:$O$85,15,0))</f>
        <v>0</v>
      </c>
      <c r="W134" s="77">
        <f>IF(ISERROR(VLOOKUP($T$134,'TAR FIN'!$A$1:$O$85,15,0)),0,VLOOKUP($T$134,'TAR FIN'!$A$1:$O$85,15,0))*(1-0.04)</f>
        <v>910.22399999999993</v>
      </c>
      <c r="X134" s="77">
        <f>IF(ISERROR(VLOOKUP($U$134,'TAR FIN'!$A$1:$O$85,15,0)),0,VLOOKUP($U$134,'TAR FIN'!$A$1:$O$85,15,0))*(1-0.04)</f>
        <v>252.75840000000002</v>
      </c>
      <c r="Y134" s="77"/>
      <c r="Z134" s="77">
        <f ca="1">('TUSD BE'!$AM$11+'TUSD BF'!$AM$11+'TUSD CVA'!$AM$11)*1*(1-0.02)</f>
        <v>956.89459124248037</v>
      </c>
      <c r="AA134" s="77">
        <f>('TE BE'!$AA$5+'TE BF'!$AA$5+'TE CVA'!$AA$5)*1*(1-0.02)</f>
        <v>206.43109646347523</v>
      </c>
      <c r="AB134" s="77">
        <f>(SUBSIDIO!$J$134*SUBSIDIO!$V$134)*(0.04)/(1-0.04)</f>
        <v>0</v>
      </c>
      <c r="AC134" s="77">
        <f>((SUBSIDIO!$L$134*SUBSIDIO!$W$134)+(SUBSIDIO!$N$134*SUBSIDIO!$X$134))*(0.04)/(1-0.04)</f>
        <v>3385.8294272000003</v>
      </c>
      <c r="AD134" s="77">
        <f>(SUBSIDIO!$J$134*SUBSIDIO!$Y$134)*(0.02)/(1-0.02)</f>
        <v>0</v>
      </c>
      <c r="AE134" s="77">
        <f ca="1">((SUBSIDIO!$L$134*SUBSIDIO!$Z$134)+(SUBSIDIO!$N$134*SUBSIDIO!$AA$134))*(0.02)/(1-0.02)</f>
        <v>1658.8549479875619</v>
      </c>
      <c r="AF134" s="4" t="s">
        <v>808</v>
      </c>
    </row>
    <row r="135" spans="1:32" ht="11.25" customHeight="1" x14ac:dyDescent="0.25">
      <c r="A135" s="4" t="s">
        <v>28</v>
      </c>
      <c r="B135" s="4" t="s">
        <v>33</v>
      </c>
      <c r="C135" s="4" t="s">
        <v>34</v>
      </c>
      <c r="D135" s="4" t="s">
        <v>44</v>
      </c>
      <c r="E135" s="4" t="s">
        <v>25</v>
      </c>
      <c r="F135" s="4" t="s">
        <v>25</v>
      </c>
      <c r="G135" s="4" t="s">
        <v>25</v>
      </c>
      <c r="H135" s="4" t="s">
        <v>35</v>
      </c>
      <c r="I135" s="5">
        <v>44470</v>
      </c>
      <c r="J135" s="6">
        <v>0</v>
      </c>
      <c r="K135" s="77">
        <v>0</v>
      </c>
      <c r="L135" s="6">
        <v>5.5250000000000004</v>
      </c>
      <c r="M135" s="77">
        <v>5.5250000000000004</v>
      </c>
      <c r="N135" s="6">
        <v>5.5250000000000004</v>
      </c>
      <c r="O135" s="77">
        <v>5.5250000000000004</v>
      </c>
      <c r="P135" s="6">
        <v>0</v>
      </c>
      <c r="Q135" s="4" t="s">
        <v>26</v>
      </c>
      <c r="R135" s="4">
        <v>0</v>
      </c>
      <c r="S135" s="4">
        <v>0</v>
      </c>
      <c r="T135" s="4">
        <v>7</v>
      </c>
      <c r="U135" s="4">
        <v>48</v>
      </c>
      <c r="V135" s="77">
        <f>IF(ISERROR(VLOOKUP($S$135,'TAR FIN'!$A$1:$O$85,15,0)),0,VLOOKUP($S$135,'TAR FIN'!$A$1:$O$85,15,0))</f>
        <v>0</v>
      </c>
      <c r="W135" s="77">
        <f>IF(ISERROR(VLOOKUP($T$135,'TAR FIN'!$A$1:$O$85,15,0)),0,VLOOKUP($T$135,'TAR FIN'!$A$1:$O$85,15,0))*(1-0.04)</f>
        <v>910.22399999999993</v>
      </c>
      <c r="X135" s="77">
        <f>IF(ISERROR(VLOOKUP($U$135,'TAR FIN'!$A$1:$O$85,15,0)),0,VLOOKUP($U$135,'TAR FIN'!$A$1:$O$85,15,0))*(1-0.04)</f>
        <v>252.75840000000002</v>
      </c>
      <c r="Y135" s="77"/>
      <c r="Z135" s="77">
        <f ca="1">('TUSD BE'!$AM$11+'TUSD BF'!$AM$11+'TUSD CVA'!$AM$11)*1*(1-0.02)</f>
        <v>956.89459124248037</v>
      </c>
      <c r="AA135" s="77">
        <f>('TE BE'!$AA$5+'TE BF'!$AA$5+'TE CVA'!$AA$5)*1*(1-0.02)</f>
        <v>206.43109646347523</v>
      </c>
      <c r="AB135" s="77">
        <f>(SUBSIDIO!$J$135*SUBSIDIO!$V$135)*(0.04)/(1-0.04)</f>
        <v>0</v>
      </c>
      <c r="AC135" s="77">
        <f>((SUBSIDIO!$L$135*SUBSIDIO!$W$135)+(SUBSIDIO!$N$135*SUBSIDIO!$X$135))*(0.04)/(1-0.04)</f>
        <v>267.72824000000008</v>
      </c>
      <c r="AD135" s="77">
        <f>(SUBSIDIO!$J$135*SUBSIDIO!$Y$135)*(0.02)/(1-0.02)</f>
        <v>0</v>
      </c>
      <c r="AE135" s="77">
        <f ca="1">((SUBSIDIO!$L$135*SUBSIDIO!$Z$135)+(SUBSIDIO!$N$135*SUBSIDIO!$AA$135))*(0.02)/(1-0.02)</f>
        <v>131.17090662398786</v>
      </c>
      <c r="AF135" s="4" t="s">
        <v>808</v>
      </c>
    </row>
    <row r="136" spans="1:32" ht="11.25" customHeight="1" x14ac:dyDescent="0.25">
      <c r="A136" s="4" t="s">
        <v>21</v>
      </c>
      <c r="B136" s="4" t="s">
        <v>33</v>
      </c>
      <c r="C136" s="4" t="s">
        <v>34</v>
      </c>
      <c r="D136" s="4" t="s">
        <v>44</v>
      </c>
      <c r="E136" s="4" t="s">
        <v>25</v>
      </c>
      <c r="F136" s="4" t="s">
        <v>25</v>
      </c>
      <c r="G136" s="4" t="s">
        <v>25</v>
      </c>
      <c r="H136" s="4" t="s">
        <v>35</v>
      </c>
      <c r="I136" s="5">
        <v>44501</v>
      </c>
      <c r="J136" s="6">
        <v>0</v>
      </c>
      <c r="K136" s="77">
        <v>0</v>
      </c>
      <c r="L136" s="6">
        <v>75.876999999999995</v>
      </c>
      <c r="M136" s="77">
        <v>75.876999999999995</v>
      </c>
      <c r="N136" s="6">
        <v>75.876999999999995</v>
      </c>
      <c r="O136" s="77">
        <v>75.876999999999995</v>
      </c>
      <c r="P136" s="6">
        <v>0</v>
      </c>
      <c r="Q136" s="4" t="s">
        <v>26</v>
      </c>
      <c r="R136" s="4">
        <v>0</v>
      </c>
      <c r="S136" s="4">
        <v>0</v>
      </c>
      <c r="T136" s="4">
        <v>7</v>
      </c>
      <c r="U136" s="4">
        <v>48</v>
      </c>
      <c r="V136" s="77">
        <f>IF(ISERROR(VLOOKUP($S$136,'TAR FIN'!$A$1:$O$85,15,0)),0,VLOOKUP($S$136,'TAR FIN'!$A$1:$O$85,15,0))</f>
        <v>0</v>
      </c>
      <c r="W136" s="77">
        <f>IF(ISERROR(VLOOKUP($T$136,'TAR FIN'!$A$1:$O$85,15,0)),0,VLOOKUP($T$136,'TAR FIN'!$A$1:$O$85,15,0))*(1-0.04)</f>
        <v>910.22399999999993</v>
      </c>
      <c r="X136" s="77">
        <f>IF(ISERROR(VLOOKUP($U$136,'TAR FIN'!$A$1:$O$85,15,0)),0,VLOOKUP($U$136,'TAR FIN'!$A$1:$O$85,15,0))*(1-0.04)</f>
        <v>252.75840000000002</v>
      </c>
      <c r="Y136" s="77"/>
      <c r="Z136" s="77">
        <f ca="1">('TUSD BE'!$AM$11+'TUSD BF'!$AM$11+'TUSD CVA'!$AM$11)*1*(1-0.02)</f>
        <v>956.89459124248037</v>
      </c>
      <c r="AA136" s="77">
        <f>('TE BE'!$AA$5+'TE BF'!$AA$5+'TE CVA'!$AA$5)*1*(1-0.02)</f>
        <v>206.43109646347523</v>
      </c>
      <c r="AB136" s="77">
        <f>(SUBSIDIO!$J$136*SUBSIDIO!$V$136)*(0.04)/(1-0.04)</f>
        <v>0</v>
      </c>
      <c r="AC136" s="77">
        <f>((SUBSIDIO!$L$136*SUBSIDIO!$W$136)+(SUBSIDIO!$N$136*SUBSIDIO!$X$136))*(0.04)/(1-0.04)</f>
        <v>3676.8173151999999</v>
      </c>
      <c r="AD136" s="77">
        <f>(SUBSIDIO!$J$136*SUBSIDIO!$Y$136)*(0.02)/(1-0.02)</f>
        <v>0</v>
      </c>
      <c r="AE136" s="77">
        <f ca="1">((SUBSIDIO!$L$136*SUBSIDIO!$Z$136)+(SUBSIDIO!$N$136*SUBSIDIO!$AA$136))*(0.02)/(1-0.02)</f>
        <v>1801.4216980829549</v>
      </c>
      <c r="AF136" s="4" t="s">
        <v>808</v>
      </c>
    </row>
    <row r="137" spans="1:32" ht="11.25" customHeight="1" x14ac:dyDescent="0.25">
      <c r="A137" s="4" t="s">
        <v>28</v>
      </c>
      <c r="B137" s="4" t="s">
        <v>33</v>
      </c>
      <c r="C137" s="4" t="s">
        <v>34</v>
      </c>
      <c r="D137" s="4" t="s">
        <v>44</v>
      </c>
      <c r="E137" s="4" t="s">
        <v>25</v>
      </c>
      <c r="F137" s="4" t="s">
        <v>25</v>
      </c>
      <c r="G137" s="4" t="s">
        <v>25</v>
      </c>
      <c r="H137" s="4" t="s">
        <v>35</v>
      </c>
      <c r="I137" s="5">
        <v>44501</v>
      </c>
      <c r="J137" s="6">
        <v>0</v>
      </c>
      <c r="K137" s="77">
        <v>0</v>
      </c>
      <c r="L137" s="6">
        <v>2.8690000000000002</v>
      </c>
      <c r="M137" s="77">
        <v>2.8690000000000002</v>
      </c>
      <c r="N137" s="6">
        <v>2.8690000000000002</v>
      </c>
      <c r="O137" s="77">
        <v>2.8690000000000002</v>
      </c>
      <c r="P137" s="6">
        <v>0</v>
      </c>
      <c r="Q137" s="4" t="s">
        <v>26</v>
      </c>
      <c r="R137" s="4">
        <v>0</v>
      </c>
      <c r="S137" s="4">
        <v>0</v>
      </c>
      <c r="T137" s="4">
        <v>7</v>
      </c>
      <c r="U137" s="4">
        <v>48</v>
      </c>
      <c r="V137" s="77">
        <f>IF(ISERROR(VLOOKUP($S$137,'TAR FIN'!$A$1:$O$85,15,0)),0,VLOOKUP($S$137,'TAR FIN'!$A$1:$O$85,15,0))</f>
        <v>0</v>
      </c>
      <c r="W137" s="77">
        <f>IF(ISERROR(VLOOKUP($T$137,'TAR FIN'!$A$1:$O$85,15,0)),0,VLOOKUP($T$137,'TAR FIN'!$A$1:$O$85,15,0))*(1-0.04)</f>
        <v>910.22399999999993</v>
      </c>
      <c r="X137" s="77">
        <f>IF(ISERROR(VLOOKUP($U$137,'TAR FIN'!$A$1:$O$85,15,0)),0,VLOOKUP($U$137,'TAR FIN'!$A$1:$O$85,15,0))*(1-0.04)</f>
        <v>252.75840000000002</v>
      </c>
      <c r="Y137" s="77"/>
      <c r="Z137" s="77">
        <f ca="1">('TUSD BE'!$AM$11+'TUSD BF'!$AM$11+'TUSD CVA'!$AM$11)*1*(1-0.02)</f>
        <v>956.89459124248037</v>
      </c>
      <c r="AA137" s="77">
        <f>('TE BE'!$AA$5+'TE BF'!$AA$5+'TE CVA'!$AA$5)*1*(1-0.02)</f>
        <v>206.43109646347523</v>
      </c>
      <c r="AB137" s="77">
        <f>(SUBSIDIO!$J$137*SUBSIDIO!$V$137)*(0.04)/(1-0.04)</f>
        <v>0</v>
      </c>
      <c r="AC137" s="77">
        <f>((SUBSIDIO!$L$137*SUBSIDIO!$W$137)+(SUBSIDIO!$N$137*SUBSIDIO!$X$137))*(0.04)/(1-0.04)</f>
        <v>139.02485440000001</v>
      </c>
      <c r="AD137" s="77">
        <f>(SUBSIDIO!$J$137*SUBSIDIO!$Y$137)*(0.02)/(1-0.02)</f>
        <v>0</v>
      </c>
      <c r="AE137" s="77">
        <f ca="1">((SUBSIDIO!$L$137*SUBSIDIO!$Z$137)+(SUBSIDIO!$N$137*SUBSIDIO!$AA$137))*(0.02)/(1-0.02)</f>
        <v>68.113906082211983</v>
      </c>
      <c r="AF137" s="4" t="s">
        <v>808</v>
      </c>
    </row>
    <row r="138" spans="1:32" ht="11.25" customHeight="1" x14ac:dyDescent="0.25">
      <c r="A138" s="4" t="s">
        <v>21</v>
      </c>
      <c r="B138" s="4" t="s">
        <v>33</v>
      </c>
      <c r="C138" s="4" t="s">
        <v>34</v>
      </c>
      <c r="D138" s="4" t="s">
        <v>44</v>
      </c>
      <c r="E138" s="4" t="s">
        <v>25</v>
      </c>
      <c r="F138" s="4" t="s">
        <v>25</v>
      </c>
      <c r="G138" s="4" t="s">
        <v>25</v>
      </c>
      <c r="H138" s="4" t="s">
        <v>35</v>
      </c>
      <c r="I138" s="5">
        <v>44531</v>
      </c>
      <c r="J138" s="6">
        <v>0</v>
      </c>
      <c r="K138" s="77">
        <v>0</v>
      </c>
      <c r="L138" s="6">
        <v>96.19</v>
      </c>
      <c r="M138" s="77">
        <v>96.19</v>
      </c>
      <c r="N138" s="6">
        <v>96.19</v>
      </c>
      <c r="O138" s="77">
        <v>96.19</v>
      </c>
      <c r="P138" s="6">
        <v>0</v>
      </c>
      <c r="Q138" s="4" t="s">
        <v>26</v>
      </c>
      <c r="R138" s="4">
        <v>0</v>
      </c>
      <c r="S138" s="4">
        <v>0</v>
      </c>
      <c r="T138" s="4">
        <v>7</v>
      </c>
      <c r="U138" s="4">
        <v>48</v>
      </c>
      <c r="V138" s="77">
        <f>IF(ISERROR(VLOOKUP($S$138,'TAR FIN'!$A$1:$O$85,15,0)),0,VLOOKUP($S$138,'TAR FIN'!$A$1:$O$85,15,0))</f>
        <v>0</v>
      </c>
      <c r="W138" s="77">
        <f>IF(ISERROR(VLOOKUP($T$138,'TAR FIN'!$A$1:$O$85,15,0)),0,VLOOKUP($T$138,'TAR FIN'!$A$1:$O$85,15,0))*(1-0.04)</f>
        <v>910.22399999999993</v>
      </c>
      <c r="X138" s="77">
        <f>IF(ISERROR(VLOOKUP($U$138,'TAR FIN'!$A$1:$O$85,15,0)),0,VLOOKUP($U$138,'TAR FIN'!$A$1:$O$85,15,0))*(1-0.04)</f>
        <v>252.75840000000002</v>
      </c>
      <c r="Y138" s="77"/>
      <c r="Z138" s="77">
        <f ca="1">('TUSD BE'!$AM$11+'TUSD BF'!$AM$11+'TUSD CVA'!$AM$11)*1*(1-0.02)</f>
        <v>956.89459124248037</v>
      </c>
      <c r="AA138" s="77">
        <f>('TE BE'!$AA$5+'TE BF'!$AA$5+'TE CVA'!$AA$5)*1*(1-0.02)</f>
        <v>206.43109646347523</v>
      </c>
      <c r="AB138" s="77">
        <f>(SUBSIDIO!$J$138*SUBSIDIO!$V$138)*(0.04)/(1-0.04)</f>
        <v>0</v>
      </c>
      <c r="AC138" s="77">
        <f>((SUBSIDIO!$L$138*SUBSIDIO!$W$138)+(SUBSIDIO!$N$138*SUBSIDIO!$X$138))*(0.04)/(1-0.04)</f>
        <v>4661.136544</v>
      </c>
      <c r="AD138" s="77">
        <f>(SUBSIDIO!$J$138*SUBSIDIO!$Y$138)*(0.02)/(1-0.02)</f>
        <v>0</v>
      </c>
      <c r="AE138" s="77">
        <f ca="1">((SUBSIDIO!$L$138*SUBSIDIO!$Z$138)+(SUBSIDIO!$N$138*SUBSIDIO!$AA$138))*(0.02)/(1-0.02)</f>
        <v>2283.6795489884871</v>
      </c>
      <c r="AF138" s="4" t="s">
        <v>808</v>
      </c>
    </row>
    <row r="139" spans="1:32" ht="11.25" customHeight="1" x14ac:dyDescent="0.25">
      <c r="A139" s="4" t="s">
        <v>28</v>
      </c>
      <c r="B139" s="4" t="s">
        <v>33</v>
      </c>
      <c r="C139" s="4" t="s">
        <v>34</v>
      </c>
      <c r="D139" s="4" t="s">
        <v>44</v>
      </c>
      <c r="E139" s="4" t="s">
        <v>25</v>
      </c>
      <c r="F139" s="4" t="s">
        <v>25</v>
      </c>
      <c r="G139" s="4" t="s">
        <v>25</v>
      </c>
      <c r="H139" s="4" t="s">
        <v>35</v>
      </c>
      <c r="I139" s="5">
        <v>44531</v>
      </c>
      <c r="J139" s="6">
        <v>0</v>
      </c>
      <c r="K139" s="77">
        <v>0</v>
      </c>
      <c r="L139" s="6">
        <v>9.3789999999999996</v>
      </c>
      <c r="M139" s="77">
        <v>9.3789999999999996</v>
      </c>
      <c r="N139" s="6">
        <v>9.3789999999999996</v>
      </c>
      <c r="O139" s="77">
        <v>9.3789999999999996</v>
      </c>
      <c r="P139" s="6">
        <v>0</v>
      </c>
      <c r="Q139" s="4" t="s">
        <v>26</v>
      </c>
      <c r="R139" s="4">
        <v>0</v>
      </c>
      <c r="S139" s="4">
        <v>0</v>
      </c>
      <c r="T139" s="4">
        <v>7</v>
      </c>
      <c r="U139" s="4">
        <v>48</v>
      </c>
      <c r="V139" s="77">
        <f>IF(ISERROR(VLOOKUP($S$139,'TAR FIN'!$A$1:$O$85,15,0)),0,VLOOKUP($S$139,'TAR FIN'!$A$1:$O$85,15,0))</f>
        <v>0</v>
      </c>
      <c r="W139" s="77">
        <f>IF(ISERROR(VLOOKUP($T$139,'TAR FIN'!$A$1:$O$85,15,0)),0,VLOOKUP($T$139,'TAR FIN'!$A$1:$O$85,15,0))*(1-0.04)</f>
        <v>910.22399999999993</v>
      </c>
      <c r="X139" s="77">
        <f>IF(ISERROR(VLOOKUP($U$139,'TAR FIN'!$A$1:$O$85,15,0)),0,VLOOKUP($U$139,'TAR FIN'!$A$1:$O$85,15,0))*(1-0.04)</f>
        <v>252.75840000000002</v>
      </c>
      <c r="Y139" s="77"/>
      <c r="Z139" s="77">
        <f ca="1">('TUSD BE'!$AM$11+'TUSD BF'!$AM$11+'TUSD CVA'!$AM$11)*1*(1-0.02)</f>
        <v>956.89459124248037</v>
      </c>
      <c r="AA139" s="77">
        <f>('TE BE'!$AA$5+'TE BF'!$AA$5+'TE CVA'!$AA$5)*1*(1-0.02)</f>
        <v>206.43109646347523</v>
      </c>
      <c r="AB139" s="77">
        <f>(SUBSIDIO!$J$139*SUBSIDIO!$V$139)*(0.04)/(1-0.04)</f>
        <v>0</v>
      </c>
      <c r="AC139" s="77">
        <f>((SUBSIDIO!$L$139*SUBSIDIO!$W$139)+(SUBSIDIO!$N$139*SUBSIDIO!$X$139))*(0.04)/(1-0.04)</f>
        <v>454.48383040000004</v>
      </c>
      <c r="AD139" s="77">
        <f>(SUBSIDIO!$J$139*SUBSIDIO!$Y$139)*(0.02)/(1-0.02)</f>
        <v>0</v>
      </c>
      <c r="AE139" s="77">
        <f ca="1">((SUBSIDIO!$L$139*SUBSIDIO!$Z$139)+(SUBSIDIO!$N$139*SUBSIDIO!$AA$139))*(0.02)/(1-0.02)</f>
        <v>222.67003316314606</v>
      </c>
      <c r="AF139" s="4" t="s">
        <v>808</v>
      </c>
    </row>
    <row r="140" spans="1:32" ht="11.25" customHeight="1" x14ac:dyDescent="0.25">
      <c r="A140" s="4" t="s">
        <v>21</v>
      </c>
      <c r="B140" s="4" t="s">
        <v>33</v>
      </c>
      <c r="C140" s="4" t="s">
        <v>34</v>
      </c>
      <c r="D140" s="4" t="s">
        <v>44</v>
      </c>
      <c r="E140" s="4" t="s">
        <v>25</v>
      </c>
      <c r="F140" s="4" t="s">
        <v>25</v>
      </c>
      <c r="G140" s="4" t="s">
        <v>25</v>
      </c>
      <c r="H140" s="4" t="s">
        <v>35</v>
      </c>
      <c r="I140" s="5">
        <v>44562</v>
      </c>
      <c r="J140" s="6">
        <v>0</v>
      </c>
      <c r="K140" s="77">
        <v>0</v>
      </c>
      <c r="L140" s="6">
        <v>105.491</v>
      </c>
      <c r="M140" s="77">
        <v>105.491</v>
      </c>
      <c r="N140" s="6">
        <v>105.491</v>
      </c>
      <c r="O140" s="77">
        <v>105.491</v>
      </c>
      <c r="P140" s="6">
        <v>0</v>
      </c>
      <c r="Q140" s="4" t="s">
        <v>26</v>
      </c>
      <c r="R140" s="4">
        <v>0</v>
      </c>
      <c r="S140" s="4">
        <v>0</v>
      </c>
      <c r="T140" s="4">
        <v>7</v>
      </c>
      <c r="U140" s="4">
        <v>48</v>
      </c>
      <c r="V140" s="77">
        <f>IF(ISERROR(VLOOKUP($S$140,'TAR FIN'!$A$1:$O$85,15,0)),0,VLOOKUP($S$140,'TAR FIN'!$A$1:$O$85,15,0))</f>
        <v>0</v>
      </c>
      <c r="W140" s="77">
        <f>IF(ISERROR(VLOOKUP($T$140,'TAR FIN'!$A$1:$O$85,15,0)),0,VLOOKUP($T$140,'TAR FIN'!$A$1:$O$85,15,0))*(1-0.04)</f>
        <v>910.22399999999993</v>
      </c>
      <c r="X140" s="77">
        <f>IF(ISERROR(VLOOKUP($U$140,'TAR FIN'!$A$1:$O$85,15,0)),0,VLOOKUP($U$140,'TAR FIN'!$A$1:$O$85,15,0))*(1-0.04)</f>
        <v>252.75840000000002</v>
      </c>
      <c r="Y140" s="77"/>
      <c r="Z140" s="77">
        <f ca="1">('TUSD BE'!$AM$11+'TUSD BF'!$AM$11+'TUSD CVA'!$AM$11)*1*(1-0.02)</f>
        <v>956.89459124248037</v>
      </c>
      <c r="AA140" s="77">
        <f>('TE BE'!$AA$5+'TE BF'!$AA$5+'TE CVA'!$AA$5)*1*(1-0.02)</f>
        <v>206.43109646347523</v>
      </c>
      <c r="AB140" s="77">
        <f>(SUBSIDIO!$J$140*SUBSIDIO!$V$140)*(0.04)/(1-0.04)</f>
        <v>0</v>
      </c>
      <c r="AC140" s="77">
        <f>((SUBSIDIO!$L$140*SUBSIDIO!$W$140)+(SUBSIDIO!$N$140*SUBSIDIO!$X$140))*(0.04)/(1-0.04)</f>
        <v>5111.8406816000006</v>
      </c>
      <c r="AD140" s="77">
        <f>(SUBSIDIO!$J$140*SUBSIDIO!$Y$140)*(0.02)/(1-0.02)</f>
        <v>0</v>
      </c>
      <c r="AE140" s="77">
        <f ca="1">((SUBSIDIO!$L$140*SUBSIDIO!$Z$140)+(SUBSIDIO!$N$140*SUBSIDIO!$AA$140))*(0.02)/(1-0.02)</f>
        <v>2504.49775758753</v>
      </c>
      <c r="AF140" s="4" t="s">
        <v>808</v>
      </c>
    </row>
    <row r="141" spans="1:32" ht="11.25" customHeight="1" x14ac:dyDescent="0.25">
      <c r="A141" s="4" t="s">
        <v>28</v>
      </c>
      <c r="B141" s="4" t="s">
        <v>33</v>
      </c>
      <c r="C141" s="4" t="s">
        <v>34</v>
      </c>
      <c r="D141" s="4" t="s">
        <v>44</v>
      </c>
      <c r="E141" s="4" t="s">
        <v>25</v>
      </c>
      <c r="F141" s="4" t="s">
        <v>25</v>
      </c>
      <c r="G141" s="4" t="s">
        <v>25</v>
      </c>
      <c r="H141" s="4" t="s">
        <v>35</v>
      </c>
      <c r="I141" s="5">
        <v>44562</v>
      </c>
      <c r="J141" s="6">
        <v>0</v>
      </c>
      <c r="K141" s="77">
        <v>0</v>
      </c>
      <c r="L141" s="6">
        <v>9.3650000000000002</v>
      </c>
      <c r="M141" s="77">
        <v>9.3650000000000002</v>
      </c>
      <c r="N141" s="6">
        <v>9.3650000000000002</v>
      </c>
      <c r="O141" s="77">
        <v>9.3650000000000002</v>
      </c>
      <c r="P141" s="6">
        <v>0</v>
      </c>
      <c r="Q141" s="4" t="s">
        <v>26</v>
      </c>
      <c r="R141" s="4">
        <v>0</v>
      </c>
      <c r="S141" s="4">
        <v>0</v>
      </c>
      <c r="T141" s="4">
        <v>7</v>
      </c>
      <c r="U141" s="4">
        <v>48</v>
      </c>
      <c r="V141" s="77">
        <f>IF(ISERROR(VLOOKUP($S$141,'TAR FIN'!$A$1:$O$85,15,0)),0,VLOOKUP($S$141,'TAR FIN'!$A$1:$O$85,15,0))</f>
        <v>0</v>
      </c>
      <c r="W141" s="77">
        <f>IF(ISERROR(VLOOKUP($T$141,'TAR FIN'!$A$1:$O$85,15,0)),0,VLOOKUP($T$141,'TAR FIN'!$A$1:$O$85,15,0))*(1-0.04)</f>
        <v>910.22399999999993</v>
      </c>
      <c r="X141" s="77">
        <f>IF(ISERROR(VLOOKUP($U$141,'TAR FIN'!$A$1:$O$85,15,0)),0,VLOOKUP($U$141,'TAR FIN'!$A$1:$O$85,15,0))*(1-0.04)</f>
        <v>252.75840000000002</v>
      </c>
      <c r="Y141" s="77"/>
      <c r="Z141" s="77">
        <f ca="1">('TUSD BE'!$AM$11+'TUSD BF'!$AM$11+'TUSD CVA'!$AM$11)*1*(1-0.02)</f>
        <v>956.89459124248037</v>
      </c>
      <c r="AA141" s="77">
        <f>('TE BE'!$AA$5+'TE BF'!$AA$5+'TE CVA'!$AA$5)*1*(1-0.02)</f>
        <v>206.43109646347523</v>
      </c>
      <c r="AB141" s="77">
        <f>(SUBSIDIO!$J$141*SUBSIDIO!$V$141)*(0.04)/(1-0.04)</f>
        <v>0</v>
      </c>
      <c r="AC141" s="77">
        <f>((SUBSIDIO!$L$141*SUBSIDIO!$W$141)+(SUBSIDIO!$N$141*SUBSIDIO!$X$141))*(0.04)/(1-0.04)</f>
        <v>453.80542400000002</v>
      </c>
      <c r="AD141" s="77">
        <f>(SUBSIDIO!$J$141*SUBSIDIO!$Y$141)*(0.02)/(1-0.02)</f>
        <v>0</v>
      </c>
      <c r="AE141" s="77">
        <f ca="1">((SUBSIDIO!$L$141*SUBSIDIO!$Z$141)+(SUBSIDIO!$N$141*SUBSIDIO!$AA$141))*(0.02)/(1-0.02)</f>
        <v>222.33765439523009</v>
      </c>
      <c r="AF141" s="4" t="s">
        <v>808</v>
      </c>
    </row>
    <row r="142" spans="1:32" ht="11.25" customHeight="1" x14ac:dyDescent="0.25">
      <c r="A142" s="4" t="s">
        <v>21</v>
      </c>
      <c r="B142" s="4" t="s">
        <v>33</v>
      </c>
      <c r="C142" s="4" t="s">
        <v>34</v>
      </c>
      <c r="D142" s="4" t="s">
        <v>44</v>
      </c>
      <c r="E142" s="4" t="s">
        <v>25</v>
      </c>
      <c r="F142" s="4" t="s">
        <v>25</v>
      </c>
      <c r="G142" s="4" t="s">
        <v>25</v>
      </c>
      <c r="H142" s="4" t="s">
        <v>35</v>
      </c>
      <c r="I142" s="5">
        <v>44593</v>
      </c>
      <c r="J142" s="6">
        <v>0</v>
      </c>
      <c r="K142" s="77">
        <v>0</v>
      </c>
      <c r="L142" s="6">
        <v>108.82</v>
      </c>
      <c r="M142" s="77">
        <v>108.82</v>
      </c>
      <c r="N142" s="6">
        <v>108.82</v>
      </c>
      <c r="O142" s="77">
        <v>108.82</v>
      </c>
      <c r="P142" s="6">
        <v>0</v>
      </c>
      <c r="Q142" s="4" t="s">
        <v>26</v>
      </c>
      <c r="R142" s="4">
        <v>0</v>
      </c>
      <c r="S142" s="4">
        <v>0</v>
      </c>
      <c r="T142" s="4">
        <v>7</v>
      </c>
      <c r="U142" s="4">
        <v>48</v>
      </c>
      <c r="V142" s="77">
        <f>IF(ISERROR(VLOOKUP($S$142,'TAR FIN'!$A$1:$O$85,15,0)),0,VLOOKUP($S$142,'TAR FIN'!$A$1:$O$85,15,0))</f>
        <v>0</v>
      </c>
      <c r="W142" s="77">
        <f>IF(ISERROR(VLOOKUP($T$142,'TAR FIN'!$A$1:$O$85,15,0)),0,VLOOKUP($T$142,'TAR FIN'!$A$1:$O$85,15,0))*(1-0.04)</f>
        <v>910.22399999999993</v>
      </c>
      <c r="X142" s="77">
        <f>IF(ISERROR(VLOOKUP($U$142,'TAR FIN'!$A$1:$O$85,15,0)),0,VLOOKUP($U$142,'TAR FIN'!$A$1:$O$85,15,0))*(1-0.04)</f>
        <v>252.75840000000002</v>
      </c>
      <c r="Y142" s="77"/>
      <c r="Z142" s="77">
        <f ca="1">('TUSD BE'!$AM$11+'TUSD BF'!$AM$11+'TUSD CVA'!$AM$11)*1*(1-0.02)</f>
        <v>956.89459124248037</v>
      </c>
      <c r="AA142" s="77">
        <f>('TE BE'!$AA$5+'TE BF'!$AA$5+'TE CVA'!$AA$5)*1*(1-0.02)</f>
        <v>206.43109646347523</v>
      </c>
      <c r="AB142" s="77">
        <f>(SUBSIDIO!$J$142*SUBSIDIO!$V$142)*(0.04)/(1-0.04)</f>
        <v>0</v>
      </c>
      <c r="AC142" s="77">
        <f>((SUBSIDIO!$L$142*SUBSIDIO!$W$142)+(SUBSIDIO!$N$142*SUBSIDIO!$X$142))*(0.04)/(1-0.04)</f>
        <v>5273.156031999999</v>
      </c>
      <c r="AD142" s="77">
        <f>(SUBSIDIO!$J$142*SUBSIDIO!$Y$142)*(0.02)/(1-0.02)</f>
        <v>0</v>
      </c>
      <c r="AE142" s="77">
        <f ca="1">((SUBSIDIO!$L$142*SUBSIDIO!$Z$142)+(SUBSIDIO!$N$142*SUBSIDIO!$AA$142))*(0.02)/(1-0.02)</f>
        <v>2583.5326803298385</v>
      </c>
      <c r="AF142" s="4" t="s">
        <v>808</v>
      </c>
    </row>
    <row r="143" spans="1:32" ht="11.25" customHeight="1" x14ac:dyDescent="0.25">
      <c r="A143" s="4" t="s">
        <v>21</v>
      </c>
      <c r="B143" s="4" t="s">
        <v>33</v>
      </c>
      <c r="C143" s="4" t="s">
        <v>34</v>
      </c>
      <c r="D143" s="4" t="s">
        <v>44</v>
      </c>
      <c r="E143" s="4" t="s">
        <v>25</v>
      </c>
      <c r="F143" s="4" t="s">
        <v>25</v>
      </c>
      <c r="G143" s="4" t="s">
        <v>25</v>
      </c>
      <c r="H143" s="4" t="s">
        <v>35</v>
      </c>
      <c r="I143" s="5">
        <v>44621</v>
      </c>
      <c r="J143" s="6">
        <v>0</v>
      </c>
      <c r="K143" s="77">
        <v>0</v>
      </c>
      <c r="L143" s="6">
        <v>115.779</v>
      </c>
      <c r="M143" s="77">
        <v>115.779</v>
      </c>
      <c r="N143" s="6">
        <v>115.779</v>
      </c>
      <c r="O143" s="77">
        <v>115.779</v>
      </c>
      <c r="P143" s="6">
        <v>0</v>
      </c>
      <c r="Q143" s="4" t="s">
        <v>26</v>
      </c>
      <c r="R143" s="4">
        <v>0</v>
      </c>
      <c r="S143" s="4">
        <v>0</v>
      </c>
      <c r="T143" s="4">
        <v>7</v>
      </c>
      <c r="U143" s="4">
        <v>48</v>
      </c>
      <c r="V143" s="77">
        <f>IF(ISERROR(VLOOKUP($S$143,'TAR FIN'!$A$1:$O$85,15,0)),0,VLOOKUP($S$143,'TAR FIN'!$A$1:$O$85,15,0))</f>
        <v>0</v>
      </c>
      <c r="W143" s="77">
        <f>IF(ISERROR(VLOOKUP($T$143,'TAR FIN'!$A$1:$O$85,15,0)),0,VLOOKUP($T$143,'TAR FIN'!$A$1:$O$85,15,0))*(1-0.04)</f>
        <v>910.22399999999993</v>
      </c>
      <c r="X143" s="77">
        <f>IF(ISERROR(VLOOKUP($U$143,'TAR FIN'!$A$1:$O$85,15,0)),0,VLOOKUP($U$143,'TAR FIN'!$A$1:$O$85,15,0))*(1-0.04)</f>
        <v>252.75840000000002</v>
      </c>
      <c r="Y143" s="77"/>
      <c r="Z143" s="77">
        <f ca="1">('TUSD BE'!$AM$11+'TUSD BF'!$AM$11+'TUSD CVA'!$AM$11)*1*(1-0.02)</f>
        <v>956.89459124248037</v>
      </c>
      <c r="AA143" s="77">
        <f>('TE BE'!$AA$5+'TE BF'!$AA$5+'TE CVA'!$AA$5)*1*(1-0.02)</f>
        <v>206.43109646347523</v>
      </c>
      <c r="AB143" s="77">
        <f>(SUBSIDIO!$J$143*SUBSIDIO!$V$143)*(0.04)/(1-0.04)</f>
        <v>0</v>
      </c>
      <c r="AC143" s="77">
        <f>((SUBSIDIO!$L$143*SUBSIDIO!$W$143)+(SUBSIDIO!$N$143*SUBSIDIO!$X$143))*(0.04)/(1-0.04)</f>
        <v>5610.3724703999997</v>
      </c>
      <c r="AD143" s="77">
        <f>(SUBSIDIO!$J$143*SUBSIDIO!$Y$143)*(0.02)/(1-0.02)</f>
        <v>0</v>
      </c>
      <c r="AE143" s="77">
        <f ca="1">((SUBSIDIO!$L$143*SUBSIDIO!$Z$143)+(SUBSIDIO!$N$143*SUBSIDIO!$AA$143))*(0.02)/(1-0.02)</f>
        <v>2748.7486693246492</v>
      </c>
      <c r="AF143" s="4" t="s">
        <v>808</v>
      </c>
    </row>
    <row r="144" spans="1:32" ht="11.25" customHeight="1" x14ac:dyDescent="0.25">
      <c r="A144" s="4" t="s">
        <v>28</v>
      </c>
      <c r="B144" s="4" t="s">
        <v>33</v>
      </c>
      <c r="C144" s="4" t="s">
        <v>34</v>
      </c>
      <c r="D144" s="4" t="s">
        <v>44</v>
      </c>
      <c r="E144" s="4" t="s">
        <v>25</v>
      </c>
      <c r="F144" s="4" t="s">
        <v>25</v>
      </c>
      <c r="G144" s="4" t="s">
        <v>25</v>
      </c>
      <c r="H144" s="4" t="s">
        <v>35</v>
      </c>
      <c r="I144" s="5">
        <v>44621</v>
      </c>
      <c r="J144" s="6">
        <v>0</v>
      </c>
      <c r="K144" s="77">
        <v>0</v>
      </c>
      <c r="L144" s="6">
        <v>20.672000000000001</v>
      </c>
      <c r="M144" s="77">
        <v>20.672000000000001</v>
      </c>
      <c r="N144" s="6">
        <v>20.672000000000001</v>
      </c>
      <c r="O144" s="77">
        <v>20.672000000000001</v>
      </c>
      <c r="P144" s="6">
        <v>0</v>
      </c>
      <c r="Q144" s="4" t="s">
        <v>26</v>
      </c>
      <c r="R144" s="4">
        <v>0</v>
      </c>
      <c r="S144" s="4">
        <v>0</v>
      </c>
      <c r="T144" s="4">
        <v>7</v>
      </c>
      <c r="U144" s="4">
        <v>48</v>
      </c>
      <c r="V144" s="77">
        <f>IF(ISERROR(VLOOKUP($S$144,'TAR FIN'!$A$1:$O$85,15,0)),0,VLOOKUP($S$144,'TAR FIN'!$A$1:$O$85,15,0))</f>
        <v>0</v>
      </c>
      <c r="W144" s="77">
        <f>IF(ISERROR(VLOOKUP($T$144,'TAR FIN'!$A$1:$O$85,15,0)),0,VLOOKUP($T$144,'TAR FIN'!$A$1:$O$85,15,0))*(1-0.04)</f>
        <v>910.22399999999993</v>
      </c>
      <c r="X144" s="77">
        <f>IF(ISERROR(VLOOKUP($U$144,'TAR FIN'!$A$1:$O$85,15,0)),0,VLOOKUP($U$144,'TAR FIN'!$A$1:$O$85,15,0))*(1-0.04)</f>
        <v>252.75840000000002</v>
      </c>
      <c r="Y144" s="77"/>
      <c r="Z144" s="77">
        <f ca="1">('TUSD BE'!$AM$11+'TUSD BF'!$AM$11+'TUSD CVA'!$AM$11)*1*(1-0.02)</f>
        <v>956.89459124248037</v>
      </c>
      <c r="AA144" s="77">
        <f>('TE BE'!$AA$5+'TE BF'!$AA$5+'TE CVA'!$AA$5)*1*(1-0.02)</f>
        <v>206.43109646347523</v>
      </c>
      <c r="AB144" s="77">
        <f>(SUBSIDIO!$J$144*SUBSIDIO!$V$144)*(0.04)/(1-0.04)</f>
        <v>0</v>
      </c>
      <c r="AC144" s="77">
        <f>((SUBSIDIO!$L$144*SUBSIDIO!$W$144)+(SUBSIDIO!$N$144*SUBSIDIO!$X$144))*(0.04)/(1-0.04)</f>
        <v>1001.7155071999999</v>
      </c>
      <c r="AD144" s="77">
        <f>(SUBSIDIO!$J$144*SUBSIDIO!$Y$144)*(0.02)/(1-0.02)</f>
        <v>0</v>
      </c>
      <c r="AE144" s="77">
        <f ca="1">((SUBSIDIO!$L$144*SUBSIDIO!$Z$144)+(SUBSIDIO!$N$144*SUBSIDIO!$AA$144))*(0.02)/(1-0.02)</f>
        <v>490.78099216852075</v>
      </c>
      <c r="AF144" s="4" t="s">
        <v>808</v>
      </c>
    </row>
    <row r="145" spans="1:32" ht="11.25" customHeight="1" x14ac:dyDescent="0.25">
      <c r="A145" s="4" t="s">
        <v>21</v>
      </c>
      <c r="B145" s="4" t="s">
        <v>33</v>
      </c>
      <c r="C145" s="4" t="s">
        <v>34</v>
      </c>
      <c r="D145" s="4" t="s">
        <v>44</v>
      </c>
      <c r="E145" s="4" t="s">
        <v>25</v>
      </c>
      <c r="F145" s="4" t="s">
        <v>25</v>
      </c>
      <c r="G145" s="4" t="s">
        <v>25</v>
      </c>
      <c r="H145" s="4" t="s">
        <v>35</v>
      </c>
      <c r="I145" s="5">
        <v>44652</v>
      </c>
      <c r="J145" s="6">
        <v>0</v>
      </c>
      <c r="K145" s="77">
        <v>0</v>
      </c>
      <c r="L145" s="6">
        <v>83.061000000000007</v>
      </c>
      <c r="M145" s="77">
        <v>83.061000000000007</v>
      </c>
      <c r="N145" s="6">
        <v>83.061000000000007</v>
      </c>
      <c r="O145" s="77">
        <v>83.061000000000007</v>
      </c>
      <c r="P145" s="6">
        <v>0</v>
      </c>
      <c r="Q145" s="4" t="s">
        <v>26</v>
      </c>
      <c r="R145" s="4">
        <v>0</v>
      </c>
      <c r="S145" s="4">
        <v>0</v>
      </c>
      <c r="T145" s="4">
        <v>7</v>
      </c>
      <c r="U145" s="4">
        <v>48</v>
      </c>
      <c r="V145" s="77">
        <f>IF(ISERROR(VLOOKUP($S$145,'TAR FIN'!$A$1:$O$85,15,0)),0,VLOOKUP($S$145,'TAR FIN'!$A$1:$O$85,15,0))</f>
        <v>0</v>
      </c>
      <c r="W145" s="77">
        <f>IF(ISERROR(VLOOKUP($T$145,'TAR FIN'!$A$1:$O$85,15,0)),0,VLOOKUP($T$145,'TAR FIN'!$A$1:$O$85,15,0))*(1-0.04)</f>
        <v>910.22399999999993</v>
      </c>
      <c r="X145" s="77">
        <f>IF(ISERROR(VLOOKUP($U$145,'TAR FIN'!$A$1:$O$85,15,0)),0,VLOOKUP($U$145,'TAR FIN'!$A$1:$O$85,15,0))*(1-0.04)</f>
        <v>252.75840000000002</v>
      </c>
      <c r="Y145" s="77"/>
      <c r="Z145" s="77">
        <f ca="1">('TUSD BE'!$AM$11+'TUSD BF'!$AM$11+'TUSD CVA'!$AM$11)*1*(1-0.02)</f>
        <v>956.89459124248037</v>
      </c>
      <c r="AA145" s="77">
        <f>('TE BE'!$AA$5+'TE BF'!$AA$5+'TE CVA'!$AA$5)*1*(1-0.02)</f>
        <v>206.43109646347523</v>
      </c>
      <c r="AB145" s="77">
        <f>(SUBSIDIO!$J$145*SUBSIDIO!$V$145)*(0.04)/(1-0.04)</f>
        <v>0</v>
      </c>
      <c r="AC145" s="77">
        <f>((SUBSIDIO!$L$145*SUBSIDIO!$W$145)+(SUBSIDIO!$N$145*SUBSIDIO!$X$145))*(0.04)/(1-0.04)</f>
        <v>4024.9367136000005</v>
      </c>
      <c r="AD145" s="77">
        <f>(SUBSIDIO!$J$145*SUBSIDIO!$Y$145)*(0.02)/(1-0.02)</f>
        <v>0</v>
      </c>
      <c r="AE145" s="77">
        <f ca="1">((SUBSIDIO!$L$145*SUBSIDIO!$Z$145)+(SUBSIDIO!$N$145*SUBSIDIO!$AA$145))*(0.02)/(1-0.02)</f>
        <v>1971.9794887049875</v>
      </c>
      <c r="AF145" s="4" t="s">
        <v>808</v>
      </c>
    </row>
    <row r="146" spans="1:32" ht="11.25" customHeight="1" x14ac:dyDescent="0.25">
      <c r="A146" s="4" t="s">
        <v>21</v>
      </c>
      <c r="B146" s="4" t="s">
        <v>33</v>
      </c>
      <c r="C146" s="4" t="s">
        <v>34</v>
      </c>
      <c r="D146" s="4" t="s">
        <v>50</v>
      </c>
      <c r="E146" s="4" t="s">
        <v>51</v>
      </c>
      <c r="F146" s="4" t="s">
        <v>25</v>
      </c>
      <c r="G146" s="4" t="s">
        <v>25</v>
      </c>
      <c r="H146" s="4" t="s">
        <v>36</v>
      </c>
      <c r="I146" s="5">
        <v>44317</v>
      </c>
      <c r="J146" s="6">
        <v>0</v>
      </c>
      <c r="K146" s="77">
        <v>0</v>
      </c>
      <c r="L146" s="6">
        <v>73.616</v>
      </c>
      <c r="M146" s="77">
        <v>73.616</v>
      </c>
      <c r="N146" s="6">
        <v>73.616</v>
      </c>
      <c r="O146" s="77">
        <v>73.616</v>
      </c>
      <c r="P146" s="6">
        <v>0</v>
      </c>
      <c r="Q146" s="4" t="s">
        <v>26</v>
      </c>
      <c r="R146" s="4">
        <v>0</v>
      </c>
      <c r="S146" s="4">
        <v>0</v>
      </c>
      <c r="T146" s="4">
        <v>8</v>
      </c>
      <c r="U146" s="4">
        <v>49</v>
      </c>
      <c r="V146" s="77">
        <f>IF(ISERROR(VLOOKUP($S$146,'TAR FIN'!$A$1:$O$85,15,0)),0,VLOOKUP($S$146,'TAR FIN'!$A$1:$O$85,15,0))</f>
        <v>0</v>
      </c>
      <c r="W146" s="77">
        <f>IF(ISERROR(VLOOKUP($T$146,'TAR FIN'!$A$1:$O$85,15,0)),0,VLOOKUP($T$146,'TAR FIN'!$A$1:$O$85,15,0))*(1-0.06)</f>
        <v>61.673399999999994</v>
      </c>
      <c r="X146" s="77">
        <f>IF(ISERROR(VLOOKUP($U$146,'TAR FIN'!$A$1:$O$85,15,0)),0,VLOOKUP($U$146,'TAR FIN'!$A$1:$O$85,15,0))*(1-0.06)</f>
        <v>247.49260000000001</v>
      </c>
      <c r="Y146" s="77"/>
      <c r="Z146" s="77">
        <f ca="1">('TUSD BE'!$AM$12+'TUSD BF'!$AM$12+'TUSD CVA'!$AM$12)*1*(1-0.03)</f>
        <v>97.33606921531846</v>
      </c>
      <c r="AA146" s="77">
        <f>('TE BE'!$AA$6+'TE BF'!$AA$6+'TE CVA'!$AA$6)*1*(1-0.03)</f>
        <v>204.32465670364385</v>
      </c>
      <c r="AB146" s="77">
        <f>(SUBSIDIO!$J$146*SUBSIDIO!$V$146)*(0.06)/(1-0.06)</f>
        <v>0</v>
      </c>
      <c r="AC146" s="77">
        <f>((SUBSIDIO!$L$146*SUBSIDIO!$W$146)+(SUBSIDIO!$N$146*SUBSIDIO!$X$146))*(0.06)/(1-0.06)</f>
        <v>1452.7381439999999</v>
      </c>
      <c r="AD146" s="77">
        <f>(SUBSIDIO!$J$146*SUBSIDIO!$Y$146)*(0.03)/(1-0.03)</f>
        <v>0</v>
      </c>
      <c r="AE146" s="77">
        <f ca="1">((SUBSIDIO!$L$146*SUBSIDIO!$Z$146)+(SUBSIDIO!$N$146*SUBSIDIO!$AA$146))*(0.03)/(1-0.03)</f>
        <v>686.81616492526791</v>
      </c>
      <c r="AF146" s="4" t="s">
        <v>810</v>
      </c>
    </row>
    <row r="147" spans="1:32" ht="11.25" customHeight="1" x14ac:dyDescent="0.25">
      <c r="A147" s="4" t="s">
        <v>21</v>
      </c>
      <c r="B147" s="4" t="s">
        <v>33</v>
      </c>
      <c r="C147" s="4" t="s">
        <v>34</v>
      </c>
      <c r="D147" s="4" t="s">
        <v>50</v>
      </c>
      <c r="E147" s="4" t="s">
        <v>51</v>
      </c>
      <c r="F147" s="4" t="s">
        <v>25</v>
      </c>
      <c r="G147" s="4" t="s">
        <v>25</v>
      </c>
      <c r="H147" s="4" t="s">
        <v>36</v>
      </c>
      <c r="I147" s="5">
        <v>44348</v>
      </c>
      <c r="J147" s="6">
        <v>0</v>
      </c>
      <c r="K147" s="77">
        <v>0</v>
      </c>
      <c r="L147" s="6">
        <v>85.453000000000003</v>
      </c>
      <c r="M147" s="77">
        <v>85.453000000000003</v>
      </c>
      <c r="N147" s="6">
        <v>85.453000000000003</v>
      </c>
      <c r="O147" s="77">
        <v>85.453000000000003</v>
      </c>
      <c r="P147" s="6">
        <v>0</v>
      </c>
      <c r="Q147" s="4" t="s">
        <v>26</v>
      </c>
      <c r="R147" s="4">
        <v>0</v>
      </c>
      <c r="S147" s="4">
        <v>0</v>
      </c>
      <c r="T147" s="4">
        <v>8</v>
      </c>
      <c r="U147" s="4">
        <v>49</v>
      </c>
      <c r="V147" s="77">
        <f>IF(ISERROR(VLOOKUP($S$147,'TAR FIN'!$A$1:$O$85,15,0)),0,VLOOKUP($S$147,'TAR FIN'!$A$1:$O$85,15,0))</f>
        <v>0</v>
      </c>
      <c r="W147" s="77">
        <f>IF(ISERROR(VLOOKUP($T$147,'TAR FIN'!$A$1:$O$85,15,0)),0,VLOOKUP($T$147,'TAR FIN'!$A$1:$O$85,15,0))*(1-0.06)</f>
        <v>61.673399999999994</v>
      </c>
      <c r="X147" s="77">
        <f>IF(ISERROR(VLOOKUP($U$147,'TAR FIN'!$A$1:$O$85,15,0)),0,VLOOKUP($U$147,'TAR FIN'!$A$1:$O$85,15,0))*(1-0.06)</f>
        <v>247.49260000000001</v>
      </c>
      <c r="Y147" s="77"/>
      <c r="Z147" s="77">
        <f ca="1">('TUSD BE'!$AM$12+'TUSD BF'!$AM$12+'TUSD CVA'!$AM$12)*1*(1-0.03)</f>
        <v>97.33606921531846</v>
      </c>
      <c r="AA147" s="77">
        <f>('TE BE'!$AA$6+'TE BF'!$AA$6+'TE CVA'!$AA$6)*1*(1-0.03)</f>
        <v>204.32465670364385</v>
      </c>
      <c r="AB147" s="77">
        <f>(SUBSIDIO!$J$147*SUBSIDIO!$V$147)*(0.06)/(1-0.06)</f>
        <v>0</v>
      </c>
      <c r="AC147" s="77">
        <f>((SUBSIDIO!$L$147*SUBSIDIO!$W$147)+(SUBSIDIO!$N$147*SUBSIDIO!$X$147))*(0.06)/(1-0.06)</f>
        <v>1686.329502</v>
      </c>
      <c r="AD147" s="77">
        <f>(SUBSIDIO!$J$147*SUBSIDIO!$Y$147)*(0.03)/(1-0.03)</f>
        <v>0</v>
      </c>
      <c r="AE147" s="77">
        <f ca="1">((SUBSIDIO!$L$147*SUBSIDIO!$Z$147)+(SUBSIDIO!$N$147*SUBSIDIO!$AA$147))*(0.03)/(1-0.03)</f>
        <v>797.25197975112644</v>
      </c>
      <c r="AF147" s="4" t="s">
        <v>810</v>
      </c>
    </row>
    <row r="148" spans="1:32" ht="11.25" customHeight="1" x14ac:dyDescent="0.25">
      <c r="A148" s="4" t="s">
        <v>21</v>
      </c>
      <c r="B148" s="4" t="s">
        <v>33</v>
      </c>
      <c r="C148" s="4" t="s">
        <v>34</v>
      </c>
      <c r="D148" s="4" t="s">
        <v>50</v>
      </c>
      <c r="E148" s="4" t="s">
        <v>51</v>
      </c>
      <c r="F148" s="4" t="s">
        <v>25</v>
      </c>
      <c r="G148" s="4" t="s">
        <v>25</v>
      </c>
      <c r="H148" s="4" t="s">
        <v>36</v>
      </c>
      <c r="I148" s="5">
        <v>44378</v>
      </c>
      <c r="J148" s="6">
        <v>0</v>
      </c>
      <c r="K148" s="77">
        <v>0</v>
      </c>
      <c r="L148" s="6">
        <v>87.182000000000002</v>
      </c>
      <c r="M148" s="77">
        <v>87.182000000000002</v>
      </c>
      <c r="N148" s="6">
        <v>87.182000000000002</v>
      </c>
      <c r="O148" s="77">
        <v>87.182000000000002</v>
      </c>
      <c r="P148" s="6">
        <v>0</v>
      </c>
      <c r="Q148" s="4" t="s">
        <v>26</v>
      </c>
      <c r="R148" s="4">
        <v>0</v>
      </c>
      <c r="S148" s="4">
        <v>0</v>
      </c>
      <c r="T148" s="4">
        <v>8</v>
      </c>
      <c r="U148" s="4">
        <v>49</v>
      </c>
      <c r="V148" s="77">
        <f>IF(ISERROR(VLOOKUP($S$148,'TAR FIN'!$A$1:$O$85,15,0)),0,VLOOKUP($S$148,'TAR FIN'!$A$1:$O$85,15,0))</f>
        <v>0</v>
      </c>
      <c r="W148" s="77">
        <f>IF(ISERROR(VLOOKUP($T$148,'TAR FIN'!$A$1:$O$85,15,0)),0,VLOOKUP($T$148,'TAR FIN'!$A$1:$O$85,15,0))*(1-0.06)</f>
        <v>61.673399999999994</v>
      </c>
      <c r="X148" s="77">
        <f>IF(ISERROR(VLOOKUP($U$148,'TAR FIN'!$A$1:$O$85,15,0)),0,VLOOKUP($U$148,'TAR FIN'!$A$1:$O$85,15,0))*(1-0.06)</f>
        <v>247.49260000000001</v>
      </c>
      <c r="Y148" s="77"/>
      <c r="Z148" s="77">
        <f ca="1">('TUSD BE'!$AM$12+'TUSD BF'!$AM$12+'TUSD CVA'!$AM$12)*1*(1-0.03)</f>
        <v>97.33606921531846</v>
      </c>
      <c r="AA148" s="77">
        <f>('TE BE'!$AA$6+'TE BF'!$AA$6+'TE CVA'!$AA$6)*1*(1-0.03)</f>
        <v>204.32465670364385</v>
      </c>
      <c r="AB148" s="77">
        <f>(SUBSIDIO!$J$148*SUBSIDIO!$V$148)*(0.06)/(1-0.06)</f>
        <v>0</v>
      </c>
      <c r="AC148" s="77">
        <f>((SUBSIDIO!$L$148*SUBSIDIO!$W$148)+(SUBSIDIO!$N$148*SUBSIDIO!$X$148))*(0.06)/(1-0.06)</f>
        <v>1720.4495879999999</v>
      </c>
      <c r="AD148" s="77">
        <f>(SUBSIDIO!$J$148*SUBSIDIO!$Y$148)*(0.03)/(1-0.03)</f>
        <v>0</v>
      </c>
      <c r="AE148" s="77">
        <f ca="1">((SUBSIDIO!$L$148*SUBSIDIO!$Z$148)+(SUBSIDIO!$N$148*SUBSIDIO!$AA$148))*(0.03)/(1-0.03)</f>
        <v>813.38305382681358</v>
      </c>
      <c r="AF148" s="4" t="s">
        <v>810</v>
      </c>
    </row>
    <row r="149" spans="1:32" ht="11.25" customHeight="1" x14ac:dyDescent="0.25">
      <c r="A149" s="4" t="s">
        <v>21</v>
      </c>
      <c r="B149" s="4" t="s">
        <v>33</v>
      </c>
      <c r="C149" s="4" t="s">
        <v>34</v>
      </c>
      <c r="D149" s="4" t="s">
        <v>50</v>
      </c>
      <c r="E149" s="4" t="s">
        <v>51</v>
      </c>
      <c r="F149" s="4" t="s">
        <v>25</v>
      </c>
      <c r="G149" s="4" t="s">
        <v>25</v>
      </c>
      <c r="H149" s="4" t="s">
        <v>36</v>
      </c>
      <c r="I149" s="5">
        <v>44409</v>
      </c>
      <c r="J149" s="6">
        <v>0</v>
      </c>
      <c r="K149" s="77">
        <v>0</v>
      </c>
      <c r="L149" s="6">
        <v>82.013999999999996</v>
      </c>
      <c r="M149" s="77">
        <v>82.013999999999996</v>
      </c>
      <c r="N149" s="6">
        <v>82.013999999999996</v>
      </c>
      <c r="O149" s="77">
        <v>82.013999999999996</v>
      </c>
      <c r="P149" s="6">
        <v>0</v>
      </c>
      <c r="Q149" s="4" t="s">
        <v>26</v>
      </c>
      <c r="R149" s="4">
        <v>0</v>
      </c>
      <c r="S149" s="4">
        <v>0</v>
      </c>
      <c r="T149" s="4">
        <v>8</v>
      </c>
      <c r="U149" s="4">
        <v>49</v>
      </c>
      <c r="V149" s="77">
        <f>IF(ISERROR(VLOOKUP($S$149,'TAR FIN'!$A$1:$O$85,15,0)),0,VLOOKUP($S$149,'TAR FIN'!$A$1:$O$85,15,0))</f>
        <v>0</v>
      </c>
      <c r="W149" s="77">
        <f>IF(ISERROR(VLOOKUP($T$149,'TAR FIN'!$A$1:$O$85,15,0)),0,VLOOKUP($T$149,'TAR FIN'!$A$1:$O$85,15,0))*(1-0.06)</f>
        <v>61.673399999999994</v>
      </c>
      <c r="X149" s="77">
        <f>IF(ISERROR(VLOOKUP($U$149,'TAR FIN'!$A$1:$O$85,15,0)),0,VLOOKUP($U$149,'TAR FIN'!$A$1:$O$85,15,0))*(1-0.06)</f>
        <v>247.49260000000001</v>
      </c>
      <c r="Y149" s="77"/>
      <c r="Z149" s="77">
        <f ca="1">('TUSD BE'!$AM$12+'TUSD BF'!$AM$12+'TUSD CVA'!$AM$12)*1*(1-0.03)</f>
        <v>97.33606921531846</v>
      </c>
      <c r="AA149" s="77">
        <f>('TE BE'!$AA$6+'TE BF'!$AA$6+'TE CVA'!$AA$6)*1*(1-0.03)</f>
        <v>204.32465670364385</v>
      </c>
      <c r="AB149" s="77">
        <f>(SUBSIDIO!$J$149*SUBSIDIO!$V$149)*(0.06)/(1-0.06)</f>
        <v>0</v>
      </c>
      <c r="AC149" s="77">
        <f>((SUBSIDIO!$L$149*SUBSIDIO!$W$149)+(SUBSIDIO!$N$149*SUBSIDIO!$X$149))*(0.06)/(1-0.06)</f>
        <v>1618.4642759999999</v>
      </c>
      <c r="AD149" s="77">
        <f>(SUBSIDIO!$J$149*SUBSIDIO!$Y$149)*(0.03)/(1-0.03)</f>
        <v>0</v>
      </c>
      <c r="AE149" s="77">
        <f ca="1">((SUBSIDIO!$L$149*SUBSIDIO!$Z$149)+(SUBSIDIO!$N$149*SUBSIDIO!$AA$149))*(0.03)/(1-0.03)</f>
        <v>765.16709615003424</v>
      </c>
      <c r="AF149" s="4" t="s">
        <v>810</v>
      </c>
    </row>
    <row r="150" spans="1:32" ht="11.25" customHeight="1" x14ac:dyDescent="0.25">
      <c r="A150" s="4" t="s">
        <v>21</v>
      </c>
      <c r="B150" s="4" t="s">
        <v>33</v>
      </c>
      <c r="C150" s="4" t="s">
        <v>34</v>
      </c>
      <c r="D150" s="4" t="s">
        <v>50</v>
      </c>
      <c r="E150" s="4" t="s">
        <v>51</v>
      </c>
      <c r="F150" s="4" t="s">
        <v>25</v>
      </c>
      <c r="G150" s="4" t="s">
        <v>25</v>
      </c>
      <c r="H150" s="4" t="s">
        <v>36</v>
      </c>
      <c r="I150" s="5">
        <v>44440</v>
      </c>
      <c r="J150" s="6">
        <v>0</v>
      </c>
      <c r="K150" s="77">
        <v>0</v>
      </c>
      <c r="L150" s="6">
        <v>76.3</v>
      </c>
      <c r="M150" s="77">
        <v>76.3</v>
      </c>
      <c r="N150" s="6">
        <v>76.3</v>
      </c>
      <c r="O150" s="77">
        <v>76.3</v>
      </c>
      <c r="P150" s="6">
        <v>0</v>
      </c>
      <c r="Q150" s="4" t="s">
        <v>26</v>
      </c>
      <c r="R150" s="4">
        <v>0</v>
      </c>
      <c r="S150" s="4">
        <v>0</v>
      </c>
      <c r="T150" s="4">
        <v>8</v>
      </c>
      <c r="U150" s="4">
        <v>49</v>
      </c>
      <c r="V150" s="77">
        <f>IF(ISERROR(VLOOKUP($S$150,'TAR FIN'!$A$1:$O$85,15,0)),0,VLOOKUP($S$150,'TAR FIN'!$A$1:$O$85,15,0))</f>
        <v>0</v>
      </c>
      <c r="W150" s="77">
        <f>IF(ISERROR(VLOOKUP($T$150,'TAR FIN'!$A$1:$O$85,15,0)),0,VLOOKUP($T$150,'TAR FIN'!$A$1:$O$85,15,0))*(1-0.06)</f>
        <v>61.673399999999994</v>
      </c>
      <c r="X150" s="77">
        <f>IF(ISERROR(VLOOKUP($U$150,'TAR FIN'!$A$1:$O$85,15,0)),0,VLOOKUP($U$150,'TAR FIN'!$A$1:$O$85,15,0))*(1-0.06)</f>
        <v>247.49260000000001</v>
      </c>
      <c r="Y150" s="77"/>
      <c r="Z150" s="77">
        <f ca="1">('TUSD BE'!$AM$12+'TUSD BF'!$AM$12+'TUSD CVA'!$AM$12)*1*(1-0.03)</f>
        <v>97.33606921531846</v>
      </c>
      <c r="AA150" s="77">
        <f>('TE BE'!$AA$6+'TE BF'!$AA$6+'TE CVA'!$AA$6)*1*(1-0.03)</f>
        <v>204.32465670364385</v>
      </c>
      <c r="AB150" s="77">
        <f>(SUBSIDIO!$J$150*SUBSIDIO!$V$150)*(0.06)/(1-0.06)</f>
        <v>0</v>
      </c>
      <c r="AC150" s="77">
        <f>((SUBSIDIO!$L$150*SUBSIDIO!$W$150)+(SUBSIDIO!$N$150*SUBSIDIO!$X$150))*(0.06)/(1-0.06)</f>
        <v>1505.7042000000001</v>
      </c>
      <c r="AD150" s="77">
        <f>(SUBSIDIO!$J$150*SUBSIDIO!$Y$150)*(0.03)/(1-0.03)</f>
        <v>0</v>
      </c>
      <c r="AE150" s="77">
        <f ca="1">((SUBSIDIO!$L$150*SUBSIDIO!$Z$150)+(SUBSIDIO!$N$150*SUBSIDIO!$AA$150))*(0.03)/(1-0.03)</f>
        <v>711.85711508093266</v>
      </c>
      <c r="AF150" s="4" t="s">
        <v>810</v>
      </c>
    </row>
    <row r="151" spans="1:32" ht="11.25" customHeight="1" x14ac:dyDescent="0.25">
      <c r="A151" s="4" t="s">
        <v>21</v>
      </c>
      <c r="B151" s="4" t="s">
        <v>33</v>
      </c>
      <c r="C151" s="4" t="s">
        <v>34</v>
      </c>
      <c r="D151" s="4" t="s">
        <v>50</v>
      </c>
      <c r="E151" s="4" t="s">
        <v>51</v>
      </c>
      <c r="F151" s="4" t="s">
        <v>25</v>
      </c>
      <c r="G151" s="4" t="s">
        <v>25</v>
      </c>
      <c r="H151" s="4" t="s">
        <v>36</v>
      </c>
      <c r="I151" s="5">
        <v>44470</v>
      </c>
      <c r="J151" s="6">
        <v>0</v>
      </c>
      <c r="K151" s="77">
        <v>0</v>
      </c>
      <c r="L151" s="6">
        <v>82.744</v>
      </c>
      <c r="M151" s="77">
        <v>82.744</v>
      </c>
      <c r="N151" s="6">
        <v>82.744</v>
      </c>
      <c r="O151" s="77">
        <v>82.744</v>
      </c>
      <c r="P151" s="6">
        <v>0</v>
      </c>
      <c r="Q151" s="4" t="s">
        <v>26</v>
      </c>
      <c r="R151" s="4">
        <v>0</v>
      </c>
      <c r="S151" s="4">
        <v>0</v>
      </c>
      <c r="T151" s="4">
        <v>8</v>
      </c>
      <c r="U151" s="4">
        <v>49</v>
      </c>
      <c r="V151" s="77">
        <f>IF(ISERROR(VLOOKUP($S$151,'TAR FIN'!$A$1:$O$85,15,0)),0,VLOOKUP($S$151,'TAR FIN'!$A$1:$O$85,15,0))</f>
        <v>0</v>
      </c>
      <c r="W151" s="77">
        <f>IF(ISERROR(VLOOKUP($T$151,'TAR FIN'!$A$1:$O$85,15,0)),0,VLOOKUP($T$151,'TAR FIN'!$A$1:$O$85,15,0))*(1-0.06)</f>
        <v>61.673399999999994</v>
      </c>
      <c r="X151" s="77">
        <f>IF(ISERROR(VLOOKUP($U$151,'TAR FIN'!$A$1:$O$85,15,0)),0,VLOOKUP($U$151,'TAR FIN'!$A$1:$O$85,15,0))*(1-0.06)</f>
        <v>247.49260000000001</v>
      </c>
      <c r="Y151" s="77"/>
      <c r="Z151" s="77">
        <f ca="1">('TUSD BE'!$AM$12+'TUSD BF'!$AM$12+'TUSD CVA'!$AM$12)*1*(1-0.03)</f>
        <v>97.33606921531846</v>
      </c>
      <c r="AA151" s="77">
        <f>('TE BE'!$AA$6+'TE BF'!$AA$6+'TE CVA'!$AA$6)*1*(1-0.03)</f>
        <v>204.32465670364385</v>
      </c>
      <c r="AB151" s="77">
        <f>(SUBSIDIO!$J$151*SUBSIDIO!$V$151)*(0.06)/(1-0.06)</f>
        <v>0</v>
      </c>
      <c r="AC151" s="77">
        <f>((SUBSIDIO!$L$151*SUBSIDIO!$W$151)+(SUBSIDIO!$N$151*SUBSIDIO!$X$151))*(0.06)/(1-0.06)</f>
        <v>1632.8700959999999</v>
      </c>
      <c r="AD151" s="77">
        <f>(SUBSIDIO!$J$151*SUBSIDIO!$Y$151)*(0.03)/(1-0.03)</f>
        <v>0</v>
      </c>
      <c r="AE151" s="77">
        <f ca="1">((SUBSIDIO!$L$151*SUBSIDIO!$Z$151)+(SUBSIDIO!$N$151*SUBSIDIO!$AA$151))*(0.03)/(1-0.03)</f>
        <v>771.97778676614269</v>
      </c>
      <c r="AF151" s="4" t="s">
        <v>810</v>
      </c>
    </row>
    <row r="152" spans="1:32" ht="11.25" customHeight="1" x14ac:dyDescent="0.25">
      <c r="A152" s="4" t="s">
        <v>21</v>
      </c>
      <c r="B152" s="4" t="s">
        <v>33</v>
      </c>
      <c r="C152" s="4" t="s">
        <v>34</v>
      </c>
      <c r="D152" s="4" t="s">
        <v>50</v>
      </c>
      <c r="E152" s="4" t="s">
        <v>51</v>
      </c>
      <c r="F152" s="4" t="s">
        <v>25</v>
      </c>
      <c r="G152" s="4" t="s">
        <v>25</v>
      </c>
      <c r="H152" s="4" t="s">
        <v>36</v>
      </c>
      <c r="I152" s="5">
        <v>44501</v>
      </c>
      <c r="J152" s="6">
        <v>0</v>
      </c>
      <c r="K152" s="77">
        <v>0</v>
      </c>
      <c r="L152" s="6">
        <v>92.778999999999996</v>
      </c>
      <c r="M152" s="77">
        <v>92.778999999999996</v>
      </c>
      <c r="N152" s="6">
        <v>92.778999999999996</v>
      </c>
      <c r="O152" s="77">
        <v>92.778999999999996</v>
      </c>
      <c r="P152" s="6">
        <v>0</v>
      </c>
      <c r="Q152" s="4" t="s">
        <v>26</v>
      </c>
      <c r="R152" s="4">
        <v>0</v>
      </c>
      <c r="S152" s="4">
        <v>0</v>
      </c>
      <c r="T152" s="4">
        <v>8</v>
      </c>
      <c r="U152" s="4">
        <v>49</v>
      </c>
      <c r="V152" s="77">
        <f>IF(ISERROR(VLOOKUP($S$152,'TAR FIN'!$A$1:$O$85,15,0)),0,VLOOKUP($S$152,'TAR FIN'!$A$1:$O$85,15,0))</f>
        <v>0</v>
      </c>
      <c r="W152" s="77">
        <f>IF(ISERROR(VLOOKUP($T$152,'TAR FIN'!$A$1:$O$85,15,0)),0,VLOOKUP($T$152,'TAR FIN'!$A$1:$O$85,15,0))*(1-0.06)</f>
        <v>61.673399999999994</v>
      </c>
      <c r="X152" s="77">
        <f>IF(ISERROR(VLOOKUP($U$152,'TAR FIN'!$A$1:$O$85,15,0)),0,VLOOKUP($U$152,'TAR FIN'!$A$1:$O$85,15,0))*(1-0.06)</f>
        <v>247.49260000000001</v>
      </c>
      <c r="Y152" s="77"/>
      <c r="Z152" s="77">
        <f ca="1">('TUSD BE'!$AM$12+'TUSD BF'!$AM$12+'TUSD CVA'!$AM$12)*1*(1-0.03)</f>
        <v>97.33606921531846</v>
      </c>
      <c r="AA152" s="77">
        <f>('TE BE'!$AA$6+'TE BF'!$AA$6+'TE CVA'!$AA$6)*1*(1-0.03)</f>
        <v>204.32465670364385</v>
      </c>
      <c r="AB152" s="77">
        <f>(SUBSIDIO!$J$152*SUBSIDIO!$V$152)*(0.06)/(1-0.06)</f>
        <v>0</v>
      </c>
      <c r="AC152" s="77">
        <f>((SUBSIDIO!$L$152*SUBSIDIO!$W$152)+(SUBSIDIO!$N$152*SUBSIDIO!$X$152))*(0.06)/(1-0.06)</f>
        <v>1830.9007859999999</v>
      </c>
      <c r="AD152" s="77">
        <f>(SUBSIDIO!$J$152*SUBSIDIO!$Y$152)*(0.03)/(1-0.03)</f>
        <v>0</v>
      </c>
      <c r="AE152" s="77">
        <f ca="1">((SUBSIDIO!$L$152*SUBSIDIO!$Z$152)+(SUBSIDIO!$N$152*SUBSIDIO!$AA$152))*(0.03)/(1-0.03)</f>
        <v>865.60145845470322</v>
      </c>
      <c r="AF152" s="4" t="s">
        <v>810</v>
      </c>
    </row>
    <row r="153" spans="1:32" ht="11.25" customHeight="1" x14ac:dyDescent="0.25">
      <c r="A153" s="4" t="s">
        <v>21</v>
      </c>
      <c r="B153" s="4" t="s">
        <v>33</v>
      </c>
      <c r="C153" s="4" t="s">
        <v>34</v>
      </c>
      <c r="D153" s="4" t="s">
        <v>50</v>
      </c>
      <c r="E153" s="4" t="s">
        <v>51</v>
      </c>
      <c r="F153" s="4" t="s">
        <v>25</v>
      </c>
      <c r="G153" s="4" t="s">
        <v>25</v>
      </c>
      <c r="H153" s="4" t="s">
        <v>36</v>
      </c>
      <c r="I153" s="5">
        <v>44531</v>
      </c>
      <c r="J153" s="6">
        <v>0</v>
      </c>
      <c r="K153" s="77">
        <v>0</v>
      </c>
      <c r="L153" s="6">
        <v>96.944999999999993</v>
      </c>
      <c r="M153" s="77">
        <v>96.944999999999993</v>
      </c>
      <c r="N153" s="6">
        <v>96.944999999999993</v>
      </c>
      <c r="O153" s="77">
        <v>96.944999999999993</v>
      </c>
      <c r="P153" s="6">
        <v>0</v>
      </c>
      <c r="Q153" s="4" t="s">
        <v>26</v>
      </c>
      <c r="R153" s="4">
        <v>0</v>
      </c>
      <c r="S153" s="4">
        <v>0</v>
      </c>
      <c r="T153" s="4">
        <v>8</v>
      </c>
      <c r="U153" s="4">
        <v>49</v>
      </c>
      <c r="V153" s="77">
        <f>IF(ISERROR(VLOOKUP($S$153,'TAR FIN'!$A$1:$O$85,15,0)),0,VLOOKUP($S$153,'TAR FIN'!$A$1:$O$85,15,0))</f>
        <v>0</v>
      </c>
      <c r="W153" s="77">
        <f>IF(ISERROR(VLOOKUP($T$153,'TAR FIN'!$A$1:$O$85,15,0)),0,VLOOKUP($T$153,'TAR FIN'!$A$1:$O$85,15,0))*(1-0.06)</f>
        <v>61.673399999999994</v>
      </c>
      <c r="X153" s="77">
        <f>IF(ISERROR(VLOOKUP($U$153,'TAR FIN'!$A$1:$O$85,15,0)),0,VLOOKUP($U$153,'TAR FIN'!$A$1:$O$85,15,0))*(1-0.06)</f>
        <v>247.49260000000001</v>
      </c>
      <c r="Y153" s="77"/>
      <c r="Z153" s="77">
        <f ca="1">('TUSD BE'!$AM$12+'TUSD BF'!$AM$12+'TUSD CVA'!$AM$12)*1*(1-0.03)</f>
        <v>97.33606921531846</v>
      </c>
      <c r="AA153" s="77">
        <f>('TE BE'!$AA$6+'TE BF'!$AA$6+'TE CVA'!$AA$6)*1*(1-0.03)</f>
        <v>204.32465670364385</v>
      </c>
      <c r="AB153" s="77">
        <f>(SUBSIDIO!$J$153*SUBSIDIO!$V$153)*(0.06)/(1-0.06)</f>
        <v>0</v>
      </c>
      <c r="AC153" s="77">
        <f>((SUBSIDIO!$L$153*SUBSIDIO!$W$153)+(SUBSIDIO!$N$153*SUBSIDIO!$X$153))*(0.06)/(1-0.06)</f>
        <v>1913.1126299999999</v>
      </c>
      <c r="AD153" s="77">
        <f>(SUBSIDIO!$J$153*SUBSIDIO!$Y$153)*(0.03)/(1-0.03)</f>
        <v>0</v>
      </c>
      <c r="AE153" s="77">
        <f ca="1">((SUBSIDIO!$L$153*SUBSIDIO!$Z$153)+(SUBSIDIO!$N$153*SUBSIDIO!$AA$153))*(0.03)/(1-0.03)</f>
        <v>904.46904353238563</v>
      </c>
      <c r="AF153" s="4" t="s">
        <v>810</v>
      </c>
    </row>
    <row r="154" spans="1:32" ht="11.25" customHeight="1" x14ac:dyDescent="0.25">
      <c r="A154" s="4" t="s">
        <v>21</v>
      </c>
      <c r="B154" s="4" t="s">
        <v>33</v>
      </c>
      <c r="C154" s="4" t="s">
        <v>34</v>
      </c>
      <c r="D154" s="4" t="s">
        <v>50</v>
      </c>
      <c r="E154" s="4" t="s">
        <v>51</v>
      </c>
      <c r="F154" s="4" t="s">
        <v>25</v>
      </c>
      <c r="G154" s="4" t="s">
        <v>25</v>
      </c>
      <c r="H154" s="4" t="s">
        <v>36</v>
      </c>
      <c r="I154" s="5">
        <v>44562</v>
      </c>
      <c r="J154" s="6">
        <v>0</v>
      </c>
      <c r="K154" s="77">
        <v>0</v>
      </c>
      <c r="L154" s="6">
        <v>105.916</v>
      </c>
      <c r="M154" s="77">
        <v>105.916</v>
      </c>
      <c r="N154" s="6">
        <v>105.916</v>
      </c>
      <c r="O154" s="77">
        <v>105.916</v>
      </c>
      <c r="P154" s="6">
        <v>0</v>
      </c>
      <c r="Q154" s="4" t="s">
        <v>26</v>
      </c>
      <c r="R154" s="4">
        <v>0</v>
      </c>
      <c r="S154" s="4">
        <v>0</v>
      </c>
      <c r="T154" s="4">
        <v>8</v>
      </c>
      <c r="U154" s="4">
        <v>49</v>
      </c>
      <c r="V154" s="77">
        <f>IF(ISERROR(VLOOKUP($S$154,'TAR FIN'!$A$1:$O$85,15,0)),0,VLOOKUP($S$154,'TAR FIN'!$A$1:$O$85,15,0))</f>
        <v>0</v>
      </c>
      <c r="W154" s="77">
        <f>IF(ISERROR(VLOOKUP($T$154,'TAR FIN'!$A$1:$O$85,15,0)),0,VLOOKUP($T$154,'TAR FIN'!$A$1:$O$85,15,0))*(1-0.06)</f>
        <v>61.673399999999994</v>
      </c>
      <c r="X154" s="77">
        <f>IF(ISERROR(VLOOKUP($U$154,'TAR FIN'!$A$1:$O$85,15,0)),0,VLOOKUP($U$154,'TAR FIN'!$A$1:$O$85,15,0))*(1-0.06)</f>
        <v>247.49260000000001</v>
      </c>
      <c r="Y154" s="77"/>
      <c r="Z154" s="77">
        <f ca="1">('TUSD BE'!$AM$12+'TUSD BF'!$AM$12+'TUSD CVA'!$AM$12)*1*(1-0.03)</f>
        <v>97.33606921531846</v>
      </c>
      <c r="AA154" s="77">
        <f>('TE BE'!$AA$6+'TE BF'!$AA$6+'TE CVA'!$AA$6)*1*(1-0.03)</f>
        <v>204.32465670364385</v>
      </c>
      <c r="AB154" s="77">
        <f>(SUBSIDIO!$J$154*SUBSIDIO!$V$154)*(0.06)/(1-0.06)</f>
        <v>0</v>
      </c>
      <c r="AC154" s="77">
        <f>((SUBSIDIO!$L$154*SUBSIDIO!$W$154)+(SUBSIDIO!$N$154*SUBSIDIO!$X$154))*(0.06)/(1-0.06)</f>
        <v>2090.1463439999998</v>
      </c>
      <c r="AD154" s="77">
        <f>(SUBSIDIO!$J$154*SUBSIDIO!$Y$154)*(0.03)/(1-0.03)</f>
        <v>0</v>
      </c>
      <c r="AE154" s="77">
        <f ca="1">((SUBSIDIO!$L$154*SUBSIDIO!$Z$154)+(SUBSIDIO!$N$154*SUBSIDIO!$AA$154))*(0.03)/(1-0.03)</f>
        <v>988.16590040513847</v>
      </c>
      <c r="AF154" s="4" t="s">
        <v>810</v>
      </c>
    </row>
    <row r="155" spans="1:32" ht="11.25" customHeight="1" x14ac:dyDescent="0.25">
      <c r="A155" s="4" t="s">
        <v>21</v>
      </c>
      <c r="B155" s="4" t="s">
        <v>33</v>
      </c>
      <c r="C155" s="4" t="s">
        <v>34</v>
      </c>
      <c r="D155" s="4" t="s">
        <v>50</v>
      </c>
      <c r="E155" s="4" t="s">
        <v>51</v>
      </c>
      <c r="F155" s="4" t="s">
        <v>25</v>
      </c>
      <c r="G155" s="4" t="s">
        <v>25</v>
      </c>
      <c r="H155" s="4" t="s">
        <v>36</v>
      </c>
      <c r="I155" s="5">
        <v>44593</v>
      </c>
      <c r="J155" s="6">
        <v>0</v>
      </c>
      <c r="K155" s="77">
        <v>0</v>
      </c>
      <c r="L155" s="6">
        <v>106.723</v>
      </c>
      <c r="M155" s="77">
        <v>106.723</v>
      </c>
      <c r="N155" s="6">
        <v>106.723</v>
      </c>
      <c r="O155" s="77">
        <v>106.723</v>
      </c>
      <c r="P155" s="6">
        <v>0</v>
      </c>
      <c r="Q155" s="4" t="s">
        <v>26</v>
      </c>
      <c r="R155" s="4">
        <v>0</v>
      </c>
      <c r="S155" s="4">
        <v>0</v>
      </c>
      <c r="T155" s="4">
        <v>8</v>
      </c>
      <c r="U155" s="4">
        <v>49</v>
      </c>
      <c r="V155" s="77">
        <f>IF(ISERROR(VLOOKUP($S$155,'TAR FIN'!$A$1:$O$85,15,0)),0,VLOOKUP($S$155,'TAR FIN'!$A$1:$O$85,15,0))</f>
        <v>0</v>
      </c>
      <c r="W155" s="77">
        <f>IF(ISERROR(VLOOKUP($T$155,'TAR FIN'!$A$1:$O$85,15,0)),0,VLOOKUP($T$155,'TAR FIN'!$A$1:$O$85,15,0))*(1-0.06)</f>
        <v>61.673399999999994</v>
      </c>
      <c r="X155" s="77">
        <f>IF(ISERROR(VLOOKUP($U$155,'TAR FIN'!$A$1:$O$85,15,0)),0,VLOOKUP($U$155,'TAR FIN'!$A$1:$O$85,15,0))*(1-0.06)</f>
        <v>247.49260000000001</v>
      </c>
      <c r="Y155" s="77"/>
      <c r="Z155" s="77">
        <f ca="1">('TUSD BE'!$AM$12+'TUSD BF'!$AM$12+'TUSD CVA'!$AM$12)*1*(1-0.03)</f>
        <v>97.33606921531846</v>
      </c>
      <c r="AA155" s="77">
        <f>('TE BE'!$AA$6+'TE BF'!$AA$6+'TE CVA'!$AA$6)*1*(1-0.03)</f>
        <v>204.32465670364385</v>
      </c>
      <c r="AB155" s="77">
        <f>(SUBSIDIO!$J$155*SUBSIDIO!$V$155)*(0.06)/(1-0.06)</f>
        <v>0</v>
      </c>
      <c r="AC155" s="77">
        <f>((SUBSIDIO!$L$155*SUBSIDIO!$W$155)+(SUBSIDIO!$N$155*SUBSIDIO!$X$155))*(0.06)/(1-0.06)</f>
        <v>2106.0716819999998</v>
      </c>
      <c r="AD155" s="77">
        <f>(SUBSIDIO!$J$155*SUBSIDIO!$Y$155)*(0.03)/(1-0.03)</f>
        <v>0</v>
      </c>
      <c r="AE155" s="77">
        <f ca="1">((SUBSIDIO!$L$155*SUBSIDIO!$Z$155)+(SUBSIDIO!$N$155*SUBSIDIO!$AA$155))*(0.03)/(1-0.03)</f>
        <v>995.69497893554887</v>
      </c>
      <c r="AF155" s="4" t="s">
        <v>810</v>
      </c>
    </row>
    <row r="156" spans="1:32" ht="11.25" customHeight="1" x14ac:dyDescent="0.25">
      <c r="A156" s="4" t="s">
        <v>21</v>
      </c>
      <c r="B156" s="4" t="s">
        <v>33</v>
      </c>
      <c r="C156" s="4" t="s">
        <v>34</v>
      </c>
      <c r="D156" s="4" t="s">
        <v>50</v>
      </c>
      <c r="E156" s="4" t="s">
        <v>51</v>
      </c>
      <c r="F156" s="4" t="s">
        <v>25</v>
      </c>
      <c r="G156" s="4" t="s">
        <v>25</v>
      </c>
      <c r="H156" s="4" t="s">
        <v>36</v>
      </c>
      <c r="I156" s="5">
        <v>44621</v>
      </c>
      <c r="J156" s="6">
        <v>0</v>
      </c>
      <c r="K156" s="77">
        <v>0</v>
      </c>
      <c r="L156" s="6">
        <v>120.622</v>
      </c>
      <c r="M156" s="77">
        <v>120.622</v>
      </c>
      <c r="N156" s="6">
        <v>120.622</v>
      </c>
      <c r="O156" s="77">
        <v>120.622</v>
      </c>
      <c r="P156" s="6">
        <v>0</v>
      </c>
      <c r="Q156" s="4" t="s">
        <v>26</v>
      </c>
      <c r="R156" s="4">
        <v>0</v>
      </c>
      <c r="S156" s="4">
        <v>0</v>
      </c>
      <c r="T156" s="4">
        <v>8</v>
      </c>
      <c r="U156" s="4">
        <v>49</v>
      </c>
      <c r="V156" s="77">
        <f>IF(ISERROR(VLOOKUP($S$156,'TAR FIN'!$A$1:$O$85,15,0)),0,VLOOKUP($S$156,'TAR FIN'!$A$1:$O$85,15,0))</f>
        <v>0</v>
      </c>
      <c r="W156" s="77">
        <f>IF(ISERROR(VLOOKUP($T$156,'TAR FIN'!$A$1:$O$85,15,0)),0,VLOOKUP($T$156,'TAR FIN'!$A$1:$O$85,15,0))*(1-0.06)</f>
        <v>61.673399999999994</v>
      </c>
      <c r="X156" s="77">
        <f>IF(ISERROR(VLOOKUP($U$156,'TAR FIN'!$A$1:$O$85,15,0)),0,VLOOKUP($U$156,'TAR FIN'!$A$1:$O$85,15,0))*(1-0.06)</f>
        <v>247.49260000000001</v>
      </c>
      <c r="Y156" s="77"/>
      <c r="Z156" s="77">
        <f ca="1">('TUSD BE'!$AM$12+'TUSD BF'!$AM$12+'TUSD CVA'!$AM$12)*1*(1-0.03)</f>
        <v>97.33606921531846</v>
      </c>
      <c r="AA156" s="77">
        <f>('TE BE'!$AA$6+'TE BF'!$AA$6+'TE CVA'!$AA$6)*1*(1-0.03)</f>
        <v>204.32465670364385</v>
      </c>
      <c r="AB156" s="77">
        <f>(SUBSIDIO!$J$156*SUBSIDIO!$V$156)*(0.06)/(1-0.06)</f>
        <v>0</v>
      </c>
      <c r="AC156" s="77">
        <f>((SUBSIDIO!$L$156*SUBSIDIO!$W$156)+(SUBSIDIO!$N$156*SUBSIDIO!$X$156))*(0.06)/(1-0.06)</f>
        <v>2380.3545479999998</v>
      </c>
      <c r="AD156" s="77">
        <f>(SUBSIDIO!$J$156*SUBSIDIO!$Y$156)*(0.03)/(1-0.03)</f>
        <v>0</v>
      </c>
      <c r="AE156" s="77">
        <f ca="1">((SUBSIDIO!$L$156*SUBSIDIO!$Z$156)+(SUBSIDIO!$N$156*SUBSIDIO!$AA$156))*(0.03)/(1-0.03)</f>
        <v>1125.3686623236206</v>
      </c>
      <c r="AF156" s="4" t="s">
        <v>810</v>
      </c>
    </row>
    <row r="157" spans="1:32" ht="11.25" customHeight="1" x14ac:dyDescent="0.25">
      <c r="A157" s="4" t="s">
        <v>21</v>
      </c>
      <c r="B157" s="4" t="s">
        <v>33</v>
      </c>
      <c r="C157" s="4" t="s">
        <v>34</v>
      </c>
      <c r="D157" s="4" t="s">
        <v>50</v>
      </c>
      <c r="E157" s="4" t="s">
        <v>51</v>
      </c>
      <c r="F157" s="4" t="s">
        <v>25</v>
      </c>
      <c r="G157" s="4" t="s">
        <v>25</v>
      </c>
      <c r="H157" s="4" t="s">
        <v>36</v>
      </c>
      <c r="I157" s="5">
        <v>44652</v>
      </c>
      <c r="J157" s="6">
        <v>0</v>
      </c>
      <c r="K157" s="77">
        <v>0</v>
      </c>
      <c r="L157" s="6">
        <v>110.827</v>
      </c>
      <c r="M157" s="77">
        <v>110.827</v>
      </c>
      <c r="N157" s="6">
        <v>110.827</v>
      </c>
      <c r="O157" s="77">
        <v>110.827</v>
      </c>
      <c r="P157" s="6">
        <v>0</v>
      </c>
      <c r="Q157" s="4" t="s">
        <v>26</v>
      </c>
      <c r="R157" s="4">
        <v>0</v>
      </c>
      <c r="S157" s="4">
        <v>0</v>
      </c>
      <c r="T157" s="4">
        <v>8</v>
      </c>
      <c r="U157" s="4">
        <v>49</v>
      </c>
      <c r="V157" s="77">
        <f>IF(ISERROR(VLOOKUP($S$157,'TAR FIN'!$A$1:$O$85,15,0)),0,VLOOKUP($S$157,'TAR FIN'!$A$1:$O$85,15,0))</f>
        <v>0</v>
      </c>
      <c r="W157" s="77">
        <f>IF(ISERROR(VLOOKUP($T$157,'TAR FIN'!$A$1:$O$85,15,0)),0,VLOOKUP($T$157,'TAR FIN'!$A$1:$O$85,15,0))*(1-0.06)</f>
        <v>61.673399999999994</v>
      </c>
      <c r="X157" s="77">
        <f>IF(ISERROR(VLOOKUP($U$157,'TAR FIN'!$A$1:$O$85,15,0)),0,VLOOKUP($U$157,'TAR FIN'!$A$1:$O$85,15,0))*(1-0.06)</f>
        <v>247.49260000000001</v>
      </c>
      <c r="Y157" s="77"/>
      <c r="Z157" s="77">
        <f ca="1">('TUSD BE'!$AM$12+'TUSD BF'!$AM$12+'TUSD CVA'!$AM$12)*1*(1-0.03)</f>
        <v>97.33606921531846</v>
      </c>
      <c r="AA157" s="77">
        <f>('TE BE'!$AA$6+'TE BF'!$AA$6+'TE CVA'!$AA$6)*1*(1-0.03)</f>
        <v>204.32465670364385</v>
      </c>
      <c r="AB157" s="77">
        <f>(SUBSIDIO!$J$157*SUBSIDIO!$V$157)*(0.06)/(1-0.06)</f>
        <v>0</v>
      </c>
      <c r="AC157" s="77">
        <f>((SUBSIDIO!$L$157*SUBSIDIO!$W$157)+(SUBSIDIO!$N$157*SUBSIDIO!$X$157))*(0.06)/(1-0.06)</f>
        <v>2187.0600179999997</v>
      </c>
      <c r="AD157" s="77">
        <f>(SUBSIDIO!$J$157*SUBSIDIO!$Y$157)*(0.03)/(1-0.03)</f>
        <v>0</v>
      </c>
      <c r="AE157" s="77">
        <f ca="1">((SUBSIDIO!$L$157*SUBSIDIO!$Z$157)+(SUBSIDIO!$N$157*SUBSIDIO!$AA$157))*(0.03)/(1-0.03)</f>
        <v>1033.9841217965206</v>
      </c>
      <c r="AF157" s="4" t="s">
        <v>810</v>
      </c>
    </row>
    <row r="158" spans="1:32" ht="11.25" customHeight="1" x14ac:dyDescent="0.25">
      <c r="A158" s="4" t="s">
        <v>21</v>
      </c>
      <c r="B158" s="4" t="s">
        <v>33</v>
      </c>
      <c r="C158" s="4" t="s">
        <v>34</v>
      </c>
      <c r="D158" s="4" t="s">
        <v>50</v>
      </c>
      <c r="E158" s="4" t="s">
        <v>51</v>
      </c>
      <c r="F158" s="4" t="s">
        <v>25</v>
      </c>
      <c r="G158" s="4" t="s">
        <v>25</v>
      </c>
      <c r="H158" s="4" t="s">
        <v>25</v>
      </c>
      <c r="I158" s="5">
        <v>44317</v>
      </c>
      <c r="J158" s="6">
        <v>259</v>
      </c>
      <c r="K158" s="78">
        <v>259</v>
      </c>
      <c r="L158" s="6">
        <v>0</v>
      </c>
      <c r="M158" s="77">
        <v>0</v>
      </c>
      <c r="N158" s="6">
        <v>0</v>
      </c>
      <c r="O158" s="77">
        <v>0</v>
      </c>
      <c r="P158" s="6">
        <v>3</v>
      </c>
      <c r="Q158" s="4" t="s">
        <v>26</v>
      </c>
      <c r="R158" s="4">
        <v>0</v>
      </c>
      <c r="S158" s="4">
        <v>6</v>
      </c>
      <c r="T158" s="4">
        <v>0</v>
      </c>
      <c r="U158" s="4">
        <v>0</v>
      </c>
      <c r="V158" s="77">
        <f>IF(ISERROR(VLOOKUP($S$158,'TAR FIN'!$A$1:$O$85,15,0)),0,VLOOKUP($S$158,'TAR FIN'!$A$1:$O$85,15,0))*(1-0.06)</f>
        <v>18.160799999999998</v>
      </c>
      <c r="W158" s="77">
        <f>IF(ISERROR(VLOOKUP($T$158,'TAR FIN'!$A$1:$O$85,15,0)),0,VLOOKUP($T$158,'TAR FIN'!$A$1:$O$85,15,0))</f>
        <v>0</v>
      </c>
      <c r="X158" s="77">
        <f>IF(ISERROR(VLOOKUP($U$158,'TAR FIN'!$A$1:$O$85,15,0)),0,VLOOKUP($U$158,'TAR FIN'!$A$1:$O$85,15,0))</f>
        <v>0</v>
      </c>
      <c r="Y158" s="77">
        <f ca="1">('TUSD BE'!$AM$10+'TUSD BF'!$AM$10+'TUSD CVA'!$AM$10)*1*(1-0.03)</f>
        <v>16.179640671294564</v>
      </c>
      <c r="Z158" s="77"/>
      <c r="AA158" s="77"/>
      <c r="AB158" s="77">
        <f>(SUBSIDIO!$J$158*SUBSIDIO!$V$158)*(0.06)/(1-0.06)</f>
        <v>300.2328</v>
      </c>
      <c r="AC158" s="77">
        <f>((SUBSIDIO!$L$158*SUBSIDIO!$W$158)+(SUBSIDIO!$N$158*SUBSIDIO!$X$158))*(0.06)/(1-0.06)</f>
        <v>0</v>
      </c>
      <c r="AD158" s="77">
        <f ca="1">(SUBSIDIO!$J$158*SUBSIDIO!$Y$158)*(0.03)/(1-0.03)</f>
        <v>129.60392578964823</v>
      </c>
      <c r="AE158" s="77">
        <f>((SUBSIDIO!$L$158*SUBSIDIO!$Z$158)+(SUBSIDIO!$N$158*SUBSIDIO!$AA$158))*(0.03)/(1-0.03)</f>
        <v>0</v>
      </c>
      <c r="AF158" s="4" t="s">
        <v>810</v>
      </c>
    </row>
    <row r="159" spans="1:32" ht="11.25" customHeight="1" x14ac:dyDescent="0.25">
      <c r="A159" s="4" t="s">
        <v>21</v>
      </c>
      <c r="B159" s="4" t="s">
        <v>33</v>
      </c>
      <c r="C159" s="4" t="s">
        <v>34</v>
      </c>
      <c r="D159" s="4" t="s">
        <v>50</v>
      </c>
      <c r="E159" s="4" t="s">
        <v>51</v>
      </c>
      <c r="F159" s="4" t="s">
        <v>25</v>
      </c>
      <c r="G159" s="4" t="s">
        <v>25</v>
      </c>
      <c r="H159" s="4" t="s">
        <v>25</v>
      </c>
      <c r="I159" s="5">
        <v>44348</v>
      </c>
      <c r="J159" s="6">
        <v>259</v>
      </c>
      <c r="K159" s="78">
        <v>259</v>
      </c>
      <c r="L159" s="6">
        <v>0</v>
      </c>
      <c r="M159" s="77">
        <v>0</v>
      </c>
      <c r="N159" s="6">
        <v>0</v>
      </c>
      <c r="O159" s="77">
        <v>0</v>
      </c>
      <c r="P159" s="6">
        <v>3</v>
      </c>
      <c r="Q159" s="4" t="s">
        <v>26</v>
      </c>
      <c r="R159" s="4">
        <v>0</v>
      </c>
      <c r="S159" s="4">
        <v>6</v>
      </c>
      <c r="T159" s="4">
        <v>0</v>
      </c>
      <c r="U159" s="4">
        <v>0</v>
      </c>
      <c r="V159" s="77">
        <f>IF(ISERROR(VLOOKUP($S$159,'TAR FIN'!$A$1:$O$85,15,0)),0,VLOOKUP($S$159,'TAR FIN'!$A$1:$O$85,15,0))*(1-0.06)</f>
        <v>18.160799999999998</v>
      </c>
      <c r="W159" s="77">
        <f>IF(ISERROR(VLOOKUP($T$159,'TAR FIN'!$A$1:$O$85,15,0)),0,VLOOKUP($T$159,'TAR FIN'!$A$1:$O$85,15,0))</f>
        <v>0</v>
      </c>
      <c r="X159" s="77">
        <f>IF(ISERROR(VLOOKUP($U$159,'TAR FIN'!$A$1:$O$85,15,0)),0,VLOOKUP($U$159,'TAR FIN'!$A$1:$O$85,15,0))</f>
        <v>0</v>
      </c>
      <c r="Y159" s="77">
        <f ca="1">('TUSD BE'!$AM$10+'TUSD BF'!$AM$10+'TUSD CVA'!$AM$10)*1*(1-0.03)</f>
        <v>16.179640671294564</v>
      </c>
      <c r="Z159" s="77"/>
      <c r="AA159" s="77"/>
      <c r="AB159" s="77">
        <f>(SUBSIDIO!$J$159*SUBSIDIO!$V$159)*(0.06)/(1-0.06)</f>
        <v>300.2328</v>
      </c>
      <c r="AC159" s="77">
        <f>((SUBSIDIO!$L$159*SUBSIDIO!$W$159)+(SUBSIDIO!$N$159*SUBSIDIO!$X$159))*(0.06)/(1-0.06)</f>
        <v>0</v>
      </c>
      <c r="AD159" s="77">
        <f ca="1">(SUBSIDIO!$J$159*SUBSIDIO!$Y$159)*(0.03)/(1-0.03)</f>
        <v>129.60392578964823</v>
      </c>
      <c r="AE159" s="77">
        <f>((SUBSIDIO!$L$159*SUBSIDIO!$Z$159)+(SUBSIDIO!$N$159*SUBSIDIO!$AA$159))*(0.03)/(1-0.03)</f>
        <v>0</v>
      </c>
      <c r="AF159" s="4" t="s">
        <v>810</v>
      </c>
    </row>
    <row r="160" spans="1:32" ht="11.25" customHeight="1" x14ac:dyDescent="0.25">
      <c r="A160" s="4" t="s">
        <v>21</v>
      </c>
      <c r="B160" s="4" t="s">
        <v>33</v>
      </c>
      <c r="C160" s="4" t="s">
        <v>34</v>
      </c>
      <c r="D160" s="4" t="s">
        <v>50</v>
      </c>
      <c r="E160" s="4" t="s">
        <v>51</v>
      </c>
      <c r="F160" s="4" t="s">
        <v>25</v>
      </c>
      <c r="G160" s="4" t="s">
        <v>25</v>
      </c>
      <c r="H160" s="4" t="s">
        <v>25</v>
      </c>
      <c r="I160" s="5">
        <v>44378</v>
      </c>
      <c r="J160" s="6">
        <v>259</v>
      </c>
      <c r="K160" s="78">
        <v>259</v>
      </c>
      <c r="L160" s="6">
        <v>0</v>
      </c>
      <c r="M160" s="77">
        <v>0</v>
      </c>
      <c r="N160" s="6">
        <v>0</v>
      </c>
      <c r="O160" s="77">
        <v>0</v>
      </c>
      <c r="P160" s="6">
        <v>3</v>
      </c>
      <c r="Q160" s="4" t="s">
        <v>26</v>
      </c>
      <c r="R160" s="4">
        <v>0</v>
      </c>
      <c r="S160" s="4">
        <v>6</v>
      </c>
      <c r="T160" s="4">
        <v>0</v>
      </c>
      <c r="U160" s="4">
        <v>0</v>
      </c>
      <c r="V160" s="77">
        <f>IF(ISERROR(VLOOKUP($S$160,'TAR FIN'!$A$1:$O$85,15,0)),0,VLOOKUP($S$160,'TAR FIN'!$A$1:$O$85,15,0))*(1-0.06)</f>
        <v>18.160799999999998</v>
      </c>
      <c r="W160" s="77">
        <f>IF(ISERROR(VLOOKUP($T$160,'TAR FIN'!$A$1:$O$85,15,0)),0,VLOOKUP($T$160,'TAR FIN'!$A$1:$O$85,15,0))</f>
        <v>0</v>
      </c>
      <c r="X160" s="77">
        <f>IF(ISERROR(VLOOKUP($U$160,'TAR FIN'!$A$1:$O$85,15,0)),0,VLOOKUP($U$160,'TAR FIN'!$A$1:$O$85,15,0))</f>
        <v>0</v>
      </c>
      <c r="Y160" s="77">
        <f ca="1">('TUSD BE'!$AM$10+'TUSD BF'!$AM$10+'TUSD CVA'!$AM$10)*1*(1-0.03)</f>
        <v>16.179640671294564</v>
      </c>
      <c r="Z160" s="77"/>
      <c r="AA160" s="77"/>
      <c r="AB160" s="77">
        <f>(SUBSIDIO!$J$160*SUBSIDIO!$V$160)*(0.06)/(1-0.06)</f>
        <v>300.2328</v>
      </c>
      <c r="AC160" s="77">
        <f>((SUBSIDIO!$L$160*SUBSIDIO!$W$160)+(SUBSIDIO!$N$160*SUBSIDIO!$X$160))*(0.06)/(1-0.06)</f>
        <v>0</v>
      </c>
      <c r="AD160" s="77">
        <f ca="1">(SUBSIDIO!$J$160*SUBSIDIO!$Y$160)*(0.03)/(1-0.03)</f>
        <v>129.60392578964823</v>
      </c>
      <c r="AE160" s="77">
        <f>((SUBSIDIO!$L$160*SUBSIDIO!$Z$160)+(SUBSIDIO!$N$160*SUBSIDIO!$AA$160))*(0.03)/(1-0.03)</f>
        <v>0</v>
      </c>
      <c r="AF160" s="4" t="s">
        <v>810</v>
      </c>
    </row>
    <row r="161" spans="1:32" ht="11.25" customHeight="1" x14ac:dyDescent="0.25">
      <c r="A161" s="4" t="s">
        <v>21</v>
      </c>
      <c r="B161" s="4" t="s">
        <v>33</v>
      </c>
      <c r="C161" s="4" t="s">
        <v>34</v>
      </c>
      <c r="D161" s="4" t="s">
        <v>50</v>
      </c>
      <c r="E161" s="4" t="s">
        <v>51</v>
      </c>
      <c r="F161" s="4" t="s">
        <v>25</v>
      </c>
      <c r="G161" s="4" t="s">
        <v>25</v>
      </c>
      <c r="H161" s="4" t="s">
        <v>25</v>
      </c>
      <c r="I161" s="5">
        <v>44409</v>
      </c>
      <c r="J161" s="6">
        <v>259</v>
      </c>
      <c r="K161" s="78">
        <v>259</v>
      </c>
      <c r="L161" s="6">
        <v>0</v>
      </c>
      <c r="M161" s="77">
        <v>0</v>
      </c>
      <c r="N161" s="6">
        <v>0</v>
      </c>
      <c r="O161" s="77">
        <v>0</v>
      </c>
      <c r="P161" s="6">
        <v>3</v>
      </c>
      <c r="Q161" s="4" t="s">
        <v>26</v>
      </c>
      <c r="R161" s="4">
        <v>0</v>
      </c>
      <c r="S161" s="4">
        <v>6</v>
      </c>
      <c r="T161" s="4">
        <v>0</v>
      </c>
      <c r="U161" s="4">
        <v>0</v>
      </c>
      <c r="V161" s="77">
        <f>IF(ISERROR(VLOOKUP($S$161,'TAR FIN'!$A$1:$O$85,15,0)),0,VLOOKUP($S$161,'TAR FIN'!$A$1:$O$85,15,0))*(1-0.06)</f>
        <v>18.160799999999998</v>
      </c>
      <c r="W161" s="77">
        <f>IF(ISERROR(VLOOKUP($T$161,'TAR FIN'!$A$1:$O$85,15,0)),0,VLOOKUP($T$161,'TAR FIN'!$A$1:$O$85,15,0))</f>
        <v>0</v>
      </c>
      <c r="X161" s="77">
        <f>IF(ISERROR(VLOOKUP($U$161,'TAR FIN'!$A$1:$O$85,15,0)),0,VLOOKUP($U$161,'TAR FIN'!$A$1:$O$85,15,0))</f>
        <v>0</v>
      </c>
      <c r="Y161" s="77">
        <f ca="1">('TUSD BE'!$AM$10+'TUSD BF'!$AM$10+'TUSD CVA'!$AM$10)*1*(1-0.03)</f>
        <v>16.179640671294564</v>
      </c>
      <c r="Z161" s="77"/>
      <c r="AA161" s="77"/>
      <c r="AB161" s="77">
        <f>(SUBSIDIO!$J$161*SUBSIDIO!$V$161)*(0.06)/(1-0.06)</f>
        <v>300.2328</v>
      </c>
      <c r="AC161" s="77">
        <f>((SUBSIDIO!$L$161*SUBSIDIO!$W$161)+(SUBSIDIO!$N$161*SUBSIDIO!$X$161))*(0.06)/(1-0.06)</f>
        <v>0</v>
      </c>
      <c r="AD161" s="77">
        <f ca="1">(SUBSIDIO!$J$161*SUBSIDIO!$Y$161)*(0.03)/(1-0.03)</f>
        <v>129.60392578964823</v>
      </c>
      <c r="AE161" s="77">
        <f>((SUBSIDIO!$L$161*SUBSIDIO!$Z$161)+(SUBSIDIO!$N$161*SUBSIDIO!$AA$161))*(0.03)/(1-0.03)</f>
        <v>0</v>
      </c>
      <c r="AF161" s="4" t="s">
        <v>810</v>
      </c>
    </row>
    <row r="162" spans="1:32" ht="11.25" customHeight="1" x14ac:dyDescent="0.25">
      <c r="A162" s="4" t="s">
        <v>21</v>
      </c>
      <c r="B162" s="4" t="s">
        <v>33</v>
      </c>
      <c r="C162" s="4" t="s">
        <v>34</v>
      </c>
      <c r="D162" s="4" t="s">
        <v>50</v>
      </c>
      <c r="E162" s="4" t="s">
        <v>51</v>
      </c>
      <c r="F162" s="4" t="s">
        <v>25</v>
      </c>
      <c r="G162" s="4" t="s">
        <v>25</v>
      </c>
      <c r="H162" s="4" t="s">
        <v>25</v>
      </c>
      <c r="I162" s="5">
        <v>44440</v>
      </c>
      <c r="J162" s="6">
        <v>261</v>
      </c>
      <c r="K162" s="78">
        <v>261</v>
      </c>
      <c r="L162" s="6">
        <v>0</v>
      </c>
      <c r="M162" s="77">
        <v>0</v>
      </c>
      <c r="N162" s="6">
        <v>0</v>
      </c>
      <c r="O162" s="77">
        <v>0</v>
      </c>
      <c r="P162" s="6">
        <v>3</v>
      </c>
      <c r="Q162" s="4" t="s">
        <v>26</v>
      </c>
      <c r="R162" s="4">
        <v>0</v>
      </c>
      <c r="S162" s="4">
        <v>6</v>
      </c>
      <c r="T162" s="4">
        <v>0</v>
      </c>
      <c r="U162" s="4">
        <v>0</v>
      </c>
      <c r="V162" s="77">
        <f>IF(ISERROR(VLOOKUP($S$162,'TAR FIN'!$A$1:$O$85,15,0)),0,VLOOKUP($S$162,'TAR FIN'!$A$1:$O$85,15,0))*(1-0.06)</f>
        <v>18.160799999999998</v>
      </c>
      <c r="W162" s="77">
        <f>IF(ISERROR(VLOOKUP($T$162,'TAR FIN'!$A$1:$O$85,15,0)),0,VLOOKUP($T$162,'TAR FIN'!$A$1:$O$85,15,0))</f>
        <v>0</v>
      </c>
      <c r="X162" s="77">
        <f>IF(ISERROR(VLOOKUP($U$162,'TAR FIN'!$A$1:$O$85,15,0)),0,VLOOKUP($U$162,'TAR FIN'!$A$1:$O$85,15,0))</f>
        <v>0</v>
      </c>
      <c r="Y162" s="77">
        <f ca="1">('TUSD BE'!$AM$10+'TUSD BF'!$AM$10+'TUSD CVA'!$AM$10)*1*(1-0.03)</f>
        <v>16.179640671294564</v>
      </c>
      <c r="Z162" s="77"/>
      <c r="AA162" s="77"/>
      <c r="AB162" s="77">
        <f>(SUBSIDIO!$J$162*SUBSIDIO!$V$162)*(0.06)/(1-0.06)</f>
        <v>302.55119999999999</v>
      </c>
      <c r="AC162" s="77">
        <f>((SUBSIDIO!$L$162*SUBSIDIO!$W$162)+(SUBSIDIO!$N$162*SUBSIDIO!$X$162))*(0.06)/(1-0.06)</f>
        <v>0</v>
      </c>
      <c r="AD162" s="77">
        <f ca="1">(SUBSIDIO!$J$162*SUBSIDIO!$Y$162)*(0.03)/(1-0.03)</f>
        <v>130.60472830539837</v>
      </c>
      <c r="AE162" s="77">
        <f>((SUBSIDIO!$L$162*SUBSIDIO!$Z$162)+(SUBSIDIO!$N$162*SUBSIDIO!$AA$162))*(0.03)/(1-0.03)</f>
        <v>0</v>
      </c>
      <c r="AF162" s="4" t="s">
        <v>810</v>
      </c>
    </row>
    <row r="163" spans="1:32" ht="11.25" customHeight="1" x14ac:dyDescent="0.25">
      <c r="A163" s="4" t="s">
        <v>21</v>
      </c>
      <c r="B163" s="4" t="s">
        <v>33</v>
      </c>
      <c r="C163" s="4" t="s">
        <v>34</v>
      </c>
      <c r="D163" s="4" t="s">
        <v>50</v>
      </c>
      <c r="E163" s="4" t="s">
        <v>51</v>
      </c>
      <c r="F163" s="4" t="s">
        <v>25</v>
      </c>
      <c r="G163" s="4" t="s">
        <v>25</v>
      </c>
      <c r="H163" s="4" t="s">
        <v>25</v>
      </c>
      <c r="I163" s="5">
        <v>44470</v>
      </c>
      <c r="J163" s="6">
        <v>260</v>
      </c>
      <c r="K163" s="78">
        <v>260</v>
      </c>
      <c r="L163" s="6">
        <v>0</v>
      </c>
      <c r="M163" s="77">
        <v>0</v>
      </c>
      <c r="N163" s="6">
        <v>0</v>
      </c>
      <c r="O163" s="77">
        <v>0</v>
      </c>
      <c r="P163" s="6">
        <v>3</v>
      </c>
      <c r="Q163" s="4" t="s">
        <v>26</v>
      </c>
      <c r="R163" s="4">
        <v>0</v>
      </c>
      <c r="S163" s="4">
        <v>6</v>
      </c>
      <c r="T163" s="4">
        <v>0</v>
      </c>
      <c r="U163" s="4">
        <v>0</v>
      </c>
      <c r="V163" s="77">
        <f>IF(ISERROR(VLOOKUP($S$163,'TAR FIN'!$A$1:$O$85,15,0)),0,VLOOKUP($S$163,'TAR FIN'!$A$1:$O$85,15,0))*(1-0.06)</f>
        <v>18.160799999999998</v>
      </c>
      <c r="W163" s="77">
        <f>IF(ISERROR(VLOOKUP($T$163,'TAR FIN'!$A$1:$O$85,15,0)),0,VLOOKUP($T$163,'TAR FIN'!$A$1:$O$85,15,0))</f>
        <v>0</v>
      </c>
      <c r="X163" s="77">
        <f>IF(ISERROR(VLOOKUP($U$163,'TAR FIN'!$A$1:$O$85,15,0)),0,VLOOKUP($U$163,'TAR FIN'!$A$1:$O$85,15,0))</f>
        <v>0</v>
      </c>
      <c r="Y163" s="77">
        <f ca="1">('TUSD BE'!$AM$10+'TUSD BF'!$AM$10+'TUSD CVA'!$AM$10)*1*(1-0.03)</f>
        <v>16.179640671294564</v>
      </c>
      <c r="Z163" s="77"/>
      <c r="AA163" s="77"/>
      <c r="AB163" s="77">
        <f>(SUBSIDIO!$J$163*SUBSIDIO!$V$163)*(0.06)/(1-0.06)</f>
        <v>301.392</v>
      </c>
      <c r="AC163" s="77">
        <f>((SUBSIDIO!$L$163*SUBSIDIO!$W$163)+(SUBSIDIO!$N$163*SUBSIDIO!$X$163))*(0.06)/(1-0.06)</f>
        <v>0</v>
      </c>
      <c r="AD163" s="77">
        <f ca="1">(SUBSIDIO!$J$163*SUBSIDIO!$Y$163)*(0.03)/(1-0.03)</f>
        <v>130.1043270475233</v>
      </c>
      <c r="AE163" s="77">
        <f>((SUBSIDIO!$L$163*SUBSIDIO!$Z$163)+(SUBSIDIO!$N$163*SUBSIDIO!$AA$163))*(0.03)/(1-0.03)</f>
        <v>0</v>
      </c>
      <c r="AF163" s="4" t="s">
        <v>810</v>
      </c>
    </row>
    <row r="164" spans="1:32" ht="11.25" customHeight="1" x14ac:dyDescent="0.25">
      <c r="A164" s="4" t="s">
        <v>21</v>
      </c>
      <c r="B164" s="4" t="s">
        <v>33</v>
      </c>
      <c r="C164" s="4" t="s">
        <v>34</v>
      </c>
      <c r="D164" s="4" t="s">
        <v>50</v>
      </c>
      <c r="E164" s="4" t="s">
        <v>51</v>
      </c>
      <c r="F164" s="4" t="s">
        <v>25</v>
      </c>
      <c r="G164" s="4" t="s">
        <v>25</v>
      </c>
      <c r="H164" s="4" t="s">
        <v>25</v>
      </c>
      <c r="I164" s="5">
        <v>44501</v>
      </c>
      <c r="J164" s="6">
        <v>259</v>
      </c>
      <c r="K164" s="78">
        <v>259</v>
      </c>
      <c r="L164" s="6">
        <v>0</v>
      </c>
      <c r="M164" s="77">
        <v>0</v>
      </c>
      <c r="N164" s="6">
        <v>0</v>
      </c>
      <c r="O164" s="77">
        <v>0</v>
      </c>
      <c r="P164" s="6">
        <v>3</v>
      </c>
      <c r="Q164" s="4" t="s">
        <v>26</v>
      </c>
      <c r="R164" s="4">
        <v>0</v>
      </c>
      <c r="S164" s="4">
        <v>6</v>
      </c>
      <c r="T164" s="4">
        <v>0</v>
      </c>
      <c r="U164" s="4">
        <v>0</v>
      </c>
      <c r="V164" s="77">
        <f>IF(ISERROR(VLOOKUP($S$164,'TAR FIN'!$A$1:$O$85,15,0)),0,VLOOKUP($S$164,'TAR FIN'!$A$1:$O$85,15,0))*(1-0.06)</f>
        <v>18.160799999999998</v>
      </c>
      <c r="W164" s="77">
        <f>IF(ISERROR(VLOOKUP($T$164,'TAR FIN'!$A$1:$O$85,15,0)),0,VLOOKUP($T$164,'TAR FIN'!$A$1:$O$85,15,0))</f>
        <v>0</v>
      </c>
      <c r="X164" s="77">
        <f>IF(ISERROR(VLOOKUP($U$164,'TAR FIN'!$A$1:$O$85,15,0)),0,VLOOKUP($U$164,'TAR FIN'!$A$1:$O$85,15,0))</f>
        <v>0</v>
      </c>
      <c r="Y164" s="77">
        <f ca="1">('TUSD BE'!$AM$10+'TUSD BF'!$AM$10+'TUSD CVA'!$AM$10)*1*(1-0.03)</f>
        <v>16.179640671294564</v>
      </c>
      <c r="Z164" s="77"/>
      <c r="AA164" s="77"/>
      <c r="AB164" s="77">
        <f>(SUBSIDIO!$J$164*SUBSIDIO!$V$164)*(0.06)/(1-0.06)</f>
        <v>300.2328</v>
      </c>
      <c r="AC164" s="77">
        <f>((SUBSIDIO!$L$164*SUBSIDIO!$W$164)+(SUBSIDIO!$N$164*SUBSIDIO!$X$164))*(0.06)/(1-0.06)</f>
        <v>0</v>
      </c>
      <c r="AD164" s="77">
        <f ca="1">(SUBSIDIO!$J$164*SUBSIDIO!$Y$164)*(0.03)/(1-0.03)</f>
        <v>129.60392578964823</v>
      </c>
      <c r="AE164" s="77">
        <f>((SUBSIDIO!$L$164*SUBSIDIO!$Z$164)+(SUBSIDIO!$N$164*SUBSIDIO!$AA$164))*(0.03)/(1-0.03)</f>
        <v>0</v>
      </c>
      <c r="AF164" s="4" t="s">
        <v>810</v>
      </c>
    </row>
    <row r="165" spans="1:32" ht="11.25" customHeight="1" x14ac:dyDescent="0.25">
      <c r="A165" s="4" t="s">
        <v>21</v>
      </c>
      <c r="B165" s="4" t="s">
        <v>33</v>
      </c>
      <c r="C165" s="4" t="s">
        <v>34</v>
      </c>
      <c r="D165" s="4" t="s">
        <v>50</v>
      </c>
      <c r="E165" s="4" t="s">
        <v>51</v>
      </c>
      <c r="F165" s="4" t="s">
        <v>25</v>
      </c>
      <c r="G165" s="4" t="s">
        <v>25</v>
      </c>
      <c r="H165" s="4" t="s">
        <v>25</v>
      </c>
      <c r="I165" s="5">
        <v>44531</v>
      </c>
      <c r="J165" s="6">
        <v>259</v>
      </c>
      <c r="K165" s="78">
        <v>259</v>
      </c>
      <c r="L165" s="6">
        <v>0</v>
      </c>
      <c r="M165" s="77">
        <v>0</v>
      </c>
      <c r="N165" s="6">
        <v>0</v>
      </c>
      <c r="O165" s="77">
        <v>0</v>
      </c>
      <c r="P165" s="6">
        <v>3</v>
      </c>
      <c r="Q165" s="4" t="s">
        <v>26</v>
      </c>
      <c r="R165" s="4">
        <v>0</v>
      </c>
      <c r="S165" s="4">
        <v>6</v>
      </c>
      <c r="T165" s="4">
        <v>0</v>
      </c>
      <c r="U165" s="4">
        <v>0</v>
      </c>
      <c r="V165" s="77">
        <f>IF(ISERROR(VLOOKUP($S$165,'TAR FIN'!$A$1:$O$85,15,0)),0,VLOOKUP($S$165,'TAR FIN'!$A$1:$O$85,15,0))*(1-0.06)</f>
        <v>18.160799999999998</v>
      </c>
      <c r="W165" s="77">
        <f>IF(ISERROR(VLOOKUP($T$165,'TAR FIN'!$A$1:$O$85,15,0)),0,VLOOKUP($T$165,'TAR FIN'!$A$1:$O$85,15,0))</f>
        <v>0</v>
      </c>
      <c r="X165" s="77">
        <f>IF(ISERROR(VLOOKUP($U$165,'TAR FIN'!$A$1:$O$85,15,0)),0,VLOOKUP($U$165,'TAR FIN'!$A$1:$O$85,15,0))</f>
        <v>0</v>
      </c>
      <c r="Y165" s="77">
        <f ca="1">('TUSD BE'!$AM$10+'TUSD BF'!$AM$10+'TUSD CVA'!$AM$10)*1*(1-0.03)</f>
        <v>16.179640671294564</v>
      </c>
      <c r="Z165" s="77"/>
      <c r="AA165" s="77"/>
      <c r="AB165" s="77">
        <f>(SUBSIDIO!$J$165*SUBSIDIO!$V$165)*(0.06)/(1-0.06)</f>
        <v>300.2328</v>
      </c>
      <c r="AC165" s="77">
        <f>((SUBSIDIO!$L$165*SUBSIDIO!$W$165)+(SUBSIDIO!$N$165*SUBSIDIO!$X$165))*(0.06)/(1-0.06)</f>
        <v>0</v>
      </c>
      <c r="AD165" s="77">
        <f ca="1">(SUBSIDIO!$J$165*SUBSIDIO!$Y$165)*(0.03)/(1-0.03)</f>
        <v>129.60392578964823</v>
      </c>
      <c r="AE165" s="77">
        <f>((SUBSIDIO!$L$165*SUBSIDIO!$Z$165)+(SUBSIDIO!$N$165*SUBSIDIO!$AA$165))*(0.03)/(1-0.03)</f>
        <v>0</v>
      </c>
      <c r="AF165" s="4" t="s">
        <v>810</v>
      </c>
    </row>
    <row r="166" spans="1:32" ht="11.25" customHeight="1" x14ac:dyDescent="0.25">
      <c r="A166" s="4" t="s">
        <v>21</v>
      </c>
      <c r="B166" s="4" t="s">
        <v>33</v>
      </c>
      <c r="C166" s="4" t="s">
        <v>34</v>
      </c>
      <c r="D166" s="4" t="s">
        <v>50</v>
      </c>
      <c r="E166" s="4" t="s">
        <v>51</v>
      </c>
      <c r="F166" s="4" t="s">
        <v>25</v>
      </c>
      <c r="G166" s="4" t="s">
        <v>25</v>
      </c>
      <c r="H166" s="4" t="s">
        <v>25</v>
      </c>
      <c r="I166" s="5">
        <v>44562</v>
      </c>
      <c r="J166" s="6">
        <v>261</v>
      </c>
      <c r="K166" s="78">
        <v>261</v>
      </c>
      <c r="L166" s="6">
        <v>0</v>
      </c>
      <c r="M166" s="77">
        <v>0</v>
      </c>
      <c r="N166" s="6">
        <v>0</v>
      </c>
      <c r="O166" s="77">
        <v>0</v>
      </c>
      <c r="P166" s="6">
        <v>3</v>
      </c>
      <c r="Q166" s="4" t="s">
        <v>26</v>
      </c>
      <c r="R166" s="4">
        <v>0</v>
      </c>
      <c r="S166" s="4">
        <v>6</v>
      </c>
      <c r="T166" s="4">
        <v>0</v>
      </c>
      <c r="U166" s="4">
        <v>0</v>
      </c>
      <c r="V166" s="77">
        <f>IF(ISERROR(VLOOKUP($S$166,'TAR FIN'!$A$1:$O$85,15,0)),0,VLOOKUP($S$166,'TAR FIN'!$A$1:$O$85,15,0))*(1-0.06)</f>
        <v>18.160799999999998</v>
      </c>
      <c r="W166" s="77">
        <f>IF(ISERROR(VLOOKUP($T$166,'TAR FIN'!$A$1:$O$85,15,0)),0,VLOOKUP($T$166,'TAR FIN'!$A$1:$O$85,15,0))</f>
        <v>0</v>
      </c>
      <c r="X166" s="77">
        <f>IF(ISERROR(VLOOKUP($U$166,'TAR FIN'!$A$1:$O$85,15,0)),0,VLOOKUP($U$166,'TAR FIN'!$A$1:$O$85,15,0))</f>
        <v>0</v>
      </c>
      <c r="Y166" s="77">
        <f ca="1">('TUSD BE'!$AM$10+'TUSD BF'!$AM$10+'TUSD CVA'!$AM$10)*1*(1-0.03)</f>
        <v>16.179640671294564</v>
      </c>
      <c r="Z166" s="77"/>
      <c r="AA166" s="77"/>
      <c r="AB166" s="77">
        <f>(SUBSIDIO!$J$166*SUBSIDIO!$V$166)*(0.06)/(1-0.06)</f>
        <v>302.55119999999999</v>
      </c>
      <c r="AC166" s="77">
        <f>((SUBSIDIO!$L$166*SUBSIDIO!$W$166)+(SUBSIDIO!$N$166*SUBSIDIO!$X$166))*(0.06)/(1-0.06)</f>
        <v>0</v>
      </c>
      <c r="AD166" s="77">
        <f ca="1">(SUBSIDIO!$J$166*SUBSIDIO!$Y$166)*(0.03)/(1-0.03)</f>
        <v>130.60472830539837</v>
      </c>
      <c r="AE166" s="77">
        <f>((SUBSIDIO!$L$166*SUBSIDIO!$Z$166)+(SUBSIDIO!$N$166*SUBSIDIO!$AA$166))*(0.03)/(1-0.03)</f>
        <v>0</v>
      </c>
      <c r="AF166" s="4" t="s">
        <v>810</v>
      </c>
    </row>
    <row r="167" spans="1:32" ht="11.25" customHeight="1" x14ac:dyDescent="0.25">
      <c r="A167" s="4" t="s">
        <v>21</v>
      </c>
      <c r="B167" s="4" t="s">
        <v>33</v>
      </c>
      <c r="C167" s="4" t="s">
        <v>34</v>
      </c>
      <c r="D167" s="4" t="s">
        <v>50</v>
      </c>
      <c r="E167" s="4" t="s">
        <v>51</v>
      </c>
      <c r="F167" s="4" t="s">
        <v>25</v>
      </c>
      <c r="G167" s="4" t="s">
        <v>25</v>
      </c>
      <c r="H167" s="4" t="s">
        <v>25</v>
      </c>
      <c r="I167" s="5">
        <v>44593</v>
      </c>
      <c r="J167" s="6">
        <v>264</v>
      </c>
      <c r="K167" s="78">
        <v>264</v>
      </c>
      <c r="L167" s="6">
        <v>0</v>
      </c>
      <c r="M167" s="77">
        <v>0</v>
      </c>
      <c r="N167" s="6">
        <v>0</v>
      </c>
      <c r="O167" s="77">
        <v>0</v>
      </c>
      <c r="P167" s="6">
        <v>3</v>
      </c>
      <c r="Q167" s="4" t="s">
        <v>26</v>
      </c>
      <c r="R167" s="4">
        <v>0</v>
      </c>
      <c r="S167" s="4">
        <v>6</v>
      </c>
      <c r="T167" s="4">
        <v>0</v>
      </c>
      <c r="U167" s="4">
        <v>0</v>
      </c>
      <c r="V167" s="77">
        <f>IF(ISERROR(VLOOKUP($S$167,'TAR FIN'!$A$1:$O$85,15,0)),0,VLOOKUP($S$167,'TAR FIN'!$A$1:$O$85,15,0))*(1-0.06)</f>
        <v>18.160799999999998</v>
      </c>
      <c r="W167" s="77">
        <f>IF(ISERROR(VLOOKUP($T$167,'TAR FIN'!$A$1:$O$85,15,0)),0,VLOOKUP($T$167,'TAR FIN'!$A$1:$O$85,15,0))</f>
        <v>0</v>
      </c>
      <c r="X167" s="77">
        <f>IF(ISERROR(VLOOKUP($U$167,'TAR FIN'!$A$1:$O$85,15,0)),0,VLOOKUP($U$167,'TAR FIN'!$A$1:$O$85,15,0))</f>
        <v>0</v>
      </c>
      <c r="Y167" s="77">
        <f ca="1">('TUSD BE'!$AM$10+'TUSD BF'!$AM$10+'TUSD CVA'!$AM$10)*1*(1-0.03)</f>
        <v>16.179640671294564</v>
      </c>
      <c r="Z167" s="77"/>
      <c r="AA167" s="77"/>
      <c r="AB167" s="77">
        <f>(SUBSIDIO!$J$167*SUBSIDIO!$V$167)*(0.06)/(1-0.06)</f>
        <v>306.02879999999999</v>
      </c>
      <c r="AC167" s="77">
        <f>((SUBSIDIO!$L$167*SUBSIDIO!$W$167)+(SUBSIDIO!$N$167*SUBSIDIO!$X$167))*(0.06)/(1-0.06)</f>
        <v>0</v>
      </c>
      <c r="AD167" s="77">
        <f ca="1">(SUBSIDIO!$J$167*SUBSIDIO!$Y$167)*(0.03)/(1-0.03)</f>
        <v>132.10593207902366</v>
      </c>
      <c r="AE167" s="77">
        <f>((SUBSIDIO!$L$167*SUBSIDIO!$Z$167)+(SUBSIDIO!$N$167*SUBSIDIO!$AA$167))*(0.03)/(1-0.03)</f>
        <v>0</v>
      </c>
      <c r="AF167" s="4" t="s">
        <v>810</v>
      </c>
    </row>
    <row r="168" spans="1:32" ht="11.25" customHeight="1" x14ac:dyDescent="0.25">
      <c r="A168" s="4" t="s">
        <v>21</v>
      </c>
      <c r="B168" s="4" t="s">
        <v>33</v>
      </c>
      <c r="C168" s="4" t="s">
        <v>34</v>
      </c>
      <c r="D168" s="4" t="s">
        <v>50</v>
      </c>
      <c r="E168" s="4" t="s">
        <v>51</v>
      </c>
      <c r="F168" s="4" t="s">
        <v>25</v>
      </c>
      <c r="G168" s="4" t="s">
        <v>25</v>
      </c>
      <c r="H168" s="4" t="s">
        <v>25</v>
      </c>
      <c r="I168" s="5">
        <v>44621</v>
      </c>
      <c r="J168" s="6">
        <v>269</v>
      </c>
      <c r="K168" s="78">
        <v>269</v>
      </c>
      <c r="L168" s="6">
        <v>0</v>
      </c>
      <c r="M168" s="77">
        <v>0</v>
      </c>
      <c r="N168" s="6">
        <v>0</v>
      </c>
      <c r="O168" s="77">
        <v>0</v>
      </c>
      <c r="P168" s="6">
        <v>3</v>
      </c>
      <c r="Q168" s="4" t="s">
        <v>26</v>
      </c>
      <c r="R168" s="4">
        <v>0</v>
      </c>
      <c r="S168" s="4">
        <v>6</v>
      </c>
      <c r="T168" s="4">
        <v>0</v>
      </c>
      <c r="U168" s="4">
        <v>0</v>
      </c>
      <c r="V168" s="77">
        <f>IF(ISERROR(VLOOKUP($S$168,'TAR FIN'!$A$1:$O$85,15,0)),0,VLOOKUP($S$168,'TAR FIN'!$A$1:$O$85,15,0))*(1-0.06)</f>
        <v>18.160799999999998</v>
      </c>
      <c r="W168" s="77">
        <f>IF(ISERROR(VLOOKUP($T$168,'TAR FIN'!$A$1:$O$85,15,0)),0,VLOOKUP($T$168,'TAR FIN'!$A$1:$O$85,15,0))</f>
        <v>0</v>
      </c>
      <c r="X168" s="77">
        <f>IF(ISERROR(VLOOKUP($U$168,'TAR FIN'!$A$1:$O$85,15,0)),0,VLOOKUP($U$168,'TAR FIN'!$A$1:$O$85,15,0))</f>
        <v>0</v>
      </c>
      <c r="Y168" s="77">
        <f ca="1">('TUSD BE'!$AM$10+'TUSD BF'!$AM$10+'TUSD CVA'!$AM$10)*1*(1-0.03)</f>
        <v>16.179640671294564</v>
      </c>
      <c r="Z168" s="77"/>
      <c r="AA168" s="77"/>
      <c r="AB168" s="77">
        <f>(SUBSIDIO!$J$168*SUBSIDIO!$V$168)*(0.06)/(1-0.06)</f>
        <v>311.82479999999998</v>
      </c>
      <c r="AC168" s="77">
        <f>((SUBSIDIO!$L$168*SUBSIDIO!$W$168)+(SUBSIDIO!$N$168*SUBSIDIO!$X$168))*(0.06)/(1-0.06)</f>
        <v>0</v>
      </c>
      <c r="AD168" s="77">
        <f ca="1">(SUBSIDIO!$J$168*SUBSIDIO!$Y$168)*(0.03)/(1-0.03)</f>
        <v>134.60793836839912</v>
      </c>
      <c r="AE168" s="77">
        <f>((SUBSIDIO!$L$168*SUBSIDIO!$Z$168)+(SUBSIDIO!$N$168*SUBSIDIO!$AA$168))*(0.03)/(1-0.03)</f>
        <v>0</v>
      </c>
      <c r="AF168" s="4" t="s">
        <v>810</v>
      </c>
    </row>
    <row r="169" spans="1:32" ht="11.25" customHeight="1" x14ac:dyDescent="0.25">
      <c r="A169" s="4" t="s">
        <v>21</v>
      </c>
      <c r="B169" s="4" t="s">
        <v>33</v>
      </c>
      <c r="C169" s="4" t="s">
        <v>34</v>
      </c>
      <c r="D169" s="4" t="s">
        <v>50</v>
      </c>
      <c r="E169" s="4" t="s">
        <v>51</v>
      </c>
      <c r="F169" s="4" t="s">
        <v>25</v>
      </c>
      <c r="G169" s="4" t="s">
        <v>25</v>
      </c>
      <c r="H169" s="4" t="s">
        <v>25</v>
      </c>
      <c r="I169" s="5">
        <v>44652</v>
      </c>
      <c r="J169" s="6">
        <v>270</v>
      </c>
      <c r="K169" s="78">
        <v>270</v>
      </c>
      <c r="L169" s="6">
        <v>0</v>
      </c>
      <c r="M169" s="77">
        <v>0</v>
      </c>
      <c r="N169" s="6">
        <v>0</v>
      </c>
      <c r="O169" s="77">
        <v>0</v>
      </c>
      <c r="P169" s="6">
        <v>3</v>
      </c>
      <c r="Q169" s="4" t="s">
        <v>26</v>
      </c>
      <c r="R169" s="4">
        <v>0</v>
      </c>
      <c r="S169" s="4">
        <v>6</v>
      </c>
      <c r="T169" s="4">
        <v>0</v>
      </c>
      <c r="U169" s="4">
        <v>0</v>
      </c>
      <c r="V169" s="77">
        <f>IF(ISERROR(VLOOKUP($S$169,'TAR FIN'!$A$1:$O$85,15,0)),0,VLOOKUP($S$169,'TAR FIN'!$A$1:$O$85,15,0))*(1-0.06)</f>
        <v>18.160799999999998</v>
      </c>
      <c r="W169" s="77">
        <f>IF(ISERROR(VLOOKUP($T$169,'TAR FIN'!$A$1:$O$85,15,0)),0,VLOOKUP($T$169,'TAR FIN'!$A$1:$O$85,15,0))</f>
        <v>0</v>
      </c>
      <c r="X169" s="77">
        <f>IF(ISERROR(VLOOKUP($U$169,'TAR FIN'!$A$1:$O$85,15,0)),0,VLOOKUP($U$169,'TAR FIN'!$A$1:$O$85,15,0))</f>
        <v>0</v>
      </c>
      <c r="Y169" s="77">
        <f ca="1">('TUSD BE'!$AM$10+'TUSD BF'!$AM$10+'TUSD CVA'!$AM$10)*1*(1-0.03)</f>
        <v>16.179640671294564</v>
      </c>
      <c r="Z169" s="77"/>
      <c r="AA169" s="77"/>
      <c r="AB169" s="77">
        <f>(SUBSIDIO!$J$169*SUBSIDIO!$V$169)*(0.06)/(1-0.06)</f>
        <v>312.98399999999998</v>
      </c>
      <c r="AC169" s="77">
        <f>((SUBSIDIO!$L$169*SUBSIDIO!$W$169)+(SUBSIDIO!$N$169*SUBSIDIO!$X$169))*(0.06)/(1-0.06)</f>
        <v>0</v>
      </c>
      <c r="AD169" s="77">
        <f ca="1">(SUBSIDIO!$J$169*SUBSIDIO!$Y$169)*(0.03)/(1-0.03)</f>
        <v>135.10833962627422</v>
      </c>
      <c r="AE169" s="77">
        <f>((SUBSIDIO!$L$169*SUBSIDIO!$Z$169)+(SUBSIDIO!$N$169*SUBSIDIO!$AA$169))*(0.03)/(1-0.03)</f>
        <v>0</v>
      </c>
      <c r="AF169" s="4" t="s">
        <v>810</v>
      </c>
    </row>
    <row r="170" spans="1:32" ht="11.25" customHeight="1" x14ac:dyDescent="0.25">
      <c r="A170" s="4" t="s">
        <v>21</v>
      </c>
      <c r="B170" s="4" t="s">
        <v>33</v>
      </c>
      <c r="C170" s="4" t="s">
        <v>34</v>
      </c>
      <c r="D170" s="4" t="s">
        <v>50</v>
      </c>
      <c r="E170" s="4" t="s">
        <v>51</v>
      </c>
      <c r="F170" s="4" t="s">
        <v>25</v>
      </c>
      <c r="G170" s="4" t="s">
        <v>25</v>
      </c>
      <c r="H170" s="4" t="s">
        <v>35</v>
      </c>
      <c r="I170" s="5">
        <v>44317</v>
      </c>
      <c r="J170" s="6">
        <v>0</v>
      </c>
      <c r="K170" s="77">
        <v>0</v>
      </c>
      <c r="L170" s="6">
        <v>6.8140000000000001</v>
      </c>
      <c r="M170" s="77">
        <v>6.8140000000000001</v>
      </c>
      <c r="N170" s="6">
        <v>6.8140000000000001</v>
      </c>
      <c r="O170" s="77">
        <v>6.8140000000000001</v>
      </c>
      <c r="P170" s="6">
        <v>0</v>
      </c>
      <c r="Q170" s="4" t="s">
        <v>26</v>
      </c>
      <c r="R170" s="4">
        <v>0</v>
      </c>
      <c r="S170" s="4">
        <v>0</v>
      </c>
      <c r="T170" s="4">
        <v>7</v>
      </c>
      <c r="U170" s="4">
        <v>48</v>
      </c>
      <c r="V170" s="77">
        <f>IF(ISERROR(VLOOKUP($S$170,'TAR FIN'!$A$1:$O$85,15,0)),0,VLOOKUP($S$170,'TAR FIN'!$A$1:$O$85,15,0))</f>
        <v>0</v>
      </c>
      <c r="W170" s="77">
        <f>IF(ISERROR(VLOOKUP($T$170,'TAR FIN'!$A$1:$O$85,15,0)),0,VLOOKUP($T$170,'TAR FIN'!$A$1:$O$85,15,0))*(1-0.06)</f>
        <v>891.26099999999997</v>
      </c>
      <c r="X170" s="77">
        <f>IF(ISERROR(VLOOKUP($U$170,'TAR FIN'!$A$1:$O$85,15,0)),0,VLOOKUP($U$170,'TAR FIN'!$A$1:$O$85,15,0))*(1-0.06)</f>
        <v>247.49260000000001</v>
      </c>
      <c r="Y170" s="77"/>
      <c r="Z170" s="77">
        <f ca="1">('TUSD BE'!$AM$11+'TUSD BF'!$AM$11+'TUSD CVA'!$AM$11)*1*(1-0.03)</f>
        <v>947.130360719598</v>
      </c>
      <c r="AA170" s="77">
        <f>('TE BE'!$AA$5+'TE BF'!$AA$5+'TE CVA'!$AA$5)*1*(1-0.03)</f>
        <v>204.32465670364385</v>
      </c>
      <c r="AB170" s="77">
        <f>(SUBSIDIO!$J$170*SUBSIDIO!$V$170)*(0.06)/(1-0.06)</f>
        <v>0</v>
      </c>
      <c r="AC170" s="77">
        <f>((SUBSIDIO!$L$170*SUBSIDIO!$W$170)+(SUBSIDIO!$N$170*SUBSIDIO!$X$170))*(0.06)/(1-0.06)</f>
        <v>495.28512959999995</v>
      </c>
      <c r="AD170" s="77">
        <f>(SUBSIDIO!$J$170*SUBSIDIO!$Y$170)*(0.03)/(1-0.03)</f>
        <v>0</v>
      </c>
      <c r="AE170" s="77">
        <f ca="1">((SUBSIDIO!$L$170*SUBSIDIO!$Z$170)+(SUBSIDIO!$N$170*SUBSIDIO!$AA$170))*(0.03)/(1-0.03)</f>
        <v>242.6602419192362</v>
      </c>
      <c r="AF170" s="4" t="s">
        <v>810</v>
      </c>
    </row>
    <row r="171" spans="1:32" ht="11.25" customHeight="1" x14ac:dyDescent="0.25">
      <c r="A171" s="4" t="s">
        <v>21</v>
      </c>
      <c r="B171" s="4" t="s">
        <v>33</v>
      </c>
      <c r="C171" s="4" t="s">
        <v>34</v>
      </c>
      <c r="D171" s="4" t="s">
        <v>50</v>
      </c>
      <c r="E171" s="4" t="s">
        <v>51</v>
      </c>
      <c r="F171" s="4" t="s">
        <v>25</v>
      </c>
      <c r="G171" s="4" t="s">
        <v>25</v>
      </c>
      <c r="H171" s="4" t="s">
        <v>35</v>
      </c>
      <c r="I171" s="5">
        <v>44348</v>
      </c>
      <c r="J171" s="6">
        <v>0</v>
      </c>
      <c r="K171" s="77">
        <v>0</v>
      </c>
      <c r="L171" s="6">
        <v>7.5190000000000001</v>
      </c>
      <c r="M171" s="77">
        <v>7.5190000000000001</v>
      </c>
      <c r="N171" s="6">
        <v>7.5190000000000001</v>
      </c>
      <c r="O171" s="77">
        <v>7.5190000000000001</v>
      </c>
      <c r="P171" s="6">
        <v>0</v>
      </c>
      <c r="Q171" s="4" t="s">
        <v>26</v>
      </c>
      <c r="R171" s="4">
        <v>0</v>
      </c>
      <c r="S171" s="4">
        <v>0</v>
      </c>
      <c r="T171" s="4">
        <v>7</v>
      </c>
      <c r="U171" s="4">
        <v>48</v>
      </c>
      <c r="V171" s="77">
        <f>IF(ISERROR(VLOOKUP($S$171,'TAR FIN'!$A$1:$O$85,15,0)),0,VLOOKUP($S$171,'TAR FIN'!$A$1:$O$85,15,0))</f>
        <v>0</v>
      </c>
      <c r="W171" s="77">
        <f>IF(ISERROR(VLOOKUP($T$171,'TAR FIN'!$A$1:$O$85,15,0)),0,VLOOKUP($T$171,'TAR FIN'!$A$1:$O$85,15,0))*(1-0.06)</f>
        <v>891.26099999999997</v>
      </c>
      <c r="X171" s="77">
        <f>IF(ISERROR(VLOOKUP($U$171,'TAR FIN'!$A$1:$O$85,15,0)),0,VLOOKUP($U$171,'TAR FIN'!$A$1:$O$85,15,0))*(1-0.06)</f>
        <v>247.49260000000001</v>
      </c>
      <c r="Y171" s="77"/>
      <c r="Z171" s="77">
        <f ca="1">('TUSD BE'!$AM$11+'TUSD BF'!$AM$11+'TUSD CVA'!$AM$11)*1*(1-0.03)</f>
        <v>947.130360719598</v>
      </c>
      <c r="AA171" s="77">
        <f>('TE BE'!$AA$5+'TE BF'!$AA$5+'TE CVA'!$AA$5)*1*(1-0.03)</f>
        <v>204.32465670364385</v>
      </c>
      <c r="AB171" s="77">
        <f>(SUBSIDIO!$J$171*SUBSIDIO!$V$171)*(0.06)/(1-0.06)</f>
        <v>0</v>
      </c>
      <c r="AC171" s="77">
        <f>((SUBSIDIO!$L$171*SUBSIDIO!$W$171)+(SUBSIDIO!$N$171*SUBSIDIO!$X$171))*(0.06)/(1-0.06)</f>
        <v>546.52904160000003</v>
      </c>
      <c r="AD171" s="77">
        <f>(SUBSIDIO!$J$171*SUBSIDIO!$Y$171)*(0.03)/(1-0.03)</f>
        <v>0</v>
      </c>
      <c r="AE171" s="77">
        <f ca="1">((SUBSIDIO!$L$171*SUBSIDIO!$Z$171)+(SUBSIDIO!$N$171*SUBSIDIO!$AA$171))*(0.03)/(1-0.03)</f>
        <v>267.76670956717589</v>
      </c>
      <c r="AF171" s="4" t="s">
        <v>810</v>
      </c>
    </row>
    <row r="172" spans="1:32" ht="11.25" customHeight="1" x14ac:dyDescent="0.25">
      <c r="A172" s="4" t="s">
        <v>21</v>
      </c>
      <c r="B172" s="4" t="s">
        <v>33</v>
      </c>
      <c r="C172" s="4" t="s">
        <v>34</v>
      </c>
      <c r="D172" s="4" t="s">
        <v>50</v>
      </c>
      <c r="E172" s="4" t="s">
        <v>51</v>
      </c>
      <c r="F172" s="4" t="s">
        <v>25</v>
      </c>
      <c r="G172" s="4" t="s">
        <v>25</v>
      </c>
      <c r="H172" s="4" t="s">
        <v>35</v>
      </c>
      <c r="I172" s="5">
        <v>44378</v>
      </c>
      <c r="J172" s="6">
        <v>0</v>
      </c>
      <c r="K172" s="77">
        <v>0</v>
      </c>
      <c r="L172" s="6">
        <v>6.431</v>
      </c>
      <c r="M172" s="77">
        <v>6.431</v>
      </c>
      <c r="N172" s="6">
        <v>6.431</v>
      </c>
      <c r="O172" s="77">
        <v>6.431</v>
      </c>
      <c r="P172" s="6">
        <v>0</v>
      </c>
      <c r="Q172" s="4" t="s">
        <v>26</v>
      </c>
      <c r="R172" s="4">
        <v>0</v>
      </c>
      <c r="S172" s="4">
        <v>0</v>
      </c>
      <c r="T172" s="4">
        <v>7</v>
      </c>
      <c r="U172" s="4">
        <v>48</v>
      </c>
      <c r="V172" s="77">
        <f>IF(ISERROR(VLOOKUP($S$172,'TAR FIN'!$A$1:$O$85,15,0)),0,VLOOKUP($S$172,'TAR FIN'!$A$1:$O$85,15,0))</f>
        <v>0</v>
      </c>
      <c r="W172" s="77">
        <f>IF(ISERROR(VLOOKUP($T$172,'TAR FIN'!$A$1:$O$85,15,0)),0,VLOOKUP($T$172,'TAR FIN'!$A$1:$O$85,15,0))*(1-0.06)</f>
        <v>891.26099999999997</v>
      </c>
      <c r="X172" s="77">
        <f>IF(ISERROR(VLOOKUP($U$172,'TAR FIN'!$A$1:$O$85,15,0)),0,VLOOKUP($U$172,'TAR FIN'!$A$1:$O$85,15,0))*(1-0.06)</f>
        <v>247.49260000000001</v>
      </c>
      <c r="Y172" s="77"/>
      <c r="Z172" s="77">
        <f ca="1">('TUSD BE'!$AM$11+'TUSD BF'!$AM$11+'TUSD CVA'!$AM$11)*1*(1-0.03)</f>
        <v>947.130360719598</v>
      </c>
      <c r="AA172" s="77">
        <f>('TE BE'!$AA$5+'TE BF'!$AA$5+'TE CVA'!$AA$5)*1*(1-0.03)</f>
        <v>204.32465670364385</v>
      </c>
      <c r="AB172" s="77">
        <f>(SUBSIDIO!$J$172*SUBSIDIO!$V$172)*(0.06)/(1-0.06)</f>
        <v>0</v>
      </c>
      <c r="AC172" s="77">
        <f>((SUBSIDIO!$L$172*SUBSIDIO!$W$172)+(SUBSIDIO!$N$172*SUBSIDIO!$X$172))*(0.06)/(1-0.06)</f>
        <v>467.44623839999991</v>
      </c>
      <c r="AD172" s="77">
        <f>(SUBSIDIO!$J$172*SUBSIDIO!$Y$172)*(0.03)/(1-0.03)</f>
        <v>0</v>
      </c>
      <c r="AE172" s="77">
        <f ca="1">((SUBSIDIO!$L$172*SUBSIDIO!$Z$172)+(SUBSIDIO!$N$172*SUBSIDIO!$AA$172))*(0.03)/(1-0.03)</f>
        <v>229.020841764398</v>
      </c>
      <c r="AF172" s="4" t="s">
        <v>810</v>
      </c>
    </row>
    <row r="173" spans="1:32" ht="11.25" customHeight="1" x14ac:dyDescent="0.25">
      <c r="A173" s="4" t="s">
        <v>21</v>
      </c>
      <c r="B173" s="4" t="s">
        <v>33</v>
      </c>
      <c r="C173" s="4" t="s">
        <v>34</v>
      </c>
      <c r="D173" s="4" t="s">
        <v>50</v>
      </c>
      <c r="E173" s="4" t="s">
        <v>51</v>
      </c>
      <c r="F173" s="4" t="s">
        <v>25</v>
      </c>
      <c r="G173" s="4" t="s">
        <v>25</v>
      </c>
      <c r="H173" s="4" t="s">
        <v>35</v>
      </c>
      <c r="I173" s="5">
        <v>44409</v>
      </c>
      <c r="J173" s="6">
        <v>0</v>
      </c>
      <c r="K173" s="77">
        <v>0</v>
      </c>
      <c r="L173" s="6">
        <v>7.1349999999999998</v>
      </c>
      <c r="M173" s="77">
        <v>7.1349999999999998</v>
      </c>
      <c r="N173" s="6">
        <v>7.1349999999999998</v>
      </c>
      <c r="O173" s="77">
        <v>7.1349999999999998</v>
      </c>
      <c r="P173" s="6">
        <v>0</v>
      </c>
      <c r="Q173" s="4" t="s">
        <v>26</v>
      </c>
      <c r="R173" s="4">
        <v>0</v>
      </c>
      <c r="S173" s="4">
        <v>0</v>
      </c>
      <c r="T173" s="4">
        <v>7</v>
      </c>
      <c r="U173" s="4">
        <v>48</v>
      </c>
      <c r="V173" s="77">
        <f>IF(ISERROR(VLOOKUP($S$173,'TAR FIN'!$A$1:$O$85,15,0)),0,VLOOKUP($S$173,'TAR FIN'!$A$1:$O$85,15,0))</f>
        <v>0</v>
      </c>
      <c r="W173" s="77">
        <f>IF(ISERROR(VLOOKUP($T$173,'TAR FIN'!$A$1:$O$85,15,0)),0,VLOOKUP($T$173,'TAR FIN'!$A$1:$O$85,15,0))*(1-0.06)</f>
        <v>891.26099999999997</v>
      </c>
      <c r="X173" s="77">
        <f>IF(ISERROR(VLOOKUP($U$173,'TAR FIN'!$A$1:$O$85,15,0)),0,VLOOKUP($U$173,'TAR FIN'!$A$1:$O$85,15,0))*(1-0.06)</f>
        <v>247.49260000000001</v>
      </c>
      <c r="Y173" s="77"/>
      <c r="Z173" s="77">
        <f ca="1">('TUSD BE'!$AM$11+'TUSD BF'!$AM$11+'TUSD CVA'!$AM$11)*1*(1-0.03)</f>
        <v>947.130360719598</v>
      </c>
      <c r="AA173" s="77">
        <f>('TE BE'!$AA$5+'TE BF'!$AA$5+'TE CVA'!$AA$5)*1*(1-0.03)</f>
        <v>204.32465670364385</v>
      </c>
      <c r="AB173" s="77">
        <f>(SUBSIDIO!$J$173*SUBSIDIO!$V$173)*(0.06)/(1-0.06)</f>
        <v>0</v>
      </c>
      <c r="AC173" s="77">
        <f>((SUBSIDIO!$L$173*SUBSIDIO!$W$173)+(SUBSIDIO!$N$173*SUBSIDIO!$X$173))*(0.06)/(1-0.06)</f>
        <v>518.61746400000004</v>
      </c>
      <c r="AD173" s="77">
        <f>(SUBSIDIO!$J$173*SUBSIDIO!$Y$173)*(0.03)/(1-0.03)</f>
        <v>0</v>
      </c>
      <c r="AE173" s="77">
        <f ca="1">((SUBSIDIO!$L$173*SUBSIDIO!$Z$173)+(SUBSIDIO!$N$173*SUBSIDIO!$AA$173))*(0.03)/(1-0.03)</f>
        <v>254.0916974014896</v>
      </c>
      <c r="AF173" s="4" t="s">
        <v>810</v>
      </c>
    </row>
    <row r="174" spans="1:32" ht="11.25" customHeight="1" x14ac:dyDescent="0.25">
      <c r="A174" s="4" t="s">
        <v>21</v>
      </c>
      <c r="B174" s="4" t="s">
        <v>33</v>
      </c>
      <c r="C174" s="4" t="s">
        <v>34</v>
      </c>
      <c r="D174" s="4" t="s">
        <v>50</v>
      </c>
      <c r="E174" s="4" t="s">
        <v>51</v>
      </c>
      <c r="F174" s="4" t="s">
        <v>25</v>
      </c>
      <c r="G174" s="4" t="s">
        <v>25</v>
      </c>
      <c r="H174" s="4" t="s">
        <v>35</v>
      </c>
      <c r="I174" s="5">
        <v>44440</v>
      </c>
      <c r="J174" s="6">
        <v>0</v>
      </c>
      <c r="K174" s="77">
        <v>0</v>
      </c>
      <c r="L174" s="6">
        <v>8.0429999999999993</v>
      </c>
      <c r="M174" s="77">
        <v>8.0429999999999993</v>
      </c>
      <c r="N174" s="6">
        <v>8.0429999999999993</v>
      </c>
      <c r="O174" s="77">
        <v>8.0429999999999993</v>
      </c>
      <c r="P174" s="6">
        <v>0</v>
      </c>
      <c r="Q174" s="4" t="s">
        <v>26</v>
      </c>
      <c r="R174" s="4">
        <v>0</v>
      </c>
      <c r="S174" s="4">
        <v>0</v>
      </c>
      <c r="T174" s="4">
        <v>7</v>
      </c>
      <c r="U174" s="4">
        <v>48</v>
      </c>
      <c r="V174" s="77">
        <f>IF(ISERROR(VLOOKUP($S$174,'TAR FIN'!$A$1:$O$85,15,0)),0,VLOOKUP($S$174,'TAR FIN'!$A$1:$O$85,15,0))</f>
        <v>0</v>
      </c>
      <c r="W174" s="77">
        <f>IF(ISERROR(VLOOKUP($T$174,'TAR FIN'!$A$1:$O$85,15,0)),0,VLOOKUP($T$174,'TAR FIN'!$A$1:$O$85,15,0))*(1-0.06)</f>
        <v>891.26099999999997</v>
      </c>
      <c r="X174" s="77">
        <f>IF(ISERROR(VLOOKUP($U$174,'TAR FIN'!$A$1:$O$85,15,0)),0,VLOOKUP($U$174,'TAR FIN'!$A$1:$O$85,15,0))*(1-0.06)</f>
        <v>247.49260000000001</v>
      </c>
      <c r="Y174" s="77"/>
      <c r="Z174" s="77">
        <f ca="1">('TUSD BE'!$AM$11+'TUSD BF'!$AM$11+'TUSD CVA'!$AM$11)*1*(1-0.03)</f>
        <v>947.130360719598</v>
      </c>
      <c r="AA174" s="77">
        <f>('TE BE'!$AA$5+'TE BF'!$AA$5+'TE CVA'!$AA$5)*1*(1-0.03)</f>
        <v>204.32465670364385</v>
      </c>
      <c r="AB174" s="77">
        <f>(SUBSIDIO!$J$174*SUBSIDIO!$V$174)*(0.06)/(1-0.06)</f>
        <v>0</v>
      </c>
      <c r="AC174" s="77">
        <f>((SUBSIDIO!$L$174*SUBSIDIO!$W$174)+(SUBSIDIO!$N$174*SUBSIDIO!$X$174))*(0.06)/(1-0.06)</f>
        <v>584.61671519999993</v>
      </c>
      <c r="AD174" s="77">
        <f>(SUBSIDIO!$J$174*SUBSIDIO!$Y$174)*(0.03)/(1-0.03)</f>
        <v>0</v>
      </c>
      <c r="AE174" s="77">
        <f ca="1">((SUBSIDIO!$L$174*SUBSIDIO!$Z$174)+(SUBSIDIO!$N$174*SUBSIDIO!$AA$174))*(0.03)/(1-0.03)</f>
        <v>286.42740325160207</v>
      </c>
      <c r="AF174" s="4" t="s">
        <v>810</v>
      </c>
    </row>
    <row r="175" spans="1:32" ht="11.25" customHeight="1" x14ac:dyDescent="0.25">
      <c r="A175" s="4" t="s">
        <v>21</v>
      </c>
      <c r="B175" s="4" t="s">
        <v>33</v>
      </c>
      <c r="C175" s="4" t="s">
        <v>34</v>
      </c>
      <c r="D175" s="4" t="s">
        <v>50</v>
      </c>
      <c r="E175" s="4" t="s">
        <v>51</v>
      </c>
      <c r="F175" s="4" t="s">
        <v>25</v>
      </c>
      <c r="G175" s="4" t="s">
        <v>25</v>
      </c>
      <c r="H175" s="4" t="s">
        <v>35</v>
      </c>
      <c r="I175" s="5">
        <v>44470</v>
      </c>
      <c r="J175" s="6">
        <v>0</v>
      </c>
      <c r="K175" s="77">
        <v>0</v>
      </c>
      <c r="L175" s="6">
        <v>8.9540000000000006</v>
      </c>
      <c r="M175" s="77">
        <v>8.9540000000000006</v>
      </c>
      <c r="N175" s="6">
        <v>8.9540000000000006</v>
      </c>
      <c r="O175" s="77">
        <v>8.9540000000000006</v>
      </c>
      <c r="P175" s="6">
        <v>0</v>
      </c>
      <c r="Q175" s="4" t="s">
        <v>26</v>
      </c>
      <c r="R175" s="4">
        <v>0</v>
      </c>
      <c r="S175" s="4">
        <v>0</v>
      </c>
      <c r="T175" s="4">
        <v>7</v>
      </c>
      <c r="U175" s="4">
        <v>48</v>
      </c>
      <c r="V175" s="77">
        <f>IF(ISERROR(VLOOKUP($S$175,'TAR FIN'!$A$1:$O$85,15,0)),0,VLOOKUP($S$175,'TAR FIN'!$A$1:$O$85,15,0))</f>
        <v>0</v>
      </c>
      <c r="W175" s="77">
        <f>IF(ISERROR(VLOOKUP($T$175,'TAR FIN'!$A$1:$O$85,15,0)),0,VLOOKUP($T$175,'TAR FIN'!$A$1:$O$85,15,0))*(1-0.06)</f>
        <v>891.26099999999997</v>
      </c>
      <c r="X175" s="77">
        <f>IF(ISERROR(VLOOKUP($U$175,'TAR FIN'!$A$1:$O$85,15,0)),0,VLOOKUP($U$175,'TAR FIN'!$A$1:$O$85,15,0))*(1-0.06)</f>
        <v>247.49260000000001</v>
      </c>
      <c r="Y175" s="77"/>
      <c r="Z175" s="77">
        <f ca="1">('TUSD BE'!$AM$11+'TUSD BF'!$AM$11+'TUSD CVA'!$AM$11)*1*(1-0.03)</f>
        <v>947.130360719598</v>
      </c>
      <c r="AA175" s="77">
        <f>('TE BE'!$AA$5+'TE BF'!$AA$5+'TE CVA'!$AA$5)*1*(1-0.03)</f>
        <v>204.32465670364385</v>
      </c>
      <c r="AB175" s="77">
        <f>(SUBSIDIO!$J$175*SUBSIDIO!$V$175)*(0.06)/(1-0.06)</f>
        <v>0</v>
      </c>
      <c r="AC175" s="77">
        <f>((SUBSIDIO!$L$175*SUBSIDIO!$W$175)+(SUBSIDIO!$N$175*SUBSIDIO!$X$175))*(0.06)/(1-0.06)</f>
        <v>650.8340255999999</v>
      </c>
      <c r="AD175" s="77">
        <f>(SUBSIDIO!$J$175*SUBSIDIO!$Y$175)*(0.03)/(1-0.03)</f>
        <v>0</v>
      </c>
      <c r="AE175" s="77">
        <f ca="1">((SUBSIDIO!$L$175*SUBSIDIO!$Z$175)+(SUBSIDIO!$N$175*SUBSIDIO!$AA$175))*(0.03)/(1-0.03)</f>
        <v>318.86994513425901</v>
      </c>
      <c r="AF175" s="4" t="s">
        <v>810</v>
      </c>
    </row>
    <row r="176" spans="1:32" ht="11.25" customHeight="1" x14ac:dyDescent="0.25">
      <c r="A176" s="4" t="s">
        <v>21</v>
      </c>
      <c r="B176" s="4" t="s">
        <v>33</v>
      </c>
      <c r="C176" s="4" t="s">
        <v>34</v>
      </c>
      <c r="D176" s="4" t="s">
        <v>50</v>
      </c>
      <c r="E176" s="4" t="s">
        <v>51</v>
      </c>
      <c r="F176" s="4" t="s">
        <v>25</v>
      </c>
      <c r="G176" s="4" t="s">
        <v>25</v>
      </c>
      <c r="H176" s="4" t="s">
        <v>35</v>
      </c>
      <c r="I176" s="5">
        <v>44501</v>
      </c>
      <c r="J176" s="6">
        <v>0</v>
      </c>
      <c r="K176" s="77">
        <v>0</v>
      </c>
      <c r="L176" s="6">
        <v>9.6679999999999993</v>
      </c>
      <c r="M176" s="77">
        <v>9.6679999999999993</v>
      </c>
      <c r="N176" s="6">
        <v>9.6679999999999993</v>
      </c>
      <c r="O176" s="77">
        <v>9.6679999999999993</v>
      </c>
      <c r="P176" s="6">
        <v>0</v>
      </c>
      <c r="Q176" s="4" t="s">
        <v>26</v>
      </c>
      <c r="R176" s="4">
        <v>0</v>
      </c>
      <c r="S176" s="4">
        <v>0</v>
      </c>
      <c r="T176" s="4">
        <v>7</v>
      </c>
      <c r="U176" s="4">
        <v>48</v>
      </c>
      <c r="V176" s="77">
        <f>IF(ISERROR(VLOOKUP($S$176,'TAR FIN'!$A$1:$O$85,15,0)),0,VLOOKUP($S$176,'TAR FIN'!$A$1:$O$85,15,0))</f>
        <v>0</v>
      </c>
      <c r="W176" s="77">
        <f>IF(ISERROR(VLOOKUP($T$176,'TAR FIN'!$A$1:$O$85,15,0)),0,VLOOKUP($T$176,'TAR FIN'!$A$1:$O$85,15,0))*(1-0.06)</f>
        <v>891.26099999999997</v>
      </c>
      <c r="X176" s="77">
        <f>IF(ISERROR(VLOOKUP($U$176,'TAR FIN'!$A$1:$O$85,15,0)),0,VLOOKUP($U$176,'TAR FIN'!$A$1:$O$85,15,0))*(1-0.06)</f>
        <v>247.49260000000001</v>
      </c>
      <c r="Y176" s="77"/>
      <c r="Z176" s="77">
        <f ca="1">('TUSD BE'!$AM$11+'TUSD BF'!$AM$11+'TUSD CVA'!$AM$11)*1*(1-0.03)</f>
        <v>947.130360719598</v>
      </c>
      <c r="AA176" s="77">
        <f>('TE BE'!$AA$5+'TE BF'!$AA$5+'TE CVA'!$AA$5)*1*(1-0.03)</f>
        <v>204.32465670364385</v>
      </c>
      <c r="AB176" s="77">
        <f>(SUBSIDIO!$J$176*SUBSIDIO!$V$176)*(0.06)/(1-0.06)</f>
        <v>0</v>
      </c>
      <c r="AC176" s="77">
        <f>((SUBSIDIO!$L$176*SUBSIDIO!$W$176)+(SUBSIDIO!$N$176*SUBSIDIO!$X$176))*(0.06)/(1-0.06)</f>
        <v>702.73211519999995</v>
      </c>
      <c r="AD176" s="77">
        <f>(SUBSIDIO!$J$176*SUBSIDIO!$Y$176)*(0.03)/(1-0.03)</f>
        <v>0</v>
      </c>
      <c r="AE176" s="77">
        <f ca="1">((SUBSIDIO!$L$176*SUBSIDIO!$Z$176)+(SUBSIDIO!$N$176*SUBSIDIO!$AA$176))*(0.03)/(1-0.03)</f>
        <v>344.29692087983204</v>
      </c>
      <c r="AF176" s="4" t="s">
        <v>810</v>
      </c>
    </row>
    <row r="177" spans="1:32" ht="11.25" customHeight="1" x14ac:dyDescent="0.25">
      <c r="A177" s="4" t="s">
        <v>21</v>
      </c>
      <c r="B177" s="4" t="s">
        <v>33</v>
      </c>
      <c r="C177" s="4" t="s">
        <v>34</v>
      </c>
      <c r="D177" s="4" t="s">
        <v>50</v>
      </c>
      <c r="E177" s="4" t="s">
        <v>51</v>
      </c>
      <c r="F177" s="4" t="s">
        <v>25</v>
      </c>
      <c r="G177" s="4" t="s">
        <v>25</v>
      </c>
      <c r="H177" s="4" t="s">
        <v>35</v>
      </c>
      <c r="I177" s="5">
        <v>44531</v>
      </c>
      <c r="J177" s="6">
        <v>0</v>
      </c>
      <c r="K177" s="77">
        <v>0</v>
      </c>
      <c r="L177" s="6">
        <v>11.029</v>
      </c>
      <c r="M177" s="77">
        <v>11.029</v>
      </c>
      <c r="N177" s="6">
        <v>11.029</v>
      </c>
      <c r="O177" s="77">
        <v>11.029</v>
      </c>
      <c r="P177" s="6">
        <v>0</v>
      </c>
      <c r="Q177" s="4" t="s">
        <v>26</v>
      </c>
      <c r="R177" s="4">
        <v>0</v>
      </c>
      <c r="S177" s="4">
        <v>0</v>
      </c>
      <c r="T177" s="4">
        <v>7</v>
      </c>
      <c r="U177" s="4">
        <v>48</v>
      </c>
      <c r="V177" s="77">
        <f>IF(ISERROR(VLOOKUP($S$177,'TAR FIN'!$A$1:$O$85,15,0)),0,VLOOKUP($S$177,'TAR FIN'!$A$1:$O$85,15,0))</f>
        <v>0</v>
      </c>
      <c r="W177" s="77">
        <f>IF(ISERROR(VLOOKUP($T$177,'TAR FIN'!$A$1:$O$85,15,0)),0,VLOOKUP($T$177,'TAR FIN'!$A$1:$O$85,15,0))*(1-0.06)</f>
        <v>891.26099999999997</v>
      </c>
      <c r="X177" s="77">
        <f>IF(ISERROR(VLOOKUP($U$177,'TAR FIN'!$A$1:$O$85,15,0)),0,VLOOKUP($U$177,'TAR FIN'!$A$1:$O$85,15,0))*(1-0.06)</f>
        <v>247.49260000000001</v>
      </c>
      <c r="Y177" s="77"/>
      <c r="Z177" s="77">
        <f ca="1">('TUSD BE'!$AM$11+'TUSD BF'!$AM$11+'TUSD CVA'!$AM$11)*1*(1-0.03)</f>
        <v>947.130360719598</v>
      </c>
      <c r="AA177" s="77">
        <f>('TE BE'!$AA$5+'TE BF'!$AA$5+'TE CVA'!$AA$5)*1*(1-0.03)</f>
        <v>204.32465670364385</v>
      </c>
      <c r="AB177" s="77">
        <f>(SUBSIDIO!$J$177*SUBSIDIO!$V$177)*(0.06)/(1-0.06)</f>
        <v>0</v>
      </c>
      <c r="AC177" s="77">
        <f>((SUBSIDIO!$L$177*SUBSIDIO!$W$177)+(SUBSIDIO!$N$177*SUBSIDIO!$X$177))*(0.06)/(1-0.06)</f>
        <v>801.65830560000006</v>
      </c>
      <c r="AD177" s="77">
        <f>(SUBSIDIO!$J$177*SUBSIDIO!$Y$177)*(0.03)/(1-0.03)</f>
        <v>0</v>
      </c>
      <c r="AE177" s="77">
        <f ca="1">((SUBSIDIO!$L$177*SUBSIDIO!$Z$177)+(SUBSIDIO!$N$177*SUBSIDIO!$AA$177))*(0.03)/(1-0.03)</f>
        <v>392.76486764415262</v>
      </c>
      <c r="AF177" s="4" t="s">
        <v>810</v>
      </c>
    </row>
    <row r="178" spans="1:32" ht="11.25" customHeight="1" x14ac:dyDescent="0.25">
      <c r="A178" s="4" t="s">
        <v>21</v>
      </c>
      <c r="B178" s="4" t="s">
        <v>33</v>
      </c>
      <c r="C178" s="4" t="s">
        <v>34</v>
      </c>
      <c r="D178" s="4" t="s">
        <v>50</v>
      </c>
      <c r="E178" s="4" t="s">
        <v>51</v>
      </c>
      <c r="F178" s="4" t="s">
        <v>25</v>
      </c>
      <c r="G178" s="4" t="s">
        <v>25</v>
      </c>
      <c r="H178" s="4" t="s">
        <v>35</v>
      </c>
      <c r="I178" s="5">
        <v>44562</v>
      </c>
      <c r="J178" s="6">
        <v>0</v>
      </c>
      <c r="K178" s="77">
        <v>0</v>
      </c>
      <c r="L178" s="6">
        <v>10.352</v>
      </c>
      <c r="M178" s="77">
        <v>10.352</v>
      </c>
      <c r="N178" s="6">
        <v>10.352</v>
      </c>
      <c r="O178" s="77">
        <v>10.352</v>
      </c>
      <c r="P178" s="6">
        <v>0</v>
      </c>
      <c r="Q178" s="4" t="s">
        <v>26</v>
      </c>
      <c r="R178" s="4">
        <v>0</v>
      </c>
      <c r="S178" s="4">
        <v>0</v>
      </c>
      <c r="T178" s="4">
        <v>7</v>
      </c>
      <c r="U178" s="4">
        <v>48</v>
      </c>
      <c r="V178" s="77">
        <f>IF(ISERROR(VLOOKUP($S$178,'TAR FIN'!$A$1:$O$85,15,0)),0,VLOOKUP($S$178,'TAR FIN'!$A$1:$O$85,15,0))</f>
        <v>0</v>
      </c>
      <c r="W178" s="77">
        <f>IF(ISERROR(VLOOKUP($T$178,'TAR FIN'!$A$1:$O$85,15,0)),0,VLOOKUP($T$178,'TAR FIN'!$A$1:$O$85,15,0))*(1-0.06)</f>
        <v>891.26099999999997</v>
      </c>
      <c r="X178" s="77">
        <f>IF(ISERROR(VLOOKUP($U$178,'TAR FIN'!$A$1:$O$85,15,0)),0,VLOOKUP($U$178,'TAR FIN'!$A$1:$O$85,15,0))*(1-0.06)</f>
        <v>247.49260000000001</v>
      </c>
      <c r="Y178" s="77"/>
      <c r="Z178" s="77">
        <f ca="1">('TUSD BE'!$AM$11+'TUSD BF'!$AM$11+'TUSD CVA'!$AM$11)*1*(1-0.03)</f>
        <v>947.130360719598</v>
      </c>
      <c r="AA178" s="77">
        <f>('TE BE'!$AA$5+'TE BF'!$AA$5+'TE CVA'!$AA$5)*1*(1-0.03)</f>
        <v>204.32465670364385</v>
      </c>
      <c r="AB178" s="77">
        <f>(SUBSIDIO!$J$178*SUBSIDIO!$V$178)*(0.06)/(1-0.06)</f>
        <v>0</v>
      </c>
      <c r="AC178" s="77">
        <f>((SUBSIDIO!$L$178*SUBSIDIO!$W$178)+(SUBSIDIO!$N$178*SUBSIDIO!$X$178))*(0.06)/(1-0.06)</f>
        <v>752.44961279999995</v>
      </c>
      <c r="AD178" s="77">
        <f>(SUBSIDIO!$J$178*SUBSIDIO!$Y$178)*(0.03)/(1-0.03)</f>
        <v>0</v>
      </c>
      <c r="AE178" s="77">
        <f ca="1">((SUBSIDIO!$L$178*SUBSIDIO!$Z$178)+(SUBSIDIO!$N$178*SUBSIDIO!$AA$178))*(0.03)/(1-0.03)</f>
        <v>368.65553629996077</v>
      </c>
      <c r="AF178" s="4" t="s">
        <v>810</v>
      </c>
    </row>
    <row r="179" spans="1:32" ht="11.25" customHeight="1" x14ac:dyDescent="0.25">
      <c r="A179" s="4" t="s">
        <v>21</v>
      </c>
      <c r="B179" s="4" t="s">
        <v>33</v>
      </c>
      <c r="C179" s="4" t="s">
        <v>34</v>
      </c>
      <c r="D179" s="4" t="s">
        <v>50</v>
      </c>
      <c r="E179" s="4" t="s">
        <v>51</v>
      </c>
      <c r="F179" s="4" t="s">
        <v>25</v>
      </c>
      <c r="G179" s="4" t="s">
        <v>25</v>
      </c>
      <c r="H179" s="4" t="s">
        <v>35</v>
      </c>
      <c r="I179" s="5">
        <v>44593</v>
      </c>
      <c r="J179" s="6">
        <v>0</v>
      </c>
      <c r="K179" s="77">
        <v>0</v>
      </c>
      <c r="L179" s="6">
        <v>10.896000000000001</v>
      </c>
      <c r="M179" s="77">
        <v>10.896000000000001</v>
      </c>
      <c r="N179" s="6">
        <v>10.896000000000001</v>
      </c>
      <c r="O179" s="77">
        <v>10.896000000000001</v>
      </c>
      <c r="P179" s="6">
        <v>0</v>
      </c>
      <c r="Q179" s="4" t="s">
        <v>26</v>
      </c>
      <c r="R179" s="4">
        <v>0</v>
      </c>
      <c r="S179" s="4">
        <v>0</v>
      </c>
      <c r="T179" s="4">
        <v>7</v>
      </c>
      <c r="U179" s="4">
        <v>48</v>
      </c>
      <c r="V179" s="77">
        <f>IF(ISERROR(VLOOKUP($S$179,'TAR FIN'!$A$1:$O$85,15,0)),0,VLOOKUP($S$179,'TAR FIN'!$A$1:$O$85,15,0))</f>
        <v>0</v>
      </c>
      <c r="W179" s="77">
        <f>IF(ISERROR(VLOOKUP($T$179,'TAR FIN'!$A$1:$O$85,15,0)),0,VLOOKUP($T$179,'TAR FIN'!$A$1:$O$85,15,0))*(1-0.06)</f>
        <v>891.26099999999997</v>
      </c>
      <c r="X179" s="77">
        <f>IF(ISERROR(VLOOKUP($U$179,'TAR FIN'!$A$1:$O$85,15,0)),0,VLOOKUP($U$179,'TAR FIN'!$A$1:$O$85,15,0))*(1-0.06)</f>
        <v>247.49260000000001</v>
      </c>
      <c r="Y179" s="77"/>
      <c r="Z179" s="77">
        <f ca="1">('TUSD BE'!$AM$11+'TUSD BF'!$AM$11+'TUSD CVA'!$AM$11)*1*(1-0.03)</f>
        <v>947.130360719598</v>
      </c>
      <c r="AA179" s="77">
        <f>('TE BE'!$AA$5+'TE BF'!$AA$5+'TE CVA'!$AA$5)*1*(1-0.03)</f>
        <v>204.32465670364385</v>
      </c>
      <c r="AB179" s="77">
        <f>(SUBSIDIO!$J$179*SUBSIDIO!$V$179)*(0.06)/(1-0.06)</f>
        <v>0</v>
      </c>
      <c r="AC179" s="77">
        <f>((SUBSIDIO!$L$179*SUBSIDIO!$W$179)+(SUBSIDIO!$N$179*SUBSIDIO!$X$179))*(0.06)/(1-0.06)</f>
        <v>791.99101440000004</v>
      </c>
      <c r="AD179" s="77">
        <f>(SUBSIDIO!$J$179*SUBSIDIO!$Y$179)*(0.03)/(1-0.03)</f>
        <v>0</v>
      </c>
      <c r="AE179" s="77">
        <f ca="1">((SUBSIDIO!$L$179*SUBSIDIO!$Z$179)+(SUBSIDIO!$N$179*SUBSIDIO!$AA$179))*(0.03)/(1-0.03)</f>
        <v>388.02847020134976</v>
      </c>
      <c r="AF179" s="4" t="s">
        <v>810</v>
      </c>
    </row>
    <row r="180" spans="1:32" ht="11.25" customHeight="1" x14ac:dyDescent="0.25">
      <c r="A180" s="4" t="s">
        <v>21</v>
      </c>
      <c r="B180" s="4" t="s">
        <v>33</v>
      </c>
      <c r="C180" s="4" t="s">
        <v>34</v>
      </c>
      <c r="D180" s="4" t="s">
        <v>50</v>
      </c>
      <c r="E180" s="4" t="s">
        <v>51</v>
      </c>
      <c r="F180" s="4" t="s">
        <v>25</v>
      </c>
      <c r="G180" s="4" t="s">
        <v>25</v>
      </c>
      <c r="H180" s="4" t="s">
        <v>35</v>
      </c>
      <c r="I180" s="5">
        <v>44621</v>
      </c>
      <c r="J180" s="6">
        <v>0</v>
      </c>
      <c r="K180" s="77">
        <v>0</v>
      </c>
      <c r="L180" s="6">
        <v>10.621</v>
      </c>
      <c r="M180" s="77">
        <v>10.621</v>
      </c>
      <c r="N180" s="6">
        <v>10.621</v>
      </c>
      <c r="O180" s="77">
        <v>10.621</v>
      </c>
      <c r="P180" s="6">
        <v>0</v>
      </c>
      <c r="Q180" s="4" t="s">
        <v>26</v>
      </c>
      <c r="R180" s="4">
        <v>0</v>
      </c>
      <c r="S180" s="4">
        <v>0</v>
      </c>
      <c r="T180" s="4">
        <v>7</v>
      </c>
      <c r="U180" s="4">
        <v>48</v>
      </c>
      <c r="V180" s="77">
        <f>IF(ISERROR(VLOOKUP($S$180,'TAR FIN'!$A$1:$O$85,15,0)),0,VLOOKUP($S$180,'TAR FIN'!$A$1:$O$85,15,0))</f>
        <v>0</v>
      </c>
      <c r="W180" s="77">
        <f>IF(ISERROR(VLOOKUP($T$180,'TAR FIN'!$A$1:$O$85,15,0)),0,VLOOKUP($T$180,'TAR FIN'!$A$1:$O$85,15,0))*(1-0.06)</f>
        <v>891.26099999999997</v>
      </c>
      <c r="X180" s="77">
        <f>IF(ISERROR(VLOOKUP($U$180,'TAR FIN'!$A$1:$O$85,15,0)),0,VLOOKUP($U$180,'TAR FIN'!$A$1:$O$85,15,0))*(1-0.06)</f>
        <v>247.49260000000001</v>
      </c>
      <c r="Y180" s="77"/>
      <c r="Z180" s="77">
        <f ca="1">('TUSD BE'!$AM$11+'TUSD BF'!$AM$11+'TUSD CVA'!$AM$11)*1*(1-0.03)</f>
        <v>947.130360719598</v>
      </c>
      <c r="AA180" s="77">
        <f>('TE BE'!$AA$5+'TE BF'!$AA$5+'TE CVA'!$AA$5)*1*(1-0.03)</f>
        <v>204.32465670364385</v>
      </c>
      <c r="AB180" s="77">
        <f>(SUBSIDIO!$J$180*SUBSIDIO!$V$180)*(0.06)/(1-0.06)</f>
        <v>0</v>
      </c>
      <c r="AC180" s="77">
        <f>((SUBSIDIO!$L$180*SUBSIDIO!$W$180)+(SUBSIDIO!$N$180*SUBSIDIO!$X$180))*(0.06)/(1-0.06)</f>
        <v>772.00225439999997</v>
      </c>
      <c r="AD180" s="77">
        <f>(SUBSIDIO!$J$180*SUBSIDIO!$Y$180)*(0.03)/(1-0.03)</f>
        <v>0</v>
      </c>
      <c r="AE180" s="77">
        <f ca="1">((SUBSIDIO!$L$180*SUBSIDIO!$Z$180)+(SUBSIDIO!$N$180*SUBSIDIO!$AA$180))*(0.03)/(1-0.03)</f>
        <v>378.23516721811086</v>
      </c>
      <c r="AF180" s="4" t="s">
        <v>810</v>
      </c>
    </row>
    <row r="181" spans="1:32" ht="11.25" customHeight="1" x14ac:dyDescent="0.25">
      <c r="A181" s="4" t="s">
        <v>21</v>
      </c>
      <c r="B181" s="4" t="s">
        <v>33</v>
      </c>
      <c r="C181" s="4" t="s">
        <v>34</v>
      </c>
      <c r="D181" s="4" t="s">
        <v>50</v>
      </c>
      <c r="E181" s="4" t="s">
        <v>51</v>
      </c>
      <c r="F181" s="4" t="s">
        <v>25</v>
      </c>
      <c r="G181" s="4" t="s">
        <v>25</v>
      </c>
      <c r="H181" s="4" t="s">
        <v>35</v>
      </c>
      <c r="I181" s="5">
        <v>44652</v>
      </c>
      <c r="J181" s="6">
        <v>0</v>
      </c>
      <c r="K181" s="77">
        <v>0</v>
      </c>
      <c r="L181" s="6">
        <v>10.084</v>
      </c>
      <c r="M181" s="77">
        <v>10.084</v>
      </c>
      <c r="N181" s="6">
        <v>10.084</v>
      </c>
      <c r="O181" s="77">
        <v>10.084</v>
      </c>
      <c r="P181" s="6">
        <v>0</v>
      </c>
      <c r="Q181" s="4" t="s">
        <v>26</v>
      </c>
      <c r="R181" s="4">
        <v>0</v>
      </c>
      <c r="S181" s="4">
        <v>0</v>
      </c>
      <c r="T181" s="4">
        <v>7</v>
      </c>
      <c r="U181" s="4">
        <v>48</v>
      </c>
      <c r="V181" s="77">
        <f>IF(ISERROR(VLOOKUP($S$181,'TAR FIN'!$A$1:$O$85,15,0)),0,VLOOKUP($S$181,'TAR FIN'!$A$1:$O$85,15,0))</f>
        <v>0</v>
      </c>
      <c r="W181" s="77">
        <f>IF(ISERROR(VLOOKUP($T$181,'TAR FIN'!$A$1:$O$85,15,0)),0,VLOOKUP($T$181,'TAR FIN'!$A$1:$O$85,15,0))*(1-0.06)</f>
        <v>891.26099999999997</v>
      </c>
      <c r="X181" s="77">
        <f>IF(ISERROR(VLOOKUP($U$181,'TAR FIN'!$A$1:$O$85,15,0)),0,VLOOKUP($U$181,'TAR FIN'!$A$1:$O$85,15,0))*(1-0.06)</f>
        <v>247.49260000000001</v>
      </c>
      <c r="Y181" s="77"/>
      <c r="Z181" s="77">
        <f ca="1">('TUSD BE'!$AM$11+'TUSD BF'!$AM$11+'TUSD CVA'!$AM$11)*1*(1-0.03)</f>
        <v>947.130360719598</v>
      </c>
      <c r="AA181" s="77">
        <f>('TE BE'!$AA$5+'TE BF'!$AA$5+'TE CVA'!$AA$5)*1*(1-0.03)</f>
        <v>204.32465670364385</v>
      </c>
      <c r="AB181" s="77">
        <f>(SUBSIDIO!$J$181*SUBSIDIO!$V$181)*(0.06)/(1-0.06)</f>
        <v>0</v>
      </c>
      <c r="AC181" s="77">
        <f>((SUBSIDIO!$L$181*SUBSIDIO!$W$181)+(SUBSIDIO!$N$181*SUBSIDIO!$X$181))*(0.06)/(1-0.06)</f>
        <v>732.96965759999989</v>
      </c>
      <c r="AD181" s="77">
        <f>(SUBSIDIO!$J$181*SUBSIDIO!$Y$181)*(0.03)/(1-0.03)</f>
        <v>0</v>
      </c>
      <c r="AE181" s="77">
        <f ca="1">((SUBSIDIO!$L$181*SUBSIDIO!$Z$181)+(SUBSIDIO!$N$181*SUBSIDIO!$AA$181))*(0.03)/(1-0.03)</f>
        <v>359.11151739265893</v>
      </c>
      <c r="AF181" s="4" t="s">
        <v>810</v>
      </c>
    </row>
    <row r="182" spans="1:32" ht="11.25" customHeight="1" x14ac:dyDescent="0.25">
      <c r="A182" s="4" t="s">
        <v>21</v>
      </c>
      <c r="B182" s="4" t="s">
        <v>22</v>
      </c>
      <c r="C182" s="4" t="s">
        <v>23</v>
      </c>
      <c r="D182" s="4" t="s">
        <v>24</v>
      </c>
      <c r="E182" s="4" t="s">
        <v>24</v>
      </c>
      <c r="F182" s="4" t="s">
        <v>25</v>
      </c>
      <c r="G182" s="4" t="s">
        <v>25</v>
      </c>
      <c r="H182" s="4" t="s">
        <v>25</v>
      </c>
      <c r="I182" s="5">
        <v>44317</v>
      </c>
      <c r="J182" s="6">
        <v>0</v>
      </c>
      <c r="K182" s="6">
        <v>0</v>
      </c>
      <c r="L182" s="6">
        <v>1855.4870000000001</v>
      </c>
      <c r="M182" s="6">
        <v>1855.4870000000001</v>
      </c>
      <c r="N182" s="6">
        <v>1855.4870000000001</v>
      </c>
      <c r="O182" s="6">
        <v>1855.4870000000001</v>
      </c>
      <c r="P182" s="6">
        <v>10624</v>
      </c>
      <c r="Q182" s="4" t="s">
        <v>26</v>
      </c>
      <c r="R182" s="4">
        <v>0</v>
      </c>
      <c r="S182" s="4">
        <v>0</v>
      </c>
      <c r="T182" s="4">
        <v>16</v>
      </c>
      <c r="U182" s="4">
        <v>53</v>
      </c>
      <c r="V182" s="6">
        <f>IF(ISERROR(VLOOKUP($S$182,'TAR FIN'!$A$1:$O$85,15,0)),0,VLOOKUP($S$182,'TAR FIN'!$A$1:$O$85,15,0))</f>
        <v>0</v>
      </c>
      <c r="W182" s="6">
        <f>IF(ISERROR(VLOOKUP($T$182,'TAR FIN'!$A$1:$O$85,15,0)),0,VLOOKUP($T$182,'TAR FIN'!$A$1:$O$85,15,0))</f>
        <v>273.69</v>
      </c>
      <c r="X182" s="6">
        <f>IF(ISERROR(VLOOKUP($U$182,'TAR FIN'!$A$1:$O$85,15,0)),0,VLOOKUP($U$182,'TAR FIN'!$A$1:$O$85,15,0))</f>
        <v>263.29000000000002</v>
      </c>
      <c r="Y182" s="6"/>
      <c r="Z182" s="6">
        <f ca="1">('TUSD BE'!$AM$20+'TUSD BF'!$AM$20+'TUSD CVA'!$AM$20)*1</f>
        <v>320.1054038964063</v>
      </c>
      <c r="AA182" s="6">
        <f>('TE BE'!$AA$10+'TE BF'!$AA$10+'TE CVA'!$AA$10)*1</f>
        <v>210.64397598313801</v>
      </c>
      <c r="AB182" s="6">
        <f t="shared" ref="AB182:AB193" si="8">(J182-K182)*V182</f>
        <v>0</v>
      </c>
      <c r="AC182" s="6">
        <f t="shared" ref="AC182" si="9">(L182-M182)*W182+(N182-O182)*X182</f>
        <v>0</v>
      </c>
      <c r="AD182" s="6">
        <f t="shared" ref="AD182:AD193" si="10">(J182-K182)*Y182</f>
        <v>0</v>
      </c>
      <c r="AE182" s="6">
        <f t="shared" ref="AE182" ca="1" si="11">(L182-M182)*Z182+(N182-O182)*AA182</f>
        <v>0</v>
      </c>
    </row>
    <row r="183" spans="1:32" ht="11.25" customHeight="1" x14ac:dyDescent="0.25">
      <c r="A183" s="4" t="s">
        <v>21</v>
      </c>
      <c r="B183" s="4" t="s">
        <v>22</v>
      </c>
      <c r="C183" s="4" t="s">
        <v>23</v>
      </c>
      <c r="D183" s="4" t="s">
        <v>24</v>
      </c>
      <c r="E183" s="4" t="s">
        <v>29</v>
      </c>
      <c r="F183" s="4" t="s">
        <v>25</v>
      </c>
      <c r="G183" s="4" t="s">
        <v>25</v>
      </c>
      <c r="H183" s="4" t="s">
        <v>25</v>
      </c>
      <c r="I183" s="5">
        <v>44317</v>
      </c>
      <c r="J183" s="6">
        <v>0</v>
      </c>
      <c r="K183" s="6">
        <v>0</v>
      </c>
      <c r="L183" s="6">
        <v>14.34</v>
      </c>
      <c r="M183" s="6">
        <v>14.34</v>
      </c>
      <c r="N183" s="6">
        <v>14.34</v>
      </c>
      <c r="O183" s="6">
        <v>14.34</v>
      </c>
      <c r="P183" s="6">
        <v>0</v>
      </c>
      <c r="Q183" s="4" t="s">
        <v>26</v>
      </c>
      <c r="R183" s="4">
        <v>0</v>
      </c>
      <c r="S183" s="4">
        <v>0</v>
      </c>
      <c r="T183" s="4">
        <v>17</v>
      </c>
      <c r="U183" s="4">
        <v>54</v>
      </c>
      <c r="V183" s="6">
        <f>IF(ISERROR(VLOOKUP($S$183,'TAR FIN'!$A$1:$O$85,15,0)),0,VLOOKUP($S$183,'TAR FIN'!$A$1:$O$85,15,0))</f>
        <v>0</v>
      </c>
      <c r="W183" s="6">
        <f>IF(ISERROR(VLOOKUP($T$183,'TAR FIN'!$A$1:$O$85,15,0)),0,VLOOKUP($T$183,'TAR FIN'!$A$1:$O$85,15,0))</f>
        <v>72.489999999999995</v>
      </c>
      <c r="X183" s="6">
        <f>IF(ISERROR(VLOOKUP($U$183,'TAR FIN'!$A$1:$O$85,15,0)),0,VLOOKUP($U$183,'TAR FIN'!$A$1:$O$85,15,0))</f>
        <v>92.15</v>
      </c>
      <c r="Y183" s="6"/>
      <c r="Z183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183" s="6">
        <f>('TE BE'!$AA$11+'TE BF'!$AA$11+'TE CVA'!$AA$11)*(1-CUSTOS!$M$34)</f>
        <v>73.725391594098298</v>
      </c>
      <c r="AB183" s="6">
        <f t="shared" si="8"/>
        <v>0</v>
      </c>
      <c r="AC183" s="6">
        <f>(L183-M183)*(W183+X183)+($W$220+$X$220-$W$183-$X$183)*(L183)</f>
        <v>4384.5983999999999</v>
      </c>
      <c r="AD183" s="6">
        <f t="shared" si="10"/>
        <v>0</v>
      </c>
      <c r="AE183" s="6">
        <f ca="1">(L183-M183)*(Z183+AA183)+($Z$220+$AA$220-$Z$183-$AA$183)*(L183)</f>
        <v>3951.2118600348467</v>
      </c>
      <c r="AF183" s="4" t="s">
        <v>811</v>
      </c>
    </row>
    <row r="184" spans="1:32" ht="11.25" customHeight="1" x14ac:dyDescent="0.25">
      <c r="A184" s="4" t="s">
        <v>21</v>
      </c>
      <c r="B184" s="4" t="s">
        <v>22</v>
      </c>
      <c r="C184" s="4" t="s">
        <v>23</v>
      </c>
      <c r="D184" s="4" t="s">
        <v>24</v>
      </c>
      <c r="E184" s="4" t="s">
        <v>29</v>
      </c>
      <c r="F184" s="4" t="s">
        <v>25</v>
      </c>
      <c r="G184" s="4" t="s">
        <v>25</v>
      </c>
      <c r="H184" s="4" t="s">
        <v>25</v>
      </c>
      <c r="I184" s="5">
        <v>44348</v>
      </c>
      <c r="J184" s="6">
        <v>0</v>
      </c>
      <c r="K184" s="6">
        <v>0</v>
      </c>
      <c r="L184" s="6">
        <v>14.58</v>
      </c>
      <c r="M184" s="6">
        <v>14.58</v>
      </c>
      <c r="N184" s="6">
        <v>14.58</v>
      </c>
      <c r="O184" s="6">
        <v>14.58</v>
      </c>
      <c r="P184" s="6">
        <v>0</v>
      </c>
      <c r="Q184" s="4" t="s">
        <v>26</v>
      </c>
      <c r="R184" s="4">
        <v>0</v>
      </c>
      <c r="S184" s="4">
        <v>0</v>
      </c>
      <c r="T184" s="4">
        <v>17</v>
      </c>
      <c r="U184" s="4">
        <v>54</v>
      </c>
      <c r="V184" s="6">
        <f>IF(ISERROR(VLOOKUP($S$184,'TAR FIN'!$A$1:$O$85,15,0)),0,VLOOKUP($S$184,'TAR FIN'!$A$1:$O$85,15,0))</f>
        <v>0</v>
      </c>
      <c r="W184" s="6">
        <f>IF(ISERROR(VLOOKUP($T$184,'TAR FIN'!$A$1:$O$85,15,0)),0,VLOOKUP($T$184,'TAR FIN'!$A$1:$O$85,15,0))</f>
        <v>72.489999999999995</v>
      </c>
      <c r="X184" s="6">
        <f>IF(ISERROR(VLOOKUP($U$184,'TAR FIN'!$A$1:$O$85,15,0)),0,VLOOKUP($U$184,'TAR FIN'!$A$1:$O$85,15,0))</f>
        <v>92.15</v>
      </c>
      <c r="Y184" s="6"/>
      <c r="Z184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184" s="6">
        <f>('TE BE'!$AA$11+'TE BF'!$AA$11+'TE CVA'!$AA$11)*(1-CUSTOS!$M$34)</f>
        <v>73.725391594098298</v>
      </c>
      <c r="AB184" s="6">
        <f t="shared" si="8"/>
        <v>0</v>
      </c>
      <c r="AC184" s="6">
        <f>(L184-M184)*(W184+X184)+($W$220+$X$220-$W$184-$X$184)*(L184)</f>
        <v>4457.9808000000003</v>
      </c>
      <c r="AD184" s="6">
        <f t="shared" si="10"/>
        <v>0</v>
      </c>
      <c r="AE184" s="6">
        <f ca="1">(L184-M184)*(Z184+AA184)+($Z$220+$AA$220-$Z$184-$AA$184)*(L184)</f>
        <v>4017.340928822041</v>
      </c>
      <c r="AF184" s="4" t="s">
        <v>811</v>
      </c>
    </row>
    <row r="185" spans="1:32" ht="11.25" customHeight="1" x14ac:dyDescent="0.25">
      <c r="A185" s="4" t="s">
        <v>21</v>
      </c>
      <c r="B185" s="4" t="s">
        <v>22</v>
      </c>
      <c r="C185" s="4" t="s">
        <v>23</v>
      </c>
      <c r="D185" s="4" t="s">
        <v>24</v>
      </c>
      <c r="E185" s="4" t="s">
        <v>29</v>
      </c>
      <c r="F185" s="4" t="s">
        <v>25</v>
      </c>
      <c r="G185" s="4" t="s">
        <v>25</v>
      </c>
      <c r="H185" s="4" t="s">
        <v>25</v>
      </c>
      <c r="I185" s="5">
        <v>44378</v>
      </c>
      <c r="J185" s="6">
        <v>0</v>
      </c>
      <c r="K185" s="6">
        <v>0</v>
      </c>
      <c r="L185" s="6">
        <v>14.73</v>
      </c>
      <c r="M185" s="6">
        <v>14.73</v>
      </c>
      <c r="N185" s="6">
        <v>14.73</v>
      </c>
      <c r="O185" s="6">
        <v>14.73</v>
      </c>
      <c r="P185" s="6">
        <v>0</v>
      </c>
      <c r="Q185" s="4" t="s">
        <v>26</v>
      </c>
      <c r="R185" s="4">
        <v>0</v>
      </c>
      <c r="S185" s="4">
        <v>0</v>
      </c>
      <c r="T185" s="4">
        <v>17</v>
      </c>
      <c r="U185" s="4">
        <v>54</v>
      </c>
      <c r="V185" s="6">
        <f>IF(ISERROR(VLOOKUP($S$185,'TAR FIN'!$A$1:$O$85,15,0)),0,VLOOKUP($S$185,'TAR FIN'!$A$1:$O$85,15,0))</f>
        <v>0</v>
      </c>
      <c r="W185" s="6">
        <f>IF(ISERROR(VLOOKUP($T$185,'TAR FIN'!$A$1:$O$85,15,0)),0,VLOOKUP($T$185,'TAR FIN'!$A$1:$O$85,15,0))</f>
        <v>72.489999999999995</v>
      </c>
      <c r="X185" s="6">
        <f>IF(ISERROR(VLOOKUP($U$185,'TAR FIN'!$A$1:$O$85,15,0)),0,VLOOKUP($U$185,'TAR FIN'!$A$1:$O$85,15,0))</f>
        <v>92.15</v>
      </c>
      <c r="Y185" s="6"/>
      <c r="Z185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185" s="6">
        <f>('TE BE'!$AA$11+'TE BF'!$AA$11+'TE CVA'!$AA$11)*(1-CUSTOS!$M$34)</f>
        <v>73.725391594098298</v>
      </c>
      <c r="AB185" s="6">
        <f t="shared" si="8"/>
        <v>0</v>
      </c>
      <c r="AC185" s="6">
        <f>(L185-M185)*(W185+X185)+($W$220+$X$220-$W$185-$X$185)*(L185)</f>
        <v>4503.8447999999999</v>
      </c>
      <c r="AD185" s="6">
        <f t="shared" si="10"/>
        <v>0</v>
      </c>
      <c r="AE185" s="6">
        <f ca="1">(L185-M185)*(Z185+AA185)+($Z$220+$AA$220-$Z$185-$AA$185)*(L185)</f>
        <v>4058.671596814037</v>
      </c>
      <c r="AF185" s="4" t="s">
        <v>811</v>
      </c>
    </row>
    <row r="186" spans="1:32" ht="11.25" customHeight="1" x14ac:dyDescent="0.25">
      <c r="A186" s="4" t="s">
        <v>21</v>
      </c>
      <c r="B186" s="4" t="s">
        <v>22</v>
      </c>
      <c r="C186" s="4" t="s">
        <v>23</v>
      </c>
      <c r="D186" s="4" t="s">
        <v>24</v>
      </c>
      <c r="E186" s="4" t="s">
        <v>29</v>
      </c>
      <c r="F186" s="4" t="s">
        <v>25</v>
      </c>
      <c r="G186" s="4" t="s">
        <v>25</v>
      </c>
      <c r="H186" s="4" t="s">
        <v>25</v>
      </c>
      <c r="I186" s="5">
        <v>44409</v>
      </c>
      <c r="J186" s="6">
        <v>0</v>
      </c>
      <c r="K186" s="6">
        <v>0</v>
      </c>
      <c r="L186" s="6">
        <v>14.85</v>
      </c>
      <c r="M186" s="6">
        <v>14.85</v>
      </c>
      <c r="N186" s="6">
        <v>14.85</v>
      </c>
      <c r="O186" s="6">
        <v>14.85</v>
      </c>
      <c r="P186" s="6">
        <v>0</v>
      </c>
      <c r="Q186" s="4" t="s">
        <v>26</v>
      </c>
      <c r="R186" s="4">
        <v>0</v>
      </c>
      <c r="S186" s="4">
        <v>0</v>
      </c>
      <c r="T186" s="4">
        <v>17</v>
      </c>
      <c r="U186" s="4">
        <v>54</v>
      </c>
      <c r="V186" s="6">
        <f>IF(ISERROR(VLOOKUP($S$186,'TAR FIN'!$A$1:$O$85,15,0)),0,VLOOKUP($S$186,'TAR FIN'!$A$1:$O$85,15,0))</f>
        <v>0</v>
      </c>
      <c r="W186" s="6">
        <f>IF(ISERROR(VLOOKUP($T$186,'TAR FIN'!$A$1:$O$85,15,0)),0,VLOOKUP($T$186,'TAR FIN'!$A$1:$O$85,15,0))</f>
        <v>72.489999999999995</v>
      </c>
      <c r="X186" s="6">
        <f>IF(ISERROR(VLOOKUP($U$186,'TAR FIN'!$A$1:$O$85,15,0)),0,VLOOKUP($U$186,'TAR FIN'!$A$1:$O$85,15,0))</f>
        <v>92.15</v>
      </c>
      <c r="Y186" s="6"/>
      <c r="Z186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186" s="6">
        <f>('TE BE'!$AA$11+'TE BF'!$AA$11+'TE CVA'!$AA$11)*(1-CUSTOS!$M$34)</f>
        <v>73.725391594098298</v>
      </c>
      <c r="AB186" s="6">
        <f t="shared" si="8"/>
        <v>0</v>
      </c>
      <c r="AC186" s="6">
        <f>(L186-M186)*(W186+X186)+($W$220+$X$220-$W$186-$X$186)*(L186)</f>
        <v>4540.5360000000001</v>
      </c>
      <c r="AD186" s="6">
        <f t="shared" si="10"/>
        <v>0</v>
      </c>
      <c r="AE186" s="6">
        <f ca="1">(L186-M186)*(Z186+AA186)+($Z$220+$AA$220-$Z$186-$AA$186)*(L186)</f>
        <v>4091.7361312076341</v>
      </c>
      <c r="AF186" s="4" t="s">
        <v>811</v>
      </c>
    </row>
    <row r="187" spans="1:32" ht="11.25" customHeight="1" x14ac:dyDescent="0.25">
      <c r="A187" s="4" t="s">
        <v>21</v>
      </c>
      <c r="B187" s="4" t="s">
        <v>22</v>
      </c>
      <c r="C187" s="4" t="s">
        <v>23</v>
      </c>
      <c r="D187" s="4" t="s">
        <v>24</v>
      </c>
      <c r="E187" s="4" t="s">
        <v>29</v>
      </c>
      <c r="F187" s="4" t="s">
        <v>25</v>
      </c>
      <c r="G187" s="4" t="s">
        <v>25</v>
      </c>
      <c r="H187" s="4" t="s">
        <v>25</v>
      </c>
      <c r="I187" s="5">
        <v>44440</v>
      </c>
      <c r="J187" s="6">
        <v>0</v>
      </c>
      <c r="K187" s="6">
        <v>0</v>
      </c>
      <c r="L187" s="6">
        <v>14.85</v>
      </c>
      <c r="M187" s="6">
        <v>14.85</v>
      </c>
      <c r="N187" s="6">
        <v>14.85</v>
      </c>
      <c r="O187" s="6">
        <v>14.85</v>
      </c>
      <c r="P187" s="6">
        <v>0</v>
      </c>
      <c r="Q187" s="4" t="s">
        <v>26</v>
      </c>
      <c r="R187" s="4">
        <v>0</v>
      </c>
      <c r="S187" s="4">
        <v>0</v>
      </c>
      <c r="T187" s="4">
        <v>17</v>
      </c>
      <c r="U187" s="4">
        <v>54</v>
      </c>
      <c r="V187" s="6">
        <f>IF(ISERROR(VLOOKUP($S$187,'TAR FIN'!$A$1:$O$85,15,0)),0,VLOOKUP($S$187,'TAR FIN'!$A$1:$O$85,15,0))</f>
        <v>0</v>
      </c>
      <c r="W187" s="6">
        <f>IF(ISERROR(VLOOKUP($T$187,'TAR FIN'!$A$1:$O$85,15,0)),0,VLOOKUP($T$187,'TAR FIN'!$A$1:$O$85,15,0))</f>
        <v>72.489999999999995</v>
      </c>
      <c r="X187" s="6">
        <f>IF(ISERROR(VLOOKUP($U$187,'TAR FIN'!$A$1:$O$85,15,0)),0,VLOOKUP($U$187,'TAR FIN'!$A$1:$O$85,15,0))</f>
        <v>92.15</v>
      </c>
      <c r="Y187" s="6"/>
      <c r="Z187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187" s="6">
        <f>('TE BE'!$AA$11+'TE BF'!$AA$11+'TE CVA'!$AA$11)*(1-CUSTOS!$M$34)</f>
        <v>73.725391594098298</v>
      </c>
      <c r="AB187" s="6">
        <f t="shared" si="8"/>
        <v>0</v>
      </c>
      <c r="AC187" s="6">
        <f>(L187-M187)*(W187+X187)+($W$220+$X$220-$W$187-$X$187)*(L187)</f>
        <v>4540.5360000000001</v>
      </c>
      <c r="AD187" s="6">
        <f t="shared" si="10"/>
        <v>0</v>
      </c>
      <c r="AE187" s="6">
        <f ca="1">(L187-M187)*(Z187+AA187)+($Z$220+$AA$220-$Z$187-$AA$187)*(L187)</f>
        <v>4091.7361312076341</v>
      </c>
      <c r="AF187" s="4" t="s">
        <v>811</v>
      </c>
    </row>
    <row r="188" spans="1:32" ht="11.25" customHeight="1" x14ac:dyDescent="0.25">
      <c r="A188" s="4" t="s">
        <v>21</v>
      </c>
      <c r="B188" s="4" t="s">
        <v>22</v>
      </c>
      <c r="C188" s="4" t="s">
        <v>23</v>
      </c>
      <c r="D188" s="4" t="s">
        <v>24</v>
      </c>
      <c r="E188" s="4" t="s">
        <v>29</v>
      </c>
      <c r="F188" s="4" t="s">
        <v>25</v>
      </c>
      <c r="G188" s="4" t="s">
        <v>25</v>
      </c>
      <c r="H188" s="4" t="s">
        <v>25</v>
      </c>
      <c r="I188" s="5">
        <v>44470</v>
      </c>
      <c r="J188" s="6">
        <v>0</v>
      </c>
      <c r="K188" s="6">
        <v>0</v>
      </c>
      <c r="L188" s="6">
        <v>14.94</v>
      </c>
      <c r="M188" s="6">
        <v>14.94</v>
      </c>
      <c r="N188" s="6">
        <v>14.94</v>
      </c>
      <c r="O188" s="6">
        <v>14.94</v>
      </c>
      <c r="P188" s="6">
        <v>0</v>
      </c>
      <c r="Q188" s="4" t="s">
        <v>26</v>
      </c>
      <c r="R188" s="4">
        <v>0</v>
      </c>
      <c r="S188" s="4">
        <v>0</v>
      </c>
      <c r="T188" s="4">
        <v>17</v>
      </c>
      <c r="U188" s="4">
        <v>54</v>
      </c>
      <c r="V188" s="6">
        <f>IF(ISERROR(VLOOKUP($S$188,'TAR FIN'!$A$1:$O$85,15,0)),0,VLOOKUP($S$188,'TAR FIN'!$A$1:$O$85,15,0))</f>
        <v>0</v>
      </c>
      <c r="W188" s="6">
        <f>IF(ISERROR(VLOOKUP($T$188,'TAR FIN'!$A$1:$O$85,15,0)),0,VLOOKUP($T$188,'TAR FIN'!$A$1:$O$85,15,0))</f>
        <v>72.489999999999995</v>
      </c>
      <c r="X188" s="6">
        <f>IF(ISERROR(VLOOKUP($U$188,'TAR FIN'!$A$1:$O$85,15,0)),0,VLOOKUP($U$188,'TAR FIN'!$A$1:$O$85,15,0))</f>
        <v>92.15</v>
      </c>
      <c r="Y188" s="6"/>
      <c r="Z188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188" s="6">
        <f>('TE BE'!$AA$11+'TE BF'!$AA$11+'TE CVA'!$AA$11)*(1-CUSTOS!$M$34)</f>
        <v>73.725391594098298</v>
      </c>
      <c r="AB188" s="6">
        <f t="shared" si="8"/>
        <v>0</v>
      </c>
      <c r="AC188" s="6">
        <f>(L188-M188)*(W188+X188)+($W$220+$X$220-$W$188-$X$188)*(L188)</f>
        <v>4568.0544</v>
      </c>
      <c r="AD188" s="6">
        <f t="shared" si="10"/>
        <v>0</v>
      </c>
      <c r="AE188" s="6">
        <f ca="1">(L188-M188)*(Z188+AA188)+($Z$220+$AA$220-$Z$188-$AA$188)*(L188)</f>
        <v>4116.5345320028318</v>
      </c>
      <c r="AF188" s="4" t="s">
        <v>811</v>
      </c>
    </row>
    <row r="189" spans="1:32" ht="11.25" customHeight="1" x14ac:dyDescent="0.25">
      <c r="A189" s="4" t="s">
        <v>21</v>
      </c>
      <c r="B189" s="4" t="s">
        <v>22</v>
      </c>
      <c r="C189" s="4" t="s">
        <v>23</v>
      </c>
      <c r="D189" s="4" t="s">
        <v>24</v>
      </c>
      <c r="E189" s="4" t="s">
        <v>29</v>
      </c>
      <c r="F189" s="4" t="s">
        <v>25</v>
      </c>
      <c r="G189" s="4" t="s">
        <v>25</v>
      </c>
      <c r="H189" s="4" t="s">
        <v>25</v>
      </c>
      <c r="I189" s="5">
        <v>44501</v>
      </c>
      <c r="J189" s="6">
        <v>0</v>
      </c>
      <c r="K189" s="6">
        <v>0</v>
      </c>
      <c r="L189" s="6">
        <v>15.06</v>
      </c>
      <c r="M189" s="6">
        <v>15.06</v>
      </c>
      <c r="N189" s="6">
        <v>15.06</v>
      </c>
      <c r="O189" s="6">
        <v>15.06</v>
      </c>
      <c r="P189" s="6">
        <v>1</v>
      </c>
      <c r="Q189" s="4" t="s">
        <v>26</v>
      </c>
      <c r="R189" s="4">
        <v>0</v>
      </c>
      <c r="S189" s="4">
        <v>0</v>
      </c>
      <c r="T189" s="4">
        <v>17</v>
      </c>
      <c r="U189" s="4">
        <v>54</v>
      </c>
      <c r="V189" s="6">
        <f>IF(ISERROR(VLOOKUP($S$189,'TAR FIN'!$A$1:$O$85,15,0)),0,VLOOKUP($S$189,'TAR FIN'!$A$1:$O$85,15,0))</f>
        <v>0</v>
      </c>
      <c r="W189" s="6">
        <f>IF(ISERROR(VLOOKUP($T$189,'TAR FIN'!$A$1:$O$85,15,0)),0,VLOOKUP($T$189,'TAR FIN'!$A$1:$O$85,15,0))</f>
        <v>72.489999999999995</v>
      </c>
      <c r="X189" s="6">
        <f>IF(ISERROR(VLOOKUP($U$189,'TAR FIN'!$A$1:$O$85,15,0)),0,VLOOKUP($U$189,'TAR FIN'!$A$1:$O$85,15,0))</f>
        <v>92.15</v>
      </c>
      <c r="Y189" s="6"/>
      <c r="Z189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189" s="6">
        <f>('TE BE'!$AA$11+'TE BF'!$AA$11+'TE CVA'!$AA$11)*(1-CUSTOS!$M$34)</f>
        <v>73.725391594098298</v>
      </c>
      <c r="AB189" s="6">
        <f t="shared" si="8"/>
        <v>0</v>
      </c>
      <c r="AC189" s="6">
        <f>(L189-M189)*(W189+X189)+($W$220+$X$220-$W$189-$X$189)*(L189)</f>
        <v>4604.7456000000002</v>
      </c>
      <c r="AD189" s="6">
        <f t="shared" si="10"/>
        <v>0</v>
      </c>
      <c r="AE189" s="6">
        <f ca="1">(L189-M189)*(Z189+AA189)+($Z$220+$AA$220-$Z$189-$AA$189)*(L189)</f>
        <v>4149.5990663964294</v>
      </c>
      <c r="AF189" s="4" t="s">
        <v>811</v>
      </c>
    </row>
    <row r="190" spans="1:32" ht="11.25" customHeight="1" x14ac:dyDescent="0.25">
      <c r="A190" s="4" t="s">
        <v>21</v>
      </c>
      <c r="B190" s="4" t="s">
        <v>22</v>
      </c>
      <c r="C190" s="4" t="s">
        <v>23</v>
      </c>
      <c r="D190" s="4" t="s">
        <v>24</v>
      </c>
      <c r="E190" s="4" t="s">
        <v>29</v>
      </c>
      <c r="F190" s="4" t="s">
        <v>25</v>
      </c>
      <c r="G190" s="4" t="s">
        <v>25</v>
      </c>
      <c r="H190" s="4" t="s">
        <v>25</v>
      </c>
      <c r="I190" s="5">
        <v>44531</v>
      </c>
      <c r="J190" s="6">
        <v>0</v>
      </c>
      <c r="K190" s="6">
        <v>0</v>
      </c>
      <c r="L190" s="6">
        <v>15.42</v>
      </c>
      <c r="M190" s="6">
        <v>15.42</v>
      </c>
      <c r="N190" s="6">
        <v>15.42</v>
      </c>
      <c r="O190" s="6">
        <v>15.42</v>
      </c>
      <c r="P190" s="6">
        <v>1</v>
      </c>
      <c r="Q190" s="4" t="s">
        <v>26</v>
      </c>
      <c r="R190" s="4">
        <v>0</v>
      </c>
      <c r="S190" s="4">
        <v>0</v>
      </c>
      <c r="T190" s="4">
        <v>17</v>
      </c>
      <c r="U190" s="4">
        <v>54</v>
      </c>
      <c r="V190" s="6">
        <f>IF(ISERROR(VLOOKUP($S$190,'TAR FIN'!$A$1:$O$85,15,0)),0,VLOOKUP($S$190,'TAR FIN'!$A$1:$O$85,15,0))</f>
        <v>0</v>
      </c>
      <c r="W190" s="6">
        <f>IF(ISERROR(VLOOKUP($T$190,'TAR FIN'!$A$1:$O$85,15,0)),0,VLOOKUP($T$190,'TAR FIN'!$A$1:$O$85,15,0))</f>
        <v>72.489999999999995</v>
      </c>
      <c r="X190" s="6">
        <f>IF(ISERROR(VLOOKUP($U$190,'TAR FIN'!$A$1:$O$85,15,0)),0,VLOOKUP($U$190,'TAR FIN'!$A$1:$O$85,15,0))</f>
        <v>92.15</v>
      </c>
      <c r="Y190" s="6"/>
      <c r="Z190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190" s="6">
        <f>('TE BE'!$AA$11+'TE BF'!$AA$11+'TE CVA'!$AA$11)*(1-CUSTOS!$M$34)</f>
        <v>73.725391594098298</v>
      </c>
      <c r="AB190" s="6">
        <f t="shared" si="8"/>
        <v>0</v>
      </c>
      <c r="AC190" s="6">
        <f>(L190-M190)*(W190+X190)+($W$220+$X$220-$W$190-$X$190)*(L190)</f>
        <v>4714.8191999999999</v>
      </c>
      <c r="AD190" s="6">
        <f t="shared" si="10"/>
        <v>0</v>
      </c>
      <c r="AE190" s="6">
        <f ca="1">(L190-M190)*(Z190+AA190)+($Z$220+$AA$220-$Z$190-$AA$190)*(L190)</f>
        <v>4248.7926695772203</v>
      </c>
      <c r="AF190" s="4" t="s">
        <v>811</v>
      </c>
    </row>
    <row r="191" spans="1:32" ht="11.25" customHeight="1" x14ac:dyDescent="0.25">
      <c r="A191" s="4" t="s">
        <v>21</v>
      </c>
      <c r="B191" s="4" t="s">
        <v>22</v>
      </c>
      <c r="C191" s="4" t="s">
        <v>23</v>
      </c>
      <c r="D191" s="4" t="s">
        <v>24</v>
      </c>
      <c r="E191" s="4" t="s">
        <v>29</v>
      </c>
      <c r="F191" s="4" t="s">
        <v>25</v>
      </c>
      <c r="G191" s="4" t="s">
        <v>25</v>
      </c>
      <c r="H191" s="4" t="s">
        <v>25</v>
      </c>
      <c r="I191" s="5">
        <v>44562</v>
      </c>
      <c r="J191" s="6">
        <v>0</v>
      </c>
      <c r="K191" s="6">
        <v>0</v>
      </c>
      <c r="L191" s="6">
        <v>15.72</v>
      </c>
      <c r="M191" s="6">
        <v>15.72</v>
      </c>
      <c r="N191" s="6">
        <v>15.72</v>
      </c>
      <c r="O191" s="6">
        <v>15.72</v>
      </c>
      <c r="P191" s="6">
        <v>0</v>
      </c>
      <c r="Q191" s="4" t="s">
        <v>26</v>
      </c>
      <c r="R191" s="4">
        <v>0</v>
      </c>
      <c r="S191" s="4">
        <v>0</v>
      </c>
      <c r="T191" s="4">
        <v>17</v>
      </c>
      <c r="U191" s="4">
        <v>54</v>
      </c>
      <c r="V191" s="6">
        <f>IF(ISERROR(VLOOKUP($S$191,'TAR FIN'!$A$1:$O$85,15,0)),0,VLOOKUP($S$191,'TAR FIN'!$A$1:$O$85,15,0))</f>
        <v>0</v>
      </c>
      <c r="W191" s="6">
        <f>IF(ISERROR(VLOOKUP($T$191,'TAR FIN'!$A$1:$O$85,15,0)),0,VLOOKUP($T$191,'TAR FIN'!$A$1:$O$85,15,0))</f>
        <v>72.489999999999995</v>
      </c>
      <c r="X191" s="6">
        <f>IF(ISERROR(VLOOKUP($U$191,'TAR FIN'!$A$1:$O$85,15,0)),0,VLOOKUP($U$191,'TAR FIN'!$A$1:$O$85,15,0))</f>
        <v>92.15</v>
      </c>
      <c r="Y191" s="6"/>
      <c r="Z191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191" s="6">
        <f>('TE BE'!$AA$11+'TE BF'!$AA$11+'TE CVA'!$AA$11)*(1-CUSTOS!$M$34)</f>
        <v>73.725391594098298</v>
      </c>
      <c r="AB191" s="6">
        <f t="shared" si="8"/>
        <v>0</v>
      </c>
      <c r="AC191" s="6">
        <f>(L191-M191)*(W191+X191)+($W$220+$X$220-$W$191-$X$191)*(L191)</f>
        <v>4806.5472</v>
      </c>
      <c r="AD191" s="6">
        <f t="shared" si="10"/>
        <v>0</v>
      </c>
      <c r="AE191" s="6">
        <f ca="1">(L191-M191)*(Z191+AA191)+($Z$220+$AA$220-$Z$191-$AA$191)*(L191)</f>
        <v>4331.4540055612133</v>
      </c>
      <c r="AF191" s="4" t="s">
        <v>811</v>
      </c>
    </row>
    <row r="192" spans="1:32" ht="11.25" customHeight="1" x14ac:dyDescent="0.25">
      <c r="A192" s="4" t="s">
        <v>21</v>
      </c>
      <c r="B192" s="4" t="s">
        <v>22</v>
      </c>
      <c r="C192" s="4" t="s">
        <v>23</v>
      </c>
      <c r="D192" s="4" t="s">
        <v>24</v>
      </c>
      <c r="E192" s="4" t="s">
        <v>29</v>
      </c>
      <c r="F192" s="4" t="s">
        <v>25</v>
      </c>
      <c r="G192" s="4" t="s">
        <v>25</v>
      </c>
      <c r="H192" s="4" t="s">
        <v>25</v>
      </c>
      <c r="I192" s="5">
        <v>44593</v>
      </c>
      <c r="J192" s="6">
        <v>0</v>
      </c>
      <c r="K192" s="6">
        <v>0</v>
      </c>
      <c r="L192" s="6">
        <v>17.100000000000001</v>
      </c>
      <c r="M192" s="6">
        <v>17.100000000000001</v>
      </c>
      <c r="N192" s="6">
        <v>17.100000000000001</v>
      </c>
      <c r="O192" s="6">
        <v>17.100000000000001</v>
      </c>
      <c r="P192" s="6">
        <v>1</v>
      </c>
      <c r="Q192" s="4" t="s">
        <v>26</v>
      </c>
      <c r="R192" s="4">
        <v>0</v>
      </c>
      <c r="S192" s="4">
        <v>0</v>
      </c>
      <c r="T192" s="4">
        <v>17</v>
      </c>
      <c r="U192" s="4">
        <v>54</v>
      </c>
      <c r="V192" s="6">
        <f>IF(ISERROR(VLOOKUP($S$192,'TAR FIN'!$A$1:$O$85,15,0)),0,VLOOKUP($S$192,'TAR FIN'!$A$1:$O$85,15,0))</f>
        <v>0</v>
      </c>
      <c r="W192" s="6">
        <f>IF(ISERROR(VLOOKUP($T$192,'TAR FIN'!$A$1:$O$85,15,0)),0,VLOOKUP($T$192,'TAR FIN'!$A$1:$O$85,15,0))</f>
        <v>72.489999999999995</v>
      </c>
      <c r="X192" s="6">
        <f>IF(ISERROR(VLOOKUP($U$192,'TAR FIN'!$A$1:$O$85,15,0)),0,VLOOKUP($U$192,'TAR FIN'!$A$1:$O$85,15,0))</f>
        <v>92.15</v>
      </c>
      <c r="Y192" s="6"/>
      <c r="Z192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192" s="6">
        <f>('TE BE'!$AA$11+'TE BF'!$AA$11+'TE CVA'!$AA$11)*(1-CUSTOS!$M$34)</f>
        <v>73.725391594098298</v>
      </c>
      <c r="AB192" s="6">
        <f t="shared" si="8"/>
        <v>0</v>
      </c>
      <c r="AC192" s="6">
        <f>(L192-M192)*(W192+X192)+($W$220+$X$220-$W$192-$X$192)*(L192)</f>
        <v>5228.4960000000001</v>
      </c>
      <c r="AD192" s="6">
        <f t="shared" si="10"/>
        <v>0</v>
      </c>
      <c r="AE192" s="6">
        <f ca="1">(L192-M192)*(Z192+AA192)+($Z$220+$AA$220-$Z$192-$AA$192)*(L192)</f>
        <v>4711.696151087579</v>
      </c>
      <c r="AF192" s="4" t="s">
        <v>811</v>
      </c>
    </row>
    <row r="193" spans="1:32" ht="11.25" customHeight="1" x14ac:dyDescent="0.25">
      <c r="A193" s="4" t="s">
        <v>21</v>
      </c>
      <c r="B193" s="4" t="s">
        <v>22</v>
      </c>
      <c r="C193" s="4" t="s">
        <v>23</v>
      </c>
      <c r="D193" s="4" t="s">
        <v>24</v>
      </c>
      <c r="E193" s="4" t="s">
        <v>29</v>
      </c>
      <c r="F193" s="4" t="s">
        <v>25</v>
      </c>
      <c r="G193" s="4" t="s">
        <v>25</v>
      </c>
      <c r="H193" s="4" t="s">
        <v>25</v>
      </c>
      <c r="I193" s="5">
        <v>44621</v>
      </c>
      <c r="J193" s="6">
        <v>0</v>
      </c>
      <c r="K193" s="6">
        <v>0</v>
      </c>
      <c r="L193" s="6">
        <v>25.65</v>
      </c>
      <c r="M193" s="6">
        <v>25.65</v>
      </c>
      <c r="N193" s="6">
        <v>25.65</v>
      </c>
      <c r="O193" s="6">
        <v>25.65</v>
      </c>
      <c r="P193" s="6">
        <v>2</v>
      </c>
      <c r="Q193" s="4" t="s">
        <v>26</v>
      </c>
      <c r="R193" s="4">
        <v>0</v>
      </c>
      <c r="S193" s="4">
        <v>0</v>
      </c>
      <c r="T193" s="4">
        <v>17</v>
      </c>
      <c r="U193" s="4">
        <v>54</v>
      </c>
      <c r="V193" s="6">
        <f>IF(ISERROR(VLOOKUP($S$193,'TAR FIN'!$A$1:$O$85,15,0)),0,VLOOKUP($S$193,'TAR FIN'!$A$1:$O$85,15,0))</f>
        <v>0</v>
      </c>
      <c r="W193" s="6">
        <f>IF(ISERROR(VLOOKUP($T$193,'TAR FIN'!$A$1:$O$85,15,0)),0,VLOOKUP($T$193,'TAR FIN'!$A$1:$O$85,15,0))</f>
        <v>72.489999999999995</v>
      </c>
      <c r="X193" s="6">
        <f>IF(ISERROR(VLOOKUP($U$193,'TAR FIN'!$A$1:$O$85,15,0)),0,VLOOKUP($U$193,'TAR FIN'!$A$1:$O$85,15,0))</f>
        <v>92.15</v>
      </c>
      <c r="Y193" s="6"/>
      <c r="Z193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193" s="6">
        <f>('TE BE'!$AA$11+'TE BF'!$AA$11+'TE CVA'!$AA$11)*(1-CUSTOS!$M$34)</f>
        <v>73.725391594098298</v>
      </c>
      <c r="AB193" s="6">
        <f t="shared" si="8"/>
        <v>0</v>
      </c>
      <c r="AC193" s="6">
        <f>(L193-M193)*(W193+X193)+($W$220+$X$220-$W$193-$X$193)*(L193)</f>
        <v>7842.7439999999997</v>
      </c>
      <c r="AD193" s="6">
        <f t="shared" si="10"/>
        <v>0</v>
      </c>
      <c r="AE193" s="6">
        <f ca="1">(L193-M193)*(Z193+AA193)+($Z$220+$AA$220-$Z$193-$AA$193)*(L193)</f>
        <v>7067.5442266313676</v>
      </c>
      <c r="AF193" s="4" t="s">
        <v>811</v>
      </c>
    </row>
    <row r="194" spans="1:32" ht="11.25" customHeight="1" x14ac:dyDescent="0.25">
      <c r="A194" s="4" t="s">
        <v>21</v>
      </c>
      <c r="B194" s="4" t="s">
        <v>22</v>
      </c>
      <c r="C194" s="4" t="s">
        <v>23</v>
      </c>
      <c r="D194" s="4" t="s">
        <v>24</v>
      </c>
      <c r="E194" s="4" t="s">
        <v>29</v>
      </c>
      <c r="F194" s="4" t="s">
        <v>25</v>
      </c>
      <c r="G194" s="4" t="s">
        <v>25</v>
      </c>
      <c r="H194" s="4" t="s">
        <v>25</v>
      </c>
      <c r="I194" s="5">
        <v>44652</v>
      </c>
      <c r="J194" s="6">
        <v>0</v>
      </c>
      <c r="K194" s="6">
        <v>0</v>
      </c>
      <c r="L194" s="6">
        <v>26.34</v>
      </c>
      <c r="M194" s="6">
        <v>26.34</v>
      </c>
      <c r="N194" s="6">
        <v>26.34</v>
      </c>
      <c r="O194" s="6">
        <v>26.34</v>
      </c>
      <c r="P194" s="6">
        <v>1</v>
      </c>
      <c r="Q194" s="4" t="s">
        <v>26</v>
      </c>
      <c r="R194" s="4">
        <v>0</v>
      </c>
      <c r="S194" s="4">
        <v>0</v>
      </c>
      <c r="T194" s="4">
        <v>17</v>
      </c>
      <c r="U194" s="4">
        <v>54</v>
      </c>
      <c r="V194" s="6">
        <f>IF(ISERROR(VLOOKUP($S$194,'TAR FIN'!$A$1:$O$85,15,0)),0,VLOOKUP($S$194,'TAR FIN'!$A$1:$O$85,15,0))</f>
        <v>0</v>
      </c>
      <c r="W194" s="6">
        <f>IF(ISERROR(VLOOKUP($T$194,'TAR FIN'!$A$1:$O$85,15,0)),0,VLOOKUP($T$194,'TAR FIN'!$A$1:$O$85,15,0))</f>
        <v>72.489999999999995</v>
      </c>
      <c r="X194" s="6">
        <f>IF(ISERROR(VLOOKUP($U$194,'TAR FIN'!$A$1:$O$85,15,0)),0,VLOOKUP($U$194,'TAR FIN'!$A$1:$O$85,15,0))</f>
        <v>92.15</v>
      </c>
      <c r="Y194" s="6"/>
      <c r="Z194" s="6">
        <f ca="1">('TUSD BE'!$AM$21+'TUSD BF'!$AM$21+'TUSD CVA'!$AM$21-('TUSD BE'!$P$21+'TUSD BF'!$P$21+'TUSD CVA'!$P$21)-('TUSD BE'!$Q$21+'TUSD BF'!$Q$21+'TUSD CVA'!$Q$21)-('TUSD BE'!$R$21+'TUSD BF'!$R$21+'TUSD CVA'!$R$21))*(1-CUSTOS!$M$34)</f>
        <v>74.641108889990974</v>
      </c>
      <c r="AA194" s="6">
        <f>('TE BE'!$AA$11+'TE BF'!$AA$11+'TE CVA'!$AA$11)*(1-CUSTOS!$M$34)</f>
        <v>73.725391594098298</v>
      </c>
      <c r="AB194" s="6">
        <f t="shared" ref="AB194:AB257" si="12">(J194-K194)*V194</f>
        <v>0</v>
      </c>
      <c r="AC194" s="6">
        <f>(L194-M194)*(W194+X194)+($W$220+$X$220-$W$194-$X$194)*(L194)</f>
        <v>8053.7183999999997</v>
      </c>
      <c r="AD194" s="6">
        <f t="shared" ref="AD194:AD257" si="13">(J194-K194)*Y194</f>
        <v>0</v>
      </c>
      <c r="AE194" s="6">
        <f ca="1">(L194-M194)*(Z194+AA194)+($Z$220+$AA$220-$Z$194-$AA$194)*(L194)</f>
        <v>7257.6652993945509</v>
      </c>
      <c r="AF194" s="4" t="s">
        <v>811</v>
      </c>
    </row>
    <row r="195" spans="1:32" ht="11.25" customHeight="1" x14ac:dyDescent="0.25">
      <c r="A195" s="4" t="s">
        <v>21</v>
      </c>
      <c r="B195" s="4" t="s">
        <v>22</v>
      </c>
      <c r="C195" s="4" t="s">
        <v>23</v>
      </c>
      <c r="D195" s="4" t="s">
        <v>24</v>
      </c>
      <c r="E195" s="4" t="s">
        <v>30</v>
      </c>
      <c r="F195" s="4" t="s">
        <v>25</v>
      </c>
      <c r="G195" s="4" t="s">
        <v>25</v>
      </c>
      <c r="H195" s="4" t="s">
        <v>25</v>
      </c>
      <c r="I195" s="5">
        <v>44317</v>
      </c>
      <c r="J195" s="6">
        <v>0</v>
      </c>
      <c r="K195" s="6">
        <v>0</v>
      </c>
      <c r="L195" s="6">
        <v>30.431999999999999</v>
      </c>
      <c r="M195" s="6">
        <v>30.431999999999999</v>
      </c>
      <c r="N195" s="6">
        <v>30.431999999999999</v>
      </c>
      <c r="O195" s="6">
        <v>30.431999999999999</v>
      </c>
      <c r="P195" s="6">
        <v>128</v>
      </c>
      <c r="Q195" s="4" t="s">
        <v>26</v>
      </c>
      <c r="R195" s="4">
        <v>0</v>
      </c>
      <c r="S195" s="4">
        <v>0</v>
      </c>
      <c r="T195" s="4">
        <v>18</v>
      </c>
      <c r="U195" s="4">
        <v>55</v>
      </c>
      <c r="V195" s="6">
        <f>IF(ISERROR(VLOOKUP($S$195,'TAR FIN'!$A$1:$O$85,15,0)),0,VLOOKUP($S$195,'TAR FIN'!$A$1:$O$85,15,0))</f>
        <v>0</v>
      </c>
      <c r="W195" s="6">
        <f>IF(ISERROR(VLOOKUP($T$195,'TAR FIN'!$A$1:$O$85,15,0)),0,VLOOKUP($T$195,'TAR FIN'!$A$1:$O$85,15,0))</f>
        <v>124.26</v>
      </c>
      <c r="X195" s="6">
        <f>IF(ISERROR(VLOOKUP($U$195,'TAR FIN'!$A$1:$O$85,15,0)),0,VLOOKUP($U$195,'TAR FIN'!$A$1:$O$85,15,0))</f>
        <v>157.97999999999999</v>
      </c>
      <c r="Y195" s="6"/>
      <c r="Z195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195" s="6">
        <f>('TE BE'!$AA$12+'TE BF'!$AA$12+'TE CVA'!$AA$12)*(1-CUSTOS!$M$35)</f>
        <v>126.38638558988279</v>
      </c>
      <c r="AB195" s="6">
        <f t="shared" si="12"/>
        <v>0</v>
      </c>
      <c r="AC195" s="6">
        <f>(L195-M195)*(W195+X195)+($W$220+$X$220-$W$195-$X$195)*(L195)</f>
        <v>5726.0851200000016</v>
      </c>
      <c r="AD195" s="6">
        <f t="shared" si="13"/>
        <v>0</v>
      </c>
      <c r="AE195" s="6">
        <f ca="1">(L195-M195)*(Z195+AA195)+($Z$220+$AA$220-$Z$195-$AA$195)*(L195)</f>
        <v>5160.1021059792065</v>
      </c>
      <c r="AF195" s="4" t="s">
        <v>811</v>
      </c>
    </row>
    <row r="196" spans="1:32" ht="11.25" customHeight="1" x14ac:dyDescent="0.25">
      <c r="A196" s="4" t="s">
        <v>21</v>
      </c>
      <c r="B196" s="4" t="s">
        <v>22</v>
      </c>
      <c r="C196" s="4" t="s">
        <v>23</v>
      </c>
      <c r="D196" s="4" t="s">
        <v>24</v>
      </c>
      <c r="E196" s="4" t="s">
        <v>30</v>
      </c>
      <c r="F196" s="4" t="s">
        <v>25</v>
      </c>
      <c r="G196" s="4" t="s">
        <v>25</v>
      </c>
      <c r="H196" s="4" t="s">
        <v>25</v>
      </c>
      <c r="I196" s="5">
        <v>44348</v>
      </c>
      <c r="J196" s="6">
        <v>0</v>
      </c>
      <c r="K196" s="6">
        <v>0</v>
      </c>
      <c r="L196" s="6">
        <v>31.23</v>
      </c>
      <c r="M196" s="6">
        <v>31.23</v>
      </c>
      <c r="N196" s="6">
        <v>31.23</v>
      </c>
      <c r="O196" s="6">
        <v>31.23</v>
      </c>
      <c r="P196" s="6">
        <v>111</v>
      </c>
      <c r="Q196" s="4" t="s">
        <v>26</v>
      </c>
      <c r="R196" s="4">
        <v>0</v>
      </c>
      <c r="S196" s="4">
        <v>0</v>
      </c>
      <c r="T196" s="4">
        <v>18</v>
      </c>
      <c r="U196" s="4">
        <v>55</v>
      </c>
      <c r="V196" s="6">
        <f>IF(ISERROR(VLOOKUP($S$196,'TAR FIN'!$A$1:$O$85,15,0)),0,VLOOKUP($S$196,'TAR FIN'!$A$1:$O$85,15,0))</f>
        <v>0</v>
      </c>
      <c r="W196" s="6">
        <f>IF(ISERROR(VLOOKUP($T$196,'TAR FIN'!$A$1:$O$85,15,0)),0,VLOOKUP($T$196,'TAR FIN'!$A$1:$O$85,15,0))</f>
        <v>124.26</v>
      </c>
      <c r="X196" s="6">
        <f>IF(ISERROR(VLOOKUP($U$196,'TAR FIN'!$A$1:$O$85,15,0)),0,VLOOKUP($U$196,'TAR FIN'!$A$1:$O$85,15,0))</f>
        <v>157.97999999999999</v>
      </c>
      <c r="Y196" s="6"/>
      <c r="Z196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196" s="6">
        <f>('TE BE'!$AA$12+'TE BF'!$AA$12+'TE CVA'!$AA$12)*(1-CUSTOS!$M$35)</f>
        <v>126.38638558988279</v>
      </c>
      <c r="AB196" s="6">
        <f t="shared" si="12"/>
        <v>0</v>
      </c>
      <c r="AC196" s="6">
        <f>(L196-M196)*(W196+X196)+($W$220+$X$220-$W$196-$X$196)*(L196)</f>
        <v>5876.2368000000015</v>
      </c>
      <c r="AD196" s="6">
        <f t="shared" si="13"/>
        <v>0</v>
      </c>
      <c r="AE196" s="6">
        <f ca="1">(L196-M196)*(Z196+AA196)+($Z$220+$AA$220-$Z$196-$AA$196)*(L196)</f>
        <v>5295.4123544206959</v>
      </c>
      <c r="AF196" s="4" t="s">
        <v>811</v>
      </c>
    </row>
    <row r="197" spans="1:32" ht="11.25" customHeight="1" x14ac:dyDescent="0.25">
      <c r="A197" s="4" t="s">
        <v>21</v>
      </c>
      <c r="B197" s="4" t="s">
        <v>22</v>
      </c>
      <c r="C197" s="4" t="s">
        <v>23</v>
      </c>
      <c r="D197" s="4" t="s">
        <v>24</v>
      </c>
      <c r="E197" s="4" t="s">
        <v>30</v>
      </c>
      <c r="F197" s="4" t="s">
        <v>25</v>
      </c>
      <c r="G197" s="4" t="s">
        <v>25</v>
      </c>
      <c r="H197" s="4" t="s">
        <v>25</v>
      </c>
      <c r="I197" s="5">
        <v>44378</v>
      </c>
      <c r="J197" s="6">
        <v>0</v>
      </c>
      <c r="K197" s="6">
        <v>0</v>
      </c>
      <c r="L197" s="6">
        <v>31.652000000000001</v>
      </c>
      <c r="M197" s="6">
        <v>31.652000000000001</v>
      </c>
      <c r="N197" s="6">
        <v>31.652000000000001</v>
      </c>
      <c r="O197" s="6">
        <v>31.652000000000001</v>
      </c>
      <c r="P197" s="6">
        <v>114</v>
      </c>
      <c r="Q197" s="4" t="s">
        <v>26</v>
      </c>
      <c r="R197" s="4">
        <v>0</v>
      </c>
      <c r="S197" s="4">
        <v>0</v>
      </c>
      <c r="T197" s="4">
        <v>18</v>
      </c>
      <c r="U197" s="4">
        <v>55</v>
      </c>
      <c r="V197" s="6">
        <f>IF(ISERROR(VLOOKUP($S$197,'TAR FIN'!$A$1:$O$85,15,0)),0,VLOOKUP($S$197,'TAR FIN'!$A$1:$O$85,15,0))</f>
        <v>0</v>
      </c>
      <c r="W197" s="6">
        <f>IF(ISERROR(VLOOKUP($T$197,'TAR FIN'!$A$1:$O$85,15,0)),0,VLOOKUP($T$197,'TAR FIN'!$A$1:$O$85,15,0))</f>
        <v>124.26</v>
      </c>
      <c r="X197" s="6">
        <f>IF(ISERROR(VLOOKUP($U$197,'TAR FIN'!$A$1:$O$85,15,0)),0,VLOOKUP($U$197,'TAR FIN'!$A$1:$O$85,15,0))</f>
        <v>157.97999999999999</v>
      </c>
      <c r="Y197" s="6"/>
      <c r="Z197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197" s="6">
        <f>('TE BE'!$AA$12+'TE BF'!$AA$12+'TE CVA'!$AA$12)*(1-CUSTOS!$M$35)</f>
        <v>126.38638558988279</v>
      </c>
      <c r="AB197" s="6">
        <f t="shared" si="12"/>
        <v>0</v>
      </c>
      <c r="AC197" s="6">
        <f>(L197-M197)*(W197+X197)+($W$220+$X$220-$W$197-$X$197)*(L197)</f>
        <v>5955.6403200000022</v>
      </c>
      <c r="AD197" s="6">
        <f t="shared" si="13"/>
        <v>0</v>
      </c>
      <c r="AE197" s="6">
        <f ca="1">(L197-M197)*(Z197+AA197)+($Z$220+$AA$220-$Z$197-$AA$197)*(L197)</f>
        <v>5366.9673980827365</v>
      </c>
      <c r="AF197" s="4" t="s">
        <v>811</v>
      </c>
    </row>
    <row r="198" spans="1:32" ht="11.25" customHeight="1" x14ac:dyDescent="0.25">
      <c r="A198" s="4" t="s">
        <v>21</v>
      </c>
      <c r="B198" s="4" t="s">
        <v>22</v>
      </c>
      <c r="C198" s="4" t="s">
        <v>23</v>
      </c>
      <c r="D198" s="4" t="s">
        <v>24</v>
      </c>
      <c r="E198" s="4" t="s">
        <v>30</v>
      </c>
      <c r="F198" s="4" t="s">
        <v>25</v>
      </c>
      <c r="G198" s="4" t="s">
        <v>25</v>
      </c>
      <c r="H198" s="4" t="s">
        <v>25</v>
      </c>
      <c r="I198" s="5">
        <v>44409</v>
      </c>
      <c r="J198" s="6">
        <v>0</v>
      </c>
      <c r="K198" s="6">
        <v>0</v>
      </c>
      <c r="L198" s="6">
        <v>31.445</v>
      </c>
      <c r="M198" s="6">
        <v>31.445</v>
      </c>
      <c r="N198" s="6">
        <v>31.445</v>
      </c>
      <c r="O198" s="6">
        <v>31.445</v>
      </c>
      <c r="P198" s="6">
        <v>134</v>
      </c>
      <c r="Q198" s="4" t="s">
        <v>26</v>
      </c>
      <c r="R198" s="4">
        <v>0</v>
      </c>
      <c r="S198" s="4">
        <v>0</v>
      </c>
      <c r="T198" s="4">
        <v>18</v>
      </c>
      <c r="U198" s="4">
        <v>55</v>
      </c>
      <c r="V198" s="6">
        <f>IF(ISERROR(VLOOKUP($S$198,'TAR FIN'!$A$1:$O$85,15,0)),0,VLOOKUP($S$198,'TAR FIN'!$A$1:$O$85,15,0))</f>
        <v>0</v>
      </c>
      <c r="W198" s="6">
        <f>IF(ISERROR(VLOOKUP($T$198,'TAR FIN'!$A$1:$O$85,15,0)),0,VLOOKUP($T$198,'TAR FIN'!$A$1:$O$85,15,0))</f>
        <v>124.26</v>
      </c>
      <c r="X198" s="6">
        <f>IF(ISERROR(VLOOKUP($U$198,'TAR FIN'!$A$1:$O$85,15,0)),0,VLOOKUP($U$198,'TAR FIN'!$A$1:$O$85,15,0))</f>
        <v>157.97999999999999</v>
      </c>
      <c r="Y198" s="6"/>
      <c r="Z198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198" s="6">
        <f>('TE BE'!$AA$12+'TE BF'!$AA$12+'TE CVA'!$AA$12)*(1-CUSTOS!$M$35)</f>
        <v>126.38638558988279</v>
      </c>
      <c r="AB198" s="6">
        <f t="shared" si="12"/>
        <v>0</v>
      </c>
      <c r="AC198" s="6">
        <f>(L198-M198)*(W198+X198)+($W$220+$X$220-$W$198-$X$198)*(L198)</f>
        <v>5916.691200000002</v>
      </c>
      <c r="AD198" s="6">
        <f t="shared" si="13"/>
        <v>0</v>
      </c>
      <c r="AE198" s="6">
        <f ca="1">(L198-M198)*(Z198+AA198)+($Z$220+$AA$220-$Z$198-$AA$198)*(L198)</f>
        <v>5331.8681231110722</v>
      </c>
      <c r="AF198" s="4" t="s">
        <v>811</v>
      </c>
    </row>
    <row r="199" spans="1:32" ht="11.25" customHeight="1" x14ac:dyDescent="0.25">
      <c r="A199" s="4" t="s">
        <v>21</v>
      </c>
      <c r="B199" s="4" t="s">
        <v>22</v>
      </c>
      <c r="C199" s="4" t="s">
        <v>23</v>
      </c>
      <c r="D199" s="4" t="s">
        <v>24</v>
      </c>
      <c r="E199" s="4" t="s">
        <v>30</v>
      </c>
      <c r="F199" s="4" t="s">
        <v>25</v>
      </c>
      <c r="G199" s="4" t="s">
        <v>25</v>
      </c>
      <c r="H199" s="4" t="s">
        <v>25</v>
      </c>
      <c r="I199" s="5">
        <v>44440</v>
      </c>
      <c r="J199" s="6">
        <v>0</v>
      </c>
      <c r="K199" s="6">
        <v>0</v>
      </c>
      <c r="L199" s="6">
        <v>32.24</v>
      </c>
      <c r="M199" s="6">
        <v>32.24</v>
      </c>
      <c r="N199" s="6">
        <v>32.24</v>
      </c>
      <c r="O199" s="6">
        <v>32.24</v>
      </c>
      <c r="P199" s="6">
        <v>111</v>
      </c>
      <c r="Q199" s="4" t="s">
        <v>26</v>
      </c>
      <c r="R199" s="4">
        <v>0</v>
      </c>
      <c r="S199" s="4">
        <v>0</v>
      </c>
      <c r="T199" s="4">
        <v>18</v>
      </c>
      <c r="U199" s="4">
        <v>55</v>
      </c>
      <c r="V199" s="6">
        <f>IF(ISERROR(VLOOKUP($S$199,'TAR FIN'!$A$1:$O$85,15,0)),0,VLOOKUP($S$199,'TAR FIN'!$A$1:$O$85,15,0))</f>
        <v>0</v>
      </c>
      <c r="W199" s="6">
        <f>IF(ISERROR(VLOOKUP($T$199,'TAR FIN'!$A$1:$O$85,15,0)),0,VLOOKUP($T$199,'TAR FIN'!$A$1:$O$85,15,0))</f>
        <v>124.26</v>
      </c>
      <c r="X199" s="6">
        <f>IF(ISERROR(VLOOKUP($U$199,'TAR FIN'!$A$1:$O$85,15,0)),0,VLOOKUP($U$199,'TAR FIN'!$A$1:$O$85,15,0))</f>
        <v>157.97999999999999</v>
      </c>
      <c r="Y199" s="6"/>
      <c r="Z199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199" s="6">
        <f>('TE BE'!$AA$12+'TE BF'!$AA$12+'TE CVA'!$AA$12)*(1-CUSTOS!$M$35)</f>
        <v>126.38638558988279</v>
      </c>
      <c r="AB199" s="6">
        <f t="shared" si="12"/>
        <v>0</v>
      </c>
      <c r="AC199" s="6">
        <f>(L199-M199)*(W199+X199)+($W$220+$X$220-$W$199-$X$199)*(L199)</f>
        <v>6066.278400000002</v>
      </c>
      <c r="AD199" s="6">
        <f t="shared" si="13"/>
        <v>0</v>
      </c>
      <c r="AE199" s="6">
        <f ca="1">(L199-M199)*(Z199+AA199)+($Z$220+$AA$220-$Z$199-$AA$199)*(L199)</f>
        <v>5466.669686408045</v>
      </c>
      <c r="AF199" s="4" t="s">
        <v>811</v>
      </c>
    </row>
    <row r="200" spans="1:32" ht="11.25" customHeight="1" x14ac:dyDescent="0.25">
      <c r="A200" s="4" t="s">
        <v>21</v>
      </c>
      <c r="B200" s="4" t="s">
        <v>22</v>
      </c>
      <c r="C200" s="4" t="s">
        <v>23</v>
      </c>
      <c r="D200" s="4" t="s">
        <v>24</v>
      </c>
      <c r="E200" s="4" t="s">
        <v>30</v>
      </c>
      <c r="F200" s="4" t="s">
        <v>25</v>
      </c>
      <c r="G200" s="4" t="s">
        <v>25</v>
      </c>
      <c r="H200" s="4" t="s">
        <v>25</v>
      </c>
      <c r="I200" s="5">
        <v>44470</v>
      </c>
      <c r="J200" s="6">
        <v>0</v>
      </c>
      <c r="K200" s="6">
        <v>0</v>
      </c>
      <c r="L200" s="6">
        <v>33.164000000000001</v>
      </c>
      <c r="M200" s="6">
        <v>33.164000000000001</v>
      </c>
      <c r="N200" s="6">
        <v>33.164000000000001</v>
      </c>
      <c r="O200" s="6">
        <v>33.164000000000001</v>
      </c>
      <c r="P200" s="6">
        <v>79</v>
      </c>
      <c r="Q200" s="4" t="s">
        <v>26</v>
      </c>
      <c r="R200" s="4">
        <v>0</v>
      </c>
      <c r="S200" s="4">
        <v>0</v>
      </c>
      <c r="T200" s="4">
        <v>18</v>
      </c>
      <c r="U200" s="4">
        <v>55</v>
      </c>
      <c r="V200" s="6">
        <f>IF(ISERROR(VLOOKUP($S$200,'TAR FIN'!$A$1:$O$85,15,0)),0,VLOOKUP($S$200,'TAR FIN'!$A$1:$O$85,15,0))</f>
        <v>0</v>
      </c>
      <c r="W200" s="6">
        <f>IF(ISERROR(VLOOKUP($T$200,'TAR FIN'!$A$1:$O$85,15,0)),0,VLOOKUP($T$200,'TAR FIN'!$A$1:$O$85,15,0))</f>
        <v>124.26</v>
      </c>
      <c r="X200" s="6">
        <f>IF(ISERROR(VLOOKUP($U$200,'TAR FIN'!$A$1:$O$85,15,0)),0,VLOOKUP($U$200,'TAR FIN'!$A$1:$O$85,15,0))</f>
        <v>157.97999999999999</v>
      </c>
      <c r="Y200" s="6"/>
      <c r="Z200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200" s="6">
        <f>('TE BE'!$AA$12+'TE BF'!$AA$12+'TE CVA'!$AA$12)*(1-CUSTOS!$M$35)</f>
        <v>126.38638558988279</v>
      </c>
      <c r="AB200" s="6">
        <f t="shared" si="12"/>
        <v>0</v>
      </c>
      <c r="AC200" s="6">
        <f>(L200-M200)*(W200+X200)+($W$220+$X$220-$W$200-$X$200)*(L200)</f>
        <v>6240.138240000002</v>
      </c>
      <c r="AD200" s="6">
        <f t="shared" si="13"/>
        <v>0</v>
      </c>
      <c r="AE200" s="6">
        <f ca="1">(L200-M200)*(Z200+AA200)+($Z$220+$AA$220-$Z$200-$AA$200)*(L200)</f>
        <v>5623.344710919243</v>
      </c>
      <c r="AF200" s="4" t="s">
        <v>811</v>
      </c>
    </row>
    <row r="201" spans="1:32" ht="11.25" customHeight="1" x14ac:dyDescent="0.25">
      <c r="A201" s="4" t="s">
        <v>21</v>
      </c>
      <c r="B201" s="4" t="s">
        <v>22</v>
      </c>
      <c r="C201" s="4" t="s">
        <v>23</v>
      </c>
      <c r="D201" s="4" t="s">
        <v>24</v>
      </c>
      <c r="E201" s="4" t="s">
        <v>30</v>
      </c>
      <c r="F201" s="4" t="s">
        <v>25</v>
      </c>
      <c r="G201" s="4" t="s">
        <v>25</v>
      </c>
      <c r="H201" s="4" t="s">
        <v>25</v>
      </c>
      <c r="I201" s="5">
        <v>44501</v>
      </c>
      <c r="J201" s="6">
        <v>0</v>
      </c>
      <c r="K201" s="6">
        <v>0</v>
      </c>
      <c r="L201" s="6">
        <v>32.828000000000003</v>
      </c>
      <c r="M201" s="6">
        <v>32.828000000000003</v>
      </c>
      <c r="N201" s="6">
        <v>32.828000000000003</v>
      </c>
      <c r="O201" s="6">
        <v>32.828000000000003</v>
      </c>
      <c r="P201" s="6">
        <v>94</v>
      </c>
      <c r="Q201" s="4" t="s">
        <v>26</v>
      </c>
      <c r="R201" s="4">
        <v>0</v>
      </c>
      <c r="S201" s="4">
        <v>0</v>
      </c>
      <c r="T201" s="4">
        <v>18</v>
      </c>
      <c r="U201" s="4">
        <v>55</v>
      </c>
      <c r="V201" s="6">
        <f>IF(ISERROR(VLOOKUP($S$201,'TAR FIN'!$A$1:$O$85,15,0)),0,VLOOKUP($S$201,'TAR FIN'!$A$1:$O$85,15,0))</f>
        <v>0</v>
      </c>
      <c r="W201" s="6">
        <f>IF(ISERROR(VLOOKUP($T$201,'TAR FIN'!$A$1:$O$85,15,0)),0,VLOOKUP($T$201,'TAR FIN'!$A$1:$O$85,15,0))</f>
        <v>124.26</v>
      </c>
      <c r="X201" s="6">
        <f>IF(ISERROR(VLOOKUP($U$201,'TAR FIN'!$A$1:$O$85,15,0)),0,VLOOKUP($U$201,'TAR FIN'!$A$1:$O$85,15,0))</f>
        <v>157.97999999999999</v>
      </c>
      <c r="Y201" s="6"/>
      <c r="Z201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201" s="6">
        <f>('TE BE'!$AA$12+'TE BF'!$AA$12+'TE CVA'!$AA$12)*(1-CUSTOS!$M$35)</f>
        <v>126.38638558988279</v>
      </c>
      <c r="AB201" s="6">
        <f t="shared" si="12"/>
        <v>0</v>
      </c>
      <c r="AC201" s="6">
        <f>(L201-M201)*(W201+X201)+($W$220+$X$220-$W$201-$X$201)*(L201)</f>
        <v>6176.9164800000026</v>
      </c>
      <c r="AD201" s="6">
        <f t="shared" si="13"/>
        <v>0</v>
      </c>
      <c r="AE201" s="6">
        <f ca="1">(L201-M201)*(Z201+AA201)+($Z$220+$AA$220-$Z$201-$AA$201)*(L201)</f>
        <v>5566.3719747333535</v>
      </c>
      <c r="AF201" s="4" t="s">
        <v>811</v>
      </c>
    </row>
    <row r="202" spans="1:32" ht="11.25" customHeight="1" x14ac:dyDescent="0.25">
      <c r="A202" s="4" t="s">
        <v>21</v>
      </c>
      <c r="B202" s="4" t="s">
        <v>22</v>
      </c>
      <c r="C202" s="4" t="s">
        <v>23</v>
      </c>
      <c r="D202" s="4" t="s">
        <v>24</v>
      </c>
      <c r="E202" s="4" t="s">
        <v>30</v>
      </c>
      <c r="F202" s="4" t="s">
        <v>25</v>
      </c>
      <c r="G202" s="4" t="s">
        <v>25</v>
      </c>
      <c r="H202" s="4" t="s">
        <v>25</v>
      </c>
      <c r="I202" s="5">
        <v>44531</v>
      </c>
      <c r="J202" s="6">
        <v>0</v>
      </c>
      <c r="K202" s="6">
        <v>0</v>
      </c>
      <c r="L202" s="6">
        <v>33.479999999999997</v>
      </c>
      <c r="M202" s="6">
        <v>33.479999999999997</v>
      </c>
      <c r="N202" s="6">
        <v>33.479999999999997</v>
      </c>
      <c r="O202" s="6">
        <v>33.479999999999997</v>
      </c>
      <c r="P202" s="6">
        <v>103</v>
      </c>
      <c r="Q202" s="4" t="s">
        <v>26</v>
      </c>
      <c r="R202" s="4">
        <v>0</v>
      </c>
      <c r="S202" s="4">
        <v>0</v>
      </c>
      <c r="T202" s="4">
        <v>18</v>
      </c>
      <c r="U202" s="4">
        <v>55</v>
      </c>
      <c r="V202" s="6">
        <f>IF(ISERROR(VLOOKUP($S$202,'TAR FIN'!$A$1:$O$85,15,0)),0,VLOOKUP($S$202,'TAR FIN'!$A$1:$O$85,15,0))</f>
        <v>0</v>
      </c>
      <c r="W202" s="6">
        <f>IF(ISERROR(VLOOKUP($T$202,'TAR FIN'!$A$1:$O$85,15,0)),0,VLOOKUP($T$202,'TAR FIN'!$A$1:$O$85,15,0))</f>
        <v>124.26</v>
      </c>
      <c r="X202" s="6">
        <f>IF(ISERROR(VLOOKUP($U$202,'TAR FIN'!$A$1:$O$85,15,0)),0,VLOOKUP($U$202,'TAR FIN'!$A$1:$O$85,15,0))</f>
        <v>157.97999999999999</v>
      </c>
      <c r="Y202" s="6"/>
      <c r="Z202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202" s="6">
        <f>('TE BE'!$AA$12+'TE BF'!$AA$12+'TE CVA'!$AA$12)*(1-CUSTOS!$M$35)</f>
        <v>126.38638558988279</v>
      </c>
      <c r="AB202" s="6">
        <f t="shared" si="12"/>
        <v>0</v>
      </c>
      <c r="AC202" s="6">
        <f>(L202-M202)*(W202+X202)+($W$220+$X$220-$W$202-$X$202)*(L202)</f>
        <v>6299.5968000000012</v>
      </c>
      <c r="AD202" s="6">
        <f t="shared" si="13"/>
        <v>0</v>
      </c>
      <c r="AE202" s="6">
        <f ca="1">(L202-M202)*(Z202+AA202)+($Z$220+$AA$220-$Z$202-$AA$202)*(L202)</f>
        <v>5676.9262128083537</v>
      </c>
      <c r="AF202" s="4" t="s">
        <v>811</v>
      </c>
    </row>
    <row r="203" spans="1:32" ht="11.25" customHeight="1" x14ac:dyDescent="0.25">
      <c r="A203" s="4" t="s">
        <v>21</v>
      </c>
      <c r="B203" s="4" t="s">
        <v>22</v>
      </c>
      <c r="C203" s="4" t="s">
        <v>23</v>
      </c>
      <c r="D203" s="4" t="s">
        <v>24</v>
      </c>
      <c r="E203" s="4" t="s">
        <v>30</v>
      </c>
      <c r="F203" s="4" t="s">
        <v>25</v>
      </c>
      <c r="G203" s="4" t="s">
        <v>25</v>
      </c>
      <c r="H203" s="4" t="s">
        <v>25</v>
      </c>
      <c r="I203" s="5">
        <v>44562</v>
      </c>
      <c r="J203" s="6">
        <v>0</v>
      </c>
      <c r="K203" s="6">
        <v>0</v>
      </c>
      <c r="L203" s="6">
        <v>34.700000000000003</v>
      </c>
      <c r="M203" s="6">
        <v>34.700000000000003</v>
      </c>
      <c r="N203" s="6">
        <v>34.700000000000003</v>
      </c>
      <c r="O203" s="6">
        <v>34.700000000000003</v>
      </c>
      <c r="P203" s="6">
        <v>92</v>
      </c>
      <c r="Q203" s="4" t="s">
        <v>26</v>
      </c>
      <c r="R203" s="4">
        <v>0</v>
      </c>
      <c r="S203" s="4">
        <v>0</v>
      </c>
      <c r="T203" s="4">
        <v>18</v>
      </c>
      <c r="U203" s="4">
        <v>55</v>
      </c>
      <c r="V203" s="6">
        <f>IF(ISERROR(VLOOKUP($S$203,'TAR FIN'!$A$1:$O$85,15,0)),0,VLOOKUP($S$203,'TAR FIN'!$A$1:$O$85,15,0))</f>
        <v>0</v>
      </c>
      <c r="W203" s="6">
        <f>IF(ISERROR(VLOOKUP($T$203,'TAR FIN'!$A$1:$O$85,15,0)),0,VLOOKUP($T$203,'TAR FIN'!$A$1:$O$85,15,0))</f>
        <v>124.26</v>
      </c>
      <c r="X203" s="6">
        <f>IF(ISERROR(VLOOKUP($U$203,'TAR FIN'!$A$1:$O$85,15,0)),0,VLOOKUP($U$203,'TAR FIN'!$A$1:$O$85,15,0))</f>
        <v>157.97999999999999</v>
      </c>
      <c r="Y203" s="6"/>
      <c r="Z203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203" s="6">
        <f>('TE BE'!$AA$12+'TE BF'!$AA$12+'TE CVA'!$AA$12)*(1-CUSTOS!$M$35)</f>
        <v>126.38638558988279</v>
      </c>
      <c r="AB203" s="6">
        <f t="shared" si="12"/>
        <v>0</v>
      </c>
      <c r="AC203" s="6">
        <f>(L203-M203)*(W203+X203)+($W$220+$X$220-$W$203-$X$203)*(L203)</f>
        <v>6529.1520000000028</v>
      </c>
      <c r="AD203" s="6">
        <f t="shared" si="13"/>
        <v>0</v>
      </c>
      <c r="AE203" s="6">
        <f ca="1">(L203-M203)*(Z203+AA203)+($Z$220+$AA$220-$Z$203-$AA$203)*(L203)</f>
        <v>5883.7915049118847</v>
      </c>
      <c r="AF203" s="4" t="s">
        <v>811</v>
      </c>
    </row>
    <row r="204" spans="1:32" ht="11.25" customHeight="1" x14ac:dyDescent="0.25">
      <c r="A204" s="4" t="s">
        <v>21</v>
      </c>
      <c r="B204" s="4" t="s">
        <v>22</v>
      </c>
      <c r="C204" s="4" t="s">
        <v>23</v>
      </c>
      <c r="D204" s="4" t="s">
        <v>24</v>
      </c>
      <c r="E204" s="4" t="s">
        <v>30</v>
      </c>
      <c r="F204" s="4" t="s">
        <v>25</v>
      </c>
      <c r="G204" s="4" t="s">
        <v>25</v>
      </c>
      <c r="H204" s="4" t="s">
        <v>25</v>
      </c>
      <c r="I204" s="5">
        <v>44593</v>
      </c>
      <c r="J204" s="6">
        <v>0</v>
      </c>
      <c r="K204" s="6">
        <v>0</v>
      </c>
      <c r="L204" s="6">
        <v>37.752000000000002</v>
      </c>
      <c r="M204" s="6">
        <v>37.752000000000002</v>
      </c>
      <c r="N204" s="6">
        <v>37.752000000000002</v>
      </c>
      <c r="O204" s="6">
        <v>37.752000000000002</v>
      </c>
      <c r="P204" s="6">
        <v>98</v>
      </c>
      <c r="Q204" s="4" t="s">
        <v>26</v>
      </c>
      <c r="R204" s="4">
        <v>0</v>
      </c>
      <c r="S204" s="4">
        <v>0</v>
      </c>
      <c r="T204" s="4">
        <v>18</v>
      </c>
      <c r="U204" s="4">
        <v>55</v>
      </c>
      <c r="V204" s="6">
        <f>IF(ISERROR(VLOOKUP($S$204,'TAR FIN'!$A$1:$O$85,15,0)),0,VLOOKUP($S$204,'TAR FIN'!$A$1:$O$85,15,0))</f>
        <v>0</v>
      </c>
      <c r="W204" s="6">
        <f>IF(ISERROR(VLOOKUP($T$204,'TAR FIN'!$A$1:$O$85,15,0)),0,VLOOKUP($T$204,'TAR FIN'!$A$1:$O$85,15,0))</f>
        <v>124.26</v>
      </c>
      <c r="X204" s="6">
        <f>IF(ISERROR(VLOOKUP($U$204,'TAR FIN'!$A$1:$O$85,15,0)),0,VLOOKUP($U$204,'TAR FIN'!$A$1:$O$85,15,0))</f>
        <v>157.97999999999999</v>
      </c>
      <c r="Y204" s="6"/>
      <c r="Z204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204" s="6">
        <f>('TE BE'!$AA$12+'TE BF'!$AA$12+'TE CVA'!$AA$12)*(1-CUSTOS!$M$35)</f>
        <v>126.38638558988279</v>
      </c>
      <c r="AB204" s="6">
        <f t="shared" si="12"/>
        <v>0</v>
      </c>
      <c r="AC204" s="6">
        <f>(L204-M204)*(W204+X204)+($W$220+$X$220-$W$204-$X$204)*(L204)</f>
        <v>7103.4163200000021</v>
      </c>
      <c r="AD204" s="6">
        <f t="shared" si="13"/>
        <v>0</v>
      </c>
      <c r="AE204" s="6">
        <f ca="1">(L204-M204)*(Z204+AA204)+($Z$220+$AA$220-$Z$204-$AA$204)*(L204)</f>
        <v>6401.2938586003884</v>
      </c>
      <c r="AF204" s="4" t="s">
        <v>811</v>
      </c>
    </row>
    <row r="205" spans="1:32" ht="11.25" customHeight="1" x14ac:dyDescent="0.25">
      <c r="A205" s="4" t="s">
        <v>21</v>
      </c>
      <c r="B205" s="4" t="s">
        <v>22</v>
      </c>
      <c r="C205" s="4" t="s">
        <v>23</v>
      </c>
      <c r="D205" s="4" t="s">
        <v>24</v>
      </c>
      <c r="E205" s="4" t="s">
        <v>30</v>
      </c>
      <c r="F205" s="4" t="s">
        <v>25</v>
      </c>
      <c r="G205" s="4" t="s">
        <v>25</v>
      </c>
      <c r="H205" s="4" t="s">
        <v>25</v>
      </c>
      <c r="I205" s="5">
        <v>44621</v>
      </c>
      <c r="J205" s="6">
        <v>0</v>
      </c>
      <c r="K205" s="6">
        <v>0</v>
      </c>
      <c r="L205" s="6">
        <v>55.347000000000001</v>
      </c>
      <c r="M205" s="6">
        <v>55.347000000000001</v>
      </c>
      <c r="N205" s="6">
        <v>55.347000000000001</v>
      </c>
      <c r="O205" s="6">
        <v>55.347000000000001</v>
      </c>
      <c r="P205" s="6">
        <v>165</v>
      </c>
      <c r="Q205" s="4" t="s">
        <v>26</v>
      </c>
      <c r="R205" s="4">
        <v>0</v>
      </c>
      <c r="S205" s="4">
        <v>0</v>
      </c>
      <c r="T205" s="4">
        <v>18</v>
      </c>
      <c r="U205" s="4">
        <v>55</v>
      </c>
      <c r="V205" s="6">
        <f>IF(ISERROR(VLOOKUP($S$205,'TAR FIN'!$A$1:$O$85,15,0)),0,VLOOKUP($S$205,'TAR FIN'!$A$1:$O$85,15,0))</f>
        <v>0</v>
      </c>
      <c r="W205" s="6">
        <f>IF(ISERROR(VLOOKUP($T$205,'TAR FIN'!$A$1:$O$85,15,0)),0,VLOOKUP($T$205,'TAR FIN'!$A$1:$O$85,15,0))</f>
        <v>124.26</v>
      </c>
      <c r="X205" s="6">
        <f>IF(ISERROR(VLOOKUP($U$205,'TAR FIN'!$A$1:$O$85,15,0)),0,VLOOKUP($U$205,'TAR FIN'!$A$1:$O$85,15,0))</f>
        <v>157.97999999999999</v>
      </c>
      <c r="Y205" s="6"/>
      <c r="Z205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205" s="6">
        <f>('TE BE'!$AA$12+'TE BF'!$AA$12+'TE CVA'!$AA$12)*(1-CUSTOS!$M$35)</f>
        <v>126.38638558988279</v>
      </c>
      <c r="AB205" s="6">
        <f t="shared" si="12"/>
        <v>0</v>
      </c>
      <c r="AC205" s="6">
        <f>(L205-M205)*(W205+X205)+($W$220+$X$220-$W$205-$X$205)*(L205)</f>
        <v>10414.091520000004</v>
      </c>
      <c r="AD205" s="6">
        <f t="shared" si="13"/>
        <v>0</v>
      </c>
      <c r="AE205" s="6">
        <f ca="1">(L205-M205)*(Z205+AA205)+($Z$220+$AA$220-$Z$205-$AA$205)*(L205)</f>
        <v>9384.7322311918761</v>
      </c>
      <c r="AF205" s="4" t="s">
        <v>811</v>
      </c>
    </row>
    <row r="206" spans="1:32" ht="11.25" customHeight="1" x14ac:dyDescent="0.25">
      <c r="A206" s="4" t="s">
        <v>21</v>
      </c>
      <c r="B206" s="4" t="s">
        <v>22</v>
      </c>
      <c r="C206" s="4" t="s">
        <v>23</v>
      </c>
      <c r="D206" s="4" t="s">
        <v>24</v>
      </c>
      <c r="E206" s="4" t="s">
        <v>30</v>
      </c>
      <c r="F206" s="4" t="s">
        <v>25</v>
      </c>
      <c r="G206" s="4" t="s">
        <v>25</v>
      </c>
      <c r="H206" s="4" t="s">
        <v>25</v>
      </c>
      <c r="I206" s="5">
        <v>44652</v>
      </c>
      <c r="J206" s="6">
        <v>0</v>
      </c>
      <c r="K206" s="6">
        <v>0</v>
      </c>
      <c r="L206" s="6">
        <v>57.487000000000002</v>
      </c>
      <c r="M206" s="6">
        <v>57.487000000000002</v>
      </c>
      <c r="N206" s="6">
        <v>57.487000000000002</v>
      </c>
      <c r="O206" s="6">
        <v>57.487000000000002</v>
      </c>
      <c r="P206" s="6">
        <v>157</v>
      </c>
      <c r="Q206" s="4" t="s">
        <v>26</v>
      </c>
      <c r="R206" s="4">
        <v>0</v>
      </c>
      <c r="S206" s="4">
        <v>0</v>
      </c>
      <c r="T206" s="4">
        <v>18</v>
      </c>
      <c r="U206" s="4">
        <v>55</v>
      </c>
      <c r="V206" s="6">
        <f>IF(ISERROR(VLOOKUP($S$206,'TAR FIN'!$A$1:$O$85,15,0)),0,VLOOKUP($S$206,'TAR FIN'!$A$1:$O$85,15,0))</f>
        <v>0</v>
      </c>
      <c r="W206" s="6">
        <f>IF(ISERROR(VLOOKUP($T$206,'TAR FIN'!$A$1:$O$85,15,0)),0,VLOOKUP($T$206,'TAR FIN'!$A$1:$O$85,15,0))</f>
        <v>124.26</v>
      </c>
      <c r="X206" s="6">
        <f>IF(ISERROR(VLOOKUP($U$206,'TAR FIN'!$A$1:$O$85,15,0)),0,VLOOKUP($U$206,'TAR FIN'!$A$1:$O$85,15,0))</f>
        <v>157.97999999999999</v>
      </c>
      <c r="Y206" s="6"/>
      <c r="Z206" s="6">
        <f ca="1">('TUSD BE'!$AM$22+'TUSD BF'!$AM$22+'TUSD CVA'!$AM$22-('TUSD BE'!$P$22+'TUSD BF'!$P$22+'TUSD CVA'!$P$22)-('TUSD BE'!$Q$22+'TUSD BF'!$Q$22+'TUSD CVA'!$Q$22)-('TUSD BE'!$R$22+'TUSD BF'!$R$22+'TUSD CVA'!$R$22))*(1-CUSTOS!$M$35)</f>
        <v>127.95618666855596</v>
      </c>
      <c r="AA206" s="6">
        <f>('TE BE'!$AA$12+'TE BF'!$AA$12+'TE CVA'!$AA$12)*(1-CUSTOS!$M$35)</f>
        <v>126.38638558988279</v>
      </c>
      <c r="AB206" s="6">
        <f t="shared" si="12"/>
        <v>0</v>
      </c>
      <c r="AC206" s="6">
        <f>(L206-M206)*(W206+X206)+($W$220+$X$220-$W$206-$X$206)*(L206)</f>
        <v>10816.753920000003</v>
      </c>
      <c r="AD206" s="6">
        <f t="shared" si="13"/>
        <v>0</v>
      </c>
      <c r="AE206" s="6">
        <f ca="1">(L206-M206)*(Z206+AA206)+($Z$220+$AA$220-$Z$206-$AA$206)*(L206)</f>
        <v>9747.5943009472485</v>
      </c>
      <c r="AF206" s="4" t="s">
        <v>811</v>
      </c>
    </row>
    <row r="207" spans="1:32" ht="11.25" customHeight="1" x14ac:dyDescent="0.25">
      <c r="A207" s="4" t="s">
        <v>21</v>
      </c>
      <c r="B207" s="4" t="s">
        <v>22</v>
      </c>
      <c r="C207" s="4" t="s">
        <v>23</v>
      </c>
      <c r="D207" s="4" t="s">
        <v>24</v>
      </c>
      <c r="E207" s="4" t="s">
        <v>31</v>
      </c>
      <c r="F207" s="4" t="s">
        <v>25</v>
      </c>
      <c r="G207" s="4" t="s">
        <v>25</v>
      </c>
      <c r="H207" s="4" t="s">
        <v>25</v>
      </c>
      <c r="I207" s="5">
        <v>44317</v>
      </c>
      <c r="J207" s="6">
        <v>0</v>
      </c>
      <c r="K207" s="6">
        <v>0</v>
      </c>
      <c r="L207" s="6">
        <v>20.859000000000002</v>
      </c>
      <c r="M207" s="6">
        <v>20.859000000000002</v>
      </c>
      <c r="N207" s="6">
        <v>20.859000000000002</v>
      </c>
      <c r="O207" s="6">
        <v>20.859000000000002</v>
      </c>
      <c r="P207" s="6">
        <v>304</v>
      </c>
      <c r="Q207" s="4" t="s">
        <v>26</v>
      </c>
      <c r="R207" s="4">
        <v>0</v>
      </c>
      <c r="S207" s="4">
        <v>0</v>
      </c>
      <c r="T207" s="4">
        <v>19</v>
      </c>
      <c r="U207" s="4">
        <v>56</v>
      </c>
      <c r="V207" s="6">
        <f>IF(ISERROR(VLOOKUP($S$207,'TAR FIN'!$A$1:$O$85,15,0)),0,VLOOKUP($S$207,'TAR FIN'!$A$1:$O$85,15,0))</f>
        <v>0</v>
      </c>
      <c r="W207" s="6">
        <f>IF(ISERROR(VLOOKUP($T$207,'TAR FIN'!$A$1:$O$85,15,0)),0,VLOOKUP($T$207,'TAR FIN'!$A$1:$O$85,15,0))</f>
        <v>186.4</v>
      </c>
      <c r="X207" s="6">
        <f>IF(ISERROR(VLOOKUP($U$207,'TAR FIN'!$A$1:$O$85,15,0)),0,VLOOKUP($U$207,'TAR FIN'!$A$1:$O$85,15,0))</f>
        <v>236.96</v>
      </c>
      <c r="Y207" s="6"/>
      <c r="Z207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207" s="6">
        <f>('TE BE'!$AA$13+'TE BF'!$AA$13+'TE CVA'!$AA$13)*(1-CUSTOS!$M$36)</f>
        <v>189.5795783848242</v>
      </c>
      <c r="AB207" s="6">
        <f t="shared" si="12"/>
        <v>0</v>
      </c>
      <c r="AC207" s="6">
        <f>(L207-M207)*(W207+X207)+($W$220+$X$220-$W$207-$X$207)*(L207)</f>
        <v>981.20735999999988</v>
      </c>
      <c r="AD207" s="6">
        <f t="shared" si="13"/>
        <v>0</v>
      </c>
      <c r="AE207" s="6">
        <f ca="1">(L207-M207)*(Z207+AA207)+($Z$220+$AA$220-$Z$207-$AA$207)*(L207)</f>
        <v>884.22195245646276</v>
      </c>
      <c r="AF207" s="4" t="s">
        <v>811</v>
      </c>
    </row>
    <row r="208" spans="1:32" ht="11.25" customHeight="1" x14ac:dyDescent="0.25">
      <c r="A208" s="4" t="s">
        <v>21</v>
      </c>
      <c r="B208" s="4" t="s">
        <v>22</v>
      </c>
      <c r="C208" s="4" t="s">
        <v>23</v>
      </c>
      <c r="D208" s="4" t="s">
        <v>24</v>
      </c>
      <c r="E208" s="4" t="s">
        <v>31</v>
      </c>
      <c r="F208" s="4" t="s">
        <v>25</v>
      </c>
      <c r="G208" s="4" t="s">
        <v>25</v>
      </c>
      <c r="H208" s="4" t="s">
        <v>25</v>
      </c>
      <c r="I208" s="5">
        <v>44348</v>
      </c>
      <c r="J208" s="6">
        <v>0</v>
      </c>
      <c r="K208" s="6">
        <v>0</v>
      </c>
      <c r="L208" s="6">
        <v>24.350999999999999</v>
      </c>
      <c r="M208" s="6">
        <v>24.350999999999999</v>
      </c>
      <c r="N208" s="6">
        <v>24.350999999999999</v>
      </c>
      <c r="O208" s="6">
        <v>24.350999999999999</v>
      </c>
      <c r="P208" s="6">
        <v>315</v>
      </c>
      <c r="Q208" s="4" t="s">
        <v>26</v>
      </c>
      <c r="R208" s="4">
        <v>0</v>
      </c>
      <c r="S208" s="4">
        <v>0</v>
      </c>
      <c r="T208" s="4">
        <v>19</v>
      </c>
      <c r="U208" s="4">
        <v>56</v>
      </c>
      <c r="V208" s="6">
        <f>IF(ISERROR(VLOOKUP($S$208,'TAR FIN'!$A$1:$O$85,15,0)),0,VLOOKUP($S$208,'TAR FIN'!$A$1:$O$85,15,0))</f>
        <v>0</v>
      </c>
      <c r="W208" s="6">
        <f>IF(ISERROR(VLOOKUP($T$208,'TAR FIN'!$A$1:$O$85,15,0)),0,VLOOKUP($T$208,'TAR FIN'!$A$1:$O$85,15,0))</f>
        <v>186.4</v>
      </c>
      <c r="X208" s="6">
        <f>IF(ISERROR(VLOOKUP($U$208,'TAR FIN'!$A$1:$O$85,15,0)),0,VLOOKUP($U$208,'TAR FIN'!$A$1:$O$85,15,0))</f>
        <v>236.96</v>
      </c>
      <c r="Y208" s="6"/>
      <c r="Z208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208" s="6">
        <f>('TE BE'!$AA$13+'TE BF'!$AA$13+'TE CVA'!$AA$13)*(1-CUSTOS!$M$36)</f>
        <v>189.5795783848242</v>
      </c>
      <c r="AB208" s="6">
        <f t="shared" si="12"/>
        <v>0</v>
      </c>
      <c r="AC208" s="6">
        <f>(L208-M208)*(W208+X208)+($W$220+$X$220-$W$208-$X$208)*(L208)</f>
        <v>1145.4710399999997</v>
      </c>
      <c r="AD208" s="6">
        <f t="shared" si="13"/>
        <v>0</v>
      </c>
      <c r="AE208" s="6">
        <f ca="1">(L208-M208)*(Z208+AA208)+($Z$220+$AA$220-$Z$208-$AA$208)*(L208)</f>
        <v>1032.2493295108741</v>
      </c>
      <c r="AF208" s="4" t="s">
        <v>811</v>
      </c>
    </row>
    <row r="209" spans="1:32" ht="11.25" customHeight="1" x14ac:dyDescent="0.25">
      <c r="A209" s="4" t="s">
        <v>21</v>
      </c>
      <c r="B209" s="4" t="s">
        <v>22</v>
      </c>
      <c r="C209" s="4" t="s">
        <v>23</v>
      </c>
      <c r="D209" s="4" t="s">
        <v>24</v>
      </c>
      <c r="E209" s="4" t="s">
        <v>31</v>
      </c>
      <c r="F209" s="4" t="s">
        <v>25</v>
      </c>
      <c r="G209" s="4" t="s">
        <v>25</v>
      </c>
      <c r="H209" s="4" t="s">
        <v>25</v>
      </c>
      <c r="I209" s="5">
        <v>44378</v>
      </c>
      <c r="J209" s="6">
        <v>0</v>
      </c>
      <c r="K209" s="6">
        <v>0</v>
      </c>
      <c r="L209" s="6">
        <v>26.155999999999999</v>
      </c>
      <c r="M209" s="6">
        <v>26.155999999999999</v>
      </c>
      <c r="N209" s="6">
        <v>26.155999999999999</v>
      </c>
      <c r="O209" s="6">
        <v>26.155999999999999</v>
      </c>
      <c r="P209" s="6">
        <v>304</v>
      </c>
      <c r="Q209" s="4" t="s">
        <v>26</v>
      </c>
      <c r="R209" s="4">
        <v>0</v>
      </c>
      <c r="S209" s="4">
        <v>0</v>
      </c>
      <c r="T209" s="4">
        <v>19</v>
      </c>
      <c r="U209" s="4">
        <v>56</v>
      </c>
      <c r="V209" s="6">
        <f>IF(ISERROR(VLOOKUP($S$209,'TAR FIN'!$A$1:$O$85,15,0)),0,VLOOKUP($S$209,'TAR FIN'!$A$1:$O$85,15,0))</f>
        <v>0</v>
      </c>
      <c r="W209" s="6">
        <f>IF(ISERROR(VLOOKUP($T$209,'TAR FIN'!$A$1:$O$85,15,0)),0,VLOOKUP($T$209,'TAR FIN'!$A$1:$O$85,15,0))</f>
        <v>186.4</v>
      </c>
      <c r="X209" s="6">
        <f>IF(ISERROR(VLOOKUP($U$209,'TAR FIN'!$A$1:$O$85,15,0)),0,VLOOKUP($U$209,'TAR FIN'!$A$1:$O$85,15,0))</f>
        <v>236.96</v>
      </c>
      <c r="Y209" s="6"/>
      <c r="Z209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209" s="6">
        <f>('TE BE'!$AA$13+'TE BF'!$AA$13+'TE CVA'!$AA$13)*(1-CUSTOS!$M$36)</f>
        <v>189.5795783848242</v>
      </c>
      <c r="AB209" s="6">
        <f t="shared" si="12"/>
        <v>0</v>
      </c>
      <c r="AC209" s="6">
        <f>(L209-M209)*(W209+X209)+($W$220+$X$220-$W$209-$X$209)*(L209)</f>
        <v>1230.3782399999998</v>
      </c>
      <c r="AD209" s="6">
        <f t="shared" si="13"/>
        <v>0</v>
      </c>
      <c r="AE209" s="6">
        <f ca="1">(L209-M209)*(Z209+AA209)+($Z$220+$AA$220-$Z$209-$AA$209)*(L209)</f>
        <v>1108.7640533319543</v>
      </c>
      <c r="AF209" s="4" t="s">
        <v>811</v>
      </c>
    </row>
    <row r="210" spans="1:32" ht="11.25" customHeight="1" x14ac:dyDescent="0.25">
      <c r="A210" s="4" t="s">
        <v>27</v>
      </c>
      <c r="B210" s="4" t="s">
        <v>22</v>
      </c>
      <c r="C210" s="4" t="s">
        <v>23</v>
      </c>
      <c r="D210" s="4" t="s">
        <v>24</v>
      </c>
      <c r="E210" s="4" t="s">
        <v>31</v>
      </c>
      <c r="F210" s="4" t="s">
        <v>25</v>
      </c>
      <c r="G210" s="4" t="s">
        <v>25</v>
      </c>
      <c r="H210" s="4" t="s">
        <v>25</v>
      </c>
      <c r="I210" s="5">
        <v>44378</v>
      </c>
      <c r="J210" s="6">
        <v>0</v>
      </c>
      <c r="K210" s="6">
        <v>0</v>
      </c>
      <c r="L210" s="6">
        <v>-8.8999999999999996E-2</v>
      </c>
      <c r="M210" s="6">
        <v>-8.8999999999999996E-2</v>
      </c>
      <c r="N210" s="6">
        <v>-8.8999999999999996E-2</v>
      </c>
      <c r="O210" s="6">
        <v>-8.8999999999999996E-2</v>
      </c>
      <c r="P210" s="6">
        <v>0</v>
      </c>
      <c r="Q210" s="4" t="s">
        <v>26</v>
      </c>
      <c r="R210" s="4">
        <v>0</v>
      </c>
      <c r="S210" s="4">
        <v>0</v>
      </c>
      <c r="T210" s="4">
        <v>19</v>
      </c>
      <c r="U210" s="4">
        <v>56</v>
      </c>
      <c r="V210" s="6">
        <f>IF(ISERROR(VLOOKUP($S$210,'TAR FIN'!$A$1:$O$85,15,0)),0,VLOOKUP($S$210,'TAR FIN'!$A$1:$O$85,15,0))</f>
        <v>0</v>
      </c>
      <c r="W210" s="6">
        <f>IF(ISERROR(VLOOKUP($T$210,'TAR FIN'!$A$1:$O$85,15,0)),0,VLOOKUP($T$210,'TAR FIN'!$A$1:$O$85,15,0))</f>
        <v>186.4</v>
      </c>
      <c r="X210" s="6">
        <f>IF(ISERROR(VLOOKUP($U$210,'TAR FIN'!$A$1:$O$85,15,0)),0,VLOOKUP($U$210,'TAR FIN'!$A$1:$O$85,15,0))</f>
        <v>236.96</v>
      </c>
      <c r="Y210" s="6"/>
      <c r="Z210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210" s="6">
        <f>('TE BE'!$AA$13+'TE BF'!$AA$13+'TE CVA'!$AA$13)*(1-CUSTOS!$M$36)</f>
        <v>189.5795783848242</v>
      </c>
      <c r="AB210" s="6">
        <f t="shared" si="12"/>
        <v>0</v>
      </c>
      <c r="AC210" s="6">
        <f>(L210-M210)*(W210+X210)+($W$220+$X$220-$W$210-$X$210)*(L210)</f>
        <v>-4.1865599999999992</v>
      </c>
      <c r="AD210" s="6">
        <f t="shared" si="13"/>
        <v>0</v>
      </c>
      <c r="AE210" s="6">
        <f ca="1">(L210-M210)*(Z210+AA210)+($Z$220+$AA$220-$Z$210-$AA$210)*(L210)</f>
        <v>-3.7727481551668429</v>
      </c>
      <c r="AF210" s="4" t="s">
        <v>811</v>
      </c>
    </row>
    <row r="211" spans="1:32" ht="11.25" customHeight="1" x14ac:dyDescent="0.25">
      <c r="A211" s="4" t="s">
        <v>21</v>
      </c>
      <c r="B211" s="4" t="s">
        <v>22</v>
      </c>
      <c r="C211" s="4" t="s">
        <v>23</v>
      </c>
      <c r="D211" s="4" t="s">
        <v>24</v>
      </c>
      <c r="E211" s="4" t="s">
        <v>31</v>
      </c>
      <c r="F211" s="4" t="s">
        <v>25</v>
      </c>
      <c r="G211" s="4" t="s">
        <v>25</v>
      </c>
      <c r="H211" s="4" t="s">
        <v>25</v>
      </c>
      <c r="I211" s="5">
        <v>44409</v>
      </c>
      <c r="J211" s="6">
        <v>0</v>
      </c>
      <c r="K211" s="6">
        <v>0</v>
      </c>
      <c r="L211" s="6">
        <v>23.449000000000002</v>
      </c>
      <c r="M211" s="6">
        <v>23.449000000000002</v>
      </c>
      <c r="N211" s="6">
        <v>23.449000000000002</v>
      </c>
      <c r="O211" s="6">
        <v>23.449000000000002</v>
      </c>
      <c r="P211" s="6">
        <v>297</v>
      </c>
      <c r="Q211" s="4" t="s">
        <v>26</v>
      </c>
      <c r="R211" s="4">
        <v>0</v>
      </c>
      <c r="S211" s="4">
        <v>0</v>
      </c>
      <c r="T211" s="4">
        <v>19</v>
      </c>
      <c r="U211" s="4">
        <v>56</v>
      </c>
      <c r="V211" s="6">
        <f>IF(ISERROR(VLOOKUP($S$211,'TAR FIN'!$A$1:$O$85,15,0)),0,VLOOKUP($S$211,'TAR FIN'!$A$1:$O$85,15,0))</f>
        <v>0</v>
      </c>
      <c r="W211" s="6">
        <f>IF(ISERROR(VLOOKUP($T$211,'TAR FIN'!$A$1:$O$85,15,0)),0,VLOOKUP($T$211,'TAR FIN'!$A$1:$O$85,15,0))</f>
        <v>186.4</v>
      </c>
      <c r="X211" s="6">
        <f>IF(ISERROR(VLOOKUP($U$211,'TAR FIN'!$A$1:$O$85,15,0)),0,VLOOKUP($U$211,'TAR FIN'!$A$1:$O$85,15,0))</f>
        <v>236.96</v>
      </c>
      <c r="Y211" s="6"/>
      <c r="Z211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211" s="6">
        <f>('TE BE'!$AA$13+'TE BF'!$AA$13+'TE CVA'!$AA$13)*(1-CUSTOS!$M$36)</f>
        <v>189.5795783848242</v>
      </c>
      <c r="AB211" s="6">
        <f t="shared" si="12"/>
        <v>0</v>
      </c>
      <c r="AC211" s="6">
        <f>(L211-M211)*(W211+X211)+($W$220+$X$220-$W$211-$X$211)*(L211)</f>
        <v>1103.0409599999998</v>
      </c>
      <c r="AD211" s="6">
        <f t="shared" si="13"/>
        <v>0</v>
      </c>
      <c r="AE211" s="6">
        <f ca="1">(L211-M211)*(Z211+AA211)+($Z$220+$AA$220-$Z$211-$AA$211)*(L211)</f>
        <v>994.01316281468883</v>
      </c>
      <c r="AF211" s="4" t="s">
        <v>811</v>
      </c>
    </row>
    <row r="212" spans="1:32" ht="11.25" customHeight="1" x14ac:dyDescent="0.25">
      <c r="A212" s="4" t="s">
        <v>21</v>
      </c>
      <c r="B212" s="4" t="s">
        <v>22</v>
      </c>
      <c r="C212" s="4" t="s">
        <v>23</v>
      </c>
      <c r="D212" s="4" t="s">
        <v>24</v>
      </c>
      <c r="E212" s="4" t="s">
        <v>31</v>
      </c>
      <c r="F212" s="4" t="s">
        <v>25</v>
      </c>
      <c r="G212" s="4" t="s">
        <v>25</v>
      </c>
      <c r="H212" s="4" t="s">
        <v>25</v>
      </c>
      <c r="I212" s="5">
        <v>44440</v>
      </c>
      <c r="J212" s="6">
        <v>0</v>
      </c>
      <c r="K212" s="6">
        <v>0</v>
      </c>
      <c r="L212" s="6">
        <v>27.283000000000001</v>
      </c>
      <c r="M212" s="6">
        <v>27.283000000000001</v>
      </c>
      <c r="N212" s="6">
        <v>27.283000000000001</v>
      </c>
      <c r="O212" s="6">
        <v>27.283000000000001</v>
      </c>
      <c r="P212" s="6">
        <v>299</v>
      </c>
      <c r="Q212" s="4" t="s">
        <v>26</v>
      </c>
      <c r="R212" s="4">
        <v>0</v>
      </c>
      <c r="S212" s="4">
        <v>0</v>
      </c>
      <c r="T212" s="4">
        <v>19</v>
      </c>
      <c r="U212" s="4">
        <v>56</v>
      </c>
      <c r="V212" s="6">
        <f>IF(ISERROR(VLOOKUP($S$212,'TAR FIN'!$A$1:$O$85,15,0)),0,VLOOKUP($S$212,'TAR FIN'!$A$1:$O$85,15,0))</f>
        <v>0</v>
      </c>
      <c r="W212" s="6">
        <f>IF(ISERROR(VLOOKUP($T$212,'TAR FIN'!$A$1:$O$85,15,0)),0,VLOOKUP($T$212,'TAR FIN'!$A$1:$O$85,15,0))</f>
        <v>186.4</v>
      </c>
      <c r="X212" s="6">
        <f>IF(ISERROR(VLOOKUP($U$212,'TAR FIN'!$A$1:$O$85,15,0)),0,VLOOKUP($U$212,'TAR FIN'!$A$1:$O$85,15,0))</f>
        <v>236.96</v>
      </c>
      <c r="Y212" s="6"/>
      <c r="Z212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212" s="6">
        <f>('TE BE'!$AA$13+'TE BF'!$AA$13+'TE CVA'!$AA$13)*(1-CUSTOS!$M$36)</f>
        <v>189.5795783848242</v>
      </c>
      <c r="AB212" s="6">
        <f t="shared" si="12"/>
        <v>0</v>
      </c>
      <c r="AC212" s="6">
        <f>(L212-M212)*(W212+X212)+($W$220+$X$220-$W$212-$X$212)*(L212)</f>
        <v>1283.3923199999999</v>
      </c>
      <c r="AD212" s="6">
        <f t="shared" si="13"/>
        <v>0</v>
      </c>
      <c r="AE212" s="6">
        <f ca="1">(L212-M212)*(Z212+AA212)+($Z$220+$AA$220-$Z$212-$AA$212)*(L212)</f>
        <v>1156.5380664878312</v>
      </c>
      <c r="AF212" s="4" t="s">
        <v>811</v>
      </c>
    </row>
    <row r="213" spans="1:32" ht="11.25" customHeight="1" x14ac:dyDescent="0.25">
      <c r="A213" s="4" t="s">
        <v>21</v>
      </c>
      <c r="B213" s="4" t="s">
        <v>22</v>
      </c>
      <c r="C213" s="4" t="s">
        <v>23</v>
      </c>
      <c r="D213" s="4" t="s">
        <v>24</v>
      </c>
      <c r="E213" s="4" t="s">
        <v>31</v>
      </c>
      <c r="F213" s="4" t="s">
        <v>25</v>
      </c>
      <c r="G213" s="4" t="s">
        <v>25</v>
      </c>
      <c r="H213" s="4" t="s">
        <v>25</v>
      </c>
      <c r="I213" s="5">
        <v>44470</v>
      </c>
      <c r="J213" s="6">
        <v>0</v>
      </c>
      <c r="K213" s="6">
        <v>0</v>
      </c>
      <c r="L213" s="6">
        <v>32.040999999999997</v>
      </c>
      <c r="M213" s="6">
        <v>32.040999999999997</v>
      </c>
      <c r="N213" s="6">
        <v>32.040999999999997</v>
      </c>
      <c r="O213" s="6">
        <v>32.040999999999997</v>
      </c>
      <c r="P213" s="6">
        <v>305</v>
      </c>
      <c r="Q213" s="4" t="s">
        <v>26</v>
      </c>
      <c r="R213" s="4">
        <v>0</v>
      </c>
      <c r="S213" s="4">
        <v>0</v>
      </c>
      <c r="T213" s="4">
        <v>19</v>
      </c>
      <c r="U213" s="4">
        <v>56</v>
      </c>
      <c r="V213" s="6">
        <f>IF(ISERROR(VLOOKUP($S$213,'TAR FIN'!$A$1:$O$85,15,0)),0,VLOOKUP($S$213,'TAR FIN'!$A$1:$O$85,15,0))</f>
        <v>0</v>
      </c>
      <c r="W213" s="6">
        <f>IF(ISERROR(VLOOKUP($T$213,'TAR FIN'!$A$1:$O$85,15,0)),0,VLOOKUP($T$213,'TAR FIN'!$A$1:$O$85,15,0))</f>
        <v>186.4</v>
      </c>
      <c r="X213" s="6">
        <f>IF(ISERROR(VLOOKUP($U$213,'TAR FIN'!$A$1:$O$85,15,0)),0,VLOOKUP($U$213,'TAR FIN'!$A$1:$O$85,15,0))</f>
        <v>236.96</v>
      </c>
      <c r="Y213" s="6"/>
      <c r="Z213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213" s="6">
        <f>('TE BE'!$AA$13+'TE BF'!$AA$13+'TE CVA'!$AA$13)*(1-CUSTOS!$M$36)</f>
        <v>189.5795783848242</v>
      </c>
      <c r="AB213" s="6">
        <f t="shared" si="12"/>
        <v>0</v>
      </c>
      <c r="AC213" s="6">
        <f>(L213-M213)*(W213+X213)+($W$220+$X$220-$W$213-$X$213)*(L213)</f>
        <v>1507.2086399999996</v>
      </c>
      <c r="AD213" s="6">
        <f t="shared" si="13"/>
        <v>0</v>
      </c>
      <c r="AE213" s="6">
        <f ca="1">(L213-M213)*(Z213+AA213)+($Z$220+$AA$220-$Z$213-$AA$213)*(L213)</f>
        <v>1358.231726288773</v>
      </c>
      <c r="AF213" s="4" t="s">
        <v>811</v>
      </c>
    </row>
    <row r="214" spans="1:32" ht="11.25" customHeight="1" x14ac:dyDescent="0.25">
      <c r="A214" s="4" t="s">
        <v>21</v>
      </c>
      <c r="B214" s="4" t="s">
        <v>22</v>
      </c>
      <c r="C214" s="4" t="s">
        <v>23</v>
      </c>
      <c r="D214" s="4" t="s">
        <v>24</v>
      </c>
      <c r="E214" s="4" t="s">
        <v>31</v>
      </c>
      <c r="F214" s="4" t="s">
        <v>25</v>
      </c>
      <c r="G214" s="4" t="s">
        <v>25</v>
      </c>
      <c r="H214" s="4" t="s">
        <v>25</v>
      </c>
      <c r="I214" s="5">
        <v>44501</v>
      </c>
      <c r="J214" s="6">
        <v>0</v>
      </c>
      <c r="K214" s="6">
        <v>0</v>
      </c>
      <c r="L214" s="6">
        <v>29.46</v>
      </c>
      <c r="M214" s="6">
        <v>29.46</v>
      </c>
      <c r="N214" s="6">
        <v>29.46</v>
      </c>
      <c r="O214" s="6">
        <v>29.46</v>
      </c>
      <c r="P214" s="6">
        <v>313</v>
      </c>
      <c r="Q214" s="4" t="s">
        <v>26</v>
      </c>
      <c r="R214" s="4">
        <v>0</v>
      </c>
      <c r="S214" s="4">
        <v>0</v>
      </c>
      <c r="T214" s="4">
        <v>19</v>
      </c>
      <c r="U214" s="4">
        <v>56</v>
      </c>
      <c r="V214" s="6">
        <f>IF(ISERROR(VLOOKUP($S$214,'TAR FIN'!$A$1:$O$85,15,0)),0,VLOOKUP($S$214,'TAR FIN'!$A$1:$O$85,15,0))</f>
        <v>0</v>
      </c>
      <c r="W214" s="6">
        <f>IF(ISERROR(VLOOKUP($T$214,'TAR FIN'!$A$1:$O$85,15,0)),0,VLOOKUP($T$214,'TAR FIN'!$A$1:$O$85,15,0))</f>
        <v>186.4</v>
      </c>
      <c r="X214" s="6">
        <f>IF(ISERROR(VLOOKUP($U$214,'TAR FIN'!$A$1:$O$85,15,0)),0,VLOOKUP($U$214,'TAR FIN'!$A$1:$O$85,15,0))</f>
        <v>236.96</v>
      </c>
      <c r="Y214" s="6"/>
      <c r="Z214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214" s="6">
        <f>('TE BE'!$AA$13+'TE BF'!$AA$13+'TE CVA'!$AA$13)*(1-CUSTOS!$M$36)</f>
        <v>189.5795783848242</v>
      </c>
      <c r="AB214" s="6">
        <f t="shared" si="12"/>
        <v>0</v>
      </c>
      <c r="AC214" s="6">
        <f>(L214-M214)*(W214+X214)+($W$220+$X$220-$W$214-$X$214)*(L214)</f>
        <v>1385.7983999999999</v>
      </c>
      <c r="AD214" s="6">
        <f t="shared" si="13"/>
        <v>0</v>
      </c>
      <c r="AE214" s="6">
        <f ca="1">(L214-M214)*(Z214+AA214)+($Z$220+$AA$220-$Z$214-$AA$214)*(L214)</f>
        <v>1248.8220297889347</v>
      </c>
      <c r="AF214" s="4" t="s">
        <v>811</v>
      </c>
    </row>
    <row r="215" spans="1:32" ht="11.25" customHeight="1" x14ac:dyDescent="0.25">
      <c r="A215" s="4" t="s">
        <v>21</v>
      </c>
      <c r="B215" s="4" t="s">
        <v>22</v>
      </c>
      <c r="C215" s="4" t="s">
        <v>23</v>
      </c>
      <c r="D215" s="4" t="s">
        <v>24</v>
      </c>
      <c r="E215" s="4" t="s">
        <v>31</v>
      </c>
      <c r="F215" s="4" t="s">
        <v>25</v>
      </c>
      <c r="G215" s="4" t="s">
        <v>25</v>
      </c>
      <c r="H215" s="4" t="s">
        <v>25</v>
      </c>
      <c r="I215" s="5">
        <v>44531</v>
      </c>
      <c r="J215" s="6">
        <v>0</v>
      </c>
      <c r="K215" s="6">
        <v>0</v>
      </c>
      <c r="L215" s="6">
        <v>27.106999999999999</v>
      </c>
      <c r="M215" s="6">
        <v>27.106999999999999</v>
      </c>
      <c r="N215" s="6">
        <v>27.106999999999999</v>
      </c>
      <c r="O215" s="6">
        <v>27.106999999999999</v>
      </c>
      <c r="P215" s="6">
        <v>335</v>
      </c>
      <c r="Q215" s="4" t="s">
        <v>26</v>
      </c>
      <c r="R215" s="4">
        <v>0</v>
      </c>
      <c r="S215" s="4">
        <v>0</v>
      </c>
      <c r="T215" s="4">
        <v>19</v>
      </c>
      <c r="U215" s="4">
        <v>56</v>
      </c>
      <c r="V215" s="6">
        <f>IF(ISERROR(VLOOKUP($S$215,'TAR FIN'!$A$1:$O$85,15,0)),0,VLOOKUP($S$215,'TAR FIN'!$A$1:$O$85,15,0))</f>
        <v>0</v>
      </c>
      <c r="W215" s="6">
        <f>IF(ISERROR(VLOOKUP($T$215,'TAR FIN'!$A$1:$O$85,15,0)),0,VLOOKUP($T$215,'TAR FIN'!$A$1:$O$85,15,0))</f>
        <v>186.4</v>
      </c>
      <c r="X215" s="6">
        <f>IF(ISERROR(VLOOKUP($U$215,'TAR FIN'!$A$1:$O$85,15,0)),0,VLOOKUP($U$215,'TAR FIN'!$A$1:$O$85,15,0))</f>
        <v>236.96</v>
      </c>
      <c r="Y215" s="6"/>
      <c r="Z215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215" s="6">
        <f>('TE BE'!$AA$13+'TE BF'!$AA$13+'TE CVA'!$AA$13)*(1-CUSTOS!$M$36)</f>
        <v>189.5795783848242</v>
      </c>
      <c r="AB215" s="6">
        <f t="shared" si="12"/>
        <v>0</v>
      </c>
      <c r="AC215" s="6">
        <f>(L215-M215)*(W215+X215)+($W$220+$X$220-$W$215-$X$215)*(L215)</f>
        <v>1275.1132799999998</v>
      </c>
      <c r="AD215" s="6">
        <f t="shared" si="13"/>
        <v>0</v>
      </c>
      <c r="AE215" s="6">
        <f ca="1">(L215-M215)*(Z215+AA215)+($Z$220+$AA$220-$Z$215-$AA$215)*(L215)</f>
        <v>1149.077351034917</v>
      </c>
      <c r="AF215" s="4" t="s">
        <v>811</v>
      </c>
    </row>
    <row r="216" spans="1:32" ht="11.25" customHeight="1" x14ac:dyDescent="0.25">
      <c r="A216" s="4" t="s">
        <v>21</v>
      </c>
      <c r="B216" s="4" t="s">
        <v>22</v>
      </c>
      <c r="C216" s="4" t="s">
        <v>23</v>
      </c>
      <c r="D216" s="4" t="s">
        <v>24</v>
      </c>
      <c r="E216" s="4" t="s">
        <v>31</v>
      </c>
      <c r="F216" s="4" t="s">
        <v>25</v>
      </c>
      <c r="G216" s="4" t="s">
        <v>25</v>
      </c>
      <c r="H216" s="4" t="s">
        <v>25</v>
      </c>
      <c r="I216" s="5">
        <v>44562</v>
      </c>
      <c r="J216" s="6">
        <v>0</v>
      </c>
      <c r="K216" s="6">
        <v>0</v>
      </c>
      <c r="L216" s="6">
        <v>30.98</v>
      </c>
      <c r="M216" s="6">
        <v>30.98</v>
      </c>
      <c r="N216" s="6">
        <v>30.98</v>
      </c>
      <c r="O216" s="6">
        <v>30.98</v>
      </c>
      <c r="P216" s="6">
        <v>318</v>
      </c>
      <c r="Q216" s="4" t="s">
        <v>26</v>
      </c>
      <c r="R216" s="4">
        <v>0</v>
      </c>
      <c r="S216" s="4">
        <v>0</v>
      </c>
      <c r="T216" s="4">
        <v>19</v>
      </c>
      <c r="U216" s="4">
        <v>56</v>
      </c>
      <c r="V216" s="6">
        <f>IF(ISERROR(VLOOKUP($S$216,'TAR FIN'!$A$1:$O$85,15,0)),0,VLOOKUP($S$216,'TAR FIN'!$A$1:$O$85,15,0))</f>
        <v>0</v>
      </c>
      <c r="W216" s="6">
        <f>IF(ISERROR(VLOOKUP($T$216,'TAR FIN'!$A$1:$O$85,15,0)),0,VLOOKUP($T$216,'TAR FIN'!$A$1:$O$85,15,0))</f>
        <v>186.4</v>
      </c>
      <c r="X216" s="6">
        <f>IF(ISERROR(VLOOKUP($U$216,'TAR FIN'!$A$1:$O$85,15,0)),0,VLOOKUP($U$216,'TAR FIN'!$A$1:$O$85,15,0))</f>
        <v>236.96</v>
      </c>
      <c r="Y216" s="6"/>
      <c r="Z216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216" s="6">
        <f>('TE BE'!$AA$13+'TE BF'!$AA$13+'TE CVA'!$AA$13)*(1-CUSTOS!$M$36)</f>
        <v>189.5795783848242</v>
      </c>
      <c r="AB216" s="6">
        <f t="shared" si="12"/>
        <v>0</v>
      </c>
      <c r="AC216" s="6">
        <f>(L216-M216)*(W216+X216)+($W$220+$X$220-$W$216-$X$216)*(L216)</f>
        <v>1457.2991999999997</v>
      </c>
      <c r="AD216" s="6">
        <f t="shared" si="13"/>
        <v>0</v>
      </c>
      <c r="AE216" s="6">
        <f ca="1">(L216-M216)*(Z216+AA216)+($Z$220+$AA$220-$Z$216-$AA$216)*(L216)</f>
        <v>1313.2554814277394</v>
      </c>
      <c r="AF216" s="4" t="s">
        <v>811</v>
      </c>
    </row>
    <row r="217" spans="1:32" ht="11.25" customHeight="1" x14ac:dyDescent="0.25">
      <c r="A217" s="4" t="s">
        <v>21</v>
      </c>
      <c r="B217" s="4" t="s">
        <v>22</v>
      </c>
      <c r="C217" s="4" t="s">
        <v>23</v>
      </c>
      <c r="D217" s="4" t="s">
        <v>24</v>
      </c>
      <c r="E217" s="4" t="s">
        <v>31</v>
      </c>
      <c r="F217" s="4" t="s">
        <v>25</v>
      </c>
      <c r="G217" s="4" t="s">
        <v>25</v>
      </c>
      <c r="H217" s="4" t="s">
        <v>25</v>
      </c>
      <c r="I217" s="5">
        <v>44593</v>
      </c>
      <c r="J217" s="6">
        <v>0</v>
      </c>
      <c r="K217" s="6">
        <v>0</v>
      </c>
      <c r="L217" s="6">
        <v>33.667999999999999</v>
      </c>
      <c r="M217" s="6">
        <v>33.667999999999999</v>
      </c>
      <c r="N217" s="6">
        <v>33.667999999999999</v>
      </c>
      <c r="O217" s="6">
        <v>33.667999999999999</v>
      </c>
      <c r="P217" s="6">
        <v>361</v>
      </c>
      <c r="Q217" s="4" t="s">
        <v>26</v>
      </c>
      <c r="R217" s="4">
        <v>0</v>
      </c>
      <c r="S217" s="4">
        <v>0</v>
      </c>
      <c r="T217" s="4">
        <v>19</v>
      </c>
      <c r="U217" s="4">
        <v>56</v>
      </c>
      <c r="V217" s="6">
        <f>IF(ISERROR(VLOOKUP($S$217,'TAR FIN'!$A$1:$O$85,15,0)),0,VLOOKUP($S$217,'TAR FIN'!$A$1:$O$85,15,0))</f>
        <v>0</v>
      </c>
      <c r="W217" s="6">
        <f>IF(ISERROR(VLOOKUP($T$217,'TAR FIN'!$A$1:$O$85,15,0)),0,VLOOKUP($T$217,'TAR FIN'!$A$1:$O$85,15,0))</f>
        <v>186.4</v>
      </c>
      <c r="X217" s="6">
        <f>IF(ISERROR(VLOOKUP($U$217,'TAR FIN'!$A$1:$O$85,15,0)),0,VLOOKUP($U$217,'TAR FIN'!$A$1:$O$85,15,0))</f>
        <v>236.96</v>
      </c>
      <c r="Y217" s="6"/>
      <c r="Z217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217" s="6">
        <f>('TE BE'!$AA$13+'TE BF'!$AA$13+'TE CVA'!$AA$13)*(1-CUSTOS!$M$36)</f>
        <v>189.5795783848242</v>
      </c>
      <c r="AB217" s="6">
        <f t="shared" si="12"/>
        <v>0</v>
      </c>
      <c r="AC217" s="6">
        <f>(L217-M217)*(W217+X217)+($W$220+$X$220-$W$217-$X$217)*(L217)</f>
        <v>1583.7427199999997</v>
      </c>
      <c r="AD217" s="6">
        <f t="shared" si="13"/>
        <v>0</v>
      </c>
      <c r="AE217" s="6">
        <f ca="1">(L217-M217)*(Z217+AA217)+($Z$220+$AA$220-$Z$217-$AA$217)*(L217)</f>
        <v>1427.2009537995198</v>
      </c>
      <c r="AF217" s="4" t="s">
        <v>811</v>
      </c>
    </row>
    <row r="218" spans="1:32" ht="11.25" customHeight="1" x14ac:dyDescent="0.25">
      <c r="A218" s="4" t="s">
        <v>21</v>
      </c>
      <c r="B218" s="4" t="s">
        <v>22</v>
      </c>
      <c r="C218" s="4" t="s">
        <v>23</v>
      </c>
      <c r="D218" s="4" t="s">
        <v>24</v>
      </c>
      <c r="E218" s="4" t="s">
        <v>31</v>
      </c>
      <c r="F218" s="4" t="s">
        <v>25</v>
      </c>
      <c r="G218" s="4" t="s">
        <v>25</v>
      </c>
      <c r="H218" s="4" t="s">
        <v>25</v>
      </c>
      <c r="I218" s="5">
        <v>44621</v>
      </c>
      <c r="J218" s="6">
        <v>0</v>
      </c>
      <c r="K218" s="6">
        <v>0</v>
      </c>
      <c r="L218" s="6">
        <v>50.784999999999997</v>
      </c>
      <c r="M218" s="6">
        <v>50.784999999999997</v>
      </c>
      <c r="N218" s="6">
        <v>50.784999999999997</v>
      </c>
      <c r="O218" s="6">
        <v>50.784999999999997</v>
      </c>
      <c r="P218" s="6">
        <v>505</v>
      </c>
      <c r="Q218" s="4" t="s">
        <v>26</v>
      </c>
      <c r="R218" s="4">
        <v>0</v>
      </c>
      <c r="S218" s="4">
        <v>0</v>
      </c>
      <c r="T218" s="4">
        <v>19</v>
      </c>
      <c r="U218" s="4">
        <v>56</v>
      </c>
      <c r="V218" s="6">
        <f>IF(ISERROR(VLOOKUP($S$218,'TAR FIN'!$A$1:$O$85,15,0)),0,VLOOKUP($S$218,'TAR FIN'!$A$1:$O$85,15,0))</f>
        <v>0</v>
      </c>
      <c r="W218" s="6">
        <f>IF(ISERROR(VLOOKUP($T$218,'TAR FIN'!$A$1:$O$85,15,0)),0,VLOOKUP($T$218,'TAR FIN'!$A$1:$O$85,15,0))</f>
        <v>186.4</v>
      </c>
      <c r="X218" s="6">
        <f>IF(ISERROR(VLOOKUP($U$218,'TAR FIN'!$A$1:$O$85,15,0)),0,VLOOKUP($U$218,'TAR FIN'!$A$1:$O$85,15,0))</f>
        <v>236.96</v>
      </c>
      <c r="Y218" s="6"/>
      <c r="Z218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218" s="6">
        <f>('TE BE'!$AA$13+'TE BF'!$AA$13+'TE CVA'!$AA$13)*(1-CUSTOS!$M$36)</f>
        <v>189.5795783848242</v>
      </c>
      <c r="AB218" s="6">
        <f t="shared" si="12"/>
        <v>0</v>
      </c>
      <c r="AC218" s="6">
        <f>(L218-M218)*(W218+X218)+($W$220+$X$220-$W$218-$X$218)*(L218)</f>
        <v>2388.9263999999994</v>
      </c>
      <c r="AD218" s="6">
        <f t="shared" si="13"/>
        <v>0</v>
      </c>
      <c r="AE218" s="6">
        <f ca="1">(L218-M218)*(Z218+AA218)+($Z$220+$AA$220-$Z$218-$AA$218)*(L218)</f>
        <v>2152.7979220241359</v>
      </c>
      <c r="AF218" s="4" t="s">
        <v>811</v>
      </c>
    </row>
    <row r="219" spans="1:32" ht="11.25" customHeight="1" x14ac:dyDescent="0.25">
      <c r="A219" s="4" t="s">
        <v>21</v>
      </c>
      <c r="B219" s="4" t="s">
        <v>22</v>
      </c>
      <c r="C219" s="4" t="s">
        <v>23</v>
      </c>
      <c r="D219" s="4" t="s">
        <v>24</v>
      </c>
      <c r="E219" s="4" t="s">
        <v>31</v>
      </c>
      <c r="F219" s="4" t="s">
        <v>25</v>
      </c>
      <c r="G219" s="4" t="s">
        <v>25</v>
      </c>
      <c r="H219" s="4" t="s">
        <v>25</v>
      </c>
      <c r="I219" s="5">
        <v>44652</v>
      </c>
      <c r="J219" s="6">
        <v>0</v>
      </c>
      <c r="K219" s="6">
        <v>0</v>
      </c>
      <c r="L219" s="6">
        <v>54.502000000000002</v>
      </c>
      <c r="M219" s="6">
        <v>54.502000000000002</v>
      </c>
      <c r="N219" s="6">
        <v>54.502000000000002</v>
      </c>
      <c r="O219" s="6">
        <v>54.502000000000002</v>
      </c>
      <c r="P219" s="6">
        <v>518</v>
      </c>
      <c r="Q219" s="4" t="s">
        <v>26</v>
      </c>
      <c r="R219" s="4">
        <v>0</v>
      </c>
      <c r="S219" s="4">
        <v>0</v>
      </c>
      <c r="T219" s="4">
        <v>19</v>
      </c>
      <c r="U219" s="4">
        <v>56</v>
      </c>
      <c r="V219" s="6">
        <f>IF(ISERROR(VLOOKUP($S$219,'TAR FIN'!$A$1:$O$85,15,0)),0,VLOOKUP($S$219,'TAR FIN'!$A$1:$O$85,15,0))</f>
        <v>0</v>
      </c>
      <c r="W219" s="6">
        <f>IF(ISERROR(VLOOKUP($T$219,'TAR FIN'!$A$1:$O$85,15,0)),0,VLOOKUP($T$219,'TAR FIN'!$A$1:$O$85,15,0))</f>
        <v>186.4</v>
      </c>
      <c r="X219" s="6">
        <f>IF(ISERROR(VLOOKUP($U$219,'TAR FIN'!$A$1:$O$85,15,0)),0,VLOOKUP($U$219,'TAR FIN'!$A$1:$O$85,15,0))</f>
        <v>236.96</v>
      </c>
      <c r="Y219" s="6"/>
      <c r="Z219" s="6">
        <f ca="1">('TUSD BE'!$AM$23+'TUSD BF'!$AM$23+'TUSD CVA'!$AM$23-('TUSD BE'!$P$23+'TUSD BF'!$P$23+'TUSD CVA'!$P$23)-('TUSD BE'!$Q$23+'TUSD BF'!$Q$23+'TUSD CVA'!$Q$23)-('TUSD BE'!$R$23+'TUSD BF'!$R$23+'TUSD CVA'!$R$23))*(1-CUSTOS!$M$36)</f>
        <v>191.93428000283396</v>
      </c>
      <c r="AA219" s="6">
        <f>('TE BE'!$AA$13+'TE BF'!$AA$13+'TE CVA'!$AA$13)*(1-CUSTOS!$M$36)</f>
        <v>189.5795783848242</v>
      </c>
      <c r="AB219" s="6">
        <f t="shared" si="12"/>
        <v>0</v>
      </c>
      <c r="AC219" s="6">
        <f>(L219-M219)*(W219+X219)+($W$220+$X$220-$W$219-$X$219)*(L219)</f>
        <v>2563.7740799999997</v>
      </c>
      <c r="AD219" s="6">
        <f t="shared" si="13"/>
        <v>0</v>
      </c>
      <c r="AE219" s="6">
        <f ca="1">(L219-M219)*(Z219+AA219)+($Z$220+$AA$220-$Z$219-$AA$219)*(L219)</f>
        <v>2310.3631455382392</v>
      </c>
      <c r="AF219" s="4" t="s">
        <v>811</v>
      </c>
    </row>
    <row r="220" spans="1:32" ht="11.25" customHeight="1" x14ac:dyDescent="0.25">
      <c r="A220" s="4" t="s">
        <v>21</v>
      </c>
      <c r="B220" s="4" t="s">
        <v>22</v>
      </c>
      <c r="C220" s="4" t="s">
        <v>23</v>
      </c>
      <c r="D220" s="4" t="s">
        <v>24</v>
      </c>
      <c r="E220" s="4" t="s">
        <v>32</v>
      </c>
      <c r="F220" s="4" t="s">
        <v>25</v>
      </c>
      <c r="G220" s="4" t="s">
        <v>25</v>
      </c>
      <c r="H220" s="4" t="s">
        <v>25</v>
      </c>
      <c r="I220" s="5">
        <v>44317</v>
      </c>
      <c r="J220" s="6">
        <v>0</v>
      </c>
      <c r="K220" s="6">
        <v>0</v>
      </c>
      <c r="L220" s="6">
        <v>2.774</v>
      </c>
      <c r="M220" s="6">
        <v>2.774</v>
      </c>
      <c r="N220" s="6">
        <v>2.774</v>
      </c>
      <c r="O220" s="6">
        <v>2.774</v>
      </c>
      <c r="P220" s="6">
        <v>46</v>
      </c>
      <c r="Q220" s="4" t="s">
        <v>26</v>
      </c>
      <c r="R220" s="4">
        <v>0</v>
      </c>
      <c r="S220" s="4">
        <v>0</v>
      </c>
      <c r="T220" s="4">
        <v>20</v>
      </c>
      <c r="U220" s="4">
        <v>57</v>
      </c>
      <c r="V220" s="6">
        <f>IF(ISERROR(VLOOKUP($S$220,'TAR FIN'!$A$1:$O$85,15,0)),0,VLOOKUP($S$220,'TAR FIN'!$A$1:$O$85,15,0))</f>
        <v>0</v>
      </c>
      <c r="W220" s="6">
        <f>IF(ISERROR(VLOOKUP($T$220,'TAR FIN'!$A$1:$O$85,15,0)),0,VLOOKUP($T$220,'TAR FIN'!$A$1:$O$85,15,0))</f>
        <v>207.11</v>
      </c>
      <c r="X220" s="6">
        <f>IF(ISERROR(VLOOKUP($U$220,'TAR FIN'!$A$1:$O$85,15,0)),0,VLOOKUP($U$220,'TAR FIN'!$A$1:$O$85,15,0))</f>
        <v>263.29000000000002</v>
      </c>
      <c r="Y220" s="6"/>
      <c r="Z220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220" s="6">
        <f>('TE BE'!$AA$14+'TE BF'!$AA$14+'TE CVA'!$AA$14)*(1-CUSTOS!$M$37)</f>
        <v>210.64397598313801</v>
      </c>
      <c r="AB220" s="6">
        <f t="shared" si="12"/>
        <v>0</v>
      </c>
      <c r="AC220" s="6">
        <f>(L220-M220)*(W220+X220)+($W$220+$X$220-$W$220-$X$220)*(L220)</f>
        <v>0</v>
      </c>
      <c r="AD220" s="6">
        <f t="shared" si="13"/>
        <v>0</v>
      </c>
      <c r="AE220" s="6">
        <f ca="1">(L220-M220)*(Z220+AA220)+($Z$220+$AA$220-$Z$220-$AA$220)*(L220)</f>
        <v>7.8841821959940717E-14</v>
      </c>
      <c r="AF220" s="4" t="s">
        <v>811</v>
      </c>
    </row>
    <row r="221" spans="1:32" ht="11.25" customHeight="1" x14ac:dyDescent="0.25">
      <c r="A221" s="4" t="s">
        <v>21</v>
      </c>
      <c r="B221" s="4" t="s">
        <v>22</v>
      </c>
      <c r="C221" s="4" t="s">
        <v>23</v>
      </c>
      <c r="D221" s="4" t="s">
        <v>24</v>
      </c>
      <c r="E221" s="4" t="s">
        <v>32</v>
      </c>
      <c r="F221" s="4" t="s">
        <v>25</v>
      </c>
      <c r="G221" s="4" t="s">
        <v>25</v>
      </c>
      <c r="H221" s="4" t="s">
        <v>25</v>
      </c>
      <c r="I221" s="5">
        <v>44348</v>
      </c>
      <c r="J221" s="6">
        <v>0</v>
      </c>
      <c r="K221" s="6">
        <v>0</v>
      </c>
      <c r="L221" s="6">
        <v>3.8330000000000002</v>
      </c>
      <c r="M221" s="6">
        <v>3.8330000000000002</v>
      </c>
      <c r="N221" s="6">
        <v>3.8330000000000002</v>
      </c>
      <c r="O221" s="6">
        <v>3.8330000000000002</v>
      </c>
      <c r="P221" s="6">
        <v>60</v>
      </c>
      <c r="Q221" s="4" t="s">
        <v>26</v>
      </c>
      <c r="R221" s="4">
        <v>0</v>
      </c>
      <c r="S221" s="4">
        <v>0</v>
      </c>
      <c r="T221" s="4">
        <v>20</v>
      </c>
      <c r="U221" s="4">
        <v>57</v>
      </c>
      <c r="V221" s="6">
        <f>IF(ISERROR(VLOOKUP($S$221,'TAR FIN'!$A$1:$O$85,15,0)),0,VLOOKUP($S$221,'TAR FIN'!$A$1:$O$85,15,0))</f>
        <v>0</v>
      </c>
      <c r="W221" s="6">
        <f>IF(ISERROR(VLOOKUP($T$221,'TAR FIN'!$A$1:$O$85,15,0)),0,VLOOKUP($T$221,'TAR FIN'!$A$1:$O$85,15,0))</f>
        <v>207.11</v>
      </c>
      <c r="X221" s="6">
        <f>IF(ISERROR(VLOOKUP($U$221,'TAR FIN'!$A$1:$O$85,15,0)),0,VLOOKUP($U$221,'TAR FIN'!$A$1:$O$85,15,0))</f>
        <v>263.29000000000002</v>
      </c>
      <c r="Y221" s="6"/>
      <c r="Z221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221" s="6">
        <f>('TE BE'!$AA$14+'TE BF'!$AA$14+'TE CVA'!$AA$14)*(1-CUSTOS!$M$37)</f>
        <v>210.64397598313801</v>
      </c>
      <c r="AB221" s="6">
        <f t="shared" si="12"/>
        <v>0</v>
      </c>
      <c r="AC221" s="6">
        <f>(L221-M221)*(W221+X221)+($W$220+$X$220-$W$221-$X$221)*(L221)</f>
        <v>0</v>
      </c>
      <c r="AD221" s="6">
        <f t="shared" si="13"/>
        <v>0</v>
      </c>
      <c r="AE221" s="6">
        <f ca="1">(L221-M221)*(Z221+AA221)+($Z$220+$AA$220-$Z$221-$AA$221)*(L221)</f>
        <v>1.0894041224673857E-13</v>
      </c>
      <c r="AF221" s="4" t="s">
        <v>811</v>
      </c>
    </row>
    <row r="222" spans="1:32" ht="11.25" customHeight="1" x14ac:dyDescent="0.25">
      <c r="A222" s="4" t="s">
        <v>21</v>
      </c>
      <c r="B222" s="4" t="s">
        <v>22</v>
      </c>
      <c r="C222" s="4" t="s">
        <v>23</v>
      </c>
      <c r="D222" s="4" t="s">
        <v>24</v>
      </c>
      <c r="E222" s="4" t="s">
        <v>32</v>
      </c>
      <c r="F222" s="4" t="s">
        <v>25</v>
      </c>
      <c r="G222" s="4" t="s">
        <v>25</v>
      </c>
      <c r="H222" s="4" t="s">
        <v>25</v>
      </c>
      <c r="I222" s="5">
        <v>44378</v>
      </c>
      <c r="J222" s="6">
        <v>0</v>
      </c>
      <c r="K222" s="6">
        <v>0</v>
      </c>
      <c r="L222" s="6">
        <v>4.3470000000000004</v>
      </c>
      <c r="M222" s="6">
        <v>4.3470000000000004</v>
      </c>
      <c r="N222" s="6">
        <v>4.3470000000000004</v>
      </c>
      <c r="O222" s="6">
        <v>4.3470000000000004</v>
      </c>
      <c r="P222" s="6">
        <v>73</v>
      </c>
      <c r="Q222" s="4" t="s">
        <v>26</v>
      </c>
      <c r="R222" s="4">
        <v>0</v>
      </c>
      <c r="S222" s="4">
        <v>0</v>
      </c>
      <c r="T222" s="4">
        <v>20</v>
      </c>
      <c r="U222" s="4">
        <v>57</v>
      </c>
      <c r="V222" s="6">
        <f>IF(ISERROR(VLOOKUP($S$222,'TAR FIN'!$A$1:$O$85,15,0)),0,VLOOKUP($S$222,'TAR FIN'!$A$1:$O$85,15,0))</f>
        <v>0</v>
      </c>
      <c r="W222" s="6">
        <f>IF(ISERROR(VLOOKUP($T$222,'TAR FIN'!$A$1:$O$85,15,0)),0,VLOOKUP($T$222,'TAR FIN'!$A$1:$O$85,15,0))</f>
        <v>207.11</v>
      </c>
      <c r="X222" s="6">
        <f>IF(ISERROR(VLOOKUP($U$222,'TAR FIN'!$A$1:$O$85,15,0)),0,VLOOKUP($U$222,'TAR FIN'!$A$1:$O$85,15,0))</f>
        <v>263.29000000000002</v>
      </c>
      <c r="Y222" s="6"/>
      <c r="Z222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222" s="6">
        <f>('TE BE'!$AA$14+'TE BF'!$AA$14+'TE CVA'!$AA$14)*(1-CUSTOS!$M$37)</f>
        <v>210.64397598313801</v>
      </c>
      <c r="AB222" s="6">
        <f t="shared" si="12"/>
        <v>0</v>
      </c>
      <c r="AC222" s="6">
        <f>(L222-M222)*(W222+X222)+($W$220+$X$220-$W$222-$X$222)*(L222)</f>
        <v>0</v>
      </c>
      <c r="AD222" s="6">
        <f t="shared" si="13"/>
        <v>0</v>
      </c>
      <c r="AE222" s="6">
        <f ca="1">(L222-M222)*(Z222+AA222)+($Z$220+$AA$220-$Z$222-$AA$222)*(L222)</f>
        <v>1.2354917089396623E-13</v>
      </c>
      <c r="AF222" s="4" t="s">
        <v>811</v>
      </c>
    </row>
    <row r="223" spans="1:32" ht="11.25" customHeight="1" x14ac:dyDescent="0.25">
      <c r="A223" s="4" t="s">
        <v>27</v>
      </c>
      <c r="B223" s="4" t="s">
        <v>22</v>
      </c>
      <c r="C223" s="4" t="s">
        <v>23</v>
      </c>
      <c r="D223" s="4" t="s">
        <v>24</v>
      </c>
      <c r="E223" s="4" t="s">
        <v>32</v>
      </c>
      <c r="F223" s="4" t="s">
        <v>25</v>
      </c>
      <c r="G223" s="4" t="s">
        <v>25</v>
      </c>
      <c r="H223" s="4" t="s">
        <v>25</v>
      </c>
      <c r="I223" s="5">
        <v>44378</v>
      </c>
      <c r="J223" s="6">
        <v>0</v>
      </c>
      <c r="K223" s="6">
        <v>0</v>
      </c>
      <c r="L223" s="6">
        <v>-1.0999999999999999E-2</v>
      </c>
      <c r="M223" s="6">
        <v>-1.0999999999999999E-2</v>
      </c>
      <c r="N223" s="6">
        <v>-1.0999999999999999E-2</v>
      </c>
      <c r="O223" s="6">
        <v>-1.0999999999999999E-2</v>
      </c>
      <c r="P223" s="6">
        <v>0</v>
      </c>
      <c r="Q223" s="4" t="s">
        <v>26</v>
      </c>
      <c r="R223" s="4">
        <v>0</v>
      </c>
      <c r="S223" s="4">
        <v>0</v>
      </c>
      <c r="T223" s="4">
        <v>20</v>
      </c>
      <c r="U223" s="4">
        <v>57</v>
      </c>
      <c r="V223" s="6">
        <f>IF(ISERROR(VLOOKUP($S$223,'TAR FIN'!$A$1:$O$85,15,0)),0,VLOOKUP($S$223,'TAR FIN'!$A$1:$O$85,15,0))</f>
        <v>0</v>
      </c>
      <c r="W223" s="6">
        <f>IF(ISERROR(VLOOKUP($T$223,'TAR FIN'!$A$1:$O$85,15,0)),0,VLOOKUP($T$223,'TAR FIN'!$A$1:$O$85,15,0))</f>
        <v>207.11</v>
      </c>
      <c r="X223" s="6">
        <f>IF(ISERROR(VLOOKUP($U$223,'TAR FIN'!$A$1:$O$85,15,0)),0,VLOOKUP($U$223,'TAR FIN'!$A$1:$O$85,15,0))</f>
        <v>263.29000000000002</v>
      </c>
      <c r="Y223" s="6"/>
      <c r="Z223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223" s="6">
        <f>('TE BE'!$AA$14+'TE BF'!$AA$14+'TE CVA'!$AA$14)*(1-CUSTOS!$M$37)</f>
        <v>210.64397598313801</v>
      </c>
      <c r="AB223" s="6">
        <f t="shared" si="12"/>
        <v>0</v>
      </c>
      <c r="AC223" s="6">
        <f>(L223-M223)*(W223+X223)+($W$220+$X$220-$W$223-$X$223)*(L223)</f>
        <v>0</v>
      </c>
      <c r="AD223" s="6">
        <f t="shared" si="13"/>
        <v>0</v>
      </c>
      <c r="AE223" s="6">
        <f ca="1">(L223-M223)*(Z223+AA223)+($Z$220+$AA$220-$Z$223-$AA$223)*(L223)</f>
        <v>-3.1263880373444406E-16</v>
      </c>
      <c r="AF223" s="4" t="s">
        <v>811</v>
      </c>
    </row>
    <row r="224" spans="1:32" ht="11.25" customHeight="1" x14ac:dyDescent="0.25">
      <c r="A224" s="4" t="s">
        <v>21</v>
      </c>
      <c r="B224" s="4" t="s">
        <v>22</v>
      </c>
      <c r="C224" s="4" t="s">
        <v>23</v>
      </c>
      <c r="D224" s="4" t="s">
        <v>24</v>
      </c>
      <c r="E224" s="4" t="s">
        <v>32</v>
      </c>
      <c r="F224" s="4" t="s">
        <v>25</v>
      </c>
      <c r="G224" s="4" t="s">
        <v>25</v>
      </c>
      <c r="H224" s="4" t="s">
        <v>25</v>
      </c>
      <c r="I224" s="5">
        <v>44409</v>
      </c>
      <c r="J224" s="6">
        <v>0</v>
      </c>
      <c r="K224" s="6">
        <v>0</v>
      </c>
      <c r="L224" s="6">
        <v>4.085</v>
      </c>
      <c r="M224" s="6">
        <v>4.085</v>
      </c>
      <c r="N224" s="6">
        <v>4.085</v>
      </c>
      <c r="O224" s="6">
        <v>4.085</v>
      </c>
      <c r="P224" s="6">
        <v>64</v>
      </c>
      <c r="Q224" s="4" t="s">
        <v>26</v>
      </c>
      <c r="R224" s="4">
        <v>0</v>
      </c>
      <c r="S224" s="4">
        <v>0</v>
      </c>
      <c r="T224" s="4">
        <v>20</v>
      </c>
      <c r="U224" s="4">
        <v>57</v>
      </c>
      <c r="V224" s="6">
        <f>IF(ISERROR(VLOOKUP($S$224,'TAR FIN'!$A$1:$O$85,15,0)),0,VLOOKUP($S$224,'TAR FIN'!$A$1:$O$85,15,0))</f>
        <v>0</v>
      </c>
      <c r="W224" s="6">
        <f>IF(ISERROR(VLOOKUP($T$224,'TAR FIN'!$A$1:$O$85,15,0)),0,VLOOKUP($T$224,'TAR FIN'!$A$1:$O$85,15,0))</f>
        <v>207.11</v>
      </c>
      <c r="X224" s="6">
        <f>IF(ISERROR(VLOOKUP($U$224,'TAR FIN'!$A$1:$O$85,15,0)),0,VLOOKUP($U$224,'TAR FIN'!$A$1:$O$85,15,0))</f>
        <v>263.29000000000002</v>
      </c>
      <c r="Y224" s="6"/>
      <c r="Z224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224" s="6">
        <f>('TE BE'!$AA$14+'TE BF'!$AA$14+'TE CVA'!$AA$14)*(1-CUSTOS!$M$37)</f>
        <v>210.64397598313801</v>
      </c>
      <c r="AB224" s="6">
        <f t="shared" si="12"/>
        <v>0</v>
      </c>
      <c r="AC224" s="6">
        <f>(L224-M224)*(W224+X224)+($W$220+$X$220-$W$224-$X$224)*(L224)</f>
        <v>0</v>
      </c>
      <c r="AD224" s="6">
        <f t="shared" si="13"/>
        <v>0</v>
      </c>
      <c r="AE224" s="6">
        <f ca="1">(L224-M224)*(Z224+AA224)+($Z$220+$AA$220-$Z$224-$AA$224)*(L224)</f>
        <v>1.1610268302320037E-13</v>
      </c>
      <c r="AF224" s="4" t="s">
        <v>811</v>
      </c>
    </row>
    <row r="225" spans="1:32" ht="11.25" customHeight="1" x14ac:dyDescent="0.25">
      <c r="A225" s="4" t="s">
        <v>21</v>
      </c>
      <c r="B225" s="4" t="s">
        <v>22</v>
      </c>
      <c r="C225" s="4" t="s">
        <v>23</v>
      </c>
      <c r="D225" s="4" t="s">
        <v>24</v>
      </c>
      <c r="E225" s="4" t="s">
        <v>32</v>
      </c>
      <c r="F225" s="4" t="s">
        <v>25</v>
      </c>
      <c r="G225" s="4" t="s">
        <v>25</v>
      </c>
      <c r="H225" s="4" t="s">
        <v>25</v>
      </c>
      <c r="I225" s="5">
        <v>44440</v>
      </c>
      <c r="J225" s="6">
        <v>0</v>
      </c>
      <c r="K225" s="6">
        <v>0</v>
      </c>
      <c r="L225" s="6">
        <v>5.5570000000000004</v>
      </c>
      <c r="M225" s="6">
        <v>5.5570000000000004</v>
      </c>
      <c r="N225" s="6">
        <v>5.5570000000000004</v>
      </c>
      <c r="O225" s="6">
        <v>5.5570000000000004</v>
      </c>
      <c r="P225" s="6">
        <v>85</v>
      </c>
      <c r="Q225" s="4" t="s">
        <v>26</v>
      </c>
      <c r="R225" s="4">
        <v>0</v>
      </c>
      <c r="S225" s="4">
        <v>0</v>
      </c>
      <c r="T225" s="4">
        <v>20</v>
      </c>
      <c r="U225" s="4">
        <v>57</v>
      </c>
      <c r="V225" s="6">
        <f>IF(ISERROR(VLOOKUP($S$225,'TAR FIN'!$A$1:$O$85,15,0)),0,VLOOKUP($S$225,'TAR FIN'!$A$1:$O$85,15,0))</f>
        <v>0</v>
      </c>
      <c r="W225" s="6">
        <f>IF(ISERROR(VLOOKUP($T$225,'TAR FIN'!$A$1:$O$85,15,0)),0,VLOOKUP($T$225,'TAR FIN'!$A$1:$O$85,15,0))</f>
        <v>207.11</v>
      </c>
      <c r="X225" s="6">
        <f>IF(ISERROR(VLOOKUP($U$225,'TAR FIN'!$A$1:$O$85,15,0)),0,VLOOKUP($U$225,'TAR FIN'!$A$1:$O$85,15,0))</f>
        <v>263.29000000000002</v>
      </c>
      <c r="Y225" s="6"/>
      <c r="Z225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225" s="6">
        <f>('TE BE'!$AA$14+'TE BF'!$AA$14+'TE CVA'!$AA$14)*(1-CUSTOS!$M$37)</f>
        <v>210.64397598313801</v>
      </c>
      <c r="AB225" s="6">
        <f t="shared" si="12"/>
        <v>0</v>
      </c>
      <c r="AC225" s="6">
        <f>(L225-M225)*(W225+X225)+($W$220+$X$220-$W$225-$X$225)*(L225)</f>
        <v>0</v>
      </c>
      <c r="AD225" s="6">
        <f t="shared" si="13"/>
        <v>0</v>
      </c>
      <c r="AE225" s="6">
        <f ca="1">(L225-M225)*(Z225+AA225)+($Z$220+$AA$220-$Z$225-$AA$225)*(L225)</f>
        <v>1.5793943930475508E-13</v>
      </c>
      <c r="AF225" s="4" t="s">
        <v>811</v>
      </c>
    </row>
    <row r="226" spans="1:32" ht="11.25" customHeight="1" x14ac:dyDescent="0.25">
      <c r="A226" s="4" t="s">
        <v>21</v>
      </c>
      <c r="B226" s="4" t="s">
        <v>22</v>
      </c>
      <c r="C226" s="4" t="s">
        <v>23</v>
      </c>
      <c r="D226" s="4" t="s">
        <v>24</v>
      </c>
      <c r="E226" s="4" t="s">
        <v>32</v>
      </c>
      <c r="F226" s="4" t="s">
        <v>25</v>
      </c>
      <c r="G226" s="4" t="s">
        <v>25</v>
      </c>
      <c r="H226" s="4" t="s">
        <v>25</v>
      </c>
      <c r="I226" s="5">
        <v>44470</v>
      </c>
      <c r="J226" s="6">
        <v>0</v>
      </c>
      <c r="K226" s="6">
        <v>0</v>
      </c>
      <c r="L226" s="6">
        <v>7.4669999999999996</v>
      </c>
      <c r="M226" s="6">
        <v>7.4669999999999996</v>
      </c>
      <c r="N226" s="6">
        <v>7.4669999999999996</v>
      </c>
      <c r="O226" s="6">
        <v>7.4669999999999996</v>
      </c>
      <c r="P226" s="6">
        <v>114</v>
      </c>
      <c r="Q226" s="4" t="s">
        <v>26</v>
      </c>
      <c r="R226" s="4">
        <v>0</v>
      </c>
      <c r="S226" s="4">
        <v>0</v>
      </c>
      <c r="T226" s="4">
        <v>20</v>
      </c>
      <c r="U226" s="4">
        <v>57</v>
      </c>
      <c r="V226" s="6">
        <f>IF(ISERROR(VLOOKUP($S$226,'TAR FIN'!$A$1:$O$85,15,0)),0,VLOOKUP($S$226,'TAR FIN'!$A$1:$O$85,15,0))</f>
        <v>0</v>
      </c>
      <c r="W226" s="6">
        <f>IF(ISERROR(VLOOKUP($T$226,'TAR FIN'!$A$1:$O$85,15,0)),0,VLOOKUP($T$226,'TAR FIN'!$A$1:$O$85,15,0))</f>
        <v>207.11</v>
      </c>
      <c r="X226" s="6">
        <f>IF(ISERROR(VLOOKUP($U$226,'TAR FIN'!$A$1:$O$85,15,0)),0,VLOOKUP($U$226,'TAR FIN'!$A$1:$O$85,15,0))</f>
        <v>263.29000000000002</v>
      </c>
      <c r="Y226" s="6"/>
      <c r="Z226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226" s="6">
        <f>('TE BE'!$AA$14+'TE BF'!$AA$14+'TE CVA'!$AA$14)*(1-CUSTOS!$M$37)</f>
        <v>210.64397598313801</v>
      </c>
      <c r="AB226" s="6">
        <f t="shared" si="12"/>
        <v>0</v>
      </c>
      <c r="AC226" s="6">
        <f>(L226-M226)*(W226+X226)+($W$220+$X$220-$W$226-$X$226)*(L226)</f>
        <v>0</v>
      </c>
      <c r="AD226" s="6">
        <f t="shared" si="13"/>
        <v>0</v>
      </c>
      <c r="AE226" s="6">
        <f ca="1">(L226-M226)*(Z226+AA226)+($Z$220+$AA$220-$Z$226-$AA$226)*(L226)</f>
        <v>2.1222490431682671E-13</v>
      </c>
      <c r="AF226" s="4" t="s">
        <v>811</v>
      </c>
    </row>
    <row r="227" spans="1:32" ht="11.25" customHeight="1" x14ac:dyDescent="0.25">
      <c r="A227" s="4" t="s">
        <v>21</v>
      </c>
      <c r="B227" s="4" t="s">
        <v>22</v>
      </c>
      <c r="C227" s="4" t="s">
        <v>23</v>
      </c>
      <c r="D227" s="4" t="s">
        <v>24</v>
      </c>
      <c r="E227" s="4" t="s">
        <v>32</v>
      </c>
      <c r="F227" s="4" t="s">
        <v>25</v>
      </c>
      <c r="G227" s="4" t="s">
        <v>25</v>
      </c>
      <c r="H227" s="4" t="s">
        <v>25</v>
      </c>
      <c r="I227" s="5">
        <v>44501</v>
      </c>
      <c r="J227" s="6">
        <v>0</v>
      </c>
      <c r="K227" s="6">
        <v>0</v>
      </c>
      <c r="L227" s="6">
        <v>6.1790000000000003</v>
      </c>
      <c r="M227" s="6">
        <v>6.1790000000000003</v>
      </c>
      <c r="N227" s="6">
        <v>6.1790000000000003</v>
      </c>
      <c r="O227" s="6">
        <v>6.1790000000000003</v>
      </c>
      <c r="P227" s="6">
        <v>94</v>
      </c>
      <c r="Q227" s="4" t="s">
        <v>26</v>
      </c>
      <c r="R227" s="4">
        <v>0</v>
      </c>
      <c r="S227" s="4">
        <v>0</v>
      </c>
      <c r="T227" s="4">
        <v>20</v>
      </c>
      <c r="U227" s="4">
        <v>57</v>
      </c>
      <c r="V227" s="6">
        <f>IF(ISERROR(VLOOKUP($S$227,'TAR FIN'!$A$1:$O$85,15,0)),0,VLOOKUP($S$227,'TAR FIN'!$A$1:$O$85,15,0))</f>
        <v>0</v>
      </c>
      <c r="W227" s="6">
        <f>IF(ISERROR(VLOOKUP($T$227,'TAR FIN'!$A$1:$O$85,15,0)),0,VLOOKUP($T$227,'TAR FIN'!$A$1:$O$85,15,0))</f>
        <v>207.11</v>
      </c>
      <c r="X227" s="6">
        <f>IF(ISERROR(VLOOKUP($U$227,'TAR FIN'!$A$1:$O$85,15,0)),0,VLOOKUP($U$227,'TAR FIN'!$A$1:$O$85,15,0))</f>
        <v>263.29000000000002</v>
      </c>
      <c r="Y227" s="6"/>
      <c r="Z227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227" s="6">
        <f>('TE BE'!$AA$14+'TE BF'!$AA$14+'TE CVA'!$AA$14)*(1-CUSTOS!$M$37)</f>
        <v>210.64397598313801</v>
      </c>
      <c r="AB227" s="6">
        <f t="shared" si="12"/>
        <v>0</v>
      </c>
      <c r="AC227" s="6">
        <f>(L227-M227)*(W227+X227)+($W$220+$X$220-$W$227-$X$227)*(L227)</f>
        <v>0</v>
      </c>
      <c r="AD227" s="6">
        <f t="shared" si="13"/>
        <v>0</v>
      </c>
      <c r="AE227" s="6">
        <f ca="1">(L227-M227)*(Z227+AA227)+($Z$220+$AA$220-$Z$227-$AA$227)*(L227)</f>
        <v>1.7561774257046637E-13</v>
      </c>
      <c r="AF227" s="4" t="s">
        <v>811</v>
      </c>
    </row>
    <row r="228" spans="1:32" ht="11.25" customHeight="1" x14ac:dyDescent="0.25">
      <c r="A228" s="4" t="s">
        <v>21</v>
      </c>
      <c r="B228" s="4" t="s">
        <v>22</v>
      </c>
      <c r="C228" s="4" t="s">
        <v>23</v>
      </c>
      <c r="D228" s="4" t="s">
        <v>24</v>
      </c>
      <c r="E228" s="4" t="s">
        <v>32</v>
      </c>
      <c r="F228" s="4" t="s">
        <v>25</v>
      </c>
      <c r="G228" s="4" t="s">
        <v>25</v>
      </c>
      <c r="H228" s="4" t="s">
        <v>25</v>
      </c>
      <c r="I228" s="5">
        <v>44531</v>
      </c>
      <c r="J228" s="6">
        <v>0</v>
      </c>
      <c r="K228" s="6">
        <v>0</v>
      </c>
      <c r="L228" s="6">
        <v>5.0010000000000003</v>
      </c>
      <c r="M228" s="6">
        <v>5.0010000000000003</v>
      </c>
      <c r="N228" s="6">
        <v>5.0010000000000003</v>
      </c>
      <c r="O228" s="6">
        <v>5.0010000000000003</v>
      </c>
      <c r="P228" s="6">
        <v>75</v>
      </c>
      <c r="Q228" s="4" t="s">
        <v>26</v>
      </c>
      <c r="R228" s="4">
        <v>0</v>
      </c>
      <c r="S228" s="4">
        <v>0</v>
      </c>
      <c r="T228" s="4">
        <v>20</v>
      </c>
      <c r="U228" s="4">
        <v>57</v>
      </c>
      <c r="V228" s="6">
        <f>IF(ISERROR(VLOOKUP($S$228,'TAR FIN'!$A$1:$O$85,15,0)),0,VLOOKUP($S$228,'TAR FIN'!$A$1:$O$85,15,0))</f>
        <v>0</v>
      </c>
      <c r="W228" s="6">
        <f>IF(ISERROR(VLOOKUP($T$228,'TAR FIN'!$A$1:$O$85,15,0)),0,VLOOKUP($T$228,'TAR FIN'!$A$1:$O$85,15,0))</f>
        <v>207.11</v>
      </c>
      <c r="X228" s="6">
        <f>IF(ISERROR(VLOOKUP($U$228,'TAR FIN'!$A$1:$O$85,15,0)),0,VLOOKUP($U$228,'TAR FIN'!$A$1:$O$85,15,0))</f>
        <v>263.29000000000002</v>
      </c>
      <c r="Y228" s="6"/>
      <c r="Z228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228" s="6">
        <f>('TE BE'!$AA$14+'TE BF'!$AA$14+'TE CVA'!$AA$14)*(1-CUSTOS!$M$37)</f>
        <v>210.64397598313801</v>
      </c>
      <c r="AB228" s="6">
        <f t="shared" si="12"/>
        <v>0</v>
      </c>
      <c r="AC228" s="6">
        <f>(L228-M228)*(W228+X228)+($W$220+$X$220-$W$228-$X$228)*(L228)</f>
        <v>0</v>
      </c>
      <c r="AD228" s="6">
        <f t="shared" si="13"/>
        <v>0</v>
      </c>
      <c r="AE228" s="6">
        <f ca="1">(L228-M228)*(Z228+AA228)+($Z$220+$AA$220-$Z$228-$AA$228)*(L228)</f>
        <v>1.4213696886145045E-13</v>
      </c>
      <c r="AF228" s="4" t="s">
        <v>811</v>
      </c>
    </row>
    <row r="229" spans="1:32" ht="11.25" customHeight="1" x14ac:dyDescent="0.25">
      <c r="A229" s="4" t="s">
        <v>21</v>
      </c>
      <c r="B229" s="4" t="s">
        <v>22</v>
      </c>
      <c r="C229" s="4" t="s">
        <v>23</v>
      </c>
      <c r="D229" s="4" t="s">
        <v>24</v>
      </c>
      <c r="E229" s="4" t="s">
        <v>32</v>
      </c>
      <c r="F229" s="4" t="s">
        <v>25</v>
      </c>
      <c r="G229" s="4" t="s">
        <v>25</v>
      </c>
      <c r="H229" s="4" t="s">
        <v>25</v>
      </c>
      <c r="I229" s="5">
        <v>44562</v>
      </c>
      <c r="J229" s="6">
        <v>0</v>
      </c>
      <c r="K229" s="6">
        <v>0</v>
      </c>
      <c r="L229" s="6">
        <v>8.1170000000000009</v>
      </c>
      <c r="M229" s="6">
        <v>8.1170000000000009</v>
      </c>
      <c r="N229" s="6">
        <v>8.1170000000000009</v>
      </c>
      <c r="O229" s="6">
        <v>8.1170000000000009</v>
      </c>
      <c r="P229" s="6">
        <v>114</v>
      </c>
      <c r="Q229" s="4" t="s">
        <v>26</v>
      </c>
      <c r="R229" s="4">
        <v>0</v>
      </c>
      <c r="S229" s="4">
        <v>0</v>
      </c>
      <c r="T229" s="4">
        <v>20</v>
      </c>
      <c r="U229" s="4">
        <v>57</v>
      </c>
      <c r="V229" s="6">
        <f>IF(ISERROR(VLOOKUP($S$229,'TAR FIN'!$A$1:$O$85,15,0)),0,VLOOKUP($S$229,'TAR FIN'!$A$1:$O$85,15,0))</f>
        <v>0</v>
      </c>
      <c r="W229" s="6">
        <f>IF(ISERROR(VLOOKUP($T$229,'TAR FIN'!$A$1:$O$85,15,0)),0,VLOOKUP($T$229,'TAR FIN'!$A$1:$O$85,15,0))</f>
        <v>207.11</v>
      </c>
      <c r="X229" s="6">
        <f>IF(ISERROR(VLOOKUP($U$229,'TAR FIN'!$A$1:$O$85,15,0)),0,VLOOKUP($U$229,'TAR FIN'!$A$1:$O$85,15,0))</f>
        <v>263.29000000000002</v>
      </c>
      <c r="Y229" s="6"/>
      <c r="Z229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229" s="6">
        <f>('TE BE'!$AA$14+'TE BF'!$AA$14+'TE CVA'!$AA$14)*(1-CUSTOS!$M$37)</f>
        <v>210.64397598313801</v>
      </c>
      <c r="AB229" s="6">
        <f t="shared" si="12"/>
        <v>0</v>
      </c>
      <c r="AC229" s="6">
        <f>(L229-M229)*(W229+X229)+($W$220+$X$220-$W$229-$X$229)*(L229)</f>
        <v>0</v>
      </c>
      <c r="AD229" s="6">
        <f t="shared" si="13"/>
        <v>0</v>
      </c>
      <c r="AE229" s="6">
        <f ca="1">(L229-M229)*(Z229+AA229)+($Z$220+$AA$220-$Z$229-$AA$229)*(L229)</f>
        <v>2.3069901544658935E-13</v>
      </c>
      <c r="AF229" s="4" t="s">
        <v>811</v>
      </c>
    </row>
    <row r="230" spans="1:32" ht="11.25" customHeight="1" x14ac:dyDescent="0.25">
      <c r="A230" s="4" t="s">
        <v>21</v>
      </c>
      <c r="B230" s="4" t="s">
        <v>22</v>
      </c>
      <c r="C230" s="4" t="s">
        <v>23</v>
      </c>
      <c r="D230" s="4" t="s">
        <v>24</v>
      </c>
      <c r="E230" s="4" t="s">
        <v>32</v>
      </c>
      <c r="F230" s="4" t="s">
        <v>25</v>
      </c>
      <c r="G230" s="4" t="s">
        <v>25</v>
      </c>
      <c r="H230" s="4" t="s">
        <v>25</v>
      </c>
      <c r="I230" s="5">
        <v>44593</v>
      </c>
      <c r="J230" s="6">
        <v>0</v>
      </c>
      <c r="K230" s="6">
        <v>0</v>
      </c>
      <c r="L230" s="6">
        <v>8.1470000000000002</v>
      </c>
      <c r="M230" s="6">
        <v>8.1470000000000002</v>
      </c>
      <c r="N230" s="6">
        <v>8.1470000000000002</v>
      </c>
      <c r="O230" s="6">
        <v>8.1470000000000002</v>
      </c>
      <c r="P230" s="6">
        <v>110</v>
      </c>
      <c r="Q230" s="4" t="s">
        <v>26</v>
      </c>
      <c r="R230" s="4">
        <v>0</v>
      </c>
      <c r="S230" s="4">
        <v>0</v>
      </c>
      <c r="T230" s="4">
        <v>20</v>
      </c>
      <c r="U230" s="4">
        <v>57</v>
      </c>
      <c r="V230" s="6">
        <f>IF(ISERROR(VLOOKUP($S$230,'TAR FIN'!$A$1:$O$85,15,0)),0,VLOOKUP($S$230,'TAR FIN'!$A$1:$O$85,15,0))</f>
        <v>0</v>
      </c>
      <c r="W230" s="6">
        <f>IF(ISERROR(VLOOKUP($T$230,'TAR FIN'!$A$1:$O$85,15,0)),0,VLOOKUP($T$230,'TAR FIN'!$A$1:$O$85,15,0))</f>
        <v>207.11</v>
      </c>
      <c r="X230" s="6">
        <f>IF(ISERROR(VLOOKUP($U$230,'TAR FIN'!$A$1:$O$85,15,0)),0,VLOOKUP($U$230,'TAR FIN'!$A$1:$O$85,15,0))</f>
        <v>263.29000000000002</v>
      </c>
      <c r="Y230" s="6"/>
      <c r="Z230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230" s="6">
        <f>('TE BE'!$AA$14+'TE BF'!$AA$14+'TE CVA'!$AA$14)*(1-CUSTOS!$M$37)</f>
        <v>210.64397598313801</v>
      </c>
      <c r="AB230" s="6">
        <f t="shared" si="12"/>
        <v>0</v>
      </c>
      <c r="AC230" s="6">
        <f>(L230-M230)*(W230+X230)+($W$220+$X$220-$W$230-$X$230)*(L230)</f>
        <v>0</v>
      </c>
      <c r="AD230" s="6">
        <f t="shared" si="13"/>
        <v>0</v>
      </c>
      <c r="AE230" s="6">
        <f ca="1">(L230-M230)*(Z230+AA230)+($Z$220+$AA$220-$Z$230-$AA$230)*(L230)</f>
        <v>2.3155166672950146E-13</v>
      </c>
      <c r="AF230" s="4" t="s">
        <v>811</v>
      </c>
    </row>
    <row r="231" spans="1:32" ht="11.25" customHeight="1" x14ac:dyDescent="0.25">
      <c r="A231" s="4" t="s">
        <v>21</v>
      </c>
      <c r="B231" s="4" t="s">
        <v>22</v>
      </c>
      <c r="C231" s="4" t="s">
        <v>23</v>
      </c>
      <c r="D231" s="4" t="s">
        <v>24</v>
      </c>
      <c r="E231" s="4" t="s">
        <v>32</v>
      </c>
      <c r="F231" s="4" t="s">
        <v>25</v>
      </c>
      <c r="G231" s="4" t="s">
        <v>25</v>
      </c>
      <c r="H231" s="4" t="s">
        <v>25</v>
      </c>
      <c r="I231" s="5">
        <v>44621</v>
      </c>
      <c r="J231" s="6">
        <v>0</v>
      </c>
      <c r="K231" s="6">
        <v>0</v>
      </c>
      <c r="L231" s="6">
        <v>14.984</v>
      </c>
      <c r="M231" s="6">
        <v>14.984</v>
      </c>
      <c r="N231" s="6">
        <v>14.984</v>
      </c>
      <c r="O231" s="6">
        <v>14.984</v>
      </c>
      <c r="P231" s="6">
        <v>183</v>
      </c>
      <c r="Q231" s="4" t="s">
        <v>26</v>
      </c>
      <c r="R231" s="4">
        <v>0</v>
      </c>
      <c r="S231" s="4">
        <v>0</v>
      </c>
      <c r="T231" s="4">
        <v>20</v>
      </c>
      <c r="U231" s="4">
        <v>57</v>
      </c>
      <c r="V231" s="6">
        <f>IF(ISERROR(VLOOKUP($S$231,'TAR FIN'!$A$1:$O$85,15,0)),0,VLOOKUP($S$231,'TAR FIN'!$A$1:$O$85,15,0))</f>
        <v>0</v>
      </c>
      <c r="W231" s="6">
        <f>IF(ISERROR(VLOOKUP($T$231,'TAR FIN'!$A$1:$O$85,15,0)),0,VLOOKUP($T$231,'TAR FIN'!$A$1:$O$85,15,0))</f>
        <v>207.11</v>
      </c>
      <c r="X231" s="6">
        <f>IF(ISERROR(VLOOKUP($U$231,'TAR FIN'!$A$1:$O$85,15,0)),0,VLOOKUP($U$231,'TAR FIN'!$A$1:$O$85,15,0))</f>
        <v>263.29000000000002</v>
      </c>
      <c r="Y231" s="6"/>
      <c r="Z231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231" s="6">
        <f>('TE BE'!$AA$14+'TE BF'!$AA$14+'TE CVA'!$AA$14)*(1-CUSTOS!$M$37)</f>
        <v>210.64397598313801</v>
      </c>
      <c r="AB231" s="6">
        <f t="shared" si="12"/>
        <v>0</v>
      </c>
      <c r="AC231" s="6">
        <f>(L231-M231)*(W231+X231)+($W$220+$X$220-$W$231-$X$231)*(L231)</f>
        <v>0</v>
      </c>
      <c r="AD231" s="6">
        <f t="shared" si="13"/>
        <v>0</v>
      </c>
      <c r="AE231" s="6">
        <f ca="1">(L231-M231)*(Z231+AA231)+($Z$220+$AA$220-$Z$231-$AA$231)*(L231)</f>
        <v>4.2587089410517365E-13</v>
      </c>
      <c r="AF231" s="4" t="s">
        <v>811</v>
      </c>
    </row>
    <row r="232" spans="1:32" ht="11.25" customHeight="1" x14ac:dyDescent="0.25">
      <c r="A232" s="4" t="s">
        <v>21</v>
      </c>
      <c r="B232" s="4" t="s">
        <v>22</v>
      </c>
      <c r="C232" s="4" t="s">
        <v>23</v>
      </c>
      <c r="D232" s="4" t="s">
        <v>24</v>
      </c>
      <c r="E232" s="4" t="s">
        <v>32</v>
      </c>
      <c r="F232" s="4" t="s">
        <v>25</v>
      </c>
      <c r="G232" s="4" t="s">
        <v>25</v>
      </c>
      <c r="H232" s="4" t="s">
        <v>25</v>
      </c>
      <c r="I232" s="5">
        <v>44652</v>
      </c>
      <c r="J232" s="6">
        <v>0</v>
      </c>
      <c r="K232" s="6">
        <v>0</v>
      </c>
      <c r="L232" s="6">
        <v>15.241</v>
      </c>
      <c r="M232" s="6">
        <v>15.241</v>
      </c>
      <c r="N232" s="6">
        <v>15.241</v>
      </c>
      <c r="O232" s="6">
        <v>15.241</v>
      </c>
      <c r="P232" s="6">
        <v>202</v>
      </c>
      <c r="Q232" s="4" t="s">
        <v>26</v>
      </c>
      <c r="R232" s="4">
        <v>0</v>
      </c>
      <c r="S232" s="4">
        <v>0</v>
      </c>
      <c r="T232" s="4">
        <v>20</v>
      </c>
      <c r="U232" s="4">
        <v>57</v>
      </c>
      <c r="V232" s="6">
        <f>IF(ISERROR(VLOOKUP($S$232,'TAR FIN'!$A$1:$O$85,15,0)),0,VLOOKUP($S$232,'TAR FIN'!$A$1:$O$85,15,0))</f>
        <v>0</v>
      </c>
      <c r="W232" s="6">
        <f>IF(ISERROR(VLOOKUP($T$232,'TAR FIN'!$A$1:$O$85,15,0)),0,VLOOKUP($T$232,'TAR FIN'!$A$1:$O$85,15,0))</f>
        <v>207.11</v>
      </c>
      <c r="X232" s="6">
        <f>IF(ISERROR(VLOOKUP($U$232,'TAR FIN'!$A$1:$O$85,15,0)),0,VLOOKUP($U$232,'TAR FIN'!$A$1:$O$85,15,0))</f>
        <v>263.29000000000002</v>
      </c>
      <c r="Y232" s="6"/>
      <c r="Z232" s="6">
        <f ca="1">('TUSD BE'!$AM$24+'TUSD BF'!$AM$24+'TUSD CVA'!$AM$24-('TUSD BE'!$P$24+'TUSD BF'!$P$24+'TUSD CVA'!$P$24)-('TUSD BE'!$Q$24+'TUSD BF'!$Q$24+'TUSD CVA'!$Q$24)-('TUSD BE'!$R$24+'TUSD BF'!$R$24+'TUSD CVA'!$R$24))*(1-CUSTOS!$M$37)</f>
        <v>213.26031111425993</v>
      </c>
      <c r="AA232" s="6">
        <f>('TE BE'!$AA$14+'TE BF'!$AA$14+'TE CVA'!$AA$14)*(1-CUSTOS!$M$37)</f>
        <v>210.64397598313801</v>
      </c>
      <c r="AB232" s="6">
        <f t="shared" si="12"/>
        <v>0</v>
      </c>
      <c r="AC232" s="6">
        <f>(L232-M232)*(W232+X232)+($W$220+$X$220-$W$232-$X$232)*(L232)</f>
        <v>0</v>
      </c>
      <c r="AD232" s="6">
        <f t="shared" si="13"/>
        <v>0</v>
      </c>
      <c r="AE232" s="6">
        <f ca="1">(L232-M232)*(Z232+AA232)+($Z$220+$AA$220-$Z$232-$AA$232)*(L232)</f>
        <v>4.3317527342878747E-13</v>
      </c>
      <c r="AF232" s="4" t="s">
        <v>811</v>
      </c>
    </row>
    <row r="233" spans="1:32" ht="11.25" customHeight="1" x14ac:dyDescent="0.25">
      <c r="A233" s="4" t="s">
        <v>21</v>
      </c>
      <c r="B233" s="4" t="s">
        <v>43</v>
      </c>
      <c r="C233" s="4" t="s">
        <v>37</v>
      </c>
      <c r="D233" s="4" t="s">
        <v>44</v>
      </c>
      <c r="E233" s="4" t="s">
        <v>25</v>
      </c>
      <c r="F233" s="4" t="s">
        <v>25</v>
      </c>
      <c r="G233" s="4" t="s">
        <v>25</v>
      </c>
      <c r="H233" s="4" t="s">
        <v>36</v>
      </c>
      <c r="I233" s="5">
        <v>44317</v>
      </c>
      <c r="J233" s="6">
        <v>0</v>
      </c>
      <c r="K233" s="6">
        <v>0</v>
      </c>
      <c r="L233" s="6">
        <v>0.33300000000000002</v>
      </c>
      <c r="M233" s="6">
        <v>0.33300000000000002</v>
      </c>
      <c r="N233" s="6">
        <v>0.33300000000000002</v>
      </c>
      <c r="O233" s="6">
        <v>0.33300000000000002</v>
      </c>
      <c r="P233" s="6">
        <v>0</v>
      </c>
      <c r="Q233" s="4" t="s">
        <v>26</v>
      </c>
      <c r="R233" s="4">
        <v>0</v>
      </c>
      <c r="S233" s="4">
        <v>0</v>
      </c>
      <c r="T233" s="4">
        <v>28</v>
      </c>
      <c r="U233" s="4">
        <v>65</v>
      </c>
      <c r="V233" s="6">
        <f>IF(ISERROR(VLOOKUP($S$233,'TAR FIN'!$A$1:$O$85,15,0)),0,VLOOKUP($S$233,'TAR FIN'!$A$1:$O$85,15,0))</f>
        <v>0</v>
      </c>
      <c r="W233" s="6">
        <f>IF(ISERROR(VLOOKUP($T$233,'TAR FIN'!$A$1:$O$85,15,0)),0,VLOOKUP($T$233,'TAR FIN'!$A$1:$O$85,15,0))</f>
        <v>164.71</v>
      </c>
      <c r="X233" s="6">
        <f>IF(ISERROR(VLOOKUP($U$233,'TAR FIN'!$A$1:$O$85,15,0)),0,VLOOKUP($U$233,'TAR FIN'!$A$1:$O$85,15,0))</f>
        <v>231.7</v>
      </c>
      <c r="Y233" s="6"/>
      <c r="Z233" s="6">
        <f ca="1">('TUSD BE'!$AM$32+'TUSD BF'!$AM$32+'TUSD CVA'!$AM$32)*(1-CUSTOS!$M$38)</f>
        <v>218.62401641895264</v>
      </c>
      <c r="AA233" s="6">
        <f>('TE BE'!$AA$22+'TE BF'!$AA$22+'TE CVA'!$AA$22)*(1-CUSTOS!$M$38)</f>
        <v>198.0053374241497</v>
      </c>
      <c r="AB233" s="6">
        <f t="shared" si="12"/>
        <v>0</v>
      </c>
      <c r="AC233" s="6">
        <f>(L233*W233+M233*X233)/(1-CUSTOS!$M$38)*CUSTOS!$M$38</f>
        <v>8.4258210638297868</v>
      </c>
      <c r="AD233" s="6">
        <f t="shared" si="13"/>
        <v>0</v>
      </c>
      <c r="AE233" s="6">
        <f ca="1">(L233*Z233+N233*AA233)/(1-CUSTOS!$M$38)*CUSTOS!$M$38</f>
        <v>8.8555898827501967</v>
      </c>
      <c r="AF233" s="4" t="s">
        <v>808</v>
      </c>
    </row>
    <row r="234" spans="1:32" ht="11.25" customHeight="1" x14ac:dyDescent="0.25">
      <c r="A234" s="4" t="s">
        <v>21</v>
      </c>
      <c r="B234" s="4" t="s">
        <v>43</v>
      </c>
      <c r="C234" s="4" t="s">
        <v>37</v>
      </c>
      <c r="D234" s="4" t="s">
        <v>44</v>
      </c>
      <c r="E234" s="4" t="s">
        <v>25</v>
      </c>
      <c r="F234" s="4" t="s">
        <v>25</v>
      </c>
      <c r="G234" s="4" t="s">
        <v>25</v>
      </c>
      <c r="H234" s="4" t="s">
        <v>36</v>
      </c>
      <c r="I234" s="5">
        <v>44348</v>
      </c>
      <c r="J234" s="6">
        <v>0</v>
      </c>
      <c r="K234" s="6">
        <v>0</v>
      </c>
      <c r="L234" s="6">
        <v>0.33400000000000002</v>
      </c>
      <c r="M234" s="6">
        <v>0.33400000000000002</v>
      </c>
      <c r="N234" s="6">
        <v>0.33400000000000002</v>
      </c>
      <c r="O234" s="6">
        <v>0.33400000000000002</v>
      </c>
      <c r="P234" s="6">
        <v>0</v>
      </c>
      <c r="Q234" s="4" t="s">
        <v>26</v>
      </c>
      <c r="R234" s="4">
        <v>0</v>
      </c>
      <c r="S234" s="4">
        <v>0</v>
      </c>
      <c r="T234" s="4">
        <v>28</v>
      </c>
      <c r="U234" s="4">
        <v>65</v>
      </c>
      <c r="V234" s="6">
        <f>IF(ISERROR(VLOOKUP($S$234,'TAR FIN'!$A$1:$O$85,15,0)),0,VLOOKUP($S$234,'TAR FIN'!$A$1:$O$85,15,0))</f>
        <v>0</v>
      </c>
      <c r="W234" s="6">
        <f>IF(ISERROR(VLOOKUP($T$234,'TAR FIN'!$A$1:$O$85,15,0)),0,VLOOKUP($T$234,'TAR FIN'!$A$1:$O$85,15,0))</f>
        <v>164.71</v>
      </c>
      <c r="X234" s="6">
        <f>IF(ISERROR(VLOOKUP($U$234,'TAR FIN'!$A$1:$O$85,15,0)),0,VLOOKUP($U$234,'TAR FIN'!$A$1:$O$85,15,0))</f>
        <v>231.7</v>
      </c>
      <c r="Y234" s="6"/>
      <c r="Z234" s="6">
        <f ca="1">('TUSD BE'!$AM$32+'TUSD BF'!$AM$32+'TUSD CVA'!$AM$32)*(1-CUSTOS!$M$38)</f>
        <v>218.62401641895264</v>
      </c>
      <c r="AA234" s="6">
        <f>('TE BE'!$AA$22+'TE BF'!$AA$22+'TE CVA'!$AA$22)*(1-CUSTOS!$M$38)</f>
        <v>198.0053374241497</v>
      </c>
      <c r="AB234" s="6">
        <f t="shared" si="12"/>
        <v>0</v>
      </c>
      <c r="AC234" s="6">
        <f>(L234*W234+M234*X234)/(1-CUSTOS!$M$38)*CUSTOS!$M$38</f>
        <v>8.4511238297872335</v>
      </c>
      <c r="AD234" s="6">
        <f t="shared" si="13"/>
        <v>0</v>
      </c>
      <c r="AE234" s="6">
        <f ca="1">(L234*Z234+N234*AA234)/(1-CUSTOS!$M$38)*CUSTOS!$M$38</f>
        <v>8.8821832457614569</v>
      </c>
      <c r="AF234" s="4" t="s">
        <v>808</v>
      </c>
    </row>
    <row r="235" spans="1:32" ht="11.25" customHeight="1" x14ac:dyDescent="0.25">
      <c r="A235" s="4" t="s">
        <v>21</v>
      </c>
      <c r="B235" s="4" t="s">
        <v>43</v>
      </c>
      <c r="C235" s="4" t="s">
        <v>37</v>
      </c>
      <c r="D235" s="4" t="s">
        <v>44</v>
      </c>
      <c r="E235" s="4" t="s">
        <v>25</v>
      </c>
      <c r="F235" s="4" t="s">
        <v>25</v>
      </c>
      <c r="G235" s="4" t="s">
        <v>25</v>
      </c>
      <c r="H235" s="4" t="s">
        <v>36</v>
      </c>
      <c r="I235" s="5">
        <v>44378</v>
      </c>
      <c r="J235" s="6">
        <v>0</v>
      </c>
      <c r="K235" s="6">
        <v>0</v>
      </c>
      <c r="L235" s="6">
        <v>0.32</v>
      </c>
      <c r="M235" s="6">
        <v>0.32</v>
      </c>
      <c r="N235" s="6">
        <v>0.32</v>
      </c>
      <c r="O235" s="6">
        <v>0.32</v>
      </c>
      <c r="P235" s="6">
        <v>0</v>
      </c>
      <c r="Q235" s="4" t="s">
        <v>26</v>
      </c>
      <c r="R235" s="4">
        <v>0</v>
      </c>
      <c r="S235" s="4">
        <v>0</v>
      </c>
      <c r="T235" s="4">
        <v>28</v>
      </c>
      <c r="U235" s="4">
        <v>65</v>
      </c>
      <c r="V235" s="6">
        <f>IF(ISERROR(VLOOKUP($S$235,'TAR FIN'!$A$1:$O$85,15,0)),0,VLOOKUP($S$235,'TAR FIN'!$A$1:$O$85,15,0))</f>
        <v>0</v>
      </c>
      <c r="W235" s="6">
        <f>IF(ISERROR(VLOOKUP($T$235,'TAR FIN'!$A$1:$O$85,15,0)),0,VLOOKUP($T$235,'TAR FIN'!$A$1:$O$85,15,0))</f>
        <v>164.71</v>
      </c>
      <c r="X235" s="6">
        <f>IF(ISERROR(VLOOKUP($U$235,'TAR FIN'!$A$1:$O$85,15,0)),0,VLOOKUP($U$235,'TAR FIN'!$A$1:$O$85,15,0))</f>
        <v>231.7</v>
      </c>
      <c r="Y235" s="6"/>
      <c r="Z235" s="6">
        <f ca="1">('TUSD BE'!$AM$32+'TUSD BF'!$AM$32+'TUSD CVA'!$AM$32)*(1-CUSTOS!$M$38)</f>
        <v>218.62401641895264</v>
      </c>
      <c r="AA235" s="6">
        <f>('TE BE'!$AA$22+'TE BF'!$AA$22+'TE CVA'!$AA$22)*(1-CUSTOS!$M$38)</f>
        <v>198.0053374241497</v>
      </c>
      <c r="AB235" s="6">
        <f t="shared" si="12"/>
        <v>0</v>
      </c>
      <c r="AC235" s="6">
        <f>(L235*W235+M235*X235)/(1-CUSTOS!$M$38)*CUSTOS!$M$38</f>
        <v>8.0968851063829792</v>
      </c>
      <c r="AD235" s="6">
        <f t="shared" si="13"/>
        <v>0</v>
      </c>
      <c r="AE235" s="6">
        <f ca="1">(L235*Z235+N235*AA235)/(1-CUSTOS!$M$38)*CUSTOS!$M$38</f>
        <v>8.5098761636037921</v>
      </c>
      <c r="AF235" s="4" t="s">
        <v>808</v>
      </c>
    </row>
    <row r="236" spans="1:32" ht="11.25" customHeight="1" x14ac:dyDescent="0.25">
      <c r="A236" s="4" t="s">
        <v>21</v>
      </c>
      <c r="B236" s="4" t="s">
        <v>43</v>
      </c>
      <c r="C236" s="4" t="s">
        <v>37</v>
      </c>
      <c r="D236" s="4" t="s">
        <v>44</v>
      </c>
      <c r="E236" s="4" t="s">
        <v>25</v>
      </c>
      <c r="F236" s="4" t="s">
        <v>25</v>
      </c>
      <c r="G236" s="4" t="s">
        <v>25</v>
      </c>
      <c r="H236" s="4" t="s">
        <v>36</v>
      </c>
      <c r="I236" s="5">
        <v>44409</v>
      </c>
      <c r="J236" s="6">
        <v>0</v>
      </c>
      <c r="K236" s="6">
        <v>0</v>
      </c>
      <c r="L236" s="6">
        <v>0.38</v>
      </c>
      <c r="M236" s="6">
        <v>0.38</v>
      </c>
      <c r="N236" s="6">
        <v>0.38</v>
      </c>
      <c r="O236" s="6">
        <v>0.38</v>
      </c>
      <c r="P236" s="6">
        <v>0</v>
      </c>
      <c r="Q236" s="4" t="s">
        <v>26</v>
      </c>
      <c r="R236" s="4">
        <v>0</v>
      </c>
      <c r="S236" s="4">
        <v>0</v>
      </c>
      <c r="T236" s="4">
        <v>28</v>
      </c>
      <c r="U236" s="4">
        <v>65</v>
      </c>
      <c r="V236" s="6">
        <f>IF(ISERROR(VLOOKUP($S$236,'TAR FIN'!$A$1:$O$85,15,0)),0,VLOOKUP($S$236,'TAR FIN'!$A$1:$O$85,15,0))</f>
        <v>0</v>
      </c>
      <c r="W236" s="6">
        <f>IF(ISERROR(VLOOKUP($T$236,'TAR FIN'!$A$1:$O$85,15,0)),0,VLOOKUP($T$236,'TAR FIN'!$A$1:$O$85,15,0))</f>
        <v>164.71</v>
      </c>
      <c r="X236" s="6">
        <f>IF(ISERROR(VLOOKUP($U$236,'TAR FIN'!$A$1:$O$85,15,0)),0,VLOOKUP($U$236,'TAR FIN'!$A$1:$O$85,15,0))</f>
        <v>231.7</v>
      </c>
      <c r="Y236" s="6"/>
      <c r="Z236" s="6">
        <f ca="1">('TUSD BE'!$AM$32+'TUSD BF'!$AM$32+'TUSD CVA'!$AM$32)*(1-CUSTOS!$M$38)</f>
        <v>218.62401641895264</v>
      </c>
      <c r="AA236" s="6">
        <f>('TE BE'!$AA$22+'TE BF'!$AA$22+'TE CVA'!$AA$22)*(1-CUSTOS!$M$38)</f>
        <v>198.0053374241497</v>
      </c>
      <c r="AB236" s="6">
        <f t="shared" si="12"/>
        <v>0</v>
      </c>
      <c r="AC236" s="6">
        <f>(L236*W236+M236*X236)/(1-CUSTOS!$M$38)*CUSTOS!$M$38</f>
        <v>9.6150510638297852</v>
      </c>
      <c r="AD236" s="6">
        <f t="shared" si="13"/>
        <v>0</v>
      </c>
      <c r="AE236" s="6">
        <f ca="1">(L236*Z236+N236*AA236)/(1-CUSTOS!$M$38)*CUSTOS!$M$38</f>
        <v>10.105477944279503</v>
      </c>
      <c r="AF236" s="4" t="s">
        <v>808</v>
      </c>
    </row>
    <row r="237" spans="1:32" ht="11.25" customHeight="1" x14ac:dyDescent="0.25">
      <c r="A237" s="4" t="s">
        <v>21</v>
      </c>
      <c r="B237" s="4" t="s">
        <v>43</v>
      </c>
      <c r="C237" s="4" t="s">
        <v>37</v>
      </c>
      <c r="D237" s="4" t="s">
        <v>44</v>
      </c>
      <c r="E237" s="4" t="s">
        <v>25</v>
      </c>
      <c r="F237" s="4" t="s">
        <v>25</v>
      </c>
      <c r="G237" s="4" t="s">
        <v>25</v>
      </c>
      <c r="H237" s="4" t="s">
        <v>36</v>
      </c>
      <c r="I237" s="5">
        <v>44440</v>
      </c>
      <c r="J237" s="6">
        <v>0</v>
      </c>
      <c r="K237" s="6">
        <v>0</v>
      </c>
      <c r="L237" s="6">
        <v>0.45700000000000002</v>
      </c>
      <c r="M237" s="6">
        <v>0.45700000000000002</v>
      </c>
      <c r="N237" s="6">
        <v>0.45700000000000002</v>
      </c>
      <c r="O237" s="6">
        <v>0.45700000000000002</v>
      </c>
      <c r="P237" s="6">
        <v>0</v>
      </c>
      <c r="Q237" s="4" t="s">
        <v>26</v>
      </c>
      <c r="R237" s="4">
        <v>0</v>
      </c>
      <c r="S237" s="4">
        <v>0</v>
      </c>
      <c r="T237" s="4">
        <v>28</v>
      </c>
      <c r="U237" s="4">
        <v>65</v>
      </c>
      <c r="V237" s="6">
        <f>IF(ISERROR(VLOOKUP($S$237,'TAR FIN'!$A$1:$O$85,15,0)),0,VLOOKUP($S$237,'TAR FIN'!$A$1:$O$85,15,0))</f>
        <v>0</v>
      </c>
      <c r="W237" s="6">
        <f>IF(ISERROR(VLOOKUP($T$237,'TAR FIN'!$A$1:$O$85,15,0)),0,VLOOKUP($T$237,'TAR FIN'!$A$1:$O$85,15,0))</f>
        <v>164.71</v>
      </c>
      <c r="X237" s="6">
        <f>IF(ISERROR(VLOOKUP($U$237,'TAR FIN'!$A$1:$O$85,15,0)),0,VLOOKUP($U$237,'TAR FIN'!$A$1:$O$85,15,0))</f>
        <v>231.7</v>
      </c>
      <c r="Y237" s="6"/>
      <c r="Z237" s="6">
        <f ca="1">('TUSD BE'!$AM$32+'TUSD BF'!$AM$32+'TUSD CVA'!$AM$32)*(1-CUSTOS!$M$38)</f>
        <v>218.62401641895264</v>
      </c>
      <c r="AA237" s="6">
        <f>('TE BE'!$AA$22+'TE BF'!$AA$22+'TE CVA'!$AA$22)*(1-CUSTOS!$M$38)</f>
        <v>198.0053374241497</v>
      </c>
      <c r="AB237" s="6">
        <f t="shared" si="12"/>
        <v>0</v>
      </c>
      <c r="AC237" s="6">
        <f>(L237*W237+M237*X237)/(1-CUSTOS!$M$38)*CUSTOS!$M$38</f>
        <v>11.563364042553195</v>
      </c>
      <c r="AD237" s="6">
        <f t="shared" si="13"/>
        <v>0</v>
      </c>
      <c r="AE237" s="6">
        <f ca="1">(L237*Z237+N237*AA237)/(1-CUSTOS!$M$38)*CUSTOS!$M$38</f>
        <v>12.153166896146667</v>
      </c>
      <c r="AF237" s="4" t="s">
        <v>808</v>
      </c>
    </row>
    <row r="238" spans="1:32" ht="11.25" customHeight="1" x14ac:dyDescent="0.25">
      <c r="A238" s="4" t="s">
        <v>21</v>
      </c>
      <c r="B238" s="4" t="s">
        <v>43</v>
      </c>
      <c r="C238" s="4" t="s">
        <v>37</v>
      </c>
      <c r="D238" s="4" t="s">
        <v>44</v>
      </c>
      <c r="E238" s="4" t="s">
        <v>25</v>
      </c>
      <c r="F238" s="4" t="s">
        <v>25</v>
      </c>
      <c r="G238" s="4" t="s">
        <v>25</v>
      </c>
      <c r="H238" s="4" t="s">
        <v>36</v>
      </c>
      <c r="I238" s="5">
        <v>44470</v>
      </c>
      <c r="J238" s="6">
        <v>0</v>
      </c>
      <c r="K238" s="6">
        <v>0</v>
      </c>
      <c r="L238" s="6">
        <v>0.44800000000000001</v>
      </c>
      <c r="M238" s="6">
        <v>0.44800000000000001</v>
      </c>
      <c r="N238" s="6">
        <v>0.44800000000000001</v>
      </c>
      <c r="O238" s="6">
        <v>0.44800000000000001</v>
      </c>
      <c r="P238" s="6">
        <v>0</v>
      </c>
      <c r="Q238" s="4" t="s">
        <v>26</v>
      </c>
      <c r="R238" s="4">
        <v>0</v>
      </c>
      <c r="S238" s="4">
        <v>0</v>
      </c>
      <c r="T238" s="4">
        <v>28</v>
      </c>
      <c r="U238" s="4">
        <v>65</v>
      </c>
      <c r="V238" s="6">
        <f>IF(ISERROR(VLOOKUP($S$238,'TAR FIN'!$A$1:$O$85,15,0)),0,VLOOKUP($S$238,'TAR FIN'!$A$1:$O$85,15,0))</f>
        <v>0</v>
      </c>
      <c r="W238" s="6">
        <f>IF(ISERROR(VLOOKUP($T$238,'TAR FIN'!$A$1:$O$85,15,0)),0,VLOOKUP($T$238,'TAR FIN'!$A$1:$O$85,15,0))</f>
        <v>164.71</v>
      </c>
      <c r="X238" s="6">
        <f>IF(ISERROR(VLOOKUP($U$238,'TAR FIN'!$A$1:$O$85,15,0)),0,VLOOKUP($U$238,'TAR FIN'!$A$1:$O$85,15,0))</f>
        <v>231.7</v>
      </c>
      <c r="Y238" s="6"/>
      <c r="Z238" s="6">
        <f ca="1">('TUSD BE'!$AM$32+'TUSD BF'!$AM$32+'TUSD CVA'!$AM$32)*(1-CUSTOS!$M$38)</f>
        <v>218.62401641895264</v>
      </c>
      <c r="AA238" s="6">
        <f>('TE BE'!$AA$22+'TE BF'!$AA$22+'TE CVA'!$AA$22)*(1-CUSTOS!$M$38)</f>
        <v>198.0053374241497</v>
      </c>
      <c r="AB238" s="6">
        <f t="shared" si="12"/>
        <v>0</v>
      </c>
      <c r="AC238" s="6">
        <f>(L238*W238+M238*X238)/(1-CUSTOS!$M$38)*CUSTOS!$M$38</f>
        <v>11.335639148936169</v>
      </c>
      <c r="AD238" s="6">
        <f t="shared" si="13"/>
        <v>0</v>
      </c>
      <c r="AE238" s="6">
        <f ca="1">(L238*Z238+N238*AA238)/(1-CUSTOS!$M$38)*CUSTOS!$M$38</f>
        <v>11.91382662904531</v>
      </c>
      <c r="AF238" s="4" t="s">
        <v>808</v>
      </c>
    </row>
    <row r="239" spans="1:32" ht="11.25" customHeight="1" x14ac:dyDescent="0.25">
      <c r="A239" s="4" t="s">
        <v>21</v>
      </c>
      <c r="B239" s="4" t="s">
        <v>43</v>
      </c>
      <c r="C239" s="4" t="s">
        <v>37</v>
      </c>
      <c r="D239" s="4" t="s">
        <v>44</v>
      </c>
      <c r="E239" s="4" t="s">
        <v>25</v>
      </c>
      <c r="F239" s="4" t="s">
        <v>25</v>
      </c>
      <c r="G239" s="4" t="s">
        <v>25</v>
      </c>
      <c r="H239" s="4" t="s">
        <v>36</v>
      </c>
      <c r="I239" s="5">
        <v>44501</v>
      </c>
      <c r="J239" s="6">
        <v>0</v>
      </c>
      <c r="K239" s="6">
        <v>0</v>
      </c>
      <c r="L239" s="6">
        <v>0.47699999999999998</v>
      </c>
      <c r="M239" s="6">
        <v>0.47699999999999998</v>
      </c>
      <c r="N239" s="6">
        <v>0.47699999999999998</v>
      </c>
      <c r="O239" s="6">
        <v>0.47699999999999998</v>
      </c>
      <c r="P239" s="6">
        <v>0</v>
      </c>
      <c r="Q239" s="4" t="s">
        <v>26</v>
      </c>
      <c r="R239" s="4">
        <v>0</v>
      </c>
      <c r="S239" s="4">
        <v>0</v>
      </c>
      <c r="T239" s="4">
        <v>28</v>
      </c>
      <c r="U239" s="4">
        <v>65</v>
      </c>
      <c r="V239" s="6">
        <f>IF(ISERROR(VLOOKUP($S$239,'TAR FIN'!$A$1:$O$85,15,0)),0,VLOOKUP($S$239,'TAR FIN'!$A$1:$O$85,15,0))</f>
        <v>0</v>
      </c>
      <c r="W239" s="6">
        <f>IF(ISERROR(VLOOKUP($T$239,'TAR FIN'!$A$1:$O$85,15,0)),0,VLOOKUP($T$239,'TAR FIN'!$A$1:$O$85,15,0))</f>
        <v>164.71</v>
      </c>
      <c r="X239" s="6">
        <f>IF(ISERROR(VLOOKUP($U$239,'TAR FIN'!$A$1:$O$85,15,0)),0,VLOOKUP($U$239,'TAR FIN'!$A$1:$O$85,15,0))</f>
        <v>231.7</v>
      </c>
      <c r="Y239" s="6"/>
      <c r="Z239" s="6">
        <f ca="1">('TUSD BE'!$AM$32+'TUSD BF'!$AM$32+'TUSD CVA'!$AM$32)*(1-CUSTOS!$M$38)</f>
        <v>218.62401641895264</v>
      </c>
      <c r="AA239" s="6">
        <f>('TE BE'!$AA$22+'TE BF'!$AA$22+'TE CVA'!$AA$22)*(1-CUSTOS!$M$38)</f>
        <v>198.0053374241497</v>
      </c>
      <c r="AB239" s="6">
        <f t="shared" si="12"/>
        <v>0</v>
      </c>
      <c r="AC239" s="6">
        <f>(L239*W239+M239*X239)/(1-CUSTOS!$M$38)*CUSTOS!$M$38</f>
        <v>12.069419361702126</v>
      </c>
      <c r="AD239" s="6">
        <f t="shared" si="13"/>
        <v>0</v>
      </c>
      <c r="AE239" s="6">
        <f ca="1">(L239*Z239+N239*AA239)/(1-CUSTOS!$M$38)*CUSTOS!$M$38</f>
        <v>12.685034156371904</v>
      </c>
      <c r="AF239" s="4" t="s">
        <v>808</v>
      </c>
    </row>
    <row r="240" spans="1:32" ht="11.25" customHeight="1" x14ac:dyDescent="0.25">
      <c r="A240" s="4" t="s">
        <v>21</v>
      </c>
      <c r="B240" s="4" t="s">
        <v>43</v>
      </c>
      <c r="C240" s="4" t="s">
        <v>37</v>
      </c>
      <c r="D240" s="4" t="s">
        <v>44</v>
      </c>
      <c r="E240" s="4" t="s">
        <v>25</v>
      </c>
      <c r="F240" s="4" t="s">
        <v>25</v>
      </c>
      <c r="G240" s="4" t="s">
        <v>25</v>
      </c>
      <c r="H240" s="4" t="s">
        <v>36</v>
      </c>
      <c r="I240" s="5">
        <v>44531</v>
      </c>
      <c r="J240" s="6">
        <v>0</v>
      </c>
      <c r="K240" s="6">
        <v>0</v>
      </c>
      <c r="L240" s="6">
        <v>0.432</v>
      </c>
      <c r="M240" s="6">
        <v>0.432</v>
      </c>
      <c r="N240" s="6">
        <v>0.432</v>
      </c>
      <c r="O240" s="6">
        <v>0.432</v>
      </c>
      <c r="P240" s="6">
        <v>0</v>
      </c>
      <c r="Q240" s="4" t="s">
        <v>26</v>
      </c>
      <c r="R240" s="4">
        <v>0</v>
      </c>
      <c r="S240" s="4">
        <v>0</v>
      </c>
      <c r="T240" s="4">
        <v>28</v>
      </c>
      <c r="U240" s="4">
        <v>65</v>
      </c>
      <c r="V240" s="6">
        <f>IF(ISERROR(VLOOKUP($S$240,'TAR FIN'!$A$1:$O$85,15,0)),0,VLOOKUP($S$240,'TAR FIN'!$A$1:$O$85,15,0))</f>
        <v>0</v>
      </c>
      <c r="W240" s="6">
        <f>IF(ISERROR(VLOOKUP($T$240,'TAR FIN'!$A$1:$O$85,15,0)),0,VLOOKUP($T$240,'TAR FIN'!$A$1:$O$85,15,0))</f>
        <v>164.71</v>
      </c>
      <c r="X240" s="6">
        <f>IF(ISERROR(VLOOKUP($U$240,'TAR FIN'!$A$1:$O$85,15,0)),0,VLOOKUP($U$240,'TAR FIN'!$A$1:$O$85,15,0))</f>
        <v>231.7</v>
      </c>
      <c r="Y240" s="6"/>
      <c r="Z240" s="6">
        <f ca="1">('TUSD BE'!$AM$32+'TUSD BF'!$AM$32+'TUSD CVA'!$AM$32)*(1-CUSTOS!$M$38)</f>
        <v>218.62401641895264</v>
      </c>
      <c r="AA240" s="6">
        <f>('TE BE'!$AA$22+'TE BF'!$AA$22+'TE CVA'!$AA$22)*(1-CUSTOS!$M$38)</f>
        <v>198.0053374241497</v>
      </c>
      <c r="AB240" s="6">
        <f t="shared" si="12"/>
        <v>0</v>
      </c>
      <c r="AC240" s="6">
        <f>(L240*W240+M240*X240)/(1-CUSTOS!$M$38)*CUSTOS!$M$38</f>
        <v>10.930794893617021</v>
      </c>
      <c r="AD240" s="6">
        <f t="shared" si="13"/>
        <v>0</v>
      </c>
      <c r="AE240" s="6">
        <f ca="1">(L240*Z240+N240*AA240)/(1-CUSTOS!$M$38)*CUSTOS!$M$38</f>
        <v>11.488332820865121</v>
      </c>
      <c r="AF240" s="4" t="s">
        <v>808</v>
      </c>
    </row>
    <row r="241" spans="1:32" ht="11.25" customHeight="1" x14ac:dyDescent="0.25">
      <c r="A241" s="4" t="s">
        <v>21</v>
      </c>
      <c r="B241" s="4" t="s">
        <v>43</v>
      </c>
      <c r="C241" s="4" t="s">
        <v>37</v>
      </c>
      <c r="D241" s="4" t="s">
        <v>44</v>
      </c>
      <c r="E241" s="4" t="s">
        <v>25</v>
      </c>
      <c r="F241" s="4" t="s">
        <v>25</v>
      </c>
      <c r="G241" s="4" t="s">
        <v>25</v>
      </c>
      <c r="H241" s="4" t="s">
        <v>36</v>
      </c>
      <c r="I241" s="5">
        <v>44562</v>
      </c>
      <c r="J241" s="6">
        <v>0</v>
      </c>
      <c r="K241" s="6">
        <v>0</v>
      </c>
      <c r="L241" s="6">
        <v>0.42499999999999999</v>
      </c>
      <c r="M241" s="6">
        <v>0.42499999999999999</v>
      </c>
      <c r="N241" s="6">
        <v>0.42499999999999999</v>
      </c>
      <c r="O241" s="6">
        <v>0.42499999999999999</v>
      </c>
      <c r="P241" s="6">
        <v>0</v>
      </c>
      <c r="Q241" s="4" t="s">
        <v>26</v>
      </c>
      <c r="R241" s="4">
        <v>0</v>
      </c>
      <c r="S241" s="4">
        <v>0</v>
      </c>
      <c r="T241" s="4">
        <v>28</v>
      </c>
      <c r="U241" s="4">
        <v>65</v>
      </c>
      <c r="V241" s="6">
        <f>IF(ISERROR(VLOOKUP($S$241,'TAR FIN'!$A$1:$O$85,15,0)),0,VLOOKUP($S$241,'TAR FIN'!$A$1:$O$85,15,0))</f>
        <v>0</v>
      </c>
      <c r="W241" s="6">
        <f>IF(ISERROR(VLOOKUP($T$241,'TAR FIN'!$A$1:$O$85,15,0)),0,VLOOKUP($T$241,'TAR FIN'!$A$1:$O$85,15,0))</f>
        <v>164.71</v>
      </c>
      <c r="X241" s="6">
        <f>IF(ISERROR(VLOOKUP($U$241,'TAR FIN'!$A$1:$O$85,15,0)),0,VLOOKUP($U$241,'TAR FIN'!$A$1:$O$85,15,0))</f>
        <v>231.7</v>
      </c>
      <c r="Y241" s="6"/>
      <c r="Z241" s="6">
        <f ca="1">('TUSD BE'!$AM$32+'TUSD BF'!$AM$32+'TUSD CVA'!$AM$32)*(1-CUSTOS!$M$38)</f>
        <v>218.62401641895264</v>
      </c>
      <c r="AA241" s="6">
        <f>('TE BE'!$AA$22+'TE BF'!$AA$22+'TE CVA'!$AA$22)*(1-CUSTOS!$M$38)</f>
        <v>198.0053374241497</v>
      </c>
      <c r="AB241" s="6">
        <f t="shared" si="12"/>
        <v>0</v>
      </c>
      <c r="AC241" s="6">
        <f>(L241*W241+M241*X241)/(1-CUSTOS!$M$38)*CUSTOS!$M$38</f>
        <v>10.753675531914892</v>
      </c>
      <c r="AD241" s="6">
        <f t="shared" si="13"/>
        <v>0</v>
      </c>
      <c r="AE241" s="6">
        <f ca="1">(L241*Z241+N241*AA241)/(1-CUSTOS!$M$38)*CUSTOS!$M$38</f>
        <v>11.302179279786285</v>
      </c>
      <c r="AF241" s="4" t="s">
        <v>808</v>
      </c>
    </row>
    <row r="242" spans="1:32" ht="11.25" customHeight="1" x14ac:dyDescent="0.25">
      <c r="A242" s="4" t="s">
        <v>21</v>
      </c>
      <c r="B242" s="4" t="s">
        <v>43</v>
      </c>
      <c r="C242" s="4" t="s">
        <v>37</v>
      </c>
      <c r="D242" s="4" t="s">
        <v>44</v>
      </c>
      <c r="E242" s="4" t="s">
        <v>25</v>
      </c>
      <c r="F242" s="4" t="s">
        <v>25</v>
      </c>
      <c r="G242" s="4" t="s">
        <v>25</v>
      </c>
      <c r="H242" s="4" t="s">
        <v>36</v>
      </c>
      <c r="I242" s="5">
        <v>44593</v>
      </c>
      <c r="J242" s="6">
        <v>0</v>
      </c>
      <c r="K242" s="6">
        <v>0</v>
      </c>
      <c r="L242" s="6">
        <v>0.46800000000000003</v>
      </c>
      <c r="M242" s="6">
        <v>0.46800000000000003</v>
      </c>
      <c r="N242" s="6">
        <v>0.46800000000000003</v>
      </c>
      <c r="O242" s="6">
        <v>0.46800000000000003</v>
      </c>
      <c r="P242" s="6">
        <v>0</v>
      </c>
      <c r="Q242" s="4" t="s">
        <v>26</v>
      </c>
      <c r="R242" s="4">
        <v>0</v>
      </c>
      <c r="S242" s="4">
        <v>0</v>
      </c>
      <c r="T242" s="4">
        <v>28</v>
      </c>
      <c r="U242" s="4">
        <v>65</v>
      </c>
      <c r="V242" s="6">
        <f>IF(ISERROR(VLOOKUP($S$242,'TAR FIN'!$A$1:$O$85,15,0)),0,VLOOKUP($S$242,'TAR FIN'!$A$1:$O$85,15,0))</f>
        <v>0</v>
      </c>
      <c r="W242" s="6">
        <f>IF(ISERROR(VLOOKUP($T$242,'TAR FIN'!$A$1:$O$85,15,0)),0,VLOOKUP($T$242,'TAR FIN'!$A$1:$O$85,15,0))</f>
        <v>164.71</v>
      </c>
      <c r="X242" s="6">
        <f>IF(ISERROR(VLOOKUP($U$242,'TAR FIN'!$A$1:$O$85,15,0)),0,VLOOKUP($U$242,'TAR FIN'!$A$1:$O$85,15,0))</f>
        <v>231.7</v>
      </c>
      <c r="Y242" s="6"/>
      <c r="Z242" s="6">
        <f ca="1">('TUSD BE'!$AM$32+'TUSD BF'!$AM$32+'TUSD CVA'!$AM$32)*(1-CUSTOS!$M$38)</f>
        <v>218.62401641895264</v>
      </c>
      <c r="AA242" s="6">
        <f>('TE BE'!$AA$22+'TE BF'!$AA$22+'TE CVA'!$AA$22)*(1-CUSTOS!$M$38)</f>
        <v>198.0053374241497</v>
      </c>
      <c r="AB242" s="6">
        <f t="shared" si="12"/>
        <v>0</v>
      </c>
      <c r="AC242" s="6">
        <f>(L242*W242+M242*X242)/(1-CUSTOS!$M$38)*CUSTOS!$M$38</f>
        <v>11.841694468085105</v>
      </c>
      <c r="AD242" s="6">
        <f t="shared" si="13"/>
        <v>0</v>
      </c>
      <c r="AE242" s="6">
        <f ca="1">(L242*Z242+N242*AA242)/(1-CUSTOS!$M$38)*CUSTOS!$M$38</f>
        <v>12.445693889270547</v>
      </c>
      <c r="AF242" s="4" t="s">
        <v>808</v>
      </c>
    </row>
    <row r="243" spans="1:32" ht="11.25" customHeight="1" x14ac:dyDescent="0.25">
      <c r="A243" s="4" t="s">
        <v>21</v>
      </c>
      <c r="B243" s="4" t="s">
        <v>43</v>
      </c>
      <c r="C243" s="4" t="s">
        <v>37</v>
      </c>
      <c r="D243" s="4" t="s">
        <v>44</v>
      </c>
      <c r="E243" s="4" t="s">
        <v>25</v>
      </c>
      <c r="F243" s="4" t="s">
        <v>25</v>
      </c>
      <c r="G243" s="4" t="s">
        <v>25</v>
      </c>
      <c r="H243" s="4" t="s">
        <v>36</v>
      </c>
      <c r="I243" s="5">
        <v>44621</v>
      </c>
      <c r="J243" s="6">
        <v>0</v>
      </c>
      <c r="K243" s="6">
        <v>0</v>
      </c>
      <c r="L243" s="6">
        <v>0.56699999999999995</v>
      </c>
      <c r="M243" s="6">
        <v>0.56699999999999995</v>
      </c>
      <c r="N243" s="6">
        <v>0.56699999999999995</v>
      </c>
      <c r="O243" s="6">
        <v>0.56699999999999995</v>
      </c>
      <c r="P243" s="6">
        <v>0</v>
      </c>
      <c r="Q243" s="4" t="s">
        <v>26</v>
      </c>
      <c r="R243" s="4">
        <v>0</v>
      </c>
      <c r="S243" s="4">
        <v>0</v>
      </c>
      <c r="T243" s="4">
        <v>28</v>
      </c>
      <c r="U243" s="4">
        <v>65</v>
      </c>
      <c r="V243" s="6">
        <f>IF(ISERROR(VLOOKUP($S$243,'TAR FIN'!$A$1:$O$85,15,0)),0,VLOOKUP($S$243,'TAR FIN'!$A$1:$O$85,15,0))</f>
        <v>0</v>
      </c>
      <c r="W243" s="6">
        <f>IF(ISERROR(VLOOKUP($T$243,'TAR FIN'!$A$1:$O$85,15,0)),0,VLOOKUP($T$243,'TAR FIN'!$A$1:$O$85,15,0))</f>
        <v>164.71</v>
      </c>
      <c r="X243" s="6">
        <f>IF(ISERROR(VLOOKUP($U$243,'TAR FIN'!$A$1:$O$85,15,0)),0,VLOOKUP($U$243,'TAR FIN'!$A$1:$O$85,15,0))</f>
        <v>231.7</v>
      </c>
      <c r="Y243" s="6"/>
      <c r="Z243" s="6">
        <f ca="1">('TUSD BE'!$AM$32+'TUSD BF'!$AM$32+'TUSD CVA'!$AM$32)*(1-CUSTOS!$M$38)</f>
        <v>218.62401641895264</v>
      </c>
      <c r="AA243" s="6">
        <f>('TE BE'!$AA$22+'TE BF'!$AA$22+'TE CVA'!$AA$22)*(1-CUSTOS!$M$38)</f>
        <v>198.0053374241497</v>
      </c>
      <c r="AB243" s="6">
        <f t="shared" si="12"/>
        <v>0</v>
      </c>
      <c r="AC243" s="6">
        <f>(L243*W243+M243*X243)/(1-CUSTOS!$M$38)*CUSTOS!$M$38</f>
        <v>14.346668297872339</v>
      </c>
      <c r="AD243" s="6">
        <f t="shared" si="13"/>
        <v>0</v>
      </c>
      <c r="AE243" s="6">
        <f ca="1">(L243*Z243+N243*AA243)/(1-CUSTOS!$M$38)*CUSTOS!$M$38</f>
        <v>15.078436827385469</v>
      </c>
      <c r="AF243" s="4" t="s">
        <v>808</v>
      </c>
    </row>
    <row r="244" spans="1:32" ht="11.25" customHeight="1" x14ac:dyDescent="0.25">
      <c r="A244" s="4" t="s">
        <v>21</v>
      </c>
      <c r="B244" s="4" t="s">
        <v>43</v>
      </c>
      <c r="C244" s="4" t="s">
        <v>37</v>
      </c>
      <c r="D244" s="4" t="s">
        <v>44</v>
      </c>
      <c r="E244" s="4" t="s">
        <v>25</v>
      </c>
      <c r="F244" s="4" t="s">
        <v>25</v>
      </c>
      <c r="G244" s="4" t="s">
        <v>25</v>
      </c>
      <c r="H244" s="4" t="s">
        <v>36</v>
      </c>
      <c r="I244" s="5">
        <v>44652</v>
      </c>
      <c r="J244" s="6">
        <v>0</v>
      </c>
      <c r="K244" s="6">
        <v>0</v>
      </c>
      <c r="L244" s="6">
        <v>0.45500000000000002</v>
      </c>
      <c r="M244" s="6">
        <v>0.45500000000000002</v>
      </c>
      <c r="N244" s="6">
        <v>0.45500000000000002</v>
      </c>
      <c r="O244" s="6">
        <v>0.45500000000000002</v>
      </c>
      <c r="P244" s="6">
        <v>0</v>
      </c>
      <c r="Q244" s="4" t="s">
        <v>26</v>
      </c>
      <c r="R244" s="4">
        <v>0</v>
      </c>
      <c r="S244" s="4">
        <v>0</v>
      </c>
      <c r="T244" s="4">
        <v>28</v>
      </c>
      <c r="U244" s="4">
        <v>65</v>
      </c>
      <c r="V244" s="6">
        <f>IF(ISERROR(VLOOKUP($S$244,'TAR FIN'!$A$1:$O$85,15,0)),0,VLOOKUP($S$244,'TAR FIN'!$A$1:$O$85,15,0))</f>
        <v>0</v>
      </c>
      <c r="W244" s="6">
        <f>IF(ISERROR(VLOOKUP($T$244,'TAR FIN'!$A$1:$O$85,15,0)),0,VLOOKUP($T$244,'TAR FIN'!$A$1:$O$85,15,0))</f>
        <v>164.71</v>
      </c>
      <c r="X244" s="6">
        <f>IF(ISERROR(VLOOKUP($U$244,'TAR FIN'!$A$1:$O$85,15,0)),0,VLOOKUP($U$244,'TAR FIN'!$A$1:$O$85,15,0))</f>
        <v>231.7</v>
      </c>
      <c r="Y244" s="6"/>
      <c r="Z244" s="6">
        <f ca="1">('TUSD BE'!$AM$32+'TUSD BF'!$AM$32+'TUSD CVA'!$AM$32)*(1-CUSTOS!$M$38)</f>
        <v>218.62401641895264</v>
      </c>
      <c r="AA244" s="6">
        <f>('TE BE'!$AA$22+'TE BF'!$AA$22+'TE CVA'!$AA$22)*(1-CUSTOS!$M$38)</f>
        <v>198.0053374241497</v>
      </c>
      <c r="AB244" s="6">
        <f t="shared" si="12"/>
        <v>0</v>
      </c>
      <c r="AC244" s="6">
        <f>(L244*W244+M244*X244)/(1-CUSTOS!$M$38)*CUSTOS!$M$38</f>
        <v>11.512758510638299</v>
      </c>
      <c r="AD244" s="6">
        <f t="shared" si="13"/>
        <v>0</v>
      </c>
      <c r="AE244" s="6">
        <f ca="1">(L244*Z244+N244*AA244)/(1-CUSTOS!$M$38)*CUSTOS!$M$38</f>
        <v>12.099980170124145</v>
      </c>
      <c r="AF244" s="4" t="s">
        <v>808</v>
      </c>
    </row>
    <row r="245" spans="1:32" ht="11.25" customHeight="1" x14ac:dyDescent="0.25">
      <c r="A245" s="4" t="s">
        <v>21</v>
      </c>
      <c r="B245" s="4" t="s">
        <v>43</v>
      </c>
      <c r="C245" s="4" t="s">
        <v>37</v>
      </c>
      <c r="D245" s="4" t="s">
        <v>44</v>
      </c>
      <c r="E245" s="4" t="s">
        <v>25</v>
      </c>
      <c r="F245" s="4" t="s">
        <v>25</v>
      </c>
      <c r="G245" s="4" t="s">
        <v>25</v>
      </c>
      <c r="H245" s="4" t="s">
        <v>38</v>
      </c>
      <c r="I245" s="5">
        <v>44317</v>
      </c>
      <c r="J245" s="6">
        <v>0</v>
      </c>
      <c r="K245" s="6">
        <v>0</v>
      </c>
      <c r="L245" s="6">
        <v>3.5000000000000003E-2</v>
      </c>
      <c r="M245" s="6">
        <v>3.5000000000000003E-2</v>
      </c>
      <c r="N245" s="6">
        <v>3.5000000000000003E-2</v>
      </c>
      <c r="O245" s="6">
        <v>3.5000000000000003E-2</v>
      </c>
      <c r="P245" s="6">
        <v>0</v>
      </c>
      <c r="Q245" s="4" t="s">
        <v>26</v>
      </c>
      <c r="R245" s="4">
        <v>0</v>
      </c>
      <c r="S245" s="4">
        <v>0</v>
      </c>
      <c r="T245" s="4">
        <v>27</v>
      </c>
      <c r="U245" s="4">
        <v>64</v>
      </c>
      <c r="V245" s="6">
        <f>IF(ISERROR(VLOOKUP($S$245,'TAR FIN'!$A$1:$O$85,15,0)),0,VLOOKUP($S$245,'TAR FIN'!$A$1:$O$85,15,0))</f>
        <v>0</v>
      </c>
      <c r="W245" s="6">
        <f>IF(ISERROR(VLOOKUP($T$245,'TAR FIN'!$A$1:$O$85,15,0)),0,VLOOKUP($T$245,'TAR FIN'!$A$1:$O$85,15,0))</f>
        <v>350.83</v>
      </c>
      <c r="X245" s="6">
        <f>IF(ISERROR(VLOOKUP($U$245,'TAR FIN'!$A$1:$O$85,15,0)),0,VLOOKUP($U$245,'TAR FIN'!$A$1:$O$85,15,0))</f>
        <v>231.7</v>
      </c>
      <c r="Y245" s="6"/>
      <c r="Z245" s="6">
        <f ca="1">('TUSD BE'!$AM$31+'TUSD BF'!$AM$31+'TUSD CVA'!$AM$31)*(1-CUSTOS!$M$38)</f>
        <v>419.74084307814246</v>
      </c>
      <c r="AA245" s="6">
        <f>('TE BE'!$AA$21+'TE BF'!$AA$21+'TE CVA'!$AA$21)*(1-CUSTOS!$M$38)</f>
        <v>198.0053374241497</v>
      </c>
      <c r="AB245" s="6">
        <f t="shared" si="12"/>
        <v>0</v>
      </c>
      <c r="AC245" s="6">
        <f>(L245*W245+M245*X245)/(1-CUSTOS!$M$38)*CUSTOS!$M$38</f>
        <v>1.3013968085106384</v>
      </c>
      <c r="AD245" s="6">
        <f t="shared" si="13"/>
        <v>0</v>
      </c>
      <c r="AE245" s="6">
        <f ca="1">(L245*Z245+N245*AA245)/(1-CUSTOS!$M$38)*CUSTOS!$M$38</f>
        <v>1.3800712543136318</v>
      </c>
      <c r="AF245" s="4" t="s">
        <v>808</v>
      </c>
    </row>
    <row r="246" spans="1:32" ht="11.25" customHeight="1" x14ac:dyDescent="0.25">
      <c r="A246" s="4" t="s">
        <v>21</v>
      </c>
      <c r="B246" s="4" t="s">
        <v>43</v>
      </c>
      <c r="C246" s="4" t="s">
        <v>37</v>
      </c>
      <c r="D246" s="4" t="s">
        <v>44</v>
      </c>
      <c r="E246" s="4" t="s">
        <v>25</v>
      </c>
      <c r="F246" s="4" t="s">
        <v>25</v>
      </c>
      <c r="G246" s="4" t="s">
        <v>25</v>
      </c>
      <c r="H246" s="4" t="s">
        <v>38</v>
      </c>
      <c r="I246" s="5">
        <v>44348</v>
      </c>
      <c r="J246" s="6">
        <v>0</v>
      </c>
      <c r="K246" s="6">
        <v>0</v>
      </c>
      <c r="L246" s="6">
        <v>3.5999999999999997E-2</v>
      </c>
      <c r="M246" s="6">
        <v>3.5999999999999997E-2</v>
      </c>
      <c r="N246" s="6">
        <v>3.5999999999999997E-2</v>
      </c>
      <c r="O246" s="6">
        <v>3.5999999999999997E-2</v>
      </c>
      <c r="P246" s="6">
        <v>0</v>
      </c>
      <c r="Q246" s="4" t="s">
        <v>26</v>
      </c>
      <c r="R246" s="4">
        <v>0</v>
      </c>
      <c r="S246" s="4">
        <v>0</v>
      </c>
      <c r="T246" s="4">
        <v>27</v>
      </c>
      <c r="U246" s="4">
        <v>64</v>
      </c>
      <c r="V246" s="6">
        <f>IF(ISERROR(VLOOKUP($S$246,'TAR FIN'!$A$1:$O$85,15,0)),0,VLOOKUP($S$246,'TAR FIN'!$A$1:$O$85,15,0))</f>
        <v>0</v>
      </c>
      <c r="W246" s="6">
        <f>IF(ISERROR(VLOOKUP($T$246,'TAR FIN'!$A$1:$O$85,15,0)),0,VLOOKUP($T$246,'TAR FIN'!$A$1:$O$85,15,0))</f>
        <v>350.83</v>
      </c>
      <c r="X246" s="6">
        <f>IF(ISERROR(VLOOKUP($U$246,'TAR FIN'!$A$1:$O$85,15,0)),0,VLOOKUP($U$246,'TAR FIN'!$A$1:$O$85,15,0))</f>
        <v>231.7</v>
      </c>
      <c r="Y246" s="6"/>
      <c r="Z246" s="6">
        <f ca="1">('TUSD BE'!$AM$31+'TUSD BF'!$AM$31+'TUSD CVA'!$AM$31)*(1-CUSTOS!$M$38)</f>
        <v>419.74084307814246</v>
      </c>
      <c r="AA246" s="6">
        <f>('TE BE'!$AA$21+'TE BF'!$AA$21+'TE CVA'!$AA$21)*(1-CUSTOS!$M$38)</f>
        <v>198.0053374241497</v>
      </c>
      <c r="AB246" s="6">
        <f t="shared" si="12"/>
        <v>0</v>
      </c>
      <c r="AC246" s="6">
        <f>(L246*W246+M246*X246)/(1-CUSTOS!$M$38)*CUSTOS!$M$38</f>
        <v>1.3385795744680848</v>
      </c>
      <c r="AD246" s="6">
        <f t="shared" si="13"/>
        <v>0</v>
      </c>
      <c r="AE246" s="6">
        <f ca="1">(L246*Z246+N246*AA246)/(1-CUSTOS!$M$38)*CUSTOS!$M$38</f>
        <v>1.419501861579735</v>
      </c>
      <c r="AF246" s="4" t="s">
        <v>808</v>
      </c>
    </row>
    <row r="247" spans="1:32" ht="11.25" customHeight="1" x14ac:dyDescent="0.25">
      <c r="A247" s="4" t="s">
        <v>21</v>
      </c>
      <c r="B247" s="4" t="s">
        <v>43</v>
      </c>
      <c r="C247" s="4" t="s">
        <v>37</v>
      </c>
      <c r="D247" s="4" t="s">
        <v>44</v>
      </c>
      <c r="E247" s="4" t="s">
        <v>25</v>
      </c>
      <c r="F247" s="4" t="s">
        <v>25</v>
      </c>
      <c r="G247" s="4" t="s">
        <v>25</v>
      </c>
      <c r="H247" s="4" t="s">
        <v>38</v>
      </c>
      <c r="I247" s="5">
        <v>44378</v>
      </c>
      <c r="J247" s="6">
        <v>0</v>
      </c>
      <c r="K247" s="6">
        <v>0</v>
      </c>
      <c r="L247" s="6">
        <v>3.4000000000000002E-2</v>
      </c>
      <c r="M247" s="6">
        <v>3.4000000000000002E-2</v>
      </c>
      <c r="N247" s="6">
        <v>3.4000000000000002E-2</v>
      </c>
      <c r="O247" s="6">
        <v>3.4000000000000002E-2</v>
      </c>
      <c r="P247" s="6">
        <v>0</v>
      </c>
      <c r="Q247" s="4" t="s">
        <v>26</v>
      </c>
      <c r="R247" s="4">
        <v>0</v>
      </c>
      <c r="S247" s="4">
        <v>0</v>
      </c>
      <c r="T247" s="4">
        <v>27</v>
      </c>
      <c r="U247" s="4">
        <v>64</v>
      </c>
      <c r="V247" s="6">
        <f>IF(ISERROR(VLOOKUP($S$247,'TAR FIN'!$A$1:$O$85,15,0)),0,VLOOKUP($S$247,'TAR FIN'!$A$1:$O$85,15,0))</f>
        <v>0</v>
      </c>
      <c r="W247" s="6">
        <f>IF(ISERROR(VLOOKUP($T$247,'TAR FIN'!$A$1:$O$85,15,0)),0,VLOOKUP($T$247,'TAR FIN'!$A$1:$O$85,15,0))</f>
        <v>350.83</v>
      </c>
      <c r="X247" s="6">
        <f>IF(ISERROR(VLOOKUP($U$247,'TAR FIN'!$A$1:$O$85,15,0)),0,VLOOKUP($U$247,'TAR FIN'!$A$1:$O$85,15,0))</f>
        <v>231.7</v>
      </c>
      <c r="Y247" s="6"/>
      <c r="Z247" s="6">
        <f ca="1">('TUSD BE'!$AM$31+'TUSD BF'!$AM$31+'TUSD CVA'!$AM$31)*(1-CUSTOS!$M$38)</f>
        <v>419.74084307814246</v>
      </c>
      <c r="AA247" s="6">
        <f>('TE BE'!$AA$21+'TE BF'!$AA$21+'TE CVA'!$AA$21)*(1-CUSTOS!$M$38)</f>
        <v>198.0053374241497</v>
      </c>
      <c r="AB247" s="6">
        <f t="shared" si="12"/>
        <v>0</v>
      </c>
      <c r="AC247" s="6">
        <f>(L247*W247+M247*X247)/(1-CUSTOS!$M$38)*CUSTOS!$M$38</f>
        <v>1.2642140425531916</v>
      </c>
      <c r="AD247" s="6">
        <f t="shared" si="13"/>
        <v>0</v>
      </c>
      <c r="AE247" s="6">
        <f ca="1">(L247*Z247+N247*AA247)/(1-CUSTOS!$M$38)*CUSTOS!$M$38</f>
        <v>1.3406406470475278</v>
      </c>
      <c r="AF247" s="4" t="s">
        <v>808</v>
      </c>
    </row>
    <row r="248" spans="1:32" ht="11.25" customHeight="1" x14ac:dyDescent="0.25">
      <c r="A248" s="4" t="s">
        <v>21</v>
      </c>
      <c r="B248" s="4" t="s">
        <v>43</v>
      </c>
      <c r="C248" s="4" t="s">
        <v>37</v>
      </c>
      <c r="D248" s="4" t="s">
        <v>44</v>
      </c>
      <c r="E248" s="4" t="s">
        <v>25</v>
      </c>
      <c r="F248" s="4" t="s">
        <v>25</v>
      </c>
      <c r="G248" s="4" t="s">
        <v>25</v>
      </c>
      <c r="H248" s="4" t="s">
        <v>38</v>
      </c>
      <c r="I248" s="5">
        <v>44409</v>
      </c>
      <c r="J248" s="6">
        <v>0</v>
      </c>
      <c r="K248" s="6">
        <v>0</v>
      </c>
      <c r="L248" s="6">
        <v>3.9E-2</v>
      </c>
      <c r="M248" s="6">
        <v>3.9E-2</v>
      </c>
      <c r="N248" s="6">
        <v>3.9E-2</v>
      </c>
      <c r="O248" s="6">
        <v>3.9E-2</v>
      </c>
      <c r="P248" s="6">
        <v>0</v>
      </c>
      <c r="Q248" s="4" t="s">
        <v>26</v>
      </c>
      <c r="R248" s="4">
        <v>0</v>
      </c>
      <c r="S248" s="4">
        <v>0</v>
      </c>
      <c r="T248" s="4">
        <v>27</v>
      </c>
      <c r="U248" s="4">
        <v>64</v>
      </c>
      <c r="V248" s="6">
        <f>IF(ISERROR(VLOOKUP($S$248,'TAR FIN'!$A$1:$O$85,15,0)),0,VLOOKUP($S$248,'TAR FIN'!$A$1:$O$85,15,0))</f>
        <v>0</v>
      </c>
      <c r="W248" s="6">
        <f>IF(ISERROR(VLOOKUP($T$248,'TAR FIN'!$A$1:$O$85,15,0)),0,VLOOKUP($T$248,'TAR FIN'!$A$1:$O$85,15,0))</f>
        <v>350.83</v>
      </c>
      <c r="X248" s="6">
        <f>IF(ISERROR(VLOOKUP($U$248,'TAR FIN'!$A$1:$O$85,15,0)),0,VLOOKUP($U$248,'TAR FIN'!$A$1:$O$85,15,0))</f>
        <v>231.7</v>
      </c>
      <c r="Y248" s="6"/>
      <c r="Z248" s="6">
        <f ca="1">('TUSD BE'!$AM$31+'TUSD BF'!$AM$31+'TUSD CVA'!$AM$31)*(1-CUSTOS!$M$38)</f>
        <v>419.74084307814246</v>
      </c>
      <c r="AA248" s="6">
        <f>('TE BE'!$AA$21+'TE BF'!$AA$21+'TE CVA'!$AA$21)*(1-CUSTOS!$M$38)</f>
        <v>198.0053374241497</v>
      </c>
      <c r="AB248" s="6">
        <f t="shared" si="12"/>
        <v>0</v>
      </c>
      <c r="AC248" s="6">
        <f>(L248*W248+M248*X248)/(1-CUSTOS!$M$38)*CUSTOS!$M$38</f>
        <v>1.4501278723404254</v>
      </c>
      <c r="AD248" s="6">
        <f t="shared" si="13"/>
        <v>0</v>
      </c>
      <c r="AE248" s="6">
        <f ca="1">(L248*Z248+N248*AA248)/(1-CUSTOS!$M$38)*CUSTOS!$M$38</f>
        <v>1.5377936833780466</v>
      </c>
      <c r="AF248" s="4" t="s">
        <v>808</v>
      </c>
    </row>
    <row r="249" spans="1:32" ht="11.25" customHeight="1" x14ac:dyDescent="0.25">
      <c r="A249" s="4" t="s">
        <v>21</v>
      </c>
      <c r="B249" s="4" t="s">
        <v>43</v>
      </c>
      <c r="C249" s="4" t="s">
        <v>37</v>
      </c>
      <c r="D249" s="4" t="s">
        <v>44</v>
      </c>
      <c r="E249" s="4" t="s">
        <v>25</v>
      </c>
      <c r="F249" s="4" t="s">
        <v>25</v>
      </c>
      <c r="G249" s="4" t="s">
        <v>25</v>
      </c>
      <c r="H249" s="4" t="s">
        <v>38</v>
      </c>
      <c r="I249" s="5">
        <v>44440</v>
      </c>
      <c r="J249" s="6">
        <v>0</v>
      </c>
      <c r="K249" s="6">
        <v>0</v>
      </c>
      <c r="L249" s="6">
        <v>0.16400000000000001</v>
      </c>
      <c r="M249" s="6">
        <v>0.16400000000000001</v>
      </c>
      <c r="N249" s="6">
        <v>0.16400000000000001</v>
      </c>
      <c r="O249" s="6">
        <v>0.16400000000000001</v>
      </c>
      <c r="P249" s="6">
        <v>0</v>
      </c>
      <c r="Q249" s="4" t="s">
        <v>26</v>
      </c>
      <c r="R249" s="4">
        <v>0</v>
      </c>
      <c r="S249" s="4">
        <v>0</v>
      </c>
      <c r="T249" s="4">
        <v>27</v>
      </c>
      <c r="U249" s="4">
        <v>64</v>
      </c>
      <c r="V249" s="6">
        <f>IF(ISERROR(VLOOKUP($S$249,'TAR FIN'!$A$1:$O$85,15,0)),0,VLOOKUP($S$249,'TAR FIN'!$A$1:$O$85,15,0))</f>
        <v>0</v>
      </c>
      <c r="W249" s="6">
        <f>IF(ISERROR(VLOOKUP($T$249,'TAR FIN'!$A$1:$O$85,15,0)),0,VLOOKUP($T$249,'TAR FIN'!$A$1:$O$85,15,0))</f>
        <v>350.83</v>
      </c>
      <c r="X249" s="6">
        <f>IF(ISERROR(VLOOKUP($U$249,'TAR FIN'!$A$1:$O$85,15,0)),0,VLOOKUP($U$249,'TAR FIN'!$A$1:$O$85,15,0))</f>
        <v>231.7</v>
      </c>
      <c r="Y249" s="6"/>
      <c r="Z249" s="6">
        <f ca="1">('TUSD BE'!$AM$31+'TUSD BF'!$AM$31+'TUSD CVA'!$AM$31)*(1-CUSTOS!$M$38)</f>
        <v>419.74084307814246</v>
      </c>
      <c r="AA249" s="6">
        <f>('TE BE'!$AA$21+'TE BF'!$AA$21+'TE CVA'!$AA$21)*(1-CUSTOS!$M$38)</f>
        <v>198.0053374241497</v>
      </c>
      <c r="AB249" s="6">
        <f t="shared" si="12"/>
        <v>0</v>
      </c>
      <c r="AC249" s="6">
        <f>(L249*W249+M249*X249)/(1-CUSTOS!$M$38)*CUSTOS!$M$38</f>
        <v>6.0979736170212764</v>
      </c>
      <c r="AD249" s="6">
        <f t="shared" si="13"/>
        <v>0</v>
      </c>
      <c r="AE249" s="6">
        <f ca="1">(L249*Z249+N249*AA249)/(1-CUSTOS!$M$38)*CUSTOS!$M$38</f>
        <v>6.4666195916410159</v>
      </c>
      <c r="AF249" s="4" t="s">
        <v>808</v>
      </c>
    </row>
    <row r="250" spans="1:32" ht="11.25" customHeight="1" x14ac:dyDescent="0.25">
      <c r="A250" s="4" t="s">
        <v>21</v>
      </c>
      <c r="B250" s="4" t="s">
        <v>43</v>
      </c>
      <c r="C250" s="4" t="s">
        <v>37</v>
      </c>
      <c r="D250" s="4" t="s">
        <v>44</v>
      </c>
      <c r="E250" s="4" t="s">
        <v>25</v>
      </c>
      <c r="F250" s="4" t="s">
        <v>25</v>
      </c>
      <c r="G250" s="4" t="s">
        <v>25</v>
      </c>
      <c r="H250" s="4" t="s">
        <v>38</v>
      </c>
      <c r="I250" s="5">
        <v>44470</v>
      </c>
      <c r="J250" s="6">
        <v>0</v>
      </c>
      <c r="K250" s="6">
        <v>0</v>
      </c>
      <c r="L250" s="6">
        <v>3.2000000000000001E-2</v>
      </c>
      <c r="M250" s="6">
        <v>3.2000000000000001E-2</v>
      </c>
      <c r="N250" s="6">
        <v>3.2000000000000001E-2</v>
      </c>
      <c r="O250" s="6">
        <v>3.2000000000000001E-2</v>
      </c>
      <c r="P250" s="6">
        <v>0</v>
      </c>
      <c r="Q250" s="4" t="s">
        <v>26</v>
      </c>
      <c r="R250" s="4">
        <v>0</v>
      </c>
      <c r="S250" s="4">
        <v>0</v>
      </c>
      <c r="T250" s="4">
        <v>27</v>
      </c>
      <c r="U250" s="4">
        <v>64</v>
      </c>
      <c r="V250" s="6">
        <f>IF(ISERROR(VLOOKUP($S$250,'TAR FIN'!$A$1:$O$85,15,0)),0,VLOOKUP($S$250,'TAR FIN'!$A$1:$O$85,15,0))</f>
        <v>0</v>
      </c>
      <c r="W250" s="6">
        <f>IF(ISERROR(VLOOKUP($T$250,'TAR FIN'!$A$1:$O$85,15,0)),0,VLOOKUP($T$250,'TAR FIN'!$A$1:$O$85,15,0))</f>
        <v>350.83</v>
      </c>
      <c r="X250" s="6">
        <f>IF(ISERROR(VLOOKUP($U$250,'TAR FIN'!$A$1:$O$85,15,0)),0,VLOOKUP($U$250,'TAR FIN'!$A$1:$O$85,15,0))</f>
        <v>231.7</v>
      </c>
      <c r="Y250" s="6"/>
      <c r="Z250" s="6">
        <f ca="1">('TUSD BE'!$AM$31+'TUSD BF'!$AM$31+'TUSD CVA'!$AM$31)*(1-CUSTOS!$M$38)</f>
        <v>419.74084307814246</v>
      </c>
      <c r="AA250" s="6">
        <f>('TE BE'!$AA$21+'TE BF'!$AA$21+'TE CVA'!$AA$21)*(1-CUSTOS!$M$38)</f>
        <v>198.0053374241497</v>
      </c>
      <c r="AB250" s="6">
        <f t="shared" si="12"/>
        <v>0</v>
      </c>
      <c r="AC250" s="6">
        <f>(L250*W250+M250*X250)/(1-CUSTOS!$M$38)*CUSTOS!$M$38</f>
        <v>1.1898485106382979</v>
      </c>
      <c r="AD250" s="6">
        <f t="shared" si="13"/>
        <v>0</v>
      </c>
      <c r="AE250" s="6">
        <f ca="1">(L250*Z250+N250*AA250)/(1-CUSTOS!$M$38)*CUSTOS!$M$38</f>
        <v>1.2617794325153202</v>
      </c>
      <c r="AF250" s="4" t="s">
        <v>808</v>
      </c>
    </row>
    <row r="251" spans="1:32" ht="11.25" customHeight="1" x14ac:dyDescent="0.25">
      <c r="A251" s="4" t="s">
        <v>21</v>
      </c>
      <c r="B251" s="4" t="s">
        <v>43</v>
      </c>
      <c r="C251" s="4" t="s">
        <v>37</v>
      </c>
      <c r="D251" s="4" t="s">
        <v>44</v>
      </c>
      <c r="E251" s="4" t="s">
        <v>25</v>
      </c>
      <c r="F251" s="4" t="s">
        <v>25</v>
      </c>
      <c r="G251" s="4" t="s">
        <v>25</v>
      </c>
      <c r="H251" s="4" t="s">
        <v>38</v>
      </c>
      <c r="I251" s="5">
        <v>44501</v>
      </c>
      <c r="J251" s="6">
        <v>0</v>
      </c>
      <c r="K251" s="6">
        <v>0</v>
      </c>
      <c r="L251" s="6">
        <v>3.1E-2</v>
      </c>
      <c r="M251" s="6">
        <v>3.1E-2</v>
      </c>
      <c r="N251" s="6">
        <v>3.1E-2</v>
      </c>
      <c r="O251" s="6">
        <v>3.1E-2</v>
      </c>
      <c r="P251" s="6">
        <v>0</v>
      </c>
      <c r="Q251" s="4" t="s">
        <v>26</v>
      </c>
      <c r="R251" s="4">
        <v>0</v>
      </c>
      <c r="S251" s="4">
        <v>0</v>
      </c>
      <c r="T251" s="4">
        <v>27</v>
      </c>
      <c r="U251" s="4">
        <v>64</v>
      </c>
      <c r="V251" s="6">
        <f>IF(ISERROR(VLOOKUP($S$251,'TAR FIN'!$A$1:$O$85,15,0)),0,VLOOKUP($S$251,'TAR FIN'!$A$1:$O$85,15,0))</f>
        <v>0</v>
      </c>
      <c r="W251" s="6">
        <f>IF(ISERROR(VLOOKUP($T$251,'TAR FIN'!$A$1:$O$85,15,0)),0,VLOOKUP($T$251,'TAR FIN'!$A$1:$O$85,15,0))</f>
        <v>350.83</v>
      </c>
      <c r="X251" s="6">
        <f>IF(ISERROR(VLOOKUP($U$251,'TAR FIN'!$A$1:$O$85,15,0)),0,VLOOKUP($U$251,'TAR FIN'!$A$1:$O$85,15,0))</f>
        <v>231.7</v>
      </c>
      <c r="Y251" s="6"/>
      <c r="Z251" s="6">
        <f ca="1">('TUSD BE'!$AM$31+'TUSD BF'!$AM$31+'TUSD CVA'!$AM$31)*(1-CUSTOS!$M$38)</f>
        <v>419.74084307814246</v>
      </c>
      <c r="AA251" s="6">
        <f>('TE BE'!$AA$21+'TE BF'!$AA$21+'TE CVA'!$AA$21)*(1-CUSTOS!$M$38)</f>
        <v>198.0053374241497</v>
      </c>
      <c r="AB251" s="6">
        <f t="shared" si="12"/>
        <v>0</v>
      </c>
      <c r="AC251" s="6">
        <f>(L251*W251+M251*X251)/(1-CUSTOS!$M$38)*CUSTOS!$M$38</f>
        <v>1.152665744680851</v>
      </c>
      <c r="AD251" s="6">
        <f t="shared" si="13"/>
        <v>0</v>
      </c>
      <c r="AE251" s="6">
        <f ca="1">(L251*Z251+N251*AA251)/(1-CUSTOS!$M$38)*CUSTOS!$M$38</f>
        <v>1.2223488252492165</v>
      </c>
      <c r="AF251" s="4" t="s">
        <v>808</v>
      </c>
    </row>
    <row r="252" spans="1:32" ht="11.25" customHeight="1" x14ac:dyDescent="0.25">
      <c r="A252" s="4" t="s">
        <v>21</v>
      </c>
      <c r="B252" s="4" t="s">
        <v>43</v>
      </c>
      <c r="C252" s="4" t="s">
        <v>37</v>
      </c>
      <c r="D252" s="4" t="s">
        <v>44</v>
      </c>
      <c r="E252" s="4" t="s">
        <v>25</v>
      </c>
      <c r="F252" s="4" t="s">
        <v>25</v>
      </c>
      <c r="G252" s="4" t="s">
        <v>25</v>
      </c>
      <c r="H252" s="4" t="s">
        <v>38</v>
      </c>
      <c r="I252" s="5">
        <v>44531</v>
      </c>
      <c r="J252" s="6">
        <v>0</v>
      </c>
      <c r="K252" s="6">
        <v>0</v>
      </c>
      <c r="L252" s="6">
        <v>3.4000000000000002E-2</v>
      </c>
      <c r="M252" s="6">
        <v>3.4000000000000002E-2</v>
      </c>
      <c r="N252" s="6">
        <v>3.4000000000000002E-2</v>
      </c>
      <c r="O252" s="6">
        <v>3.4000000000000002E-2</v>
      </c>
      <c r="P252" s="6">
        <v>0</v>
      </c>
      <c r="Q252" s="4" t="s">
        <v>26</v>
      </c>
      <c r="R252" s="4">
        <v>0</v>
      </c>
      <c r="S252" s="4">
        <v>0</v>
      </c>
      <c r="T252" s="4">
        <v>27</v>
      </c>
      <c r="U252" s="4">
        <v>64</v>
      </c>
      <c r="V252" s="6">
        <f>IF(ISERROR(VLOOKUP($S$252,'TAR FIN'!$A$1:$O$85,15,0)),0,VLOOKUP($S$252,'TAR FIN'!$A$1:$O$85,15,0))</f>
        <v>0</v>
      </c>
      <c r="W252" s="6">
        <f>IF(ISERROR(VLOOKUP($T$252,'TAR FIN'!$A$1:$O$85,15,0)),0,VLOOKUP($T$252,'TAR FIN'!$A$1:$O$85,15,0))</f>
        <v>350.83</v>
      </c>
      <c r="X252" s="6">
        <f>IF(ISERROR(VLOOKUP($U$252,'TAR FIN'!$A$1:$O$85,15,0)),0,VLOOKUP($U$252,'TAR FIN'!$A$1:$O$85,15,0))</f>
        <v>231.7</v>
      </c>
      <c r="Y252" s="6"/>
      <c r="Z252" s="6">
        <f ca="1">('TUSD BE'!$AM$31+'TUSD BF'!$AM$31+'TUSD CVA'!$AM$31)*(1-CUSTOS!$M$38)</f>
        <v>419.74084307814246</v>
      </c>
      <c r="AA252" s="6">
        <f>('TE BE'!$AA$21+'TE BF'!$AA$21+'TE CVA'!$AA$21)*(1-CUSTOS!$M$38)</f>
        <v>198.0053374241497</v>
      </c>
      <c r="AB252" s="6">
        <f t="shared" si="12"/>
        <v>0</v>
      </c>
      <c r="AC252" s="6">
        <f>(L252*W252+M252*X252)/(1-CUSTOS!$M$38)*CUSTOS!$M$38</f>
        <v>1.2642140425531916</v>
      </c>
      <c r="AD252" s="6">
        <f t="shared" si="13"/>
        <v>0</v>
      </c>
      <c r="AE252" s="6">
        <f ca="1">(L252*Z252+N252*AA252)/(1-CUSTOS!$M$38)*CUSTOS!$M$38</f>
        <v>1.3406406470475278</v>
      </c>
      <c r="AF252" s="4" t="s">
        <v>808</v>
      </c>
    </row>
    <row r="253" spans="1:32" ht="11.25" customHeight="1" x14ac:dyDescent="0.25">
      <c r="A253" s="4" t="s">
        <v>21</v>
      </c>
      <c r="B253" s="4" t="s">
        <v>43</v>
      </c>
      <c r="C253" s="4" t="s">
        <v>37</v>
      </c>
      <c r="D253" s="4" t="s">
        <v>44</v>
      </c>
      <c r="E253" s="4" t="s">
        <v>25</v>
      </c>
      <c r="F253" s="4" t="s">
        <v>25</v>
      </c>
      <c r="G253" s="4" t="s">
        <v>25</v>
      </c>
      <c r="H253" s="4" t="s">
        <v>38</v>
      </c>
      <c r="I253" s="5">
        <v>44562</v>
      </c>
      <c r="J253" s="6">
        <v>0</v>
      </c>
      <c r="K253" s="6">
        <v>0</v>
      </c>
      <c r="L253" s="6">
        <v>3.5000000000000003E-2</v>
      </c>
      <c r="M253" s="6">
        <v>3.5000000000000003E-2</v>
      </c>
      <c r="N253" s="6">
        <v>3.5000000000000003E-2</v>
      </c>
      <c r="O253" s="6">
        <v>3.5000000000000003E-2</v>
      </c>
      <c r="P253" s="6">
        <v>0</v>
      </c>
      <c r="Q253" s="4" t="s">
        <v>26</v>
      </c>
      <c r="R253" s="4">
        <v>0</v>
      </c>
      <c r="S253" s="4">
        <v>0</v>
      </c>
      <c r="T253" s="4">
        <v>27</v>
      </c>
      <c r="U253" s="4">
        <v>64</v>
      </c>
      <c r="V253" s="6">
        <f>IF(ISERROR(VLOOKUP($S$253,'TAR FIN'!$A$1:$O$85,15,0)),0,VLOOKUP($S$253,'TAR FIN'!$A$1:$O$85,15,0))</f>
        <v>0</v>
      </c>
      <c r="W253" s="6">
        <f>IF(ISERROR(VLOOKUP($T$253,'TAR FIN'!$A$1:$O$85,15,0)),0,VLOOKUP($T$253,'TAR FIN'!$A$1:$O$85,15,0))</f>
        <v>350.83</v>
      </c>
      <c r="X253" s="6">
        <f>IF(ISERROR(VLOOKUP($U$253,'TAR FIN'!$A$1:$O$85,15,0)),0,VLOOKUP($U$253,'TAR FIN'!$A$1:$O$85,15,0))</f>
        <v>231.7</v>
      </c>
      <c r="Y253" s="6"/>
      <c r="Z253" s="6">
        <f ca="1">('TUSD BE'!$AM$31+'TUSD BF'!$AM$31+'TUSD CVA'!$AM$31)*(1-CUSTOS!$M$38)</f>
        <v>419.74084307814246</v>
      </c>
      <c r="AA253" s="6">
        <f>('TE BE'!$AA$21+'TE BF'!$AA$21+'TE CVA'!$AA$21)*(1-CUSTOS!$M$38)</f>
        <v>198.0053374241497</v>
      </c>
      <c r="AB253" s="6">
        <f t="shared" si="12"/>
        <v>0</v>
      </c>
      <c r="AC253" s="6">
        <f>(L253*W253+M253*X253)/(1-CUSTOS!$M$38)*CUSTOS!$M$38</f>
        <v>1.3013968085106384</v>
      </c>
      <c r="AD253" s="6">
        <f t="shared" si="13"/>
        <v>0</v>
      </c>
      <c r="AE253" s="6">
        <f ca="1">(L253*Z253+N253*AA253)/(1-CUSTOS!$M$38)*CUSTOS!$M$38</f>
        <v>1.3800712543136318</v>
      </c>
      <c r="AF253" s="4" t="s">
        <v>808</v>
      </c>
    </row>
    <row r="254" spans="1:32" ht="11.25" customHeight="1" x14ac:dyDescent="0.25">
      <c r="A254" s="4" t="s">
        <v>21</v>
      </c>
      <c r="B254" s="4" t="s">
        <v>43</v>
      </c>
      <c r="C254" s="4" t="s">
        <v>37</v>
      </c>
      <c r="D254" s="4" t="s">
        <v>44</v>
      </c>
      <c r="E254" s="4" t="s">
        <v>25</v>
      </c>
      <c r="F254" s="4" t="s">
        <v>25</v>
      </c>
      <c r="G254" s="4" t="s">
        <v>25</v>
      </c>
      <c r="H254" s="4" t="s">
        <v>38</v>
      </c>
      <c r="I254" s="5">
        <v>44593</v>
      </c>
      <c r="J254" s="6">
        <v>0</v>
      </c>
      <c r="K254" s="6">
        <v>0</v>
      </c>
      <c r="L254" s="6">
        <v>4.4999999999999998E-2</v>
      </c>
      <c r="M254" s="6">
        <v>4.4999999999999998E-2</v>
      </c>
      <c r="N254" s="6">
        <v>4.4999999999999998E-2</v>
      </c>
      <c r="O254" s="6">
        <v>4.4999999999999998E-2</v>
      </c>
      <c r="P254" s="6">
        <v>0</v>
      </c>
      <c r="Q254" s="4" t="s">
        <v>26</v>
      </c>
      <c r="R254" s="4">
        <v>0</v>
      </c>
      <c r="S254" s="4">
        <v>0</v>
      </c>
      <c r="T254" s="4">
        <v>27</v>
      </c>
      <c r="U254" s="4">
        <v>64</v>
      </c>
      <c r="V254" s="6">
        <f>IF(ISERROR(VLOOKUP($S$254,'TAR FIN'!$A$1:$O$85,15,0)),0,VLOOKUP($S$254,'TAR FIN'!$A$1:$O$85,15,0))</f>
        <v>0</v>
      </c>
      <c r="W254" s="6">
        <f>IF(ISERROR(VLOOKUP($T$254,'TAR FIN'!$A$1:$O$85,15,0)),0,VLOOKUP($T$254,'TAR FIN'!$A$1:$O$85,15,0))</f>
        <v>350.83</v>
      </c>
      <c r="X254" s="6">
        <f>IF(ISERROR(VLOOKUP($U$254,'TAR FIN'!$A$1:$O$85,15,0)),0,VLOOKUP($U$254,'TAR FIN'!$A$1:$O$85,15,0))</f>
        <v>231.7</v>
      </c>
      <c r="Y254" s="6"/>
      <c r="Z254" s="6">
        <f ca="1">('TUSD BE'!$AM$31+'TUSD BF'!$AM$31+'TUSD CVA'!$AM$31)*(1-CUSTOS!$M$38)</f>
        <v>419.74084307814246</v>
      </c>
      <c r="AA254" s="6">
        <f>('TE BE'!$AA$21+'TE BF'!$AA$21+'TE CVA'!$AA$21)*(1-CUSTOS!$M$38)</f>
        <v>198.0053374241497</v>
      </c>
      <c r="AB254" s="6">
        <f t="shared" si="12"/>
        <v>0</v>
      </c>
      <c r="AC254" s="6">
        <f>(L254*W254+M254*X254)/(1-CUSTOS!$M$38)*CUSTOS!$M$38</f>
        <v>1.6732244680851061</v>
      </c>
      <c r="AD254" s="6">
        <f t="shared" si="13"/>
        <v>0</v>
      </c>
      <c r="AE254" s="6">
        <f ca="1">(L254*Z254+N254*AA254)/(1-CUSTOS!$M$38)*CUSTOS!$M$38</f>
        <v>1.7743773269746688</v>
      </c>
      <c r="AF254" s="4" t="s">
        <v>808</v>
      </c>
    </row>
    <row r="255" spans="1:32" ht="11.25" customHeight="1" x14ac:dyDescent="0.25">
      <c r="A255" s="4" t="s">
        <v>21</v>
      </c>
      <c r="B255" s="4" t="s">
        <v>43</v>
      </c>
      <c r="C255" s="4" t="s">
        <v>37</v>
      </c>
      <c r="D255" s="4" t="s">
        <v>44</v>
      </c>
      <c r="E255" s="4" t="s">
        <v>25</v>
      </c>
      <c r="F255" s="4" t="s">
        <v>25</v>
      </c>
      <c r="G255" s="4" t="s">
        <v>25</v>
      </c>
      <c r="H255" s="4" t="s">
        <v>38</v>
      </c>
      <c r="I255" s="5">
        <v>44621</v>
      </c>
      <c r="J255" s="6">
        <v>0</v>
      </c>
      <c r="K255" s="6">
        <v>0</v>
      </c>
      <c r="L255" s="6">
        <v>4.4999999999999998E-2</v>
      </c>
      <c r="M255" s="6">
        <v>4.4999999999999998E-2</v>
      </c>
      <c r="N255" s="6">
        <v>4.4999999999999998E-2</v>
      </c>
      <c r="O255" s="6">
        <v>4.4999999999999998E-2</v>
      </c>
      <c r="P255" s="6">
        <v>0</v>
      </c>
      <c r="Q255" s="4" t="s">
        <v>26</v>
      </c>
      <c r="R255" s="4">
        <v>0</v>
      </c>
      <c r="S255" s="4">
        <v>0</v>
      </c>
      <c r="T255" s="4">
        <v>27</v>
      </c>
      <c r="U255" s="4">
        <v>64</v>
      </c>
      <c r="V255" s="6">
        <f>IF(ISERROR(VLOOKUP($S$255,'TAR FIN'!$A$1:$O$85,15,0)),0,VLOOKUP($S$255,'TAR FIN'!$A$1:$O$85,15,0))</f>
        <v>0</v>
      </c>
      <c r="W255" s="6">
        <f>IF(ISERROR(VLOOKUP($T$255,'TAR FIN'!$A$1:$O$85,15,0)),0,VLOOKUP($T$255,'TAR FIN'!$A$1:$O$85,15,0))</f>
        <v>350.83</v>
      </c>
      <c r="X255" s="6">
        <f>IF(ISERROR(VLOOKUP($U$255,'TAR FIN'!$A$1:$O$85,15,0)),0,VLOOKUP($U$255,'TAR FIN'!$A$1:$O$85,15,0))</f>
        <v>231.7</v>
      </c>
      <c r="Y255" s="6"/>
      <c r="Z255" s="6">
        <f ca="1">('TUSD BE'!$AM$31+'TUSD BF'!$AM$31+'TUSD CVA'!$AM$31)*(1-CUSTOS!$M$38)</f>
        <v>419.74084307814246</v>
      </c>
      <c r="AA255" s="6">
        <f>('TE BE'!$AA$21+'TE BF'!$AA$21+'TE CVA'!$AA$21)*(1-CUSTOS!$M$38)</f>
        <v>198.0053374241497</v>
      </c>
      <c r="AB255" s="6">
        <f t="shared" si="12"/>
        <v>0</v>
      </c>
      <c r="AC255" s="6">
        <f>(L255*W255+M255*X255)/(1-CUSTOS!$M$38)*CUSTOS!$M$38</f>
        <v>1.6732244680851061</v>
      </c>
      <c r="AD255" s="6">
        <f t="shared" si="13"/>
        <v>0</v>
      </c>
      <c r="AE255" s="6">
        <f ca="1">(L255*Z255+N255*AA255)/(1-CUSTOS!$M$38)*CUSTOS!$M$38</f>
        <v>1.7743773269746688</v>
      </c>
      <c r="AF255" s="4" t="s">
        <v>808</v>
      </c>
    </row>
    <row r="256" spans="1:32" ht="11.25" customHeight="1" x14ac:dyDescent="0.25">
      <c r="A256" s="4" t="s">
        <v>21</v>
      </c>
      <c r="B256" s="4" t="s">
        <v>43</v>
      </c>
      <c r="C256" s="4" t="s">
        <v>37</v>
      </c>
      <c r="D256" s="4" t="s">
        <v>44</v>
      </c>
      <c r="E256" s="4" t="s">
        <v>25</v>
      </c>
      <c r="F256" s="4" t="s">
        <v>25</v>
      </c>
      <c r="G256" s="4" t="s">
        <v>25</v>
      </c>
      <c r="H256" s="4" t="s">
        <v>38</v>
      </c>
      <c r="I256" s="5">
        <v>44652</v>
      </c>
      <c r="J256" s="6">
        <v>0</v>
      </c>
      <c r="K256" s="6">
        <v>0</v>
      </c>
      <c r="L256" s="6">
        <v>4.7E-2</v>
      </c>
      <c r="M256" s="6">
        <v>4.7E-2</v>
      </c>
      <c r="N256" s="6">
        <v>4.7E-2</v>
      </c>
      <c r="O256" s="6">
        <v>4.7E-2</v>
      </c>
      <c r="P256" s="6">
        <v>0</v>
      </c>
      <c r="Q256" s="4" t="s">
        <v>26</v>
      </c>
      <c r="R256" s="4">
        <v>0</v>
      </c>
      <c r="S256" s="4">
        <v>0</v>
      </c>
      <c r="T256" s="4">
        <v>27</v>
      </c>
      <c r="U256" s="4">
        <v>64</v>
      </c>
      <c r="V256" s="6">
        <f>IF(ISERROR(VLOOKUP($S$256,'TAR FIN'!$A$1:$O$85,15,0)),0,VLOOKUP($S$256,'TAR FIN'!$A$1:$O$85,15,0))</f>
        <v>0</v>
      </c>
      <c r="W256" s="6">
        <f>IF(ISERROR(VLOOKUP($T$256,'TAR FIN'!$A$1:$O$85,15,0)),0,VLOOKUP($T$256,'TAR FIN'!$A$1:$O$85,15,0))</f>
        <v>350.83</v>
      </c>
      <c r="X256" s="6">
        <f>IF(ISERROR(VLOOKUP($U$256,'TAR FIN'!$A$1:$O$85,15,0)),0,VLOOKUP($U$256,'TAR FIN'!$A$1:$O$85,15,0))</f>
        <v>231.7</v>
      </c>
      <c r="Y256" s="6"/>
      <c r="Z256" s="6">
        <f ca="1">('TUSD BE'!$AM$31+'TUSD BF'!$AM$31+'TUSD CVA'!$AM$31)*(1-CUSTOS!$M$38)</f>
        <v>419.74084307814246</v>
      </c>
      <c r="AA256" s="6">
        <f>('TE BE'!$AA$21+'TE BF'!$AA$21+'TE CVA'!$AA$21)*(1-CUSTOS!$M$38)</f>
        <v>198.0053374241497</v>
      </c>
      <c r="AB256" s="6">
        <f t="shared" si="12"/>
        <v>0</v>
      </c>
      <c r="AC256" s="6">
        <f>(L256*W256+M256*X256)/(1-CUSTOS!$M$38)*CUSTOS!$M$38</f>
        <v>1.74759</v>
      </c>
      <c r="AD256" s="6">
        <f t="shared" si="13"/>
        <v>0</v>
      </c>
      <c r="AE256" s="6">
        <f ca="1">(L256*Z256+N256*AA256)/(1-CUSTOS!$M$38)*CUSTOS!$M$38</f>
        <v>1.8532385415068764</v>
      </c>
      <c r="AF256" s="4" t="s">
        <v>808</v>
      </c>
    </row>
    <row r="257" spans="1:32" ht="11.25" customHeight="1" x14ac:dyDescent="0.25">
      <c r="A257" s="4" t="s">
        <v>21</v>
      </c>
      <c r="B257" s="4" t="s">
        <v>43</v>
      </c>
      <c r="C257" s="4" t="s">
        <v>37</v>
      </c>
      <c r="D257" s="4" t="s">
        <v>44</v>
      </c>
      <c r="E257" s="4" t="s">
        <v>25</v>
      </c>
      <c r="F257" s="4" t="s">
        <v>25</v>
      </c>
      <c r="G257" s="4" t="s">
        <v>25</v>
      </c>
      <c r="H257" s="4" t="s">
        <v>35</v>
      </c>
      <c r="I257" s="5">
        <v>44317</v>
      </c>
      <c r="J257" s="6">
        <v>0</v>
      </c>
      <c r="K257" s="6">
        <v>0</v>
      </c>
      <c r="L257" s="6">
        <v>6.0999999999999999E-2</v>
      </c>
      <c r="M257" s="6">
        <v>6.0999999999999999E-2</v>
      </c>
      <c r="N257" s="6">
        <v>6.0999999999999999E-2</v>
      </c>
      <c r="O257" s="6">
        <v>6.0999999999999999E-2</v>
      </c>
      <c r="P257" s="6">
        <v>0</v>
      </c>
      <c r="Q257" s="4" t="s">
        <v>26</v>
      </c>
      <c r="R257" s="4">
        <v>0</v>
      </c>
      <c r="S257" s="4">
        <v>0</v>
      </c>
      <c r="T257" s="4">
        <v>26</v>
      </c>
      <c r="U257" s="4">
        <v>63</v>
      </c>
      <c r="V257" s="6">
        <f>IF(ISERROR(VLOOKUP($S$257,'TAR FIN'!$A$1:$O$85,15,0)),0,VLOOKUP($S$257,'TAR FIN'!$A$1:$O$85,15,0))</f>
        <v>0</v>
      </c>
      <c r="W257" s="6">
        <f>IF(ISERROR(VLOOKUP($T$257,'TAR FIN'!$A$1:$O$85,15,0)),0,VLOOKUP($T$257,'TAR FIN'!$A$1:$O$85,15,0))</f>
        <v>536.95000000000005</v>
      </c>
      <c r="X257" s="6">
        <f>IF(ISERROR(VLOOKUP($U$257,'TAR FIN'!$A$1:$O$85,15,0)),0,VLOOKUP($U$257,'TAR FIN'!$A$1:$O$85,15,0))</f>
        <v>231.7</v>
      </c>
      <c r="Y257" s="6"/>
      <c r="Z257" s="6">
        <f ca="1">('TUSD BE'!$AM$30+'TUSD BF'!$AM$30+'TUSD CVA'!$AM$30)*(1-CUSTOS!$M$38)</f>
        <v>620.85778527662399</v>
      </c>
      <c r="AA257" s="6">
        <f>('TE BE'!$AA$20+'TE BF'!$AA$20+'TE CVA'!$AA$20)*(1-CUSTOS!$M$38)</f>
        <v>198.0053374241497</v>
      </c>
      <c r="AB257" s="6">
        <f t="shared" si="12"/>
        <v>0</v>
      </c>
      <c r="AC257" s="6">
        <f>(L257*W257+M257*X257)/(1-CUSTOS!$M$38)*CUSTOS!$M$38</f>
        <v>2.9928287234042554</v>
      </c>
      <c r="AD257" s="6">
        <f t="shared" si="13"/>
        <v>0</v>
      </c>
      <c r="AE257" s="6">
        <f ca="1">(L257*Z257+N257*AA257)/(1-CUSTOS!$M$38)*CUSTOS!$M$38</f>
        <v>3.1883393926434374</v>
      </c>
      <c r="AF257" s="4" t="s">
        <v>808</v>
      </c>
    </row>
    <row r="258" spans="1:32" ht="11.25" customHeight="1" x14ac:dyDescent="0.25">
      <c r="A258" s="4" t="s">
        <v>21</v>
      </c>
      <c r="B258" s="4" t="s">
        <v>43</v>
      </c>
      <c r="C258" s="4" t="s">
        <v>37</v>
      </c>
      <c r="D258" s="4" t="s">
        <v>44</v>
      </c>
      <c r="E258" s="4" t="s">
        <v>25</v>
      </c>
      <c r="F258" s="4" t="s">
        <v>25</v>
      </c>
      <c r="G258" s="4" t="s">
        <v>25</v>
      </c>
      <c r="H258" s="4" t="s">
        <v>35</v>
      </c>
      <c r="I258" s="5">
        <v>44348</v>
      </c>
      <c r="J258" s="6">
        <v>0</v>
      </c>
      <c r="K258" s="6">
        <v>0</v>
      </c>
      <c r="L258" s="6">
        <v>7.4999999999999997E-2</v>
      </c>
      <c r="M258" s="6">
        <v>7.4999999999999997E-2</v>
      </c>
      <c r="N258" s="6">
        <v>7.4999999999999997E-2</v>
      </c>
      <c r="O258" s="6">
        <v>7.4999999999999997E-2</v>
      </c>
      <c r="P258" s="6">
        <v>0</v>
      </c>
      <c r="Q258" s="4" t="s">
        <v>26</v>
      </c>
      <c r="R258" s="4">
        <v>0</v>
      </c>
      <c r="S258" s="4">
        <v>0</v>
      </c>
      <c r="T258" s="4">
        <v>26</v>
      </c>
      <c r="U258" s="4">
        <v>63</v>
      </c>
      <c r="V258" s="6">
        <f>IF(ISERROR(VLOOKUP($S$258,'TAR FIN'!$A$1:$O$85,15,0)),0,VLOOKUP($S$258,'TAR FIN'!$A$1:$O$85,15,0))</f>
        <v>0</v>
      </c>
      <c r="W258" s="6">
        <f>IF(ISERROR(VLOOKUP($T$258,'TAR FIN'!$A$1:$O$85,15,0)),0,VLOOKUP($T$258,'TAR FIN'!$A$1:$O$85,15,0))</f>
        <v>536.95000000000005</v>
      </c>
      <c r="X258" s="6">
        <f>IF(ISERROR(VLOOKUP($U$258,'TAR FIN'!$A$1:$O$85,15,0)),0,VLOOKUP($U$258,'TAR FIN'!$A$1:$O$85,15,0))</f>
        <v>231.7</v>
      </c>
      <c r="Y258" s="6"/>
      <c r="Z258" s="6">
        <f ca="1">('TUSD BE'!$AM$30+'TUSD BF'!$AM$30+'TUSD CVA'!$AM$30)*(1-CUSTOS!$M$38)</f>
        <v>620.85778527662399</v>
      </c>
      <c r="AA258" s="6">
        <f>('TE BE'!$AA$20+'TE BF'!$AA$20+'TE CVA'!$AA$20)*(1-CUSTOS!$M$38)</f>
        <v>198.0053374241497</v>
      </c>
      <c r="AB258" s="6">
        <f t="shared" ref="AB258:AB321" si="14">(J258-K258)*V258</f>
        <v>0</v>
      </c>
      <c r="AC258" s="6">
        <f>(L258*W258+M258*X258)/(1-CUSTOS!$M$38)*CUSTOS!$M$38</f>
        <v>3.6797074468085107</v>
      </c>
      <c r="AD258" s="6">
        <f t="shared" ref="AD258:AD321" si="15">(J258-K258)*Y258</f>
        <v>0</v>
      </c>
      <c r="AE258" s="6">
        <f ca="1">(L258*Z258+N258*AA258)/(1-CUSTOS!$M$38)*CUSTOS!$M$38</f>
        <v>3.9200894171845544</v>
      </c>
      <c r="AF258" s="4" t="s">
        <v>808</v>
      </c>
    </row>
    <row r="259" spans="1:32" ht="11.25" customHeight="1" x14ac:dyDescent="0.25">
      <c r="A259" s="4" t="s">
        <v>21</v>
      </c>
      <c r="B259" s="4" t="s">
        <v>43</v>
      </c>
      <c r="C259" s="4" t="s">
        <v>37</v>
      </c>
      <c r="D259" s="4" t="s">
        <v>44</v>
      </c>
      <c r="E259" s="4" t="s">
        <v>25</v>
      </c>
      <c r="F259" s="4" t="s">
        <v>25</v>
      </c>
      <c r="G259" s="4" t="s">
        <v>25</v>
      </c>
      <c r="H259" s="4" t="s">
        <v>35</v>
      </c>
      <c r="I259" s="5">
        <v>44378</v>
      </c>
      <c r="J259" s="6">
        <v>0</v>
      </c>
      <c r="K259" s="6">
        <v>0</v>
      </c>
      <c r="L259" s="6">
        <v>6.5000000000000002E-2</v>
      </c>
      <c r="M259" s="6">
        <v>6.5000000000000002E-2</v>
      </c>
      <c r="N259" s="6">
        <v>6.5000000000000002E-2</v>
      </c>
      <c r="O259" s="6">
        <v>6.5000000000000002E-2</v>
      </c>
      <c r="P259" s="6">
        <v>0</v>
      </c>
      <c r="Q259" s="4" t="s">
        <v>26</v>
      </c>
      <c r="R259" s="4">
        <v>0</v>
      </c>
      <c r="S259" s="4">
        <v>0</v>
      </c>
      <c r="T259" s="4">
        <v>26</v>
      </c>
      <c r="U259" s="4">
        <v>63</v>
      </c>
      <c r="V259" s="6">
        <f>IF(ISERROR(VLOOKUP($S$259,'TAR FIN'!$A$1:$O$85,15,0)),0,VLOOKUP($S$259,'TAR FIN'!$A$1:$O$85,15,0))</f>
        <v>0</v>
      </c>
      <c r="W259" s="6">
        <f>IF(ISERROR(VLOOKUP($T$259,'TAR FIN'!$A$1:$O$85,15,0)),0,VLOOKUP($T$259,'TAR FIN'!$A$1:$O$85,15,0))</f>
        <v>536.95000000000005</v>
      </c>
      <c r="X259" s="6">
        <f>IF(ISERROR(VLOOKUP($U$259,'TAR FIN'!$A$1:$O$85,15,0)),0,VLOOKUP($U$259,'TAR FIN'!$A$1:$O$85,15,0))</f>
        <v>231.7</v>
      </c>
      <c r="Y259" s="6"/>
      <c r="Z259" s="6">
        <f ca="1">('TUSD BE'!$AM$30+'TUSD BF'!$AM$30+'TUSD CVA'!$AM$30)*(1-CUSTOS!$M$38)</f>
        <v>620.85778527662399</v>
      </c>
      <c r="AA259" s="6">
        <f>('TE BE'!$AA$20+'TE BF'!$AA$20+'TE CVA'!$AA$20)*(1-CUSTOS!$M$38)</f>
        <v>198.0053374241497</v>
      </c>
      <c r="AB259" s="6">
        <f t="shared" si="14"/>
        <v>0</v>
      </c>
      <c r="AC259" s="6">
        <f>(L259*W259+M259*X259)/(1-CUSTOS!$M$38)*CUSTOS!$M$38</f>
        <v>3.1890797872340428</v>
      </c>
      <c r="AD259" s="6">
        <f t="shared" si="15"/>
        <v>0</v>
      </c>
      <c r="AE259" s="6">
        <f ca="1">(L259*Z259+N259*AA259)/(1-CUSTOS!$M$38)*CUSTOS!$M$38</f>
        <v>3.3974108282266142</v>
      </c>
      <c r="AF259" s="4" t="s">
        <v>808</v>
      </c>
    </row>
    <row r="260" spans="1:32" ht="11.25" customHeight="1" x14ac:dyDescent="0.25">
      <c r="A260" s="4" t="s">
        <v>21</v>
      </c>
      <c r="B260" s="4" t="s">
        <v>43</v>
      </c>
      <c r="C260" s="4" t="s">
        <v>37</v>
      </c>
      <c r="D260" s="4" t="s">
        <v>44</v>
      </c>
      <c r="E260" s="4" t="s">
        <v>25</v>
      </c>
      <c r="F260" s="4" t="s">
        <v>25</v>
      </c>
      <c r="G260" s="4" t="s">
        <v>25</v>
      </c>
      <c r="H260" s="4" t="s">
        <v>35</v>
      </c>
      <c r="I260" s="5">
        <v>44409</v>
      </c>
      <c r="J260" s="6">
        <v>0</v>
      </c>
      <c r="K260" s="6">
        <v>0</v>
      </c>
      <c r="L260" s="6">
        <v>7.9000000000000001E-2</v>
      </c>
      <c r="M260" s="6">
        <v>7.9000000000000001E-2</v>
      </c>
      <c r="N260" s="6">
        <v>7.9000000000000001E-2</v>
      </c>
      <c r="O260" s="6">
        <v>7.9000000000000001E-2</v>
      </c>
      <c r="P260" s="6">
        <v>0</v>
      </c>
      <c r="Q260" s="4" t="s">
        <v>26</v>
      </c>
      <c r="R260" s="4">
        <v>0</v>
      </c>
      <c r="S260" s="4">
        <v>0</v>
      </c>
      <c r="T260" s="4">
        <v>26</v>
      </c>
      <c r="U260" s="4">
        <v>63</v>
      </c>
      <c r="V260" s="6">
        <f>IF(ISERROR(VLOOKUP($S$260,'TAR FIN'!$A$1:$O$85,15,0)),0,VLOOKUP($S$260,'TAR FIN'!$A$1:$O$85,15,0))</f>
        <v>0</v>
      </c>
      <c r="W260" s="6">
        <f>IF(ISERROR(VLOOKUP($T$260,'TAR FIN'!$A$1:$O$85,15,0)),0,VLOOKUP($T$260,'TAR FIN'!$A$1:$O$85,15,0))</f>
        <v>536.95000000000005</v>
      </c>
      <c r="X260" s="6">
        <f>IF(ISERROR(VLOOKUP($U$260,'TAR FIN'!$A$1:$O$85,15,0)),0,VLOOKUP($U$260,'TAR FIN'!$A$1:$O$85,15,0))</f>
        <v>231.7</v>
      </c>
      <c r="Y260" s="6"/>
      <c r="Z260" s="6">
        <f ca="1">('TUSD BE'!$AM$30+'TUSD BF'!$AM$30+'TUSD CVA'!$AM$30)*(1-CUSTOS!$M$38)</f>
        <v>620.85778527662399</v>
      </c>
      <c r="AA260" s="6">
        <f>('TE BE'!$AA$20+'TE BF'!$AA$20+'TE CVA'!$AA$20)*(1-CUSTOS!$M$38)</f>
        <v>198.0053374241497</v>
      </c>
      <c r="AB260" s="6">
        <f t="shared" si="14"/>
        <v>0</v>
      </c>
      <c r="AC260" s="6">
        <f>(L260*W260+M260*X260)/(1-CUSTOS!$M$38)*CUSTOS!$M$38</f>
        <v>3.8759585106382985</v>
      </c>
      <c r="AD260" s="6">
        <f t="shared" si="15"/>
        <v>0</v>
      </c>
      <c r="AE260" s="6">
        <f ca="1">(L260*Z260+N260*AA260)/(1-CUSTOS!$M$38)*CUSTOS!$M$38</f>
        <v>4.1291608527677308</v>
      </c>
      <c r="AF260" s="4" t="s">
        <v>808</v>
      </c>
    </row>
    <row r="261" spans="1:32" ht="11.25" customHeight="1" x14ac:dyDescent="0.25">
      <c r="A261" s="4" t="s">
        <v>21</v>
      </c>
      <c r="B261" s="4" t="s">
        <v>43</v>
      </c>
      <c r="C261" s="4" t="s">
        <v>37</v>
      </c>
      <c r="D261" s="4" t="s">
        <v>44</v>
      </c>
      <c r="E261" s="4" t="s">
        <v>25</v>
      </c>
      <c r="F261" s="4" t="s">
        <v>25</v>
      </c>
      <c r="G261" s="4" t="s">
        <v>25</v>
      </c>
      <c r="H261" s="4" t="s">
        <v>35</v>
      </c>
      <c r="I261" s="5">
        <v>44440</v>
      </c>
      <c r="J261" s="6">
        <v>0</v>
      </c>
      <c r="K261" s="6">
        <v>0</v>
      </c>
      <c r="L261" s="6">
        <v>7.0999999999999994E-2</v>
      </c>
      <c r="M261" s="6">
        <v>7.0999999999999994E-2</v>
      </c>
      <c r="N261" s="6">
        <v>7.0999999999999994E-2</v>
      </c>
      <c r="O261" s="6">
        <v>7.0999999999999994E-2</v>
      </c>
      <c r="P261" s="6">
        <v>0</v>
      </c>
      <c r="Q261" s="4" t="s">
        <v>26</v>
      </c>
      <c r="R261" s="4">
        <v>0</v>
      </c>
      <c r="S261" s="4">
        <v>0</v>
      </c>
      <c r="T261" s="4">
        <v>26</v>
      </c>
      <c r="U261" s="4">
        <v>63</v>
      </c>
      <c r="V261" s="6">
        <f>IF(ISERROR(VLOOKUP($S$261,'TAR FIN'!$A$1:$O$85,15,0)),0,VLOOKUP($S$261,'TAR FIN'!$A$1:$O$85,15,0))</f>
        <v>0</v>
      </c>
      <c r="W261" s="6">
        <f>IF(ISERROR(VLOOKUP($T$261,'TAR FIN'!$A$1:$O$85,15,0)),0,VLOOKUP($T$261,'TAR FIN'!$A$1:$O$85,15,0))</f>
        <v>536.95000000000005</v>
      </c>
      <c r="X261" s="6">
        <f>IF(ISERROR(VLOOKUP($U$261,'TAR FIN'!$A$1:$O$85,15,0)),0,VLOOKUP($U$261,'TAR FIN'!$A$1:$O$85,15,0))</f>
        <v>231.7</v>
      </c>
      <c r="Y261" s="6"/>
      <c r="Z261" s="6">
        <f ca="1">('TUSD BE'!$AM$30+'TUSD BF'!$AM$30+'TUSD CVA'!$AM$30)*(1-CUSTOS!$M$38)</f>
        <v>620.85778527662399</v>
      </c>
      <c r="AA261" s="6">
        <f>('TE BE'!$AA$20+'TE BF'!$AA$20+'TE CVA'!$AA$20)*(1-CUSTOS!$M$38)</f>
        <v>198.0053374241497</v>
      </c>
      <c r="AB261" s="6">
        <f t="shared" si="14"/>
        <v>0</v>
      </c>
      <c r="AC261" s="6">
        <f>(L261*W261+M261*X261)/(1-CUSTOS!$M$38)*CUSTOS!$M$38</f>
        <v>3.4834563829787233</v>
      </c>
      <c r="AD261" s="6">
        <f t="shared" si="15"/>
        <v>0</v>
      </c>
      <c r="AE261" s="6">
        <f ca="1">(L261*Z261+N261*AA261)/(1-CUSTOS!$M$38)*CUSTOS!$M$38</f>
        <v>3.711017981601378</v>
      </c>
      <c r="AF261" s="4" t="s">
        <v>808</v>
      </c>
    </row>
    <row r="262" spans="1:32" ht="11.25" customHeight="1" x14ac:dyDescent="0.25">
      <c r="A262" s="4" t="s">
        <v>21</v>
      </c>
      <c r="B262" s="4" t="s">
        <v>43</v>
      </c>
      <c r="C262" s="4" t="s">
        <v>37</v>
      </c>
      <c r="D262" s="4" t="s">
        <v>44</v>
      </c>
      <c r="E262" s="4" t="s">
        <v>25</v>
      </c>
      <c r="F262" s="4" t="s">
        <v>25</v>
      </c>
      <c r="G262" s="4" t="s">
        <v>25</v>
      </c>
      <c r="H262" s="4" t="s">
        <v>35</v>
      </c>
      <c r="I262" s="5">
        <v>44470</v>
      </c>
      <c r="J262" s="6">
        <v>0</v>
      </c>
      <c r="K262" s="6">
        <v>0</v>
      </c>
      <c r="L262" s="6">
        <v>6.2E-2</v>
      </c>
      <c r="M262" s="6">
        <v>6.2E-2</v>
      </c>
      <c r="N262" s="6">
        <v>6.2E-2</v>
      </c>
      <c r="O262" s="6">
        <v>6.2E-2</v>
      </c>
      <c r="P262" s="6">
        <v>0</v>
      </c>
      <c r="Q262" s="4" t="s">
        <v>26</v>
      </c>
      <c r="R262" s="4">
        <v>0</v>
      </c>
      <c r="S262" s="4">
        <v>0</v>
      </c>
      <c r="T262" s="4">
        <v>26</v>
      </c>
      <c r="U262" s="4">
        <v>63</v>
      </c>
      <c r="V262" s="6">
        <f>IF(ISERROR(VLOOKUP($S$262,'TAR FIN'!$A$1:$O$85,15,0)),0,VLOOKUP($S$262,'TAR FIN'!$A$1:$O$85,15,0))</f>
        <v>0</v>
      </c>
      <c r="W262" s="6">
        <f>IF(ISERROR(VLOOKUP($T$262,'TAR FIN'!$A$1:$O$85,15,0)),0,VLOOKUP($T$262,'TAR FIN'!$A$1:$O$85,15,0))</f>
        <v>536.95000000000005</v>
      </c>
      <c r="X262" s="6">
        <f>IF(ISERROR(VLOOKUP($U$262,'TAR FIN'!$A$1:$O$85,15,0)),0,VLOOKUP($U$262,'TAR FIN'!$A$1:$O$85,15,0))</f>
        <v>231.7</v>
      </c>
      <c r="Y262" s="6"/>
      <c r="Z262" s="6">
        <f ca="1">('TUSD BE'!$AM$30+'TUSD BF'!$AM$30+'TUSD CVA'!$AM$30)*(1-CUSTOS!$M$38)</f>
        <v>620.85778527662399</v>
      </c>
      <c r="AA262" s="6">
        <f>('TE BE'!$AA$20+'TE BF'!$AA$20+'TE CVA'!$AA$20)*(1-CUSTOS!$M$38)</f>
        <v>198.0053374241497</v>
      </c>
      <c r="AB262" s="6">
        <f t="shared" si="14"/>
        <v>0</v>
      </c>
      <c r="AC262" s="6">
        <f>(L262*W262+M262*X262)/(1-CUSTOS!$M$38)*CUSTOS!$M$38</f>
        <v>3.041891489361702</v>
      </c>
      <c r="AD262" s="6">
        <f t="shared" si="15"/>
        <v>0</v>
      </c>
      <c r="AE262" s="6">
        <f ca="1">(L262*Z262+N262*AA262)/(1-CUSTOS!$M$38)*CUSTOS!$M$38</f>
        <v>3.2406072515392323</v>
      </c>
      <c r="AF262" s="4" t="s">
        <v>808</v>
      </c>
    </row>
    <row r="263" spans="1:32" ht="11.25" customHeight="1" x14ac:dyDescent="0.25">
      <c r="A263" s="4" t="s">
        <v>21</v>
      </c>
      <c r="B263" s="4" t="s">
        <v>43</v>
      </c>
      <c r="C263" s="4" t="s">
        <v>37</v>
      </c>
      <c r="D263" s="4" t="s">
        <v>44</v>
      </c>
      <c r="E263" s="4" t="s">
        <v>25</v>
      </c>
      <c r="F263" s="4" t="s">
        <v>25</v>
      </c>
      <c r="G263" s="4" t="s">
        <v>25</v>
      </c>
      <c r="H263" s="4" t="s">
        <v>35</v>
      </c>
      <c r="I263" s="5">
        <v>44501</v>
      </c>
      <c r="J263" s="6">
        <v>0</v>
      </c>
      <c r="K263" s="6">
        <v>0</v>
      </c>
      <c r="L263" s="6">
        <v>4.9000000000000002E-2</v>
      </c>
      <c r="M263" s="6">
        <v>4.9000000000000002E-2</v>
      </c>
      <c r="N263" s="6">
        <v>4.9000000000000002E-2</v>
      </c>
      <c r="O263" s="6">
        <v>4.9000000000000002E-2</v>
      </c>
      <c r="P263" s="6">
        <v>0</v>
      </c>
      <c r="Q263" s="4" t="s">
        <v>26</v>
      </c>
      <c r="R263" s="4">
        <v>0</v>
      </c>
      <c r="S263" s="4">
        <v>0</v>
      </c>
      <c r="T263" s="4">
        <v>26</v>
      </c>
      <c r="U263" s="4">
        <v>63</v>
      </c>
      <c r="V263" s="6">
        <f>IF(ISERROR(VLOOKUP($S$263,'TAR FIN'!$A$1:$O$85,15,0)),0,VLOOKUP($S$263,'TAR FIN'!$A$1:$O$85,15,0))</f>
        <v>0</v>
      </c>
      <c r="W263" s="6">
        <f>IF(ISERROR(VLOOKUP($T$263,'TAR FIN'!$A$1:$O$85,15,0)),0,VLOOKUP($T$263,'TAR FIN'!$A$1:$O$85,15,0))</f>
        <v>536.95000000000005</v>
      </c>
      <c r="X263" s="6">
        <f>IF(ISERROR(VLOOKUP($U$263,'TAR FIN'!$A$1:$O$85,15,0)),0,VLOOKUP($U$263,'TAR FIN'!$A$1:$O$85,15,0))</f>
        <v>231.7</v>
      </c>
      <c r="Y263" s="6"/>
      <c r="Z263" s="6">
        <f ca="1">('TUSD BE'!$AM$30+'TUSD BF'!$AM$30+'TUSD CVA'!$AM$30)*(1-CUSTOS!$M$38)</f>
        <v>620.85778527662399</v>
      </c>
      <c r="AA263" s="6">
        <f>('TE BE'!$AA$20+'TE BF'!$AA$20+'TE CVA'!$AA$20)*(1-CUSTOS!$M$38)</f>
        <v>198.0053374241497</v>
      </c>
      <c r="AB263" s="6">
        <f t="shared" si="14"/>
        <v>0</v>
      </c>
      <c r="AC263" s="6">
        <f>(L263*W263+M263*X263)/(1-CUSTOS!$M$38)*CUSTOS!$M$38</f>
        <v>2.4040755319148941</v>
      </c>
      <c r="AD263" s="6">
        <f t="shared" si="15"/>
        <v>0</v>
      </c>
      <c r="AE263" s="6">
        <f ca="1">(L263*Z263+N263*AA263)/(1-CUSTOS!$M$38)*CUSTOS!$M$38</f>
        <v>2.5611250858939094</v>
      </c>
      <c r="AF263" s="4" t="s">
        <v>808</v>
      </c>
    </row>
    <row r="264" spans="1:32" ht="11.25" customHeight="1" x14ac:dyDescent="0.25">
      <c r="A264" s="4" t="s">
        <v>21</v>
      </c>
      <c r="B264" s="4" t="s">
        <v>43</v>
      </c>
      <c r="C264" s="4" t="s">
        <v>37</v>
      </c>
      <c r="D264" s="4" t="s">
        <v>44</v>
      </c>
      <c r="E264" s="4" t="s">
        <v>25</v>
      </c>
      <c r="F264" s="4" t="s">
        <v>25</v>
      </c>
      <c r="G264" s="4" t="s">
        <v>25</v>
      </c>
      <c r="H264" s="4" t="s">
        <v>35</v>
      </c>
      <c r="I264" s="5">
        <v>44531</v>
      </c>
      <c r="J264" s="6">
        <v>0</v>
      </c>
      <c r="K264" s="6">
        <v>0</v>
      </c>
      <c r="L264" s="6">
        <v>4.9000000000000002E-2</v>
      </c>
      <c r="M264" s="6">
        <v>4.9000000000000002E-2</v>
      </c>
      <c r="N264" s="6">
        <v>4.9000000000000002E-2</v>
      </c>
      <c r="O264" s="6">
        <v>4.9000000000000002E-2</v>
      </c>
      <c r="P264" s="6">
        <v>0</v>
      </c>
      <c r="Q264" s="4" t="s">
        <v>26</v>
      </c>
      <c r="R264" s="4">
        <v>0</v>
      </c>
      <c r="S264" s="4">
        <v>0</v>
      </c>
      <c r="T264" s="4">
        <v>26</v>
      </c>
      <c r="U264" s="4">
        <v>63</v>
      </c>
      <c r="V264" s="6">
        <f>IF(ISERROR(VLOOKUP($S$264,'TAR FIN'!$A$1:$O$85,15,0)),0,VLOOKUP($S$264,'TAR FIN'!$A$1:$O$85,15,0))</f>
        <v>0</v>
      </c>
      <c r="W264" s="6">
        <f>IF(ISERROR(VLOOKUP($T$264,'TAR FIN'!$A$1:$O$85,15,0)),0,VLOOKUP($T$264,'TAR FIN'!$A$1:$O$85,15,0))</f>
        <v>536.95000000000005</v>
      </c>
      <c r="X264" s="6">
        <f>IF(ISERROR(VLOOKUP($U$264,'TAR FIN'!$A$1:$O$85,15,0)),0,VLOOKUP($U$264,'TAR FIN'!$A$1:$O$85,15,0))</f>
        <v>231.7</v>
      </c>
      <c r="Y264" s="6"/>
      <c r="Z264" s="6">
        <f ca="1">('TUSD BE'!$AM$30+'TUSD BF'!$AM$30+'TUSD CVA'!$AM$30)*(1-CUSTOS!$M$38)</f>
        <v>620.85778527662399</v>
      </c>
      <c r="AA264" s="6">
        <f>('TE BE'!$AA$20+'TE BF'!$AA$20+'TE CVA'!$AA$20)*(1-CUSTOS!$M$38)</f>
        <v>198.0053374241497</v>
      </c>
      <c r="AB264" s="6">
        <f t="shared" si="14"/>
        <v>0</v>
      </c>
      <c r="AC264" s="6">
        <f>(L264*W264+M264*X264)/(1-CUSTOS!$M$38)*CUSTOS!$M$38</f>
        <v>2.4040755319148941</v>
      </c>
      <c r="AD264" s="6">
        <f t="shared" si="15"/>
        <v>0</v>
      </c>
      <c r="AE264" s="6">
        <f ca="1">(L264*Z264+N264*AA264)/(1-CUSTOS!$M$38)*CUSTOS!$M$38</f>
        <v>2.5611250858939094</v>
      </c>
      <c r="AF264" s="4" t="s">
        <v>808</v>
      </c>
    </row>
    <row r="265" spans="1:32" ht="11.25" customHeight="1" x14ac:dyDescent="0.25">
      <c r="A265" s="4" t="s">
        <v>21</v>
      </c>
      <c r="B265" s="4" t="s">
        <v>43</v>
      </c>
      <c r="C265" s="4" t="s">
        <v>37</v>
      </c>
      <c r="D265" s="4" t="s">
        <v>44</v>
      </c>
      <c r="E265" s="4" t="s">
        <v>25</v>
      </c>
      <c r="F265" s="4" t="s">
        <v>25</v>
      </c>
      <c r="G265" s="4" t="s">
        <v>25</v>
      </c>
      <c r="H265" s="4" t="s">
        <v>35</v>
      </c>
      <c r="I265" s="5">
        <v>44562</v>
      </c>
      <c r="J265" s="6">
        <v>0</v>
      </c>
      <c r="K265" s="6">
        <v>0</v>
      </c>
      <c r="L265" s="6">
        <v>5.5E-2</v>
      </c>
      <c r="M265" s="6">
        <v>5.5E-2</v>
      </c>
      <c r="N265" s="6">
        <v>5.5E-2</v>
      </c>
      <c r="O265" s="6">
        <v>5.5E-2</v>
      </c>
      <c r="P265" s="6">
        <v>0</v>
      </c>
      <c r="Q265" s="4" t="s">
        <v>26</v>
      </c>
      <c r="R265" s="4">
        <v>0</v>
      </c>
      <c r="S265" s="4">
        <v>0</v>
      </c>
      <c r="T265" s="4">
        <v>26</v>
      </c>
      <c r="U265" s="4">
        <v>63</v>
      </c>
      <c r="V265" s="6">
        <f>IF(ISERROR(VLOOKUP($S$265,'TAR FIN'!$A$1:$O$85,15,0)),0,VLOOKUP($S$265,'TAR FIN'!$A$1:$O$85,15,0))</f>
        <v>0</v>
      </c>
      <c r="W265" s="6">
        <f>IF(ISERROR(VLOOKUP($T$265,'TAR FIN'!$A$1:$O$85,15,0)),0,VLOOKUP($T$265,'TAR FIN'!$A$1:$O$85,15,0))</f>
        <v>536.95000000000005</v>
      </c>
      <c r="X265" s="6">
        <f>IF(ISERROR(VLOOKUP($U$265,'TAR FIN'!$A$1:$O$85,15,0)),0,VLOOKUP($U$265,'TAR FIN'!$A$1:$O$85,15,0))</f>
        <v>231.7</v>
      </c>
      <c r="Y265" s="6"/>
      <c r="Z265" s="6">
        <f ca="1">('TUSD BE'!$AM$30+'TUSD BF'!$AM$30+'TUSD CVA'!$AM$30)*(1-CUSTOS!$M$38)</f>
        <v>620.85778527662399</v>
      </c>
      <c r="AA265" s="6">
        <f>('TE BE'!$AA$20+'TE BF'!$AA$20+'TE CVA'!$AA$20)*(1-CUSTOS!$M$38)</f>
        <v>198.0053374241497</v>
      </c>
      <c r="AB265" s="6">
        <f t="shared" si="14"/>
        <v>0</v>
      </c>
      <c r="AC265" s="6">
        <f>(L265*W265+M265*X265)/(1-CUSTOS!$M$38)*CUSTOS!$M$38</f>
        <v>2.6984521276595745</v>
      </c>
      <c r="AD265" s="6">
        <f t="shared" si="15"/>
        <v>0</v>
      </c>
      <c r="AE265" s="6">
        <f ca="1">(L265*Z265+N265*AA265)/(1-CUSTOS!$M$38)*CUSTOS!$M$38</f>
        <v>2.8747322392686732</v>
      </c>
      <c r="AF265" s="4" t="s">
        <v>808</v>
      </c>
    </row>
    <row r="266" spans="1:32" ht="11.25" customHeight="1" x14ac:dyDescent="0.25">
      <c r="A266" s="4" t="s">
        <v>21</v>
      </c>
      <c r="B266" s="4" t="s">
        <v>43</v>
      </c>
      <c r="C266" s="4" t="s">
        <v>37</v>
      </c>
      <c r="D266" s="4" t="s">
        <v>44</v>
      </c>
      <c r="E266" s="4" t="s">
        <v>25</v>
      </c>
      <c r="F266" s="4" t="s">
        <v>25</v>
      </c>
      <c r="G266" s="4" t="s">
        <v>25</v>
      </c>
      <c r="H266" s="4" t="s">
        <v>35</v>
      </c>
      <c r="I266" s="5">
        <v>44593</v>
      </c>
      <c r="J266" s="6">
        <v>0</v>
      </c>
      <c r="K266" s="6">
        <v>0</v>
      </c>
      <c r="L266" s="6">
        <v>6.6000000000000003E-2</v>
      </c>
      <c r="M266" s="6">
        <v>6.6000000000000003E-2</v>
      </c>
      <c r="N266" s="6">
        <v>6.6000000000000003E-2</v>
      </c>
      <c r="O266" s="6">
        <v>6.6000000000000003E-2</v>
      </c>
      <c r="P266" s="6">
        <v>0</v>
      </c>
      <c r="Q266" s="4" t="s">
        <v>26</v>
      </c>
      <c r="R266" s="4">
        <v>0</v>
      </c>
      <c r="S266" s="4">
        <v>0</v>
      </c>
      <c r="T266" s="4">
        <v>26</v>
      </c>
      <c r="U266" s="4">
        <v>63</v>
      </c>
      <c r="V266" s="6">
        <f>IF(ISERROR(VLOOKUP($S$266,'TAR FIN'!$A$1:$O$85,15,0)),0,VLOOKUP($S$266,'TAR FIN'!$A$1:$O$85,15,0))</f>
        <v>0</v>
      </c>
      <c r="W266" s="6">
        <f>IF(ISERROR(VLOOKUP($T$266,'TAR FIN'!$A$1:$O$85,15,0)),0,VLOOKUP($T$266,'TAR FIN'!$A$1:$O$85,15,0))</f>
        <v>536.95000000000005</v>
      </c>
      <c r="X266" s="6">
        <f>IF(ISERROR(VLOOKUP($U$266,'TAR FIN'!$A$1:$O$85,15,0)),0,VLOOKUP($U$266,'TAR FIN'!$A$1:$O$85,15,0))</f>
        <v>231.7</v>
      </c>
      <c r="Y266" s="6"/>
      <c r="Z266" s="6">
        <f ca="1">('TUSD BE'!$AM$30+'TUSD BF'!$AM$30+'TUSD CVA'!$AM$30)*(1-CUSTOS!$M$38)</f>
        <v>620.85778527662399</v>
      </c>
      <c r="AA266" s="6">
        <f>('TE BE'!$AA$20+'TE BF'!$AA$20+'TE CVA'!$AA$20)*(1-CUSTOS!$M$38)</f>
        <v>198.0053374241497</v>
      </c>
      <c r="AB266" s="6">
        <f t="shared" si="14"/>
        <v>0</v>
      </c>
      <c r="AC266" s="6">
        <f>(L266*W266+M266*X266)/(1-CUSTOS!$M$38)*CUSTOS!$M$38</f>
        <v>3.2381425531914898</v>
      </c>
      <c r="AD266" s="6">
        <f t="shared" si="15"/>
        <v>0</v>
      </c>
      <c r="AE266" s="6">
        <f ca="1">(L266*Z266+N266*AA266)/(1-CUSTOS!$M$38)*CUSTOS!$M$38</f>
        <v>3.4496786871224088</v>
      </c>
      <c r="AF266" s="4" t="s">
        <v>808</v>
      </c>
    </row>
    <row r="267" spans="1:32" ht="11.25" customHeight="1" x14ac:dyDescent="0.25">
      <c r="A267" s="4" t="s">
        <v>21</v>
      </c>
      <c r="B267" s="4" t="s">
        <v>43</v>
      </c>
      <c r="C267" s="4" t="s">
        <v>37</v>
      </c>
      <c r="D267" s="4" t="s">
        <v>44</v>
      </c>
      <c r="E267" s="4" t="s">
        <v>25</v>
      </c>
      <c r="F267" s="4" t="s">
        <v>25</v>
      </c>
      <c r="G267" s="4" t="s">
        <v>25</v>
      </c>
      <c r="H267" s="4" t="s">
        <v>35</v>
      </c>
      <c r="I267" s="5">
        <v>44621</v>
      </c>
      <c r="J267" s="6">
        <v>0</v>
      </c>
      <c r="K267" s="6">
        <v>0</v>
      </c>
      <c r="L267" s="6">
        <v>0.08</v>
      </c>
      <c r="M267" s="6">
        <v>0.08</v>
      </c>
      <c r="N267" s="6">
        <v>0.08</v>
      </c>
      <c r="O267" s="6">
        <v>0.08</v>
      </c>
      <c r="P267" s="6">
        <v>0</v>
      </c>
      <c r="Q267" s="4" t="s">
        <v>26</v>
      </c>
      <c r="R267" s="4">
        <v>0</v>
      </c>
      <c r="S267" s="4">
        <v>0</v>
      </c>
      <c r="T267" s="4">
        <v>26</v>
      </c>
      <c r="U267" s="4">
        <v>63</v>
      </c>
      <c r="V267" s="6">
        <f>IF(ISERROR(VLOOKUP($S$267,'TAR FIN'!$A$1:$O$85,15,0)),0,VLOOKUP($S$267,'TAR FIN'!$A$1:$O$85,15,0))</f>
        <v>0</v>
      </c>
      <c r="W267" s="6">
        <f>IF(ISERROR(VLOOKUP($T$267,'TAR FIN'!$A$1:$O$85,15,0)),0,VLOOKUP($T$267,'TAR FIN'!$A$1:$O$85,15,0))</f>
        <v>536.95000000000005</v>
      </c>
      <c r="X267" s="6">
        <f>IF(ISERROR(VLOOKUP($U$267,'TAR FIN'!$A$1:$O$85,15,0)),0,VLOOKUP($U$267,'TAR FIN'!$A$1:$O$85,15,0))</f>
        <v>231.7</v>
      </c>
      <c r="Y267" s="6"/>
      <c r="Z267" s="6">
        <f ca="1">('TUSD BE'!$AM$30+'TUSD BF'!$AM$30+'TUSD CVA'!$AM$30)*(1-CUSTOS!$M$38)</f>
        <v>620.85778527662399</v>
      </c>
      <c r="AA267" s="6">
        <f>('TE BE'!$AA$20+'TE BF'!$AA$20+'TE CVA'!$AA$20)*(1-CUSTOS!$M$38)</f>
        <v>198.0053374241497</v>
      </c>
      <c r="AB267" s="6">
        <f t="shared" si="14"/>
        <v>0</v>
      </c>
      <c r="AC267" s="6">
        <f>(L267*W267+M267*X267)/(1-CUSTOS!$M$38)*CUSTOS!$M$38</f>
        <v>3.9250212765957446</v>
      </c>
      <c r="AD267" s="6">
        <f t="shared" si="15"/>
        <v>0</v>
      </c>
      <c r="AE267" s="6">
        <f ca="1">(L267*Z267+N267*AA267)/(1-CUSTOS!$M$38)*CUSTOS!$M$38</f>
        <v>4.1814287116635249</v>
      </c>
      <c r="AF267" s="4" t="s">
        <v>808</v>
      </c>
    </row>
    <row r="268" spans="1:32" ht="11.25" customHeight="1" x14ac:dyDescent="0.25">
      <c r="A268" s="4" t="s">
        <v>21</v>
      </c>
      <c r="B268" s="4" t="s">
        <v>43</v>
      </c>
      <c r="C268" s="4" t="s">
        <v>37</v>
      </c>
      <c r="D268" s="4" t="s">
        <v>44</v>
      </c>
      <c r="E268" s="4" t="s">
        <v>25</v>
      </c>
      <c r="F268" s="4" t="s">
        <v>25</v>
      </c>
      <c r="G268" s="4" t="s">
        <v>25</v>
      </c>
      <c r="H268" s="4" t="s">
        <v>35</v>
      </c>
      <c r="I268" s="5">
        <v>44652</v>
      </c>
      <c r="J268" s="6">
        <v>0</v>
      </c>
      <c r="K268" s="6">
        <v>0</v>
      </c>
      <c r="L268" s="6">
        <v>7.6999999999999999E-2</v>
      </c>
      <c r="M268" s="6">
        <v>7.6999999999999999E-2</v>
      </c>
      <c r="N268" s="6">
        <v>7.6999999999999999E-2</v>
      </c>
      <c r="O268" s="6">
        <v>7.6999999999999999E-2</v>
      </c>
      <c r="P268" s="6">
        <v>0</v>
      </c>
      <c r="Q268" s="4" t="s">
        <v>26</v>
      </c>
      <c r="R268" s="4">
        <v>0</v>
      </c>
      <c r="S268" s="4">
        <v>0</v>
      </c>
      <c r="T268" s="4">
        <v>26</v>
      </c>
      <c r="U268" s="4">
        <v>63</v>
      </c>
      <c r="V268" s="6">
        <f>IF(ISERROR(VLOOKUP($S$268,'TAR FIN'!$A$1:$O$85,15,0)),0,VLOOKUP($S$268,'TAR FIN'!$A$1:$O$85,15,0))</f>
        <v>0</v>
      </c>
      <c r="W268" s="6">
        <f>IF(ISERROR(VLOOKUP($T$268,'TAR FIN'!$A$1:$O$85,15,0)),0,VLOOKUP($T$268,'TAR FIN'!$A$1:$O$85,15,0))</f>
        <v>536.95000000000005</v>
      </c>
      <c r="X268" s="6">
        <f>IF(ISERROR(VLOOKUP($U$268,'TAR FIN'!$A$1:$O$85,15,0)),0,VLOOKUP($U$268,'TAR FIN'!$A$1:$O$85,15,0))</f>
        <v>231.7</v>
      </c>
      <c r="Y268" s="6"/>
      <c r="Z268" s="6">
        <f ca="1">('TUSD BE'!$AM$30+'TUSD BF'!$AM$30+'TUSD CVA'!$AM$30)*(1-CUSTOS!$M$38)</f>
        <v>620.85778527662399</v>
      </c>
      <c r="AA268" s="6">
        <f>('TE BE'!$AA$20+'TE BF'!$AA$20+'TE CVA'!$AA$20)*(1-CUSTOS!$M$38)</f>
        <v>198.0053374241497</v>
      </c>
      <c r="AB268" s="6">
        <f t="shared" si="14"/>
        <v>0</v>
      </c>
      <c r="AC268" s="6">
        <f>(L268*W268+M268*X268)/(1-CUSTOS!$M$38)*CUSTOS!$M$38</f>
        <v>3.7778329787234046</v>
      </c>
      <c r="AD268" s="6">
        <f t="shared" si="15"/>
        <v>0</v>
      </c>
      <c r="AE268" s="6">
        <f ca="1">(L268*Z268+N268*AA268)/(1-CUSTOS!$M$38)*CUSTOS!$M$38</f>
        <v>4.0246251349761435</v>
      </c>
      <c r="AF268" s="4" t="s">
        <v>808</v>
      </c>
    </row>
    <row r="269" spans="1:32" ht="11.25" customHeight="1" x14ac:dyDescent="0.25">
      <c r="A269" s="4" t="s">
        <v>21</v>
      </c>
      <c r="B269" s="4" t="s">
        <v>43</v>
      </c>
      <c r="C269" s="4" t="s">
        <v>23</v>
      </c>
      <c r="D269" s="4" t="s">
        <v>44</v>
      </c>
      <c r="E269" s="4" t="s">
        <v>53</v>
      </c>
      <c r="F269" s="4" t="s">
        <v>54</v>
      </c>
      <c r="G269" s="4" t="s">
        <v>25</v>
      </c>
      <c r="H269" s="4" t="s">
        <v>25</v>
      </c>
      <c r="I269" s="5">
        <v>44317</v>
      </c>
      <c r="J269" s="6">
        <v>0</v>
      </c>
      <c r="K269" s="6">
        <v>0</v>
      </c>
      <c r="L269" s="6">
        <v>55.582000000000001</v>
      </c>
      <c r="M269" s="6">
        <v>55.582000000000001</v>
      </c>
      <c r="N269" s="6">
        <v>55.582000000000001</v>
      </c>
      <c r="O269" s="6">
        <v>55.582000000000001</v>
      </c>
      <c r="P269" s="6">
        <v>0</v>
      </c>
      <c r="Q269" s="4" t="s">
        <v>26</v>
      </c>
      <c r="R269" s="4">
        <v>0</v>
      </c>
      <c r="S269" s="4">
        <v>0</v>
      </c>
      <c r="T269" s="4">
        <v>29</v>
      </c>
      <c r="U269" s="4">
        <v>66</v>
      </c>
      <c r="V269" s="6">
        <f>IF(ISERROR(VLOOKUP($S$269,'TAR FIN'!$A$1:$O$85,15,0)),0,VLOOKUP($S$269,'TAR FIN'!$A$1:$O$85,15,0))</f>
        <v>0</v>
      </c>
      <c r="W269" s="6">
        <f>IF(ISERROR(VLOOKUP($T$269,'TAR FIN'!$A$1:$O$85,15,0)),0,VLOOKUP($T$269,'TAR FIN'!$A$1:$O$85,15,0))</f>
        <v>240.85</v>
      </c>
      <c r="X269" s="6">
        <f>IF(ISERROR(VLOOKUP($U$269,'TAR FIN'!$A$1:$O$85,15,0)),0,VLOOKUP($U$269,'TAR FIN'!$A$1:$O$85,15,0))</f>
        <v>231.7</v>
      </c>
      <c r="Y269" s="6"/>
      <c r="Z269" s="6">
        <f ca="1">('TUSD BE'!$AM$33+'TUSD BF'!$AM$33+'TUSD CVA'!$AM$33)*(1-CUSTOS!$M$38)</f>
        <v>300.89907966262189</v>
      </c>
      <c r="AA269" s="6">
        <f>('TE BE'!$AA$23+'TE BF'!$AA$23+'TE CVA'!$AA$23)*(1-CUSTOS!$M$38)</f>
        <v>198.0053374241497</v>
      </c>
      <c r="AB269" s="6">
        <f t="shared" si="14"/>
        <v>0</v>
      </c>
      <c r="AC269" s="6">
        <f>(L269-M269)*(W269+X269)+($W$182+$X$182-$W$269-$X$269)*(L269)</f>
        <v>3581.1482600000004</v>
      </c>
      <c r="AD269" s="6">
        <f t="shared" si="15"/>
        <v>0</v>
      </c>
      <c r="AE269" s="6">
        <f ca="1">(L269-M269)*(Z269+AA269)+($Z$182+$AA$182-$Z$269-$AA$269)*(L269)</f>
        <v>1770.0067219478949</v>
      </c>
      <c r="AF269" s="4" t="s">
        <v>808</v>
      </c>
    </row>
    <row r="270" spans="1:32" ht="11.25" customHeight="1" x14ac:dyDescent="0.25">
      <c r="A270" s="4" t="s">
        <v>21</v>
      </c>
      <c r="B270" s="4" t="s">
        <v>43</v>
      </c>
      <c r="C270" s="4" t="s">
        <v>23</v>
      </c>
      <c r="D270" s="4" t="s">
        <v>44</v>
      </c>
      <c r="E270" s="4" t="s">
        <v>53</v>
      </c>
      <c r="F270" s="4" t="s">
        <v>54</v>
      </c>
      <c r="G270" s="4" t="s">
        <v>25</v>
      </c>
      <c r="H270" s="4" t="s">
        <v>25</v>
      </c>
      <c r="I270" s="5">
        <v>44348</v>
      </c>
      <c r="J270" s="6">
        <v>0</v>
      </c>
      <c r="K270" s="6">
        <v>0</v>
      </c>
      <c r="L270" s="6">
        <v>54.146000000000001</v>
      </c>
      <c r="M270" s="6">
        <v>54.146000000000001</v>
      </c>
      <c r="N270" s="6">
        <v>54.146000000000001</v>
      </c>
      <c r="O270" s="6">
        <v>54.146000000000001</v>
      </c>
      <c r="P270" s="6">
        <v>0</v>
      </c>
      <c r="Q270" s="4" t="s">
        <v>26</v>
      </c>
      <c r="R270" s="4">
        <v>0</v>
      </c>
      <c r="S270" s="4">
        <v>0</v>
      </c>
      <c r="T270" s="4">
        <v>29</v>
      </c>
      <c r="U270" s="4">
        <v>66</v>
      </c>
      <c r="V270" s="6">
        <f>IF(ISERROR(VLOOKUP($S$270,'TAR FIN'!$A$1:$O$85,15,0)),0,VLOOKUP($S$270,'TAR FIN'!$A$1:$O$85,15,0))</f>
        <v>0</v>
      </c>
      <c r="W270" s="6">
        <f>IF(ISERROR(VLOOKUP($T$270,'TAR FIN'!$A$1:$O$85,15,0)),0,VLOOKUP($T$270,'TAR FIN'!$A$1:$O$85,15,0))</f>
        <v>240.85</v>
      </c>
      <c r="X270" s="6">
        <f>IF(ISERROR(VLOOKUP($U$270,'TAR FIN'!$A$1:$O$85,15,0)),0,VLOOKUP($U$270,'TAR FIN'!$A$1:$O$85,15,0))</f>
        <v>231.7</v>
      </c>
      <c r="Y270" s="6"/>
      <c r="Z270" s="6">
        <f ca="1">('TUSD BE'!$AM$33+'TUSD BF'!$AM$33+'TUSD CVA'!$AM$33)*(1-CUSTOS!$M$38)</f>
        <v>300.89907966262189</v>
      </c>
      <c r="AA270" s="6">
        <f>('TE BE'!$AA$23+'TE BF'!$AA$23+'TE CVA'!$AA$23)*(1-CUSTOS!$M$38)</f>
        <v>198.0053374241497</v>
      </c>
      <c r="AB270" s="6">
        <f t="shared" si="14"/>
        <v>0</v>
      </c>
      <c r="AC270" s="6">
        <f>(L270-M270)*(W270+X270)+($W$182+$X$182-$W$270-$X$270)*(L270)</f>
        <v>3488.6267800000005</v>
      </c>
      <c r="AD270" s="6">
        <f t="shared" si="15"/>
        <v>0</v>
      </c>
      <c r="AE270" s="6">
        <f ca="1">(L270-M270)*(Z270+AA270)+($Z$182+$AA$182-$Z$270-$AA$270)*(L270)</f>
        <v>1724.2773553774732</v>
      </c>
      <c r="AF270" s="4" t="s">
        <v>808</v>
      </c>
    </row>
    <row r="271" spans="1:32" ht="11.25" customHeight="1" x14ac:dyDescent="0.25">
      <c r="A271" s="4" t="s">
        <v>21</v>
      </c>
      <c r="B271" s="4" t="s">
        <v>43</v>
      </c>
      <c r="C271" s="4" t="s">
        <v>23</v>
      </c>
      <c r="D271" s="4" t="s">
        <v>44</v>
      </c>
      <c r="E271" s="4" t="s">
        <v>53</v>
      </c>
      <c r="F271" s="4" t="s">
        <v>54</v>
      </c>
      <c r="G271" s="4" t="s">
        <v>25</v>
      </c>
      <c r="H271" s="4" t="s">
        <v>25</v>
      </c>
      <c r="I271" s="5">
        <v>44378</v>
      </c>
      <c r="J271" s="6">
        <v>0</v>
      </c>
      <c r="K271" s="6">
        <v>0</v>
      </c>
      <c r="L271" s="6">
        <v>45.243000000000002</v>
      </c>
      <c r="M271" s="6">
        <v>45.243000000000002</v>
      </c>
      <c r="N271" s="6">
        <v>45.243000000000002</v>
      </c>
      <c r="O271" s="6">
        <v>45.243000000000002</v>
      </c>
      <c r="P271" s="6">
        <v>0</v>
      </c>
      <c r="Q271" s="4" t="s">
        <v>26</v>
      </c>
      <c r="R271" s="4">
        <v>0</v>
      </c>
      <c r="S271" s="4">
        <v>0</v>
      </c>
      <c r="T271" s="4">
        <v>29</v>
      </c>
      <c r="U271" s="4">
        <v>66</v>
      </c>
      <c r="V271" s="6">
        <f>IF(ISERROR(VLOOKUP($S$271,'TAR FIN'!$A$1:$O$85,15,0)),0,VLOOKUP($S$271,'TAR FIN'!$A$1:$O$85,15,0))</f>
        <v>0</v>
      </c>
      <c r="W271" s="6">
        <f>IF(ISERROR(VLOOKUP($T$271,'TAR FIN'!$A$1:$O$85,15,0)),0,VLOOKUP($T$271,'TAR FIN'!$A$1:$O$85,15,0))</f>
        <v>240.85</v>
      </c>
      <c r="X271" s="6">
        <f>IF(ISERROR(VLOOKUP($U$271,'TAR FIN'!$A$1:$O$85,15,0)),0,VLOOKUP($U$271,'TAR FIN'!$A$1:$O$85,15,0))</f>
        <v>231.7</v>
      </c>
      <c r="Y271" s="6"/>
      <c r="Z271" s="6">
        <f ca="1">('TUSD BE'!$AM$33+'TUSD BF'!$AM$33+'TUSD CVA'!$AM$33)*(1-CUSTOS!$M$38)</f>
        <v>300.89907966262189</v>
      </c>
      <c r="AA271" s="6">
        <f>('TE BE'!$AA$23+'TE BF'!$AA$23+'TE CVA'!$AA$23)*(1-CUSTOS!$M$38)</f>
        <v>198.0053374241497</v>
      </c>
      <c r="AB271" s="6">
        <f t="shared" si="14"/>
        <v>0</v>
      </c>
      <c r="AC271" s="6">
        <f>(L271-M271)*(W271+X271)+($W$182+$X$182-$W$271-$X$271)*(L271)</f>
        <v>2915.0064900000007</v>
      </c>
      <c r="AD271" s="6">
        <f t="shared" si="15"/>
        <v>0</v>
      </c>
      <c r="AE271" s="6">
        <f ca="1">(L271-M271)*(Z271+AA271)+($Z$182+$AA$182-$Z$271-$AA$271)*(L271)</f>
        <v>1440.7616516334174</v>
      </c>
      <c r="AF271" s="4" t="s">
        <v>808</v>
      </c>
    </row>
    <row r="272" spans="1:32" ht="11.25" customHeight="1" x14ac:dyDescent="0.25">
      <c r="A272" s="4" t="s">
        <v>21</v>
      </c>
      <c r="B272" s="4" t="s">
        <v>43</v>
      </c>
      <c r="C272" s="4" t="s">
        <v>23</v>
      </c>
      <c r="D272" s="4" t="s">
        <v>44</v>
      </c>
      <c r="E272" s="4" t="s">
        <v>53</v>
      </c>
      <c r="F272" s="4" t="s">
        <v>54</v>
      </c>
      <c r="G272" s="4" t="s">
        <v>25</v>
      </c>
      <c r="H272" s="4" t="s">
        <v>25</v>
      </c>
      <c r="I272" s="5">
        <v>44409</v>
      </c>
      <c r="J272" s="6">
        <v>0</v>
      </c>
      <c r="K272" s="6">
        <v>0</v>
      </c>
      <c r="L272" s="6">
        <v>58.381999999999998</v>
      </c>
      <c r="M272" s="6">
        <v>58.381999999999998</v>
      </c>
      <c r="N272" s="6">
        <v>58.381999999999998</v>
      </c>
      <c r="O272" s="6">
        <v>58.381999999999998</v>
      </c>
      <c r="P272" s="6">
        <v>0</v>
      </c>
      <c r="Q272" s="4" t="s">
        <v>26</v>
      </c>
      <c r="R272" s="4">
        <v>0</v>
      </c>
      <c r="S272" s="4">
        <v>0</v>
      </c>
      <c r="T272" s="4">
        <v>29</v>
      </c>
      <c r="U272" s="4">
        <v>66</v>
      </c>
      <c r="V272" s="6">
        <f>IF(ISERROR(VLOOKUP($S$272,'TAR FIN'!$A$1:$O$85,15,0)),0,VLOOKUP($S$272,'TAR FIN'!$A$1:$O$85,15,0))</f>
        <v>0</v>
      </c>
      <c r="W272" s="6">
        <f>IF(ISERROR(VLOOKUP($T$272,'TAR FIN'!$A$1:$O$85,15,0)),0,VLOOKUP($T$272,'TAR FIN'!$A$1:$O$85,15,0))</f>
        <v>240.85</v>
      </c>
      <c r="X272" s="6">
        <f>IF(ISERROR(VLOOKUP($U$272,'TAR FIN'!$A$1:$O$85,15,0)),0,VLOOKUP($U$272,'TAR FIN'!$A$1:$O$85,15,0))</f>
        <v>231.7</v>
      </c>
      <c r="Y272" s="6"/>
      <c r="Z272" s="6">
        <f ca="1">('TUSD BE'!$AM$33+'TUSD BF'!$AM$33+'TUSD CVA'!$AM$33)*(1-CUSTOS!$M$38)</f>
        <v>300.89907966262189</v>
      </c>
      <c r="AA272" s="6">
        <f>('TE BE'!$AA$23+'TE BF'!$AA$23+'TE CVA'!$AA$23)*(1-CUSTOS!$M$38)</f>
        <v>198.0053374241497</v>
      </c>
      <c r="AB272" s="6">
        <f t="shared" si="14"/>
        <v>0</v>
      </c>
      <c r="AC272" s="6">
        <f>(L272-M272)*(W272+X272)+($W$182+$X$182-$W$272-$X$272)*(L272)</f>
        <v>3761.5522600000004</v>
      </c>
      <c r="AD272" s="6">
        <f t="shared" si="15"/>
        <v>0</v>
      </c>
      <c r="AE272" s="6">
        <f ca="1">(L272-M272)*(Z272+AA272)+($Z$182+$AA$182-$Z$272-$AA$272)*(L272)</f>
        <v>1859.1726177676585</v>
      </c>
      <c r="AF272" s="4" t="s">
        <v>808</v>
      </c>
    </row>
    <row r="273" spans="1:32" ht="11.25" customHeight="1" x14ac:dyDescent="0.25">
      <c r="A273" s="4" t="s">
        <v>28</v>
      </c>
      <c r="B273" s="4" t="s">
        <v>43</v>
      </c>
      <c r="C273" s="4" t="s">
        <v>23</v>
      </c>
      <c r="D273" s="4" t="s">
        <v>44</v>
      </c>
      <c r="E273" s="4" t="s">
        <v>53</v>
      </c>
      <c r="F273" s="4" t="s">
        <v>54</v>
      </c>
      <c r="G273" s="4" t="s">
        <v>25</v>
      </c>
      <c r="H273" s="4" t="s">
        <v>25</v>
      </c>
      <c r="I273" s="5">
        <v>44409</v>
      </c>
      <c r="J273" s="6">
        <v>0</v>
      </c>
      <c r="K273" s="6">
        <v>0</v>
      </c>
      <c r="L273" s="6">
        <v>0.99299999999999999</v>
      </c>
      <c r="M273" s="6">
        <v>0.99299999999999999</v>
      </c>
      <c r="N273" s="6">
        <v>0.99299999999999999</v>
      </c>
      <c r="O273" s="6">
        <v>0.99299999999999999</v>
      </c>
      <c r="P273" s="6">
        <v>0</v>
      </c>
      <c r="Q273" s="4" t="s">
        <v>26</v>
      </c>
      <c r="R273" s="4">
        <v>0</v>
      </c>
      <c r="S273" s="4">
        <v>0</v>
      </c>
      <c r="T273" s="4">
        <v>29</v>
      </c>
      <c r="U273" s="4">
        <v>66</v>
      </c>
      <c r="V273" s="6">
        <f>IF(ISERROR(VLOOKUP($S$273,'TAR FIN'!$A$1:$O$85,15,0)),0,VLOOKUP($S$273,'TAR FIN'!$A$1:$O$85,15,0))</f>
        <v>0</v>
      </c>
      <c r="W273" s="6">
        <f>IF(ISERROR(VLOOKUP($T$273,'TAR FIN'!$A$1:$O$85,15,0)),0,VLOOKUP($T$273,'TAR FIN'!$A$1:$O$85,15,0))</f>
        <v>240.85</v>
      </c>
      <c r="X273" s="6">
        <f>IF(ISERROR(VLOOKUP($U$273,'TAR FIN'!$A$1:$O$85,15,0)),0,VLOOKUP($U$273,'TAR FIN'!$A$1:$O$85,15,0))</f>
        <v>231.7</v>
      </c>
      <c r="Y273" s="6"/>
      <c r="Z273" s="6">
        <f ca="1">('TUSD BE'!$AM$33+'TUSD BF'!$AM$33+'TUSD CVA'!$AM$33)*(1-CUSTOS!$M$38)</f>
        <v>300.89907966262189</v>
      </c>
      <c r="AA273" s="6">
        <f>('TE BE'!$AA$23+'TE BF'!$AA$23+'TE CVA'!$AA$23)*(1-CUSTOS!$M$38)</f>
        <v>198.0053374241497</v>
      </c>
      <c r="AB273" s="6">
        <f t="shared" si="14"/>
        <v>0</v>
      </c>
      <c r="AC273" s="6">
        <f>(L273-M273)*(W273+X273)+($W$182+$X$182-$W$273-$X$273)*(L273)</f>
        <v>63.978990000000003</v>
      </c>
      <c r="AD273" s="6">
        <f t="shared" si="15"/>
        <v>0</v>
      </c>
      <c r="AE273" s="6">
        <f ca="1">(L273-M273)*(Z273+AA273)+($Z$182+$AA$182-$Z$273-$AA$273)*(L273)</f>
        <v>31.622048053223338</v>
      </c>
      <c r="AF273" s="4" t="s">
        <v>808</v>
      </c>
    </row>
    <row r="274" spans="1:32" ht="11.25" customHeight="1" x14ac:dyDescent="0.25">
      <c r="A274" s="4" t="s">
        <v>21</v>
      </c>
      <c r="B274" s="4" t="s">
        <v>43</v>
      </c>
      <c r="C274" s="4" t="s">
        <v>23</v>
      </c>
      <c r="D274" s="4" t="s">
        <v>44</v>
      </c>
      <c r="E274" s="4" t="s">
        <v>53</v>
      </c>
      <c r="F274" s="4" t="s">
        <v>54</v>
      </c>
      <c r="G274" s="4" t="s">
        <v>25</v>
      </c>
      <c r="H274" s="4" t="s">
        <v>25</v>
      </c>
      <c r="I274" s="5">
        <v>44440</v>
      </c>
      <c r="J274" s="6">
        <v>0</v>
      </c>
      <c r="K274" s="6">
        <v>0</v>
      </c>
      <c r="L274" s="6">
        <v>90.025000000000006</v>
      </c>
      <c r="M274" s="6">
        <v>90.025000000000006</v>
      </c>
      <c r="N274" s="6">
        <v>90.025000000000006</v>
      </c>
      <c r="O274" s="6">
        <v>90.025000000000006</v>
      </c>
      <c r="P274" s="6">
        <v>0</v>
      </c>
      <c r="Q274" s="4" t="s">
        <v>26</v>
      </c>
      <c r="R274" s="4">
        <v>0</v>
      </c>
      <c r="S274" s="4">
        <v>0</v>
      </c>
      <c r="T274" s="4">
        <v>29</v>
      </c>
      <c r="U274" s="4">
        <v>66</v>
      </c>
      <c r="V274" s="6">
        <f>IF(ISERROR(VLOOKUP($S$274,'TAR FIN'!$A$1:$O$85,15,0)),0,VLOOKUP($S$274,'TAR FIN'!$A$1:$O$85,15,0))</f>
        <v>0</v>
      </c>
      <c r="W274" s="6">
        <f>IF(ISERROR(VLOOKUP($T$274,'TAR FIN'!$A$1:$O$85,15,0)),0,VLOOKUP($T$274,'TAR FIN'!$A$1:$O$85,15,0))</f>
        <v>240.85</v>
      </c>
      <c r="X274" s="6">
        <f>IF(ISERROR(VLOOKUP($U$274,'TAR FIN'!$A$1:$O$85,15,0)),0,VLOOKUP($U$274,'TAR FIN'!$A$1:$O$85,15,0))</f>
        <v>231.7</v>
      </c>
      <c r="Y274" s="6"/>
      <c r="Z274" s="6">
        <f ca="1">('TUSD BE'!$AM$33+'TUSD BF'!$AM$33+'TUSD CVA'!$AM$33)*(1-CUSTOS!$M$38)</f>
        <v>300.89907966262189</v>
      </c>
      <c r="AA274" s="6">
        <f>('TE BE'!$AA$23+'TE BF'!$AA$23+'TE CVA'!$AA$23)*(1-CUSTOS!$M$38)</f>
        <v>198.0053374241497</v>
      </c>
      <c r="AB274" s="6">
        <f t="shared" si="14"/>
        <v>0</v>
      </c>
      <c r="AC274" s="6">
        <f>(L274-M274)*(W274+X274)+($W$182+$X$182-$W$274-$X$274)*(L274)</f>
        <v>5800.3107500000006</v>
      </c>
      <c r="AD274" s="6">
        <f t="shared" si="15"/>
        <v>0</v>
      </c>
      <c r="AE274" s="6">
        <f ca="1">(L274-M274)*(Z274+AA274)+($Z$182+$AA$182-$Z$274-$AA$274)*(L274)</f>
        <v>2866.8427754193667</v>
      </c>
      <c r="AF274" s="4" t="s">
        <v>808</v>
      </c>
    </row>
    <row r="275" spans="1:32" ht="11.25" customHeight="1" x14ac:dyDescent="0.25">
      <c r="A275" s="4" t="s">
        <v>28</v>
      </c>
      <c r="B275" s="4" t="s">
        <v>43</v>
      </c>
      <c r="C275" s="4" t="s">
        <v>23</v>
      </c>
      <c r="D275" s="4" t="s">
        <v>44</v>
      </c>
      <c r="E275" s="4" t="s">
        <v>53</v>
      </c>
      <c r="F275" s="4" t="s">
        <v>54</v>
      </c>
      <c r="G275" s="4" t="s">
        <v>25</v>
      </c>
      <c r="H275" s="4" t="s">
        <v>25</v>
      </c>
      <c r="I275" s="5">
        <v>44440</v>
      </c>
      <c r="J275" s="6">
        <v>0</v>
      </c>
      <c r="K275" s="6">
        <v>0</v>
      </c>
      <c r="L275" s="6">
        <v>2.4279999999999999</v>
      </c>
      <c r="M275" s="6">
        <v>2.4279999999999999</v>
      </c>
      <c r="N275" s="6">
        <v>2.4279999999999999</v>
      </c>
      <c r="O275" s="6">
        <v>2.4279999999999999</v>
      </c>
      <c r="P275" s="6">
        <v>0</v>
      </c>
      <c r="Q275" s="4" t="s">
        <v>26</v>
      </c>
      <c r="R275" s="4">
        <v>0</v>
      </c>
      <c r="S275" s="4">
        <v>0</v>
      </c>
      <c r="T275" s="4">
        <v>29</v>
      </c>
      <c r="U275" s="4">
        <v>66</v>
      </c>
      <c r="V275" s="6">
        <f>IF(ISERROR(VLOOKUP($S$275,'TAR FIN'!$A$1:$O$85,15,0)),0,VLOOKUP($S$275,'TAR FIN'!$A$1:$O$85,15,0))</f>
        <v>0</v>
      </c>
      <c r="W275" s="6">
        <f>IF(ISERROR(VLOOKUP($T$275,'TAR FIN'!$A$1:$O$85,15,0)),0,VLOOKUP($T$275,'TAR FIN'!$A$1:$O$85,15,0))</f>
        <v>240.85</v>
      </c>
      <c r="X275" s="6">
        <f>IF(ISERROR(VLOOKUP($U$275,'TAR FIN'!$A$1:$O$85,15,0)),0,VLOOKUP($U$275,'TAR FIN'!$A$1:$O$85,15,0))</f>
        <v>231.7</v>
      </c>
      <c r="Y275" s="6"/>
      <c r="Z275" s="6">
        <f ca="1">('TUSD BE'!$AM$33+'TUSD BF'!$AM$33+'TUSD CVA'!$AM$33)*(1-CUSTOS!$M$38)</f>
        <v>300.89907966262189</v>
      </c>
      <c r="AA275" s="6">
        <f>('TE BE'!$AA$23+'TE BF'!$AA$23+'TE CVA'!$AA$23)*(1-CUSTOS!$M$38)</f>
        <v>198.0053374241497</v>
      </c>
      <c r="AB275" s="6">
        <f t="shared" si="14"/>
        <v>0</v>
      </c>
      <c r="AC275" s="6">
        <f>(L275-M275)*(W275+X275)+($W$182+$X$182-$W$275-$X$275)*(L275)</f>
        <v>156.43604000000002</v>
      </c>
      <c r="AD275" s="6">
        <f t="shared" si="15"/>
        <v>0</v>
      </c>
      <c r="AE275" s="6">
        <f ca="1">(L275-M275)*(Z275+AA275)+($Z$182+$AA$182-$Z$275-$AA$275)*(L275)</f>
        <v>77.319569660852224</v>
      </c>
      <c r="AF275" s="4" t="s">
        <v>808</v>
      </c>
    </row>
    <row r="276" spans="1:32" ht="11.25" customHeight="1" x14ac:dyDescent="0.25">
      <c r="A276" s="4" t="s">
        <v>21</v>
      </c>
      <c r="B276" s="4" t="s">
        <v>43</v>
      </c>
      <c r="C276" s="4" t="s">
        <v>23</v>
      </c>
      <c r="D276" s="4" t="s">
        <v>44</v>
      </c>
      <c r="E276" s="4" t="s">
        <v>53</v>
      </c>
      <c r="F276" s="4" t="s">
        <v>54</v>
      </c>
      <c r="G276" s="4" t="s">
        <v>25</v>
      </c>
      <c r="H276" s="4" t="s">
        <v>25</v>
      </c>
      <c r="I276" s="5">
        <v>44470</v>
      </c>
      <c r="J276" s="6">
        <v>0</v>
      </c>
      <c r="K276" s="6">
        <v>0</v>
      </c>
      <c r="L276" s="6">
        <v>74.108000000000004</v>
      </c>
      <c r="M276" s="6">
        <v>74.108000000000004</v>
      </c>
      <c r="N276" s="6">
        <v>74.108000000000004</v>
      </c>
      <c r="O276" s="6">
        <v>74.108000000000004</v>
      </c>
      <c r="P276" s="6">
        <v>0</v>
      </c>
      <c r="Q276" s="4" t="s">
        <v>26</v>
      </c>
      <c r="R276" s="4">
        <v>0</v>
      </c>
      <c r="S276" s="4">
        <v>0</v>
      </c>
      <c r="T276" s="4">
        <v>29</v>
      </c>
      <c r="U276" s="4">
        <v>66</v>
      </c>
      <c r="V276" s="6">
        <f>IF(ISERROR(VLOOKUP($S$276,'TAR FIN'!$A$1:$O$85,15,0)),0,VLOOKUP($S$276,'TAR FIN'!$A$1:$O$85,15,0))</f>
        <v>0</v>
      </c>
      <c r="W276" s="6">
        <f>IF(ISERROR(VLOOKUP($T$276,'TAR FIN'!$A$1:$O$85,15,0)),0,VLOOKUP($T$276,'TAR FIN'!$A$1:$O$85,15,0))</f>
        <v>240.85</v>
      </c>
      <c r="X276" s="6">
        <f>IF(ISERROR(VLOOKUP($U$276,'TAR FIN'!$A$1:$O$85,15,0)),0,VLOOKUP($U$276,'TAR FIN'!$A$1:$O$85,15,0))</f>
        <v>231.7</v>
      </c>
      <c r="Y276" s="6"/>
      <c r="Z276" s="6">
        <f ca="1">('TUSD BE'!$AM$33+'TUSD BF'!$AM$33+'TUSD CVA'!$AM$33)*(1-CUSTOS!$M$38)</f>
        <v>300.89907966262189</v>
      </c>
      <c r="AA276" s="6">
        <f>('TE BE'!$AA$23+'TE BF'!$AA$23+'TE CVA'!$AA$23)*(1-CUSTOS!$M$38)</f>
        <v>198.0053374241497</v>
      </c>
      <c r="AB276" s="6">
        <f t="shared" si="14"/>
        <v>0</v>
      </c>
      <c r="AC276" s="6">
        <f>(L276-M276)*(W276+X276)+($W$182+$X$182-$W$276-$X$276)*(L276)</f>
        <v>4774.778440000001</v>
      </c>
      <c r="AD276" s="6">
        <f t="shared" si="15"/>
        <v>0</v>
      </c>
      <c r="AE276" s="6">
        <f ca="1">(L276-M276)*(Z276+AA276)+($Z$182+$AA$182-$Z$276-$AA$276)*(L276)</f>
        <v>2359.9665026468028</v>
      </c>
      <c r="AF276" s="4" t="s">
        <v>808</v>
      </c>
    </row>
    <row r="277" spans="1:32" ht="11.25" customHeight="1" x14ac:dyDescent="0.25">
      <c r="A277" s="4" t="s">
        <v>28</v>
      </c>
      <c r="B277" s="4" t="s">
        <v>43</v>
      </c>
      <c r="C277" s="4" t="s">
        <v>23</v>
      </c>
      <c r="D277" s="4" t="s">
        <v>44</v>
      </c>
      <c r="E277" s="4" t="s">
        <v>53</v>
      </c>
      <c r="F277" s="4" t="s">
        <v>54</v>
      </c>
      <c r="G277" s="4" t="s">
        <v>25</v>
      </c>
      <c r="H277" s="4" t="s">
        <v>25</v>
      </c>
      <c r="I277" s="5">
        <v>44470</v>
      </c>
      <c r="J277" s="6">
        <v>0</v>
      </c>
      <c r="K277" s="6">
        <v>0</v>
      </c>
      <c r="L277" s="6">
        <v>0.1</v>
      </c>
      <c r="M277" s="6">
        <v>0.1</v>
      </c>
      <c r="N277" s="6">
        <v>0.1</v>
      </c>
      <c r="O277" s="6">
        <v>0.1</v>
      </c>
      <c r="P277" s="6">
        <v>0</v>
      </c>
      <c r="Q277" s="4" t="s">
        <v>26</v>
      </c>
      <c r="R277" s="4">
        <v>0</v>
      </c>
      <c r="S277" s="4">
        <v>0</v>
      </c>
      <c r="T277" s="4">
        <v>29</v>
      </c>
      <c r="U277" s="4">
        <v>66</v>
      </c>
      <c r="V277" s="6">
        <f>IF(ISERROR(VLOOKUP($S$277,'TAR FIN'!$A$1:$O$85,15,0)),0,VLOOKUP($S$277,'TAR FIN'!$A$1:$O$85,15,0))</f>
        <v>0</v>
      </c>
      <c r="W277" s="6">
        <f>IF(ISERROR(VLOOKUP($T$277,'TAR FIN'!$A$1:$O$85,15,0)),0,VLOOKUP($T$277,'TAR FIN'!$A$1:$O$85,15,0))</f>
        <v>240.85</v>
      </c>
      <c r="X277" s="6">
        <f>IF(ISERROR(VLOOKUP($U$277,'TAR FIN'!$A$1:$O$85,15,0)),0,VLOOKUP($U$277,'TAR FIN'!$A$1:$O$85,15,0))</f>
        <v>231.7</v>
      </c>
      <c r="Y277" s="6"/>
      <c r="Z277" s="6">
        <f ca="1">('TUSD BE'!$AM$33+'TUSD BF'!$AM$33+'TUSD CVA'!$AM$33)*(1-CUSTOS!$M$38)</f>
        <v>300.89907966262189</v>
      </c>
      <c r="AA277" s="6">
        <f>('TE BE'!$AA$23+'TE BF'!$AA$23+'TE CVA'!$AA$23)*(1-CUSTOS!$M$38)</f>
        <v>198.0053374241497</v>
      </c>
      <c r="AB277" s="6">
        <f t="shared" si="14"/>
        <v>0</v>
      </c>
      <c r="AC277" s="6">
        <f>(L277-M277)*(W277+X277)+($W$182+$X$182-$W$277-$X$277)*(L277)</f>
        <v>6.4430000000000014</v>
      </c>
      <c r="AD277" s="6">
        <f t="shared" si="15"/>
        <v>0</v>
      </c>
      <c r="AE277" s="6">
        <f ca="1">(L277-M277)*(Z277+AA277)+($Z$182+$AA$182-$Z$277-$AA$277)*(L277)</f>
        <v>3.1844962792772749</v>
      </c>
      <c r="AF277" s="4" t="s">
        <v>808</v>
      </c>
    </row>
    <row r="278" spans="1:32" ht="11.25" customHeight="1" x14ac:dyDescent="0.25">
      <c r="A278" s="4" t="s">
        <v>21</v>
      </c>
      <c r="B278" s="4" t="s">
        <v>43</v>
      </c>
      <c r="C278" s="4" t="s">
        <v>23</v>
      </c>
      <c r="D278" s="4" t="s">
        <v>44</v>
      </c>
      <c r="E278" s="4" t="s">
        <v>53</v>
      </c>
      <c r="F278" s="4" t="s">
        <v>54</v>
      </c>
      <c r="G278" s="4" t="s">
        <v>25</v>
      </c>
      <c r="H278" s="4" t="s">
        <v>25</v>
      </c>
      <c r="I278" s="5">
        <v>44501</v>
      </c>
      <c r="J278" s="6">
        <v>0</v>
      </c>
      <c r="K278" s="6">
        <v>0</v>
      </c>
      <c r="L278" s="6">
        <v>28.56</v>
      </c>
      <c r="M278" s="6">
        <v>28.56</v>
      </c>
      <c r="N278" s="6">
        <v>28.56</v>
      </c>
      <c r="O278" s="6">
        <v>28.56</v>
      </c>
      <c r="P278" s="6">
        <v>0</v>
      </c>
      <c r="Q278" s="4" t="s">
        <v>26</v>
      </c>
      <c r="R278" s="4">
        <v>0</v>
      </c>
      <c r="S278" s="4">
        <v>0</v>
      </c>
      <c r="T278" s="4">
        <v>29</v>
      </c>
      <c r="U278" s="4">
        <v>66</v>
      </c>
      <c r="V278" s="6">
        <f>IF(ISERROR(VLOOKUP($S$278,'TAR FIN'!$A$1:$O$85,15,0)),0,VLOOKUP($S$278,'TAR FIN'!$A$1:$O$85,15,0))</f>
        <v>0</v>
      </c>
      <c r="W278" s="6">
        <f>IF(ISERROR(VLOOKUP($T$278,'TAR FIN'!$A$1:$O$85,15,0)),0,VLOOKUP($T$278,'TAR FIN'!$A$1:$O$85,15,0))</f>
        <v>240.85</v>
      </c>
      <c r="X278" s="6">
        <f>IF(ISERROR(VLOOKUP($U$278,'TAR FIN'!$A$1:$O$85,15,0)),0,VLOOKUP($U$278,'TAR FIN'!$A$1:$O$85,15,0))</f>
        <v>231.7</v>
      </c>
      <c r="Y278" s="6"/>
      <c r="Z278" s="6">
        <f ca="1">('TUSD BE'!$AM$33+'TUSD BF'!$AM$33+'TUSD CVA'!$AM$33)*(1-CUSTOS!$M$38)</f>
        <v>300.89907966262189</v>
      </c>
      <c r="AA278" s="6">
        <f>('TE BE'!$AA$23+'TE BF'!$AA$23+'TE CVA'!$AA$23)*(1-CUSTOS!$M$38)</f>
        <v>198.0053374241497</v>
      </c>
      <c r="AB278" s="6">
        <f t="shared" si="14"/>
        <v>0</v>
      </c>
      <c r="AC278" s="6">
        <f>(L278-M278)*(W278+X278)+($W$182+$X$182-$W$278-$X$278)*(L278)</f>
        <v>1840.1208000000001</v>
      </c>
      <c r="AD278" s="6">
        <f t="shared" si="15"/>
        <v>0</v>
      </c>
      <c r="AE278" s="6">
        <f ca="1">(L278-M278)*(Z278+AA278)+($Z$182+$AA$182-$Z$278-$AA$278)*(L278)</f>
        <v>909.49213736158958</v>
      </c>
      <c r="AF278" s="4" t="s">
        <v>808</v>
      </c>
    </row>
    <row r="279" spans="1:32" ht="11.25" customHeight="1" x14ac:dyDescent="0.25">
      <c r="A279" s="4" t="s">
        <v>28</v>
      </c>
      <c r="B279" s="4" t="s">
        <v>43</v>
      </c>
      <c r="C279" s="4" t="s">
        <v>23</v>
      </c>
      <c r="D279" s="4" t="s">
        <v>44</v>
      </c>
      <c r="E279" s="4" t="s">
        <v>53</v>
      </c>
      <c r="F279" s="4" t="s">
        <v>54</v>
      </c>
      <c r="G279" s="4" t="s">
        <v>25</v>
      </c>
      <c r="H279" s="4" t="s">
        <v>25</v>
      </c>
      <c r="I279" s="5">
        <v>44501</v>
      </c>
      <c r="J279" s="6">
        <v>0</v>
      </c>
      <c r="K279" s="6">
        <v>0</v>
      </c>
      <c r="L279" s="6">
        <v>0.1</v>
      </c>
      <c r="M279" s="6">
        <v>0.1</v>
      </c>
      <c r="N279" s="6">
        <v>0.1</v>
      </c>
      <c r="O279" s="6">
        <v>0.1</v>
      </c>
      <c r="P279" s="6">
        <v>0</v>
      </c>
      <c r="Q279" s="4" t="s">
        <v>26</v>
      </c>
      <c r="R279" s="4">
        <v>0</v>
      </c>
      <c r="S279" s="4">
        <v>0</v>
      </c>
      <c r="T279" s="4">
        <v>29</v>
      </c>
      <c r="U279" s="4">
        <v>66</v>
      </c>
      <c r="V279" s="6">
        <f>IF(ISERROR(VLOOKUP($S$279,'TAR FIN'!$A$1:$O$85,15,0)),0,VLOOKUP($S$279,'TAR FIN'!$A$1:$O$85,15,0))</f>
        <v>0</v>
      </c>
      <c r="W279" s="6">
        <f>IF(ISERROR(VLOOKUP($T$279,'TAR FIN'!$A$1:$O$85,15,0)),0,VLOOKUP($T$279,'TAR FIN'!$A$1:$O$85,15,0))</f>
        <v>240.85</v>
      </c>
      <c r="X279" s="6">
        <f>IF(ISERROR(VLOOKUP($U$279,'TAR FIN'!$A$1:$O$85,15,0)),0,VLOOKUP($U$279,'TAR FIN'!$A$1:$O$85,15,0))</f>
        <v>231.7</v>
      </c>
      <c r="Y279" s="6"/>
      <c r="Z279" s="6">
        <f ca="1">('TUSD BE'!$AM$33+'TUSD BF'!$AM$33+'TUSD CVA'!$AM$33)*(1-CUSTOS!$M$38)</f>
        <v>300.89907966262189</v>
      </c>
      <c r="AA279" s="6">
        <f>('TE BE'!$AA$23+'TE BF'!$AA$23+'TE CVA'!$AA$23)*(1-CUSTOS!$M$38)</f>
        <v>198.0053374241497</v>
      </c>
      <c r="AB279" s="6">
        <f t="shared" si="14"/>
        <v>0</v>
      </c>
      <c r="AC279" s="6">
        <f>(L279-M279)*(W279+X279)+($W$182+$X$182-$W$279-$X$279)*(L279)</f>
        <v>6.4430000000000014</v>
      </c>
      <c r="AD279" s="6">
        <f t="shared" si="15"/>
        <v>0</v>
      </c>
      <c r="AE279" s="6">
        <f ca="1">(L279-M279)*(Z279+AA279)+($Z$182+$AA$182-$Z$279-$AA$279)*(L279)</f>
        <v>3.1844962792772749</v>
      </c>
      <c r="AF279" s="4" t="s">
        <v>808</v>
      </c>
    </row>
    <row r="280" spans="1:32" ht="11.25" customHeight="1" x14ac:dyDescent="0.25">
      <c r="A280" s="4" t="s">
        <v>21</v>
      </c>
      <c r="B280" s="4" t="s">
        <v>43</v>
      </c>
      <c r="C280" s="4" t="s">
        <v>23</v>
      </c>
      <c r="D280" s="4" t="s">
        <v>44</v>
      </c>
      <c r="E280" s="4" t="s">
        <v>53</v>
      </c>
      <c r="F280" s="4" t="s">
        <v>54</v>
      </c>
      <c r="G280" s="4" t="s">
        <v>25</v>
      </c>
      <c r="H280" s="4" t="s">
        <v>25</v>
      </c>
      <c r="I280" s="5">
        <v>44531</v>
      </c>
      <c r="J280" s="6">
        <v>0</v>
      </c>
      <c r="K280" s="6">
        <v>0</v>
      </c>
      <c r="L280" s="6">
        <v>30.66</v>
      </c>
      <c r="M280" s="6">
        <v>30.66</v>
      </c>
      <c r="N280" s="6">
        <v>30.66</v>
      </c>
      <c r="O280" s="6">
        <v>30.66</v>
      </c>
      <c r="P280" s="6">
        <v>0</v>
      </c>
      <c r="Q280" s="4" t="s">
        <v>26</v>
      </c>
      <c r="R280" s="4">
        <v>0</v>
      </c>
      <c r="S280" s="4">
        <v>0</v>
      </c>
      <c r="T280" s="4">
        <v>29</v>
      </c>
      <c r="U280" s="4">
        <v>66</v>
      </c>
      <c r="V280" s="6">
        <f>IF(ISERROR(VLOOKUP($S$280,'TAR FIN'!$A$1:$O$85,15,0)),0,VLOOKUP($S$280,'TAR FIN'!$A$1:$O$85,15,0))</f>
        <v>0</v>
      </c>
      <c r="W280" s="6">
        <f>IF(ISERROR(VLOOKUP($T$280,'TAR FIN'!$A$1:$O$85,15,0)),0,VLOOKUP($T$280,'TAR FIN'!$A$1:$O$85,15,0))</f>
        <v>240.85</v>
      </c>
      <c r="X280" s="6">
        <f>IF(ISERROR(VLOOKUP($U$280,'TAR FIN'!$A$1:$O$85,15,0)),0,VLOOKUP($U$280,'TAR FIN'!$A$1:$O$85,15,0))</f>
        <v>231.7</v>
      </c>
      <c r="Y280" s="6"/>
      <c r="Z280" s="6">
        <f ca="1">('TUSD BE'!$AM$33+'TUSD BF'!$AM$33+'TUSD CVA'!$AM$33)*(1-CUSTOS!$M$38)</f>
        <v>300.89907966262189</v>
      </c>
      <c r="AA280" s="6">
        <f>('TE BE'!$AA$23+'TE BF'!$AA$23+'TE CVA'!$AA$23)*(1-CUSTOS!$M$38)</f>
        <v>198.0053374241497</v>
      </c>
      <c r="AB280" s="6">
        <f t="shared" si="14"/>
        <v>0</v>
      </c>
      <c r="AC280" s="6">
        <f>(L280-M280)*(W280+X280)+($W$182+$X$182-$W$280-$X$280)*(L280)</f>
        <v>1975.4238000000003</v>
      </c>
      <c r="AD280" s="6">
        <f t="shared" si="15"/>
        <v>0</v>
      </c>
      <c r="AE280" s="6">
        <f ca="1">(L280-M280)*(Z280+AA280)+($Z$182+$AA$182-$Z$280-$AA$280)*(L280)</f>
        <v>976.36655922641239</v>
      </c>
      <c r="AF280" s="4" t="s">
        <v>808</v>
      </c>
    </row>
    <row r="281" spans="1:32" ht="11.25" customHeight="1" x14ac:dyDescent="0.25">
      <c r="A281" s="4" t="s">
        <v>28</v>
      </c>
      <c r="B281" s="4" t="s">
        <v>43</v>
      </c>
      <c r="C281" s="4" t="s">
        <v>23</v>
      </c>
      <c r="D281" s="4" t="s">
        <v>44</v>
      </c>
      <c r="E281" s="4" t="s">
        <v>53</v>
      </c>
      <c r="F281" s="4" t="s">
        <v>54</v>
      </c>
      <c r="G281" s="4" t="s">
        <v>25</v>
      </c>
      <c r="H281" s="4" t="s">
        <v>25</v>
      </c>
      <c r="I281" s="5">
        <v>44531</v>
      </c>
      <c r="J281" s="6">
        <v>0</v>
      </c>
      <c r="K281" s="6">
        <v>0</v>
      </c>
      <c r="L281" s="6">
        <v>0.1</v>
      </c>
      <c r="M281" s="6">
        <v>0.1</v>
      </c>
      <c r="N281" s="6">
        <v>0.1</v>
      </c>
      <c r="O281" s="6">
        <v>0.1</v>
      </c>
      <c r="P281" s="6">
        <v>0</v>
      </c>
      <c r="Q281" s="4" t="s">
        <v>26</v>
      </c>
      <c r="R281" s="4">
        <v>0</v>
      </c>
      <c r="S281" s="4">
        <v>0</v>
      </c>
      <c r="T281" s="4">
        <v>29</v>
      </c>
      <c r="U281" s="4">
        <v>66</v>
      </c>
      <c r="V281" s="6">
        <f>IF(ISERROR(VLOOKUP($S$281,'TAR FIN'!$A$1:$O$85,15,0)),0,VLOOKUP($S$281,'TAR FIN'!$A$1:$O$85,15,0))</f>
        <v>0</v>
      </c>
      <c r="W281" s="6">
        <f>IF(ISERROR(VLOOKUP($T$281,'TAR FIN'!$A$1:$O$85,15,0)),0,VLOOKUP($T$281,'TAR FIN'!$A$1:$O$85,15,0))</f>
        <v>240.85</v>
      </c>
      <c r="X281" s="6">
        <f>IF(ISERROR(VLOOKUP($U$281,'TAR FIN'!$A$1:$O$85,15,0)),0,VLOOKUP($U$281,'TAR FIN'!$A$1:$O$85,15,0))</f>
        <v>231.7</v>
      </c>
      <c r="Y281" s="6"/>
      <c r="Z281" s="6">
        <f ca="1">('TUSD BE'!$AM$33+'TUSD BF'!$AM$33+'TUSD CVA'!$AM$33)*(1-CUSTOS!$M$38)</f>
        <v>300.89907966262189</v>
      </c>
      <c r="AA281" s="6">
        <f>('TE BE'!$AA$23+'TE BF'!$AA$23+'TE CVA'!$AA$23)*(1-CUSTOS!$M$38)</f>
        <v>198.0053374241497</v>
      </c>
      <c r="AB281" s="6">
        <f t="shared" si="14"/>
        <v>0</v>
      </c>
      <c r="AC281" s="6">
        <f>(L281-M281)*(W281+X281)+($W$182+$X$182-$W$281-$X$281)*(L281)</f>
        <v>6.4430000000000014</v>
      </c>
      <c r="AD281" s="6">
        <f t="shared" si="15"/>
        <v>0</v>
      </c>
      <c r="AE281" s="6">
        <f ca="1">(L281-M281)*(Z281+AA281)+($Z$182+$AA$182-$Z$281-$AA$281)*(L281)</f>
        <v>3.1844962792772749</v>
      </c>
      <c r="AF281" s="4" t="s">
        <v>808</v>
      </c>
    </row>
    <row r="282" spans="1:32" ht="11.25" customHeight="1" x14ac:dyDescent="0.25">
      <c r="A282" s="4" t="s">
        <v>21</v>
      </c>
      <c r="B282" s="4" t="s">
        <v>43</v>
      </c>
      <c r="C282" s="4" t="s">
        <v>23</v>
      </c>
      <c r="D282" s="4" t="s">
        <v>44</v>
      </c>
      <c r="E282" s="4" t="s">
        <v>53</v>
      </c>
      <c r="F282" s="4" t="s">
        <v>54</v>
      </c>
      <c r="G282" s="4" t="s">
        <v>25</v>
      </c>
      <c r="H282" s="4" t="s">
        <v>25</v>
      </c>
      <c r="I282" s="5">
        <v>44562</v>
      </c>
      <c r="J282" s="6">
        <v>0</v>
      </c>
      <c r="K282" s="6">
        <v>0</v>
      </c>
      <c r="L282" s="6">
        <v>29.619</v>
      </c>
      <c r="M282" s="6">
        <v>29.619</v>
      </c>
      <c r="N282" s="6">
        <v>29.619</v>
      </c>
      <c r="O282" s="6">
        <v>29.619</v>
      </c>
      <c r="P282" s="6">
        <v>0</v>
      </c>
      <c r="Q282" s="4" t="s">
        <v>26</v>
      </c>
      <c r="R282" s="4">
        <v>0</v>
      </c>
      <c r="S282" s="4">
        <v>0</v>
      </c>
      <c r="T282" s="4">
        <v>29</v>
      </c>
      <c r="U282" s="4">
        <v>66</v>
      </c>
      <c r="V282" s="6">
        <f>IF(ISERROR(VLOOKUP($S$282,'TAR FIN'!$A$1:$O$85,15,0)),0,VLOOKUP($S$282,'TAR FIN'!$A$1:$O$85,15,0))</f>
        <v>0</v>
      </c>
      <c r="W282" s="6">
        <f>IF(ISERROR(VLOOKUP($T$282,'TAR FIN'!$A$1:$O$85,15,0)),0,VLOOKUP($T$282,'TAR FIN'!$A$1:$O$85,15,0))</f>
        <v>240.85</v>
      </c>
      <c r="X282" s="6">
        <f>IF(ISERROR(VLOOKUP($U$282,'TAR FIN'!$A$1:$O$85,15,0)),0,VLOOKUP($U$282,'TAR FIN'!$A$1:$O$85,15,0))</f>
        <v>231.7</v>
      </c>
      <c r="Y282" s="6"/>
      <c r="Z282" s="6">
        <f ca="1">('TUSD BE'!$AM$33+'TUSD BF'!$AM$33+'TUSD CVA'!$AM$33)*(1-CUSTOS!$M$38)</f>
        <v>300.89907966262189</v>
      </c>
      <c r="AA282" s="6">
        <f>('TE BE'!$AA$23+'TE BF'!$AA$23+'TE CVA'!$AA$23)*(1-CUSTOS!$M$38)</f>
        <v>198.0053374241497</v>
      </c>
      <c r="AB282" s="6">
        <f t="shared" si="14"/>
        <v>0</v>
      </c>
      <c r="AC282" s="6">
        <f>(L282-M282)*(W282+X282)+($W$182+$X$182-$W$282-$X$282)*(L282)</f>
        <v>1908.3521700000001</v>
      </c>
      <c r="AD282" s="6">
        <f t="shared" si="15"/>
        <v>0</v>
      </c>
      <c r="AE282" s="6">
        <f ca="1">(L282-M282)*(Z282+AA282)+($Z$182+$AA$182-$Z$282-$AA$282)*(L282)</f>
        <v>943.21595295913596</v>
      </c>
      <c r="AF282" s="4" t="s">
        <v>808</v>
      </c>
    </row>
    <row r="283" spans="1:32" ht="11.25" customHeight="1" x14ac:dyDescent="0.25">
      <c r="A283" s="4" t="s">
        <v>28</v>
      </c>
      <c r="B283" s="4" t="s">
        <v>43</v>
      </c>
      <c r="C283" s="4" t="s">
        <v>23</v>
      </c>
      <c r="D283" s="4" t="s">
        <v>44</v>
      </c>
      <c r="E283" s="4" t="s">
        <v>53</v>
      </c>
      <c r="F283" s="4" t="s">
        <v>54</v>
      </c>
      <c r="G283" s="4" t="s">
        <v>25</v>
      </c>
      <c r="H283" s="4" t="s">
        <v>25</v>
      </c>
      <c r="I283" s="5">
        <v>44562</v>
      </c>
      <c r="J283" s="6">
        <v>0</v>
      </c>
      <c r="K283" s="6">
        <v>0</v>
      </c>
      <c r="L283" s="6">
        <v>0.1</v>
      </c>
      <c r="M283" s="6">
        <v>0.1</v>
      </c>
      <c r="N283" s="6">
        <v>0.1</v>
      </c>
      <c r="O283" s="6">
        <v>0.1</v>
      </c>
      <c r="P283" s="6">
        <v>0</v>
      </c>
      <c r="Q283" s="4" t="s">
        <v>26</v>
      </c>
      <c r="R283" s="4">
        <v>0</v>
      </c>
      <c r="S283" s="4">
        <v>0</v>
      </c>
      <c r="T283" s="4">
        <v>29</v>
      </c>
      <c r="U283" s="4">
        <v>66</v>
      </c>
      <c r="V283" s="6">
        <f>IF(ISERROR(VLOOKUP($S$283,'TAR FIN'!$A$1:$O$85,15,0)),0,VLOOKUP($S$283,'TAR FIN'!$A$1:$O$85,15,0))</f>
        <v>0</v>
      </c>
      <c r="W283" s="6">
        <f>IF(ISERROR(VLOOKUP($T$283,'TAR FIN'!$A$1:$O$85,15,0)),0,VLOOKUP($T$283,'TAR FIN'!$A$1:$O$85,15,0))</f>
        <v>240.85</v>
      </c>
      <c r="X283" s="6">
        <f>IF(ISERROR(VLOOKUP($U$283,'TAR FIN'!$A$1:$O$85,15,0)),0,VLOOKUP($U$283,'TAR FIN'!$A$1:$O$85,15,0))</f>
        <v>231.7</v>
      </c>
      <c r="Y283" s="6"/>
      <c r="Z283" s="6">
        <f ca="1">('TUSD BE'!$AM$33+'TUSD BF'!$AM$33+'TUSD CVA'!$AM$33)*(1-CUSTOS!$M$38)</f>
        <v>300.89907966262189</v>
      </c>
      <c r="AA283" s="6">
        <f>('TE BE'!$AA$23+'TE BF'!$AA$23+'TE CVA'!$AA$23)*(1-CUSTOS!$M$38)</f>
        <v>198.0053374241497</v>
      </c>
      <c r="AB283" s="6">
        <f t="shared" si="14"/>
        <v>0</v>
      </c>
      <c r="AC283" s="6">
        <f>(L283-M283)*(W283+X283)+($W$182+$X$182-$W$283-$X$283)*(L283)</f>
        <v>6.4430000000000014</v>
      </c>
      <c r="AD283" s="6">
        <f t="shared" si="15"/>
        <v>0</v>
      </c>
      <c r="AE283" s="6">
        <f ca="1">(L283-M283)*(Z283+AA283)+($Z$182+$AA$182-$Z$283-$AA$283)*(L283)</f>
        <v>3.1844962792772749</v>
      </c>
      <c r="AF283" s="4" t="s">
        <v>808</v>
      </c>
    </row>
    <row r="284" spans="1:32" ht="11.25" customHeight="1" x14ac:dyDescent="0.25">
      <c r="A284" s="4" t="s">
        <v>21</v>
      </c>
      <c r="B284" s="4" t="s">
        <v>43</v>
      </c>
      <c r="C284" s="4" t="s">
        <v>23</v>
      </c>
      <c r="D284" s="4" t="s">
        <v>44</v>
      </c>
      <c r="E284" s="4" t="s">
        <v>53</v>
      </c>
      <c r="F284" s="4" t="s">
        <v>54</v>
      </c>
      <c r="G284" s="4" t="s">
        <v>25</v>
      </c>
      <c r="H284" s="4" t="s">
        <v>25</v>
      </c>
      <c r="I284" s="5">
        <v>44593</v>
      </c>
      <c r="J284" s="6">
        <v>0</v>
      </c>
      <c r="K284" s="6">
        <v>0</v>
      </c>
      <c r="L284" s="6">
        <v>28.905000000000001</v>
      </c>
      <c r="M284" s="6">
        <v>28.905000000000001</v>
      </c>
      <c r="N284" s="6">
        <v>28.905000000000001</v>
      </c>
      <c r="O284" s="6">
        <v>28.905000000000001</v>
      </c>
      <c r="P284" s="6">
        <v>0</v>
      </c>
      <c r="Q284" s="4" t="s">
        <v>26</v>
      </c>
      <c r="R284" s="4">
        <v>0</v>
      </c>
      <c r="S284" s="4">
        <v>0</v>
      </c>
      <c r="T284" s="4">
        <v>29</v>
      </c>
      <c r="U284" s="4">
        <v>66</v>
      </c>
      <c r="V284" s="6">
        <f>IF(ISERROR(VLOOKUP($S$284,'TAR FIN'!$A$1:$O$85,15,0)),0,VLOOKUP($S$284,'TAR FIN'!$A$1:$O$85,15,0))</f>
        <v>0</v>
      </c>
      <c r="W284" s="6">
        <f>IF(ISERROR(VLOOKUP($T$284,'TAR FIN'!$A$1:$O$85,15,0)),0,VLOOKUP($T$284,'TAR FIN'!$A$1:$O$85,15,0))</f>
        <v>240.85</v>
      </c>
      <c r="X284" s="6">
        <f>IF(ISERROR(VLOOKUP($U$284,'TAR FIN'!$A$1:$O$85,15,0)),0,VLOOKUP($U$284,'TAR FIN'!$A$1:$O$85,15,0))</f>
        <v>231.7</v>
      </c>
      <c r="Y284" s="6"/>
      <c r="Z284" s="6">
        <f ca="1">('TUSD BE'!$AM$33+'TUSD BF'!$AM$33+'TUSD CVA'!$AM$33)*(1-CUSTOS!$M$38)</f>
        <v>300.89907966262189</v>
      </c>
      <c r="AA284" s="6">
        <f>('TE BE'!$AA$23+'TE BF'!$AA$23+'TE CVA'!$AA$23)*(1-CUSTOS!$M$38)</f>
        <v>198.0053374241497</v>
      </c>
      <c r="AB284" s="6">
        <f t="shared" si="14"/>
        <v>0</v>
      </c>
      <c r="AC284" s="6">
        <f>(L284-M284)*(W284+X284)+($W$182+$X$182-$W$284-$X$284)*(L284)</f>
        <v>1862.3491500000002</v>
      </c>
      <c r="AD284" s="6">
        <f t="shared" si="15"/>
        <v>0</v>
      </c>
      <c r="AE284" s="6">
        <f ca="1">(L284-M284)*(Z284+AA284)+($Z$182+$AA$182-$Z$284-$AA$284)*(L284)</f>
        <v>920.47864952509633</v>
      </c>
      <c r="AF284" s="4" t="s">
        <v>808</v>
      </c>
    </row>
    <row r="285" spans="1:32" ht="11.25" customHeight="1" x14ac:dyDescent="0.25">
      <c r="A285" s="4" t="s">
        <v>28</v>
      </c>
      <c r="B285" s="4" t="s">
        <v>43</v>
      </c>
      <c r="C285" s="4" t="s">
        <v>23</v>
      </c>
      <c r="D285" s="4" t="s">
        <v>44</v>
      </c>
      <c r="E285" s="4" t="s">
        <v>53</v>
      </c>
      <c r="F285" s="4" t="s">
        <v>54</v>
      </c>
      <c r="G285" s="4" t="s">
        <v>25</v>
      </c>
      <c r="H285" s="4" t="s">
        <v>25</v>
      </c>
      <c r="I285" s="5">
        <v>44593</v>
      </c>
      <c r="J285" s="6">
        <v>0</v>
      </c>
      <c r="K285" s="6">
        <v>0</v>
      </c>
      <c r="L285" s="6">
        <v>0.1</v>
      </c>
      <c r="M285" s="6">
        <v>0.1</v>
      </c>
      <c r="N285" s="6">
        <v>0.1</v>
      </c>
      <c r="O285" s="6">
        <v>0.1</v>
      </c>
      <c r="P285" s="6">
        <v>0</v>
      </c>
      <c r="Q285" s="4" t="s">
        <v>26</v>
      </c>
      <c r="R285" s="4">
        <v>0</v>
      </c>
      <c r="S285" s="4">
        <v>0</v>
      </c>
      <c r="T285" s="4">
        <v>29</v>
      </c>
      <c r="U285" s="4">
        <v>66</v>
      </c>
      <c r="V285" s="6">
        <f>IF(ISERROR(VLOOKUP($S$285,'TAR FIN'!$A$1:$O$85,15,0)),0,VLOOKUP($S$285,'TAR FIN'!$A$1:$O$85,15,0))</f>
        <v>0</v>
      </c>
      <c r="W285" s="6">
        <f>IF(ISERROR(VLOOKUP($T$285,'TAR FIN'!$A$1:$O$85,15,0)),0,VLOOKUP($T$285,'TAR FIN'!$A$1:$O$85,15,0))</f>
        <v>240.85</v>
      </c>
      <c r="X285" s="6">
        <f>IF(ISERROR(VLOOKUP($U$285,'TAR FIN'!$A$1:$O$85,15,0)),0,VLOOKUP($U$285,'TAR FIN'!$A$1:$O$85,15,0))</f>
        <v>231.7</v>
      </c>
      <c r="Y285" s="6"/>
      <c r="Z285" s="6">
        <f ca="1">('TUSD BE'!$AM$33+'TUSD BF'!$AM$33+'TUSD CVA'!$AM$33)*(1-CUSTOS!$M$38)</f>
        <v>300.89907966262189</v>
      </c>
      <c r="AA285" s="6">
        <f>('TE BE'!$AA$23+'TE BF'!$AA$23+'TE CVA'!$AA$23)*(1-CUSTOS!$M$38)</f>
        <v>198.0053374241497</v>
      </c>
      <c r="AB285" s="6">
        <f t="shared" si="14"/>
        <v>0</v>
      </c>
      <c r="AC285" s="6">
        <f>(L285-M285)*(W285+X285)+($W$182+$X$182-$W$285-$X$285)*(L285)</f>
        <v>6.4430000000000014</v>
      </c>
      <c r="AD285" s="6">
        <f t="shared" si="15"/>
        <v>0</v>
      </c>
      <c r="AE285" s="6">
        <f ca="1">(L285-M285)*(Z285+AA285)+($Z$182+$AA$182-$Z$285-$AA$285)*(L285)</f>
        <v>3.1844962792772749</v>
      </c>
      <c r="AF285" s="4" t="s">
        <v>808</v>
      </c>
    </row>
    <row r="286" spans="1:32" ht="11.25" customHeight="1" x14ac:dyDescent="0.25">
      <c r="A286" s="4" t="s">
        <v>21</v>
      </c>
      <c r="B286" s="4" t="s">
        <v>43</v>
      </c>
      <c r="C286" s="4" t="s">
        <v>23</v>
      </c>
      <c r="D286" s="4" t="s">
        <v>44</v>
      </c>
      <c r="E286" s="4" t="s">
        <v>53</v>
      </c>
      <c r="F286" s="4" t="s">
        <v>54</v>
      </c>
      <c r="G286" s="4" t="s">
        <v>25</v>
      </c>
      <c r="H286" s="4" t="s">
        <v>25</v>
      </c>
      <c r="I286" s="5">
        <v>44621</v>
      </c>
      <c r="J286" s="6">
        <v>0</v>
      </c>
      <c r="K286" s="6">
        <v>0</v>
      </c>
      <c r="L286" s="6">
        <v>36.325000000000003</v>
      </c>
      <c r="M286" s="6">
        <v>36.325000000000003</v>
      </c>
      <c r="N286" s="6">
        <v>36.325000000000003</v>
      </c>
      <c r="O286" s="6">
        <v>36.325000000000003</v>
      </c>
      <c r="P286" s="6">
        <v>0</v>
      </c>
      <c r="Q286" s="4" t="s">
        <v>26</v>
      </c>
      <c r="R286" s="4">
        <v>0</v>
      </c>
      <c r="S286" s="4">
        <v>0</v>
      </c>
      <c r="T286" s="4">
        <v>29</v>
      </c>
      <c r="U286" s="4">
        <v>66</v>
      </c>
      <c r="V286" s="6">
        <f>IF(ISERROR(VLOOKUP($S$286,'TAR FIN'!$A$1:$O$85,15,0)),0,VLOOKUP($S$286,'TAR FIN'!$A$1:$O$85,15,0))</f>
        <v>0</v>
      </c>
      <c r="W286" s="6">
        <f>IF(ISERROR(VLOOKUP($T$286,'TAR FIN'!$A$1:$O$85,15,0)),0,VLOOKUP($T$286,'TAR FIN'!$A$1:$O$85,15,0))</f>
        <v>240.85</v>
      </c>
      <c r="X286" s="6">
        <f>IF(ISERROR(VLOOKUP($U$286,'TAR FIN'!$A$1:$O$85,15,0)),0,VLOOKUP($U$286,'TAR FIN'!$A$1:$O$85,15,0))</f>
        <v>231.7</v>
      </c>
      <c r="Y286" s="6"/>
      <c r="Z286" s="6">
        <f ca="1">('TUSD BE'!$AM$33+'TUSD BF'!$AM$33+'TUSD CVA'!$AM$33)*(1-CUSTOS!$M$38)</f>
        <v>300.89907966262189</v>
      </c>
      <c r="AA286" s="6">
        <f>('TE BE'!$AA$23+'TE BF'!$AA$23+'TE CVA'!$AA$23)*(1-CUSTOS!$M$38)</f>
        <v>198.0053374241497</v>
      </c>
      <c r="AB286" s="6">
        <f t="shared" si="14"/>
        <v>0</v>
      </c>
      <c r="AC286" s="6">
        <f>(L286-M286)*(W286+X286)+($W$182+$X$182-$W$286-$X$286)*(L286)</f>
        <v>2340.4197500000005</v>
      </c>
      <c r="AD286" s="6">
        <f t="shared" si="15"/>
        <v>0</v>
      </c>
      <c r="AE286" s="6">
        <f ca="1">(L286-M286)*(Z286+AA286)+($Z$182+$AA$182-$Z$286-$AA$286)*(L286)</f>
        <v>1156.7682734474702</v>
      </c>
      <c r="AF286" s="4" t="s">
        <v>808</v>
      </c>
    </row>
    <row r="287" spans="1:32" ht="11.25" customHeight="1" x14ac:dyDescent="0.25">
      <c r="A287" s="4" t="s">
        <v>28</v>
      </c>
      <c r="B287" s="4" t="s">
        <v>43</v>
      </c>
      <c r="C287" s="4" t="s">
        <v>23</v>
      </c>
      <c r="D287" s="4" t="s">
        <v>44</v>
      </c>
      <c r="E287" s="4" t="s">
        <v>53</v>
      </c>
      <c r="F287" s="4" t="s">
        <v>54</v>
      </c>
      <c r="G287" s="4" t="s">
        <v>25</v>
      </c>
      <c r="H287" s="4" t="s">
        <v>25</v>
      </c>
      <c r="I287" s="5">
        <v>44621</v>
      </c>
      <c r="J287" s="6">
        <v>0</v>
      </c>
      <c r="K287" s="6">
        <v>0</v>
      </c>
      <c r="L287" s="6">
        <v>0.1</v>
      </c>
      <c r="M287" s="6">
        <v>0.1</v>
      </c>
      <c r="N287" s="6">
        <v>0.1</v>
      </c>
      <c r="O287" s="6">
        <v>0.1</v>
      </c>
      <c r="P287" s="6">
        <v>0</v>
      </c>
      <c r="Q287" s="4" t="s">
        <v>26</v>
      </c>
      <c r="R287" s="4">
        <v>0</v>
      </c>
      <c r="S287" s="4">
        <v>0</v>
      </c>
      <c r="T287" s="4">
        <v>29</v>
      </c>
      <c r="U287" s="4">
        <v>66</v>
      </c>
      <c r="V287" s="6">
        <f>IF(ISERROR(VLOOKUP($S$287,'TAR FIN'!$A$1:$O$85,15,0)),0,VLOOKUP($S$287,'TAR FIN'!$A$1:$O$85,15,0))</f>
        <v>0</v>
      </c>
      <c r="W287" s="6">
        <f>IF(ISERROR(VLOOKUP($T$287,'TAR FIN'!$A$1:$O$85,15,0)),0,VLOOKUP($T$287,'TAR FIN'!$A$1:$O$85,15,0))</f>
        <v>240.85</v>
      </c>
      <c r="X287" s="6">
        <f>IF(ISERROR(VLOOKUP($U$287,'TAR FIN'!$A$1:$O$85,15,0)),0,VLOOKUP($U$287,'TAR FIN'!$A$1:$O$85,15,0))</f>
        <v>231.7</v>
      </c>
      <c r="Y287" s="6"/>
      <c r="Z287" s="6">
        <f ca="1">('TUSD BE'!$AM$33+'TUSD BF'!$AM$33+'TUSD CVA'!$AM$33)*(1-CUSTOS!$M$38)</f>
        <v>300.89907966262189</v>
      </c>
      <c r="AA287" s="6">
        <f>('TE BE'!$AA$23+'TE BF'!$AA$23+'TE CVA'!$AA$23)*(1-CUSTOS!$M$38)</f>
        <v>198.0053374241497</v>
      </c>
      <c r="AB287" s="6">
        <f t="shared" si="14"/>
        <v>0</v>
      </c>
      <c r="AC287" s="6">
        <f>(L287-M287)*(W287+X287)+($W$182+$X$182-$W$287-$X$287)*(L287)</f>
        <v>6.4430000000000014</v>
      </c>
      <c r="AD287" s="6">
        <f t="shared" si="15"/>
        <v>0</v>
      </c>
      <c r="AE287" s="6">
        <f ca="1">(L287-M287)*(Z287+AA287)+($Z$182+$AA$182-$Z$287-$AA$287)*(L287)</f>
        <v>3.1844962792772749</v>
      </c>
      <c r="AF287" s="4" t="s">
        <v>808</v>
      </c>
    </row>
    <row r="288" spans="1:32" ht="11.25" customHeight="1" x14ac:dyDescent="0.25">
      <c r="A288" s="4" t="s">
        <v>21</v>
      </c>
      <c r="B288" s="4" t="s">
        <v>43</v>
      </c>
      <c r="C288" s="4" t="s">
        <v>23</v>
      </c>
      <c r="D288" s="4" t="s">
        <v>44</v>
      </c>
      <c r="E288" s="4" t="s">
        <v>53</v>
      </c>
      <c r="F288" s="4" t="s">
        <v>54</v>
      </c>
      <c r="G288" s="4" t="s">
        <v>25</v>
      </c>
      <c r="H288" s="4" t="s">
        <v>25</v>
      </c>
      <c r="I288" s="5">
        <v>44652</v>
      </c>
      <c r="J288" s="6">
        <v>0</v>
      </c>
      <c r="K288" s="6">
        <v>0</v>
      </c>
      <c r="L288" s="6">
        <v>41.151000000000003</v>
      </c>
      <c r="M288" s="6">
        <v>41.151000000000003</v>
      </c>
      <c r="N288" s="6">
        <v>41.151000000000003</v>
      </c>
      <c r="O288" s="6">
        <v>41.151000000000003</v>
      </c>
      <c r="P288" s="6">
        <v>0</v>
      </c>
      <c r="Q288" s="4" t="s">
        <v>26</v>
      </c>
      <c r="R288" s="4">
        <v>0</v>
      </c>
      <c r="S288" s="4">
        <v>0</v>
      </c>
      <c r="T288" s="4">
        <v>29</v>
      </c>
      <c r="U288" s="4">
        <v>66</v>
      </c>
      <c r="V288" s="6">
        <f>IF(ISERROR(VLOOKUP($S$288,'TAR FIN'!$A$1:$O$85,15,0)),0,VLOOKUP($S$288,'TAR FIN'!$A$1:$O$85,15,0))</f>
        <v>0</v>
      </c>
      <c r="W288" s="6">
        <f>IF(ISERROR(VLOOKUP($T$288,'TAR FIN'!$A$1:$O$85,15,0)),0,VLOOKUP($T$288,'TAR FIN'!$A$1:$O$85,15,0))</f>
        <v>240.85</v>
      </c>
      <c r="X288" s="6">
        <f>IF(ISERROR(VLOOKUP($U$288,'TAR FIN'!$A$1:$O$85,15,0)),0,VLOOKUP($U$288,'TAR FIN'!$A$1:$O$85,15,0))</f>
        <v>231.7</v>
      </c>
      <c r="Y288" s="6"/>
      <c r="Z288" s="6">
        <f ca="1">('TUSD BE'!$AM$33+'TUSD BF'!$AM$33+'TUSD CVA'!$AM$33)*(1-CUSTOS!$M$38)</f>
        <v>300.89907966262189</v>
      </c>
      <c r="AA288" s="6">
        <f>('TE BE'!$AA$23+'TE BF'!$AA$23+'TE CVA'!$AA$23)*(1-CUSTOS!$M$38)</f>
        <v>198.0053374241497</v>
      </c>
      <c r="AB288" s="6">
        <f t="shared" si="14"/>
        <v>0</v>
      </c>
      <c r="AC288" s="6">
        <f>(L288-M288)*(W288+X288)+($W$182+$X$182-$W$288-$X$288)*(L288)</f>
        <v>2651.3589300000003</v>
      </c>
      <c r="AD288" s="6">
        <f t="shared" si="15"/>
        <v>0</v>
      </c>
      <c r="AE288" s="6">
        <f ca="1">(L288-M288)*(Z288+AA288)+($Z$182+$AA$182-$Z$288-$AA$288)*(L288)</f>
        <v>1310.4520638853915</v>
      </c>
      <c r="AF288" s="4" t="s">
        <v>808</v>
      </c>
    </row>
    <row r="289" spans="1:32" ht="11.25" customHeight="1" x14ac:dyDescent="0.25">
      <c r="A289" s="4" t="s">
        <v>21</v>
      </c>
      <c r="B289" s="4" t="s">
        <v>43</v>
      </c>
      <c r="C289" s="4" t="s">
        <v>23</v>
      </c>
      <c r="D289" s="4" t="s">
        <v>44</v>
      </c>
      <c r="E289" s="4" t="s">
        <v>53</v>
      </c>
      <c r="F289" s="4" t="s">
        <v>55</v>
      </c>
      <c r="G289" s="4" t="s">
        <v>25</v>
      </c>
      <c r="H289" s="4" t="s">
        <v>25</v>
      </c>
      <c r="I289" s="5">
        <v>44317</v>
      </c>
      <c r="J289" s="6">
        <v>0</v>
      </c>
      <c r="K289" s="6">
        <v>0</v>
      </c>
      <c r="L289" s="6">
        <v>28.654</v>
      </c>
      <c r="M289" s="6">
        <v>11.461600000000001</v>
      </c>
      <c r="N289" s="6">
        <v>28.654</v>
      </c>
      <c r="O289" s="6">
        <v>11.461600000000001</v>
      </c>
      <c r="P289" s="6">
        <v>0</v>
      </c>
      <c r="Q289" s="4" t="s">
        <v>26</v>
      </c>
      <c r="R289" s="4">
        <v>0</v>
      </c>
      <c r="S289" s="4">
        <v>0</v>
      </c>
      <c r="T289" s="4">
        <v>29</v>
      </c>
      <c r="U289" s="4">
        <v>66</v>
      </c>
      <c r="V289" s="6">
        <f>IF(ISERROR(VLOOKUP($S$289,'TAR FIN'!$A$1:$O$85,15,0)),0,VLOOKUP($S$289,'TAR FIN'!$A$1:$O$85,15,0))</f>
        <v>0</v>
      </c>
      <c r="W289" s="6">
        <f>IF(ISERROR(VLOOKUP($T$289,'TAR FIN'!$A$1:$O$85,15,0)),0,VLOOKUP($T$289,'TAR FIN'!$A$1:$O$85,15,0))</f>
        <v>240.85</v>
      </c>
      <c r="X289" s="6">
        <f>IF(ISERROR(VLOOKUP($U$289,'TAR FIN'!$A$1:$O$85,15,0)),0,VLOOKUP($U$289,'TAR FIN'!$A$1:$O$85,15,0))</f>
        <v>231.7</v>
      </c>
      <c r="Y289" s="6"/>
      <c r="Z289" s="6">
        <f ca="1">('TUSD BE'!$AM$33+'TUSD BF'!$AM$33+'TUSD CVA'!$AM$33)*(1-CUSTOS!$M$38)</f>
        <v>300.89907966262189</v>
      </c>
      <c r="AA289" s="6">
        <f>('TE BE'!$AA$23+'TE BF'!$AA$23+'TE CVA'!$AA$23)*(1-CUSTOS!$M$38)</f>
        <v>198.0053374241497</v>
      </c>
      <c r="AB289" s="6">
        <f t="shared" si="14"/>
        <v>0</v>
      </c>
      <c r="AC289" s="6">
        <f>(L289-M289)*(W289+X289)+($W$182+$X$182-$W$289-$X$289)*(L289)</f>
        <v>9970.4458399999985</v>
      </c>
      <c r="AD289" s="6">
        <f t="shared" si="15"/>
        <v>0</v>
      </c>
      <c r="AE289" s="6">
        <f ca="1">(L289-M289)*(Z289+AA289)+($Z$182+$AA$182-$Z$289-$AA$289)*(L289)</f>
        <v>9489.8498641867227</v>
      </c>
      <c r="AF289" s="4" t="s">
        <v>809</v>
      </c>
    </row>
    <row r="290" spans="1:32" ht="11.25" customHeight="1" x14ac:dyDescent="0.25">
      <c r="A290" s="4" t="s">
        <v>21</v>
      </c>
      <c r="B290" s="4" t="s">
        <v>43</v>
      </c>
      <c r="C290" s="4" t="s">
        <v>23</v>
      </c>
      <c r="D290" s="4" t="s">
        <v>44</v>
      </c>
      <c r="E290" s="4" t="s">
        <v>53</v>
      </c>
      <c r="F290" s="4" t="s">
        <v>55</v>
      </c>
      <c r="G290" s="4" t="s">
        <v>25</v>
      </c>
      <c r="H290" s="4" t="s">
        <v>25</v>
      </c>
      <c r="I290" s="5">
        <v>44348</v>
      </c>
      <c r="J290" s="6">
        <v>0</v>
      </c>
      <c r="K290" s="6">
        <v>0</v>
      </c>
      <c r="L290" s="6">
        <v>27.117000000000001</v>
      </c>
      <c r="M290" s="6">
        <v>10.8468</v>
      </c>
      <c r="N290" s="6">
        <v>27.117000000000001</v>
      </c>
      <c r="O290" s="6">
        <v>10.8468</v>
      </c>
      <c r="P290" s="6">
        <v>0</v>
      </c>
      <c r="Q290" s="4" t="s">
        <v>26</v>
      </c>
      <c r="R290" s="4">
        <v>0</v>
      </c>
      <c r="S290" s="4">
        <v>0</v>
      </c>
      <c r="T290" s="4">
        <v>29</v>
      </c>
      <c r="U290" s="4">
        <v>66</v>
      </c>
      <c r="V290" s="6">
        <f>IF(ISERROR(VLOOKUP($S$290,'TAR FIN'!$A$1:$O$85,15,0)),0,VLOOKUP($S$290,'TAR FIN'!$A$1:$O$85,15,0))</f>
        <v>0</v>
      </c>
      <c r="W290" s="6">
        <f>IF(ISERROR(VLOOKUP($T$290,'TAR FIN'!$A$1:$O$85,15,0)),0,VLOOKUP($T$290,'TAR FIN'!$A$1:$O$85,15,0))</f>
        <v>240.85</v>
      </c>
      <c r="X290" s="6">
        <f>IF(ISERROR(VLOOKUP($U$290,'TAR FIN'!$A$1:$O$85,15,0)),0,VLOOKUP($U$290,'TAR FIN'!$A$1:$O$85,15,0))</f>
        <v>231.7</v>
      </c>
      <c r="Y290" s="6"/>
      <c r="Z290" s="6">
        <f ca="1">('TUSD BE'!$AM$33+'TUSD BF'!$AM$33+'TUSD CVA'!$AM$33)*(1-CUSTOS!$M$38)</f>
        <v>300.89907966262189</v>
      </c>
      <c r="AA290" s="6">
        <f>('TE BE'!$AA$23+'TE BF'!$AA$23+'TE CVA'!$AA$23)*(1-CUSTOS!$M$38)</f>
        <v>198.0053374241497</v>
      </c>
      <c r="AB290" s="6">
        <f t="shared" si="14"/>
        <v>0</v>
      </c>
      <c r="AC290" s="6">
        <f>(L290-M290)*(W290+X290)+($W$182+$X$182-$W$290-$X$290)*(L290)</f>
        <v>9435.6313200000004</v>
      </c>
      <c r="AD290" s="6">
        <f t="shared" si="15"/>
        <v>0</v>
      </c>
      <c r="AE290" s="6">
        <f ca="1">(L290-M290)*(Z290+AA290)+($Z$182+$AA$182-$Z$290-$AA$290)*(L290)</f>
        <v>8980.8145029368097</v>
      </c>
      <c r="AF290" s="4" t="s">
        <v>809</v>
      </c>
    </row>
    <row r="291" spans="1:32" ht="11.25" customHeight="1" x14ac:dyDescent="0.25">
      <c r="A291" s="4" t="s">
        <v>21</v>
      </c>
      <c r="B291" s="4" t="s">
        <v>43</v>
      </c>
      <c r="C291" s="4" t="s">
        <v>23</v>
      </c>
      <c r="D291" s="4" t="s">
        <v>44</v>
      </c>
      <c r="E291" s="4" t="s">
        <v>53</v>
      </c>
      <c r="F291" s="4" t="s">
        <v>55</v>
      </c>
      <c r="G291" s="4" t="s">
        <v>25</v>
      </c>
      <c r="H291" s="4" t="s">
        <v>25</v>
      </c>
      <c r="I291" s="5">
        <v>44378</v>
      </c>
      <c r="J291" s="6">
        <v>0</v>
      </c>
      <c r="K291" s="6">
        <v>0</v>
      </c>
      <c r="L291" s="6">
        <v>23.562000000000001</v>
      </c>
      <c r="M291" s="6">
        <v>9.4247999999999994</v>
      </c>
      <c r="N291" s="6">
        <v>23.562000000000001</v>
      </c>
      <c r="O291" s="6">
        <v>9.4247999999999994</v>
      </c>
      <c r="P291" s="6">
        <v>0</v>
      </c>
      <c r="Q291" s="4" t="s">
        <v>26</v>
      </c>
      <c r="R291" s="4">
        <v>0</v>
      </c>
      <c r="S291" s="4">
        <v>0</v>
      </c>
      <c r="T291" s="4">
        <v>29</v>
      </c>
      <c r="U291" s="4">
        <v>66</v>
      </c>
      <c r="V291" s="6">
        <f>IF(ISERROR(VLOOKUP($S$291,'TAR FIN'!$A$1:$O$85,15,0)),0,VLOOKUP($S$291,'TAR FIN'!$A$1:$O$85,15,0))</f>
        <v>0</v>
      </c>
      <c r="W291" s="6">
        <f>IF(ISERROR(VLOOKUP($T$291,'TAR FIN'!$A$1:$O$85,15,0)),0,VLOOKUP($T$291,'TAR FIN'!$A$1:$O$85,15,0))</f>
        <v>240.85</v>
      </c>
      <c r="X291" s="6">
        <f>IF(ISERROR(VLOOKUP($U$291,'TAR FIN'!$A$1:$O$85,15,0)),0,VLOOKUP($U$291,'TAR FIN'!$A$1:$O$85,15,0))</f>
        <v>231.7</v>
      </c>
      <c r="Y291" s="6"/>
      <c r="Z291" s="6">
        <f ca="1">('TUSD BE'!$AM$33+'TUSD BF'!$AM$33+'TUSD CVA'!$AM$33)*(1-CUSTOS!$M$38)</f>
        <v>300.89907966262189</v>
      </c>
      <c r="AA291" s="6">
        <f>('TE BE'!$AA$23+'TE BF'!$AA$23+'TE CVA'!$AA$23)*(1-CUSTOS!$M$38)</f>
        <v>198.0053374241497</v>
      </c>
      <c r="AB291" s="6">
        <f t="shared" si="14"/>
        <v>0</v>
      </c>
      <c r="AC291" s="6">
        <f>(L291-M291)*(W291+X291)+($W$182+$X$182-$W$291-$X$291)*(L291)</f>
        <v>8198.6335200000012</v>
      </c>
      <c r="AD291" s="6">
        <f t="shared" si="15"/>
        <v>0</v>
      </c>
      <c r="AE291" s="6">
        <f ca="1">(L291-M291)*(Z291+AA291)+($Z$182+$AA$182-$Z$291-$AA$291)*(L291)</f>
        <v>7803.442538562419</v>
      </c>
      <c r="AF291" s="4" t="s">
        <v>809</v>
      </c>
    </row>
    <row r="292" spans="1:32" ht="11.25" customHeight="1" x14ac:dyDescent="0.25">
      <c r="A292" s="4" t="s">
        <v>21</v>
      </c>
      <c r="B292" s="4" t="s">
        <v>43</v>
      </c>
      <c r="C292" s="4" t="s">
        <v>23</v>
      </c>
      <c r="D292" s="4" t="s">
        <v>44</v>
      </c>
      <c r="E292" s="4" t="s">
        <v>53</v>
      </c>
      <c r="F292" s="4" t="s">
        <v>55</v>
      </c>
      <c r="G292" s="4" t="s">
        <v>25</v>
      </c>
      <c r="H292" s="4" t="s">
        <v>25</v>
      </c>
      <c r="I292" s="5">
        <v>44409</v>
      </c>
      <c r="J292" s="6">
        <v>0</v>
      </c>
      <c r="K292" s="6">
        <v>0</v>
      </c>
      <c r="L292" s="6">
        <v>32.128999999999998</v>
      </c>
      <c r="M292" s="6">
        <v>12.851599999999999</v>
      </c>
      <c r="N292" s="6">
        <v>32.128999999999998</v>
      </c>
      <c r="O292" s="6">
        <v>12.851599999999999</v>
      </c>
      <c r="P292" s="6">
        <v>0</v>
      </c>
      <c r="Q292" s="4" t="s">
        <v>26</v>
      </c>
      <c r="R292" s="4">
        <v>0</v>
      </c>
      <c r="S292" s="4">
        <v>0</v>
      </c>
      <c r="T292" s="4">
        <v>29</v>
      </c>
      <c r="U292" s="4">
        <v>66</v>
      </c>
      <c r="V292" s="6">
        <f>IF(ISERROR(VLOOKUP($S$292,'TAR FIN'!$A$1:$O$85,15,0)),0,VLOOKUP($S$292,'TAR FIN'!$A$1:$O$85,15,0))</f>
        <v>0</v>
      </c>
      <c r="W292" s="6">
        <f>IF(ISERROR(VLOOKUP($T$292,'TAR FIN'!$A$1:$O$85,15,0)),0,VLOOKUP($T$292,'TAR FIN'!$A$1:$O$85,15,0))</f>
        <v>240.85</v>
      </c>
      <c r="X292" s="6">
        <f>IF(ISERROR(VLOOKUP($U$292,'TAR FIN'!$A$1:$O$85,15,0)),0,VLOOKUP($U$292,'TAR FIN'!$A$1:$O$85,15,0))</f>
        <v>231.7</v>
      </c>
      <c r="Y292" s="6"/>
      <c r="Z292" s="6">
        <f ca="1">('TUSD BE'!$AM$33+'TUSD BF'!$AM$33+'TUSD CVA'!$AM$33)*(1-CUSTOS!$M$38)</f>
        <v>300.89907966262189</v>
      </c>
      <c r="AA292" s="6">
        <f>('TE BE'!$AA$23+'TE BF'!$AA$23+'TE CVA'!$AA$23)*(1-CUSTOS!$M$38)</f>
        <v>198.0053374241497</v>
      </c>
      <c r="AB292" s="6">
        <f t="shared" si="14"/>
        <v>0</v>
      </c>
      <c r="AC292" s="6">
        <f>(L292-M292)*(W292+X292)+($W$182+$X$182-$W$292-$X$292)*(L292)</f>
        <v>11179.60684</v>
      </c>
      <c r="AD292" s="6">
        <f t="shared" si="15"/>
        <v>0</v>
      </c>
      <c r="AE292" s="6">
        <f ca="1">(L292-M292)*(Z292+AA292)+($Z$182+$AA$182-$Z$292-$AA$292)*(L292)</f>
        <v>10640.726819517526</v>
      </c>
      <c r="AF292" s="4" t="s">
        <v>809</v>
      </c>
    </row>
    <row r="293" spans="1:32" ht="11.25" customHeight="1" x14ac:dyDescent="0.25">
      <c r="A293" s="4" t="s">
        <v>28</v>
      </c>
      <c r="B293" s="4" t="s">
        <v>43</v>
      </c>
      <c r="C293" s="4" t="s">
        <v>23</v>
      </c>
      <c r="D293" s="4" t="s">
        <v>44</v>
      </c>
      <c r="E293" s="4" t="s">
        <v>53</v>
      </c>
      <c r="F293" s="4" t="s">
        <v>55</v>
      </c>
      <c r="G293" s="4" t="s">
        <v>25</v>
      </c>
      <c r="H293" s="4" t="s">
        <v>25</v>
      </c>
      <c r="I293" s="5">
        <v>44409</v>
      </c>
      <c r="J293" s="6">
        <v>0</v>
      </c>
      <c r="K293" s="6">
        <v>0</v>
      </c>
      <c r="L293" s="6">
        <v>0.373</v>
      </c>
      <c r="M293" s="6">
        <v>0.373</v>
      </c>
      <c r="N293" s="6">
        <v>0.373</v>
      </c>
      <c r="O293" s="6">
        <v>0.373</v>
      </c>
      <c r="P293" s="6">
        <v>0</v>
      </c>
      <c r="Q293" s="4" t="s">
        <v>26</v>
      </c>
      <c r="R293" s="4">
        <v>0</v>
      </c>
      <c r="S293" s="4">
        <v>0</v>
      </c>
      <c r="T293" s="4">
        <v>29</v>
      </c>
      <c r="U293" s="4">
        <v>66</v>
      </c>
      <c r="V293" s="6">
        <f>IF(ISERROR(VLOOKUP($S$293,'TAR FIN'!$A$1:$O$85,15,0)),0,VLOOKUP($S$293,'TAR FIN'!$A$1:$O$85,15,0))</f>
        <v>0</v>
      </c>
      <c r="W293" s="6">
        <f>IF(ISERROR(VLOOKUP($T$293,'TAR FIN'!$A$1:$O$85,15,0)),0,VLOOKUP($T$293,'TAR FIN'!$A$1:$O$85,15,0))</f>
        <v>240.85</v>
      </c>
      <c r="X293" s="6">
        <f>IF(ISERROR(VLOOKUP($U$293,'TAR FIN'!$A$1:$O$85,15,0)),0,VLOOKUP($U$293,'TAR FIN'!$A$1:$O$85,15,0))</f>
        <v>231.7</v>
      </c>
      <c r="Y293" s="6"/>
      <c r="Z293" s="6">
        <f ca="1">('TUSD BE'!$AM$33+'TUSD BF'!$AM$33+'TUSD CVA'!$AM$33)*(1-CUSTOS!$M$38)</f>
        <v>300.89907966262189</v>
      </c>
      <c r="AA293" s="6">
        <f>('TE BE'!$AA$23+'TE BF'!$AA$23+'TE CVA'!$AA$23)*(1-CUSTOS!$M$38)</f>
        <v>198.0053374241497</v>
      </c>
      <c r="AB293" s="6">
        <f t="shared" si="14"/>
        <v>0</v>
      </c>
      <c r="AC293" s="6">
        <f>(L293-M293)*(W293+X293)+($W$182+$X$182-$W$293-$X$293)*(L293)</f>
        <v>24.032390000000003</v>
      </c>
      <c r="AD293" s="6">
        <f t="shared" si="15"/>
        <v>0</v>
      </c>
      <c r="AE293" s="6">
        <f ca="1">(L293-M293)*(Z293+AA293)+($Z$182+$AA$182-$Z$293-$AA$293)*(L293)</f>
        <v>11.878171121704234</v>
      </c>
      <c r="AF293" s="4" t="s">
        <v>808</v>
      </c>
    </row>
    <row r="294" spans="1:32" ht="11.25" customHeight="1" x14ac:dyDescent="0.25">
      <c r="A294" s="4" t="s">
        <v>21</v>
      </c>
      <c r="B294" s="4" t="s">
        <v>43</v>
      </c>
      <c r="C294" s="4" t="s">
        <v>23</v>
      </c>
      <c r="D294" s="4" t="s">
        <v>44</v>
      </c>
      <c r="E294" s="4" t="s">
        <v>53</v>
      </c>
      <c r="F294" s="4" t="s">
        <v>55</v>
      </c>
      <c r="G294" s="4" t="s">
        <v>25</v>
      </c>
      <c r="H294" s="4" t="s">
        <v>25</v>
      </c>
      <c r="I294" s="5">
        <v>44440</v>
      </c>
      <c r="J294" s="6">
        <v>0</v>
      </c>
      <c r="K294" s="6">
        <v>0</v>
      </c>
      <c r="L294" s="6">
        <v>38.651000000000003</v>
      </c>
      <c r="M294" s="6">
        <v>15.4604</v>
      </c>
      <c r="N294" s="6">
        <v>38.651000000000003</v>
      </c>
      <c r="O294" s="6">
        <v>15.4604</v>
      </c>
      <c r="P294" s="6">
        <v>0</v>
      </c>
      <c r="Q294" s="4" t="s">
        <v>26</v>
      </c>
      <c r="R294" s="4">
        <v>0</v>
      </c>
      <c r="S294" s="4">
        <v>0</v>
      </c>
      <c r="T294" s="4">
        <v>29</v>
      </c>
      <c r="U294" s="4">
        <v>66</v>
      </c>
      <c r="V294" s="6">
        <f>IF(ISERROR(VLOOKUP($S$294,'TAR FIN'!$A$1:$O$85,15,0)),0,VLOOKUP($S$294,'TAR FIN'!$A$1:$O$85,15,0))</f>
        <v>0</v>
      </c>
      <c r="W294" s="6">
        <f>IF(ISERROR(VLOOKUP($T$294,'TAR FIN'!$A$1:$O$85,15,0)),0,VLOOKUP($T$294,'TAR FIN'!$A$1:$O$85,15,0))</f>
        <v>240.85</v>
      </c>
      <c r="X294" s="6">
        <f>IF(ISERROR(VLOOKUP($U$294,'TAR FIN'!$A$1:$O$85,15,0)),0,VLOOKUP($U$294,'TAR FIN'!$A$1:$O$85,15,0))</f>
        <v>231.7</v>
      </c>
      <c r="Y294" s="6"/>
      <c r="Z294" s="6">
        <f ca="1">('TUSD BE'!$AM$33+'TUSD BF'!$AM$33+'TUSD CVA'!$AM$33)*(1-CUSTOS!$M$38)</f>
        <v>300.89907966262189</v>
      </c>
      <c r="AA294" s="6">
        <f>('TE BE'!$AA$23+'TE BF'!$AA$23+'TE CVA'!$AA$23)*(1-CUSTOS!$M$38)</f>
        <v>198.0053374241497</v>
      </c>
      <c r="AB294" s="6">
        <f t="shared" si="14"/>
        <v>0</v>
      </c>
      <c r="AC294" s="6">
        <f>(L294-M294)*(W294+X294)+($W$182+$X$182-$W$294-$X$294)*(L294)</f>
        <v>13449.001960000001</v>
      </c>
      <c r="AD294" s="6">
        <f t="shared" si="15"/>
        <v>0</v>
      </c>
      <c r="AE294" s="6">
        <f ca="1">(L294-M294)*(Z294+AA294)+($Z$182+$AA$182-$Z$294-$AA$294)*(L294)</f>
        <v>12800.732431795946</v>
      </c>
      <c r="AF294" s="4" t="s">
        <v>809</v>
      </c>
    </row>
    <row r="295" spans="1:32" ht="11.25" customHeight="1" x14ac:dyDescent="0.25">
      <c r="A295" s="4" t="s">
        <v>28</v>
      </c>
      <c r="B295" s="4" t="s">
        <v>43</v>
      </c>
      <c r="C295" s="4" t="s">
        <v>23</v>
      </c>
      <c r="D295" s="4" t="s">
        <v>44</v>
      </c>
      <c r="E295" s="4" t="s">
        <v>53</v>
      </c>
      <c r="F295" s="4" t="s">
        <v>55</v>
      </c>
      <c r="G295" s="4" t="s">
        <v>25</v>
      </c>
      <c r="H295" s="4" t="s">
        <v>25</v>
      </c>
      <c r="I295" s="5">
        <v>44440</v>
      </c>
      <c r="J295" s="6">
        <v>0</v>
      </c>
      <c r="K295" s="6">
        <v>0</v>
      </c>
      <c r="L295" s="6">
        <v>3.214</v>
      </c>
      <c r="M295" s="6">
        <v>3.214</v>
      </c>
      <c r="N295" s="6">
        <v>3.214</v>
      </c>
      <c r="O295" s="6">
        <v>3.214</v>
      </c>
      <c r="P295" s="6">
        <v>0</v>
      </c>
      <c r="Q295" s="4" t="s">
        <v>26</v>
      </c>
      <c r="R295" s="4">
        <v>0</v>
      </c>
      <c r="S295" s="4">
        <v>0</v>
      </c>
      <c r="T295" s="4">
        <v>29</v>
      </c>
      <c r="U295" s="4">
        <v>66</v>
      </c>
      <c r="V295" s="6">
        <f>IF(ISERROR(VLOOKUP($S$295,'TAR FIN'!$A$1:$O$85,15,0)),0,VLOOKUP($S$295,'TAR FIN'!$A$1:$O$85,15,0))</f>
        <v>0</v>
      </c>
      <c r="W295" s="6">
        <f>IF(ISERROR(VLOOKUP($T$295,'TAR FIN'!$A$1:$O$85,15,0)),0,VLOOKUP($T$295,'TAR FIN'!$A$1:$O$85,15,0))</f>
        <v>240.85</v>
      </c>
      <c r="X295" s="6">
        <f>IF(ISERROR(VLOOKUP($U$295,'TAR FIN'!$A$1:$O$85,15,0)),0,VLOOKUP($U$295,'TAR FIN'!$A$1:$O$85,15,0))</f>
        <v>231.7</v>
      </c>
      <c r="Y295" s="6"/>
      <c r="Z295" s="6">
        <f ca="1">('TUSD BE'!$AM$33+'TUSD BF'!$AM$33+'TUSD CVA'!$AM$33)*(1-CUSTOS!$M$38)</f>
        <v>300.89907966262189</v>
      </c>
      <c r="AA295" s="6">
        <f>('TE BE'!$AA$23+'TE BF'!$AA$23+'TE CVA'!$AA$23)*(1-CUSTOS!$M$38)</f>
        <v>198.0053374241497</v>
      </c>
      <c r="AB295" s="6">
        <f t="shared" si="14"/>
        <v>0</v>
      </c>
      <c r="AC295" s="6">
        <f>(L295-M295)*(W295+X295)+($W$182+$X$182-$W$295-$X$295)*(L295)</f>
        <v>207.07802000000001</v>
      </c>
      <c r="AD295" s="6">
        <f t="shared" si="15"/>
        <v>0</v>
      </c>
      <c r="AE295" s="6">
        <f ca="1">(L295-M295)*(Z295+AA295)+($Z$182+$AA$182-$Z$295-$AA$295)*(L295)</f>
        <v>102.34971041597161</v>
      </c>
      <c r="AF295" s="4" t="s">
        <v>808</v>
      </c>
    </row>
    <row r="296" spans="1:32" ht="11.25" customHeight="1" x14ac:dyDescent="0.25">
      <c r="A296" s="4" t="s">
        <v>21</v>
      </c>
      <c r="B296" s="4" t="s">
        <v>43</v>
      </c>
      <c r="C296" s="4" t="s">
        <v>23</v>
      </c>
      <c r="D296" s="4" t="s">
        <v>44</v>
      </c>
      <c r="E296" s="4" t="s">
        <v>53</v>
      </c>
      <c r="F296" s="4" t="s">
        <v>55</v>
      </c>
      <c r="G296" s="4" t="s">
        <v>25</v>
      </c>
      <c r="H296" s="4" t="s">
        <v>25</v>
      </c>
      <c r="I296" s="5">
        <v>44470</v>
      </c>
      <c r="J296" s="6">
        <v>0</v>
      </c>
      <c r="K296" s="6">
        <v>0</v>
      </c>
      <c r="L296" s="6">
        <v>31.411999999999999</v>
      </c>
      <c r="M296" s="6">
        <v>12.5648</v>
      </c>
      <c r="N296" s="6">
        <v>31.411999999999999</v>
      </c>
      <c r="O296" s="6">
        <v>12.5648</v>
      </c>
      <c r="P296" s="6">
        <v>0</v>
      </c>
      <c r="Q296" s="4" t="s">
        <v>26</v>
      </c>
      <c r="R296" s="4">
        <v>0</v>
      </c>
      <c r="S296" s="4">
        <v>0</v>
      </c>
      <c r="T296" s="4">
        <v>29</v>
      </c>
      <c r="U296" s="4">
        <v>66</v>
      </c>
      <c r="V296" s="6">
        <f>IF(ISERROR(VLOOKUP($S$296,'TAR FIN'!$A$1:$O$85,15,0)),0,VLOOKUP($S$296,'TAR FIN'!$A$1:$O$85,15,0))</f>
        <v>0</v>
      </c>
      <c r="W296" s="6">
        <f>IF(ISERROR(VLOOKUP($T$296,'TAR FIN'!$A$1:$O$85,15,0)),0,VLOOKUP($T$296,'TAR FIN'!$A$1:$O$85,15,0))</f>
        <v>240.85</v>
      </c>
      <c r="X296" s="6">
        <f>IF(ISERROR(VLOOKUP($U$296,'TAR FIN'!$A$1:$O$85,15,0)),0,VLOOKUP($U$296,'TAR FIN'!$A$1:$O$85,15,0))</f>
        <v>231.7</v>
      </c>
      <c r="Y296" s="6"/>
      <c r="Z296" s="6">
        <f ca="1">('TUSD BE'!$AM$33+'TUSD BF'!$AM$33+'TUSD CVA'!$AM$33)*(1-CUSTOS!$M$38)</f>
        <v>300.89907966262189</v>
      </c>
      <c r="AA296" s="6">
        <f>('TE BE'!$AA$23+'TE BF'!$AA$23+'TE CVA'!$AA$23)*(1-CUSTOS!$M$38)</f>
        <v>198.0053374241497</v>
      </c>
      <c r="AB296" s="6">
        <f t="shared" si="14"/>
        <v>0</v>
      </c>
      <c r="AC296" s="6">
        <f>(L296-M296)*(W296+X296)+($W$182+$X$182-$W$296-$X$296)*(L296)</f>
        <v>10930.119519999998</v>
      </c>
      <c r="AD296" s="6">
        <f t="shared" si="15"/>
        <v>0</v>
      </c>
      <c r="AE296" s="6">
        <f ca="1">(L296-M296)*(Z296+AA296)+($Z$182+$AA$182-$Z$296-$AA$296)*(L296)</f>
        <v>10403.26530096438</v>
      </c>
      <c r="AF296" s="4" t="s">
        <v>809</v>
      </c>
    </row>
    <row r="297" spans="1:32" ht="11.25" customHeight="1" x14ac:dyDescent="0.25">
      <c r="A297" s="4" t="s">
        <v>21</v>
      </c>
      <c r="B297" s="4" t="s">
        <v>43</v>
      </c>
      <c r="C297" s="4" t="s">
        <v>23</v>
      </c>
      <c r="D297" s="4" t="s">
        <v>44</v>
      </c>
      <c r="E297" s="4" t="s">
        <v>53</v>
      </c>
      <c r="F297" s="4" t="s">
        <v>55</v>
      </c>
      <c r="G297" s="4" t="s">
        <v>25</v>
      </c>
      <c r="H297" s="4" t="s">
        <v>25</v>
      </c>
      <c r="I297" s="5">
        <v>44501</v>
      </c>
      <c r="J297" s="6">
        <v>0</v>
      </c>
      <c r="K297" s="6">
        <v>0</v>
      </c>
      <c r="L297" s="6">
        <v>4.9569999999999999</v>
      </c>
      <c r="M297" s="6">
        <v>1.9827999999999999</v>
      </c>
      <c r="N297" s="6">
        <v>4.9569999999999999</v>
      </c>
      <c r="O297" s="6">
        <v>1.9827999999999999</v>
      </c>
      <c r="P297" s="6">
        <v>0</v>
      </c>
      <c r="Q297" s="4" t="s">
        <v>26</v>
      </c>
      <c r="R297" s="4">
        <v>0</v>
      </c>
      <c r="S297" s="4">
        <v>0</v>
      </c>
      <c r="T297" s="4">
        <v>29</v>
      </c>
      <c r="U297" s="4">
        <v>66</v>
      </c>
      <c r="V297" s="6">
        <f>IF(ISERROR(VLOOKUP($S$297,'TAR FIN'!$A$1:$O$85,15,0)),0,VLOOKUP($S$297,'TAR FIN'!$A$1:$O$85,15,0))</f>
        <v>0</v>
      </c>
      <c r="W297" s="6">
        <f>IF(ISERROR(VLOOKUP($T$297,'TAR FIN'!$A$1:$O$85,15,0)),0,VLOOKUP($T$297,'TAR FIN'!$A$1:$O$85,15,0))</f>
        <v>240.85</v>
      </c>
      <c r="X297" s="6">
        <f>IF(ISERROR(VLOOKUP($U$297,'TAR FIN'!$A$1:$O$85,15,0)),0,VLOOKUP($U$297,'TAR FIN'!$A$1:$O$85,15,0))</f>
        <v>231.7</v>
      </c>
      <c r="Y297" s="6"/>
      <c r="Z297" s="6">
        <f ca="1">('TUSD BE'!$AM$33+'TUSD BF'!$AM$33+'TUSD CVA'!$AM$33)*(1-CUSTOS!$M$38)</f>
        <v>300.89907966262189</v>
      </c>
      <c r="AA297" s="6">
        <f>('TE BE'!$AA$23+'TE BF'!$AA$23+'TE CVA'!$AA$23)*(1-CUSTOS!$M$38)</f>
        <v>198.0053374241497</v>
      </c>
      <c r="AB297" s="6">
        <f t="shared" si="14"/>
        <v>0</v>
      </c>
      <c r="AC297" s="6">
        <f>(L297-M297)*(W297+X297)+($W$182+$X$182-$W$297-$X$297)*(L297)</f>
        <v>1724.8377199999998</v>
      </c>
      <c r="AD297" s="6">
        <f t="shared" si="15"/>
        <v>0</v>
      </c>
      <c r="AE297" s="6">
        <f ca="1">(L297-M297)*(Z297+AA297)+($Z$182+$AA$182-$Z$297-$AA$297)*(L297)</f>
        <v>1641.6969978632503</v>
      </c>
      <c r="AF297" s="4" t="s">
        <v>809</v>
      </c>
    </row>
    <row r="298" spans="1:32" ht="11.25" customHeight="1" x14ac:dyDescent="0.25">
      <c r="A298" s="4" t="s">
        <v>21</v>
      </c>
      <c r="B298" s="4" t="s">
        <v>43</v>
      </c>
      <c r="C298" s="4" t="s">
        <v>23</v>
      </c>
      <c r="D298" s="4" t="s">
        <v>44</v>
      </c>
      <c r="E298" s="4" t="s">
        <v>53</v>
      </c>
      <c r="F298" s="4" t="s">
        <v>55</v>
      </c>
      <c r="G298" s="4" t="s">
        <v>25</v>
      </c>
      <c r="H298" s="4" t="s">
        <v>25</v>
      </c>
      <c r="I298" s="5">
        <v>44531</v>
      </c>
      <c r="J298" s="6">
        <v>0</v>
      </c>
      <c r="K298" s="6">
        <v>0</v>
      </c>
      <c r="L298" s="6">
        <v>4.7690000000000001</v>
      </c>
      <c r="M298" s="6">
        <v>1.9076</v>
      </c>
      <c r="N298" s="6">
        <v>4.7690000000000001</v>
      </c>
      <c r="O298" s="6">
        <v>1.9076</v>
      </c>
      <c r="P298" s="6">
        <v>0</v>
      </c>
      <c r="Q298" s="4" t="s">
        <v>26</v>
      </c>
      <c r="R298" s="4">
        <v>0</v>
      </c>
      <c r="S298" s="4">
        <v>0</v>
      </c>
      <c r="T298" s="4">
        <v>29</v>
      </c>
      <c r="U298" s="4">
        <v>66</v>
      </c>
      <c r="V298" s="6">
        <f>IF(ISERROR(VLOOKUP($S$298,'TAR FIN'!$A$1:$O$85,15,0)),0,VLOOKUP($S$298,'TAR FIN'!$A$1:$O$85,15,0))</f>
        <v>0</v>
      </c>
      <c r="W298" s="6">
        <f>IF(ISERROR(VLOOKUP($T$298,'TAR FIN'!$A$1:$O$85,15,0)),0,VLOOKUP($T$298,'TAR FIN'!$A$1:$O$85,15,0))</f>
        <v>240.85</v>
      </c>
      <c r="X298" s="6">
        <f>IF(ISERROR(VLOOKUP($U$298,'TAR FIN'!$A$1:$O$85,15,0)),0,VLOOKUP($U$298,'TAR FIN'!$A$1:$O$85,15,0))</f>
        <v>231.7</v>
      </c>
      <c r="Y298" s="6"/>
      <c r="Z298" s="6">
        <f ca="1">('TUSD BE'!$AM$33+'TUSD BF'!$AM$33+'TUSD CVA'!$AM$33)*(1-CUSTOS!$M$38)</f>
        <v>300.89907966262189</v>
      </c>
      <c r="AA298" s="6">
        <f>('TE BE'!$AA$23+'TE BF'!$AA$23+'TE CVA'!$AA$23)*(1-CUSTOS!$M$38)</f>
        <v>198.0053374241497</v>
      </c>
      <c r="AB298" s="6">
        <f t="shared" si="14"/>
        <v>0</v>
      </c>
      <c r="AC298" s="6">
        <f>(L298-M298)*(W298+X298)+($W$182+$X$182-$W$298-$X$298)*(L298)</f>
        <v>1659.4212399999999</v>
      </c>
      <c r="AD298" s="6">
        <f t="shared" si="15"/>
        <v>0</v>
      </c>
      <c r="AE298" s="6">
        <f ca="1">(L298-M298)*(Z298+AA298)+($Z$182+$AA$182-$Z$298-$AA$298)*(L298)</f>
        <v>1579.4337266108214</v>
      </c>
      <c r="AF298" s="4" t="s">
        <v>809</v>
      </c>
    </row>
    <row r="299" spans="1:32" ht="11.25" customHeight="1" x14ac:dyDescent="0.25">
      <c r="A299" s="4" t="s">
        <v>21</v>
      </c>
      <c r="B299" s="4" t="s">
        <v>43</v>
      </c>
      <c r="C299" s="4" t="s">
        <v>23</v>
      </c>
      <c r="D299" s="4" t="s">
        <v>44</v>
      </c>
      <c r="E299" s="4" t="s">
        <v>53</v>
      </c>
      <c r="F299" s="4" t="s">
        <v>55</v>
      </c>
      <c r="G299" s="4" t="s">
        <v>25</v>
      </c>
      <c r="H299" s="4" t="s">
        <v>25</v>
      </c>
      <c r="I299" s="5">
        <v>44562</v>
      </c>
      <c r="J299" s="6">
        <v>0</v>
      </c>
      <c r="K299" s="6">
        <v>0</v>
      </c>
      <c r="L299" s="6">
        <v>5.1879999999999997</v>
      </c>
      <c r="M299" s="6">
        <v>2.0752000000000002</v>
      </c>
      <c r="N299" s="6">
        <v>5.1879999999999997</v>
      </c>
      <c r="O299" s="6">
        <v>2.0752000000000002</v>
      </c>
      <c r="P299" s="6">
        <v>0</v>
      </c>
      <c r="Q299" s="4" t="s">
        <v>26</v>
      </c>
      <c r="R299" s="4">
        <v>0</v>
      </c>
      <c r="S299" s="4">
        <v>0</v>
      </c>
      <c r="T299" s="4">
        <v>29</v>
      </c>
      <c r="U299" s="4">
        <v>66</v>
      </c>
      <c r="V299" s="6">
        <f>IF(ISERROR(VLOOKUP($S$299,'TAR FIN'!$A$1:$O$85,15,0)),0,VLOOKUP($S$299,'TAR FIN'!$A$1:$O$85,15,0))</f>
        <v>0</v>
      </c>
      <c r="W299" s="6">
        <f>IF(ISERROR(VLOOKUP($T$299,'TAR FIN'!$A$1:$O$85,15,0)),0,VLOOKUP($T$299,'TAR FIN'!$A$1:$O$85,15,0))</f>
        <v>240.85</v>
      </c>
      <c r="X299" s="6">
        <f>IF(ISERROR(VLOOKUP($U$299,'TAR FIN'!$A$1:$O$85,15,0)),0,VLOOKUP($U$299,'TAR FIN'!$A$1:$O$85,15,0))</f>
        <v>231.7</v>
      </c>
      <c r="Y299" s="6"/>
      <c r="Z299" s="6">
        <f ca="1">('TUSD BE'!$AM$33+'TUSD BF'!$AM$33+'TUSD CVA'!$AM$33)*(1-CUSTOS!$M$38)</f>
        <v>300.89907966262189</v>
      </c>
      <c r="AA299" s="6">
        <f>('TE BE'!$AA$23+'TE BF'!$AA$23+'TE CVA'!$AA$23)*(1-CUSTOS!$M$38)</f>
        <v>198.0053374241497</v>
      </c>
      <c r="AB299" s="6">
        <f t="shared" si="14"/>
        <v>0</v>
      </c>
      <c r="AC299" s="6">
        <f>(L299-M299)*(W299+X299)+($W$182+$X$182-$W$299-$X$299)*(L299)</f>
        <v>1805.2164799999998</v>
      </c>
      <c r="AD299" s="6">
        <f t="shared" si="15"/>
        <v>0</v>
      </c>
      <c r="AE299" s="6">
        <f ca="1">(L299-M299)*(Z299+AA299)+($Z$182+$AA$182-$Z$299-$AA$299)*(L299)</f>
        <v>1718.2013364766074</v>
      </c>
      <c r="AF299" s="4" t="s">
        <v>809</v>
      </c>
    </row>
    <row r="300" spans="1:32" ht="11.25" customHeight="1" x14ac:dyDescent="0.25">
      <c r="A300" s="4" t="s">
        <v>21</v>
      </c>
      <c r="B300" s="4" t="s">
        <v>43</v>
      </c>
      <c r="C300" s="4" t="s">
        <v>23</v>
      </c>
      <c r="D300" s="4" t="s">
        <v>44</v>
      </c>
      <c r="E300" s="4" t="s">
        <v>53</v>
      </c>
      <c r="F300" s="4" t="s">
        <v>55</v>
      </c>
      <c r="G300" s="4" t="s">
        <v>25</v>
      </c>
      <c r="H300" s="4" t="s">
        <v>25</v>
      </c>
      <c r="I300" s="5">
        <v>44593</v>
      </c>
      <c r="J300" s="6">
        <v>0</v>
      </c>
      <c r="K300" s="6">
        <v>0</v>
      </c>
      <c r="L300" s="6">
        <v>5.6379999999999999</v>
      </c>
      <c r="M300" s="6">
        <v>2.2551999999999999</v>
      </c>
      <c r="N300" s="6">
        <v>5.6379999999999999</v>
      </c>
      <c r="O300" s="6">
        <v>2.2551999999999999</v>
      </c>
      <c r="P300" s="6">
        <v>0</v>
      </c>
      <c r="Q300" s="4" t="s">
        <v>26</v>
      </c>
      <c r="R300" s="4">
        <v>0</v>
      </c>
      <c r="S300" s="4">
        <v>0</v>
      </c>
      <c r="T300" s="4">
        <v>29</v>
      </c>
      <c r="U300" s="4">
        <v>66</v>
      </c>
      <c r="V300" s="6">
        <f>IF(ISERROR(VLOOKUP($S$300,'TAR FIN'!$A$1:$O$85,15,0)),0,VLOOKUP($S$300,'TAR FIN'!$A$1:$O$85,15,0))</f>
        <v>0</v>
      </c>
      <c r="W300" s="6">
        <f>IF(ISERROR(VLOOKUP($T$300,'TAR FIN'!$A$1:$O$85,15,0)),0,VLOOKUP($T$300,'TAR FIN'!$A$1:$O$85,15,0))</f>
        <v>240.85</v>
      </c>
      <c r="X300" s="6">
        <f>IF(ISERROR(VLOOKUP($U$300,'TAR FIN'!$A$1:$O$85,15,0)),0,VLOOKUP($U$300,'TAR FIN'!$A$1:$O$85,15,0))</f>
        <v>231.7</v>
      </c>
      <c r="Y300" s="6"/>
      <c r="Z300" s="6">
        <f ca="1">('TUSD BE'!$AM$33+'TUSD BF'!$AM$33+'TUSD CVA'!$AM$33)*(1-CUSTOS!$M$38)</f>
        <v>300.89907966262189</v>
      </c>
      <c r="AA300" s="6">
        <f>('TE BE'!$AA$23+'TE BF'!$AA$23+'TE CVA'!$AA$23)*(1-CUSTOS!$M$38)</f>
        <v>198.0053374241497</v>
      </c>
      <c r="AB300" s="6">
        <f t="shared" si="14"/>
        <v>0</v>
      </c>
      <c r="AC300" s="6">
        <f>(L300-M300)*(W300+X300)+($W$182+$X$182-$W$300-$X$300)*(L300)</f>
        <v>1961.7984799999999</v>
      </c>
      <c r="AD300" s="6">
        <f t="shared" si="15"/>
        <v>0</v>
      </c>
      <c r="AE300" s="6">
        <f ca="1">(L300-M300)*(Z300+AA300)+($Z$182+$AA$182-$Z$300-$AA$300)*(L300)</f>
        <v>1867.2357623467838</v>
      </c>
      <c r="AF300" s="4" t="s">
        <v>809</v>
      </c>
    </row>
    <row r="301" spans="1:32" ht="11.25" customHeight="1" x14ac:dyDescent="0.25">
      <c r="A301" s="4" t="s">
        <v>21</v>
      </c>
      <c r="B301" s="4" t="s">
        <v>43</v>
      </c>
      <c r="C301" s="4" t="s">
        <v>23</v>
      </c>
      <c r="D301" s="4" t="s">
        <v>44</v>
      </c>
      <c r="E301" s="4" t="s">
        <v>53</v>
      </c>
      <c r="F301" s="4" t="s">
        <v>55</v>
      </c>
      <c r="G301" s="4" t="s">
        <v>25</v>
      </c>
      <c r="H301" s="4" t="s">
        <v>25</v>
      </c>
      <c r="I301" s="5">
        <v>44621</v>
      </c>
      <c r="J301" s="6">
        <v>0</v>
      </c>
      <c r="K301" s="6">
        <v>0</v>
      </c>
      <c r="L301" s="6">
        <v>9.3390000000000004</v>
      </c>
      <c r="M301" s="6">
        <v>3.7355999999999998</v>
      </c>
      <c r="N301" s="6">
        <v>9.3390000000000004</v>
      </c>
      <c r="O301" s="6">
        <v>3.7355999999999998</v>
      </c>
      <c r="P301" s="6">
        <v>0</v>
      </c>
      <c r="Q301" s="4" t="s">
        <v>26</v>
      </c>
      <c r="R301" s="4">
        <v>0</v>
      </c>
      <c r="S301" s="4">
        <v>0</v>
      </c>
      <c r="T301" s="4">
        <v>29</v>
      </c>
      <c r="U301" s="4">
        <v>66</v>
      </c>
      <c r="V301" s="6">
        <f>IF(ISERROR(VLOOKUP($S$301,'TAR FIN'!$A$1:$O$85,15,0)),0,VLOOKUP($S$301,'TAR FIN'!$A$1:$O$85,15,0))</f>
        <v>0</v>
      </c>
      <c r="W301" s="6">
        <f>IF(ISERROR(VLOOKUP($T$301,'TAR FIN'!$A$1:$O$85,15,0)),0,VLOOKUP($T$301,'TAR FIN'!$A$1:$O$85,15,0))</f>
        <v>240.85</v>
      </c>
      <c r="X301" s="6">
        <f>IF(ISERROR(VLOOKUP($U$301,'TAR FIN'!$A$1:$O$85,15,0)),0,VLOOKUP($U$301,'TAR FIN'!$A$1:$O$85,15,0))</f>
        <v>231.7</v>
      </c>
      <c r="Y301" s="6"/>
      <c r="Z301" s="6">
        <f ca="1">('TUSD BE'!$AM$33+'TUSD BF'!$AM$33+'TUSD CVA'!$AM$33)*(1-CUSTOS!$M$38)</f>
        <v>300.89907966262189</v>
      </c>
      <c r="AA301" s="6">
        <f>('TE BE'!$AA$23+'TE BF'!$AA$23+'TE CVA'!$AA$23)*(1-CUSTOS!$M$38)</f>
        <v>198.0053374241497</v>
      </c>
      <c r="AB301" s="6">
        <f t="shared" si="14"/>
        <v>0</v>
      </c>
      <c r="AC301" s="6">
        <f>(L301-M301)*(W301+X301)+($W$182+$X$182-$W$301-$X$301)*(L301)</f>
        <v>3249.5984399999998</v>
      </c>
      <c r="AD301" s="6">
        <f t="shared" si="15"/>
        <v>0</v>
      </c>
      <c r="AE301" s="6">
        <f ca="1">(L301-M301)*(Z301+AA301)+($Z$182+$AA$182-$Z$301-$AA$301)*(L301)</f>
        <v>3092.9611182257208</v>
      </c>
      <c r="AF301" s="4" t="s">
        <v>809</v>
      </c>
    </row>
    <row r="302" spans="1:32" ht="11.25" customHeight="1" x14ac:dyDescent="0.25">
      <c r="A302" s="4" t="s">
        <v>21</v>
      </c>
      <c r="B302" s="4" t="s">
        <v>43</v>
      </c>
      <c r="C302" s="4" t="s">
        <v>23</v>
      </c>
      <c r="D302" s="4" t="s">
        <v>44</v>
      </c>
      <c r="E302" s="4" t="s">
        <v>53</v>
      </c>
      <c r="F302" s="4" t="s">
        <v>55</v>
      </c>
      <c r="G302" s="4" t="s">
        <v>25</v>
      </c>
      <c r="H302" s="4" t="s">
        <v>25</v>
      </c>
      <c r="I302" s="5">
        <v>44652</v>
      </c>
      <c r="J302" s="6">
        <v>0</v>
      </c>
      <c r="K302" s="6">
        <v>0</v>
      </c>
      <c r="L302" s="6">
        <v>9.2910000000000004</v>
      </c>
      <c r="M302" s="6">
        <v>3.7164000000000001</v>
      </c>
      <c r="N302" s="6">
        <v>9.2910000000000004</v>
      </c>
      <c r="O302" s="6">
        <v>3.7164000000000001</v>
      </c>
      <c r="P302" s="6">
        <v>0</v>
      </c>
      <c r="Q302" s="4" t="s">
        <v>26</v>
      </c>
      <c r="R302" s="4">
        <v>0</v>
      </c>
      <c r="S302" s="4">
        <v>0</v>
      </c>
      <c r="T302" s="4">
        <v>29</v>
      </c>
      <c r="U302" s="4">
        <v>66</v>
      </c>
      <c r="V302" s="6">
        <f>IF(ISERROR(VLOOKUP($S$302,'TAR FIN'!$A$1:$O$85,15,0)),0,VLOOKUP($S$302,'TAR FIN'!$A$1:$O$85,15,0))</f>
        <v>0</v>
      </c>
      <c r="W302" s="6">
        <f>IF(ISERROR(VLOOKUP($T$302,'TAR FIN'!$A$1:$O$85,15,0)),0,VLOOKUP($T$302,'TAR FIN'!$A$1:$O$85,15,0))</f>
        <v>240.85</v>
      </c>
      <c r="X302" s="6">
        <f>IF(ISERROR(VLOOKUP($U$302,'TAR FIN'!$A$1:$O$85,15,0)),0,VLOOKUP($U$302,'TAR FIN'!$A$1:$O$85,15,0))</f>
        <v>231.7</v>
      </c>
      <c r="Y302" s="6"/>
      <c r="Z302" s="6">
        <f ca="1">('TUSD BE'!$AM$33+'TUSD BF'!$AM$33+'TUSD CVA'!$AM$33)*(1-CUSTOS!$M$38)</f>
        <v>300.89907966262189</v>
      </c>
      <c r="AA302" s="6">
        <f>('TE BE'!$AA$23+'TE BF'!$AA$23+'TE CVA'!$AA$23)*(1-CUSTOS!$M$38)</f>
        <v>198.0053374241497</v>
      </c>
      <c r="AB302" s="6">
        <f t="shared" si="14"/>
        <v>0</v>
      </c>
      <c r="AC302" s="6">
        <f>(L302-M302)*(W302+X302)+($W$182+$X$182-$W$302-$X$302)*(L302)</f>
        <v>3232.8963599999997</v>
      </c>
      <c r="AD302" s="6">
        <f t="shared" si="15"/>
        <v>0</v>
      </c>
      <c r="AE302" s="6">
        <f ca="1">(L302-M302)*(Z302+AA302)+($Z$182+$AA$182-$Z$302-$AA$302)*(L302)</f>
        <v>3077.0641127995682</v>
      </c>
      <c r="AF302" s="4" t="s">
        <v>809</v>
      </c>
    </row>
    <row r="303" spans="1:32" ht="11.25" customHeight="1" x14ac:dyDescent="0.25">
      <c r="A303" s="4" t="s">
        <v>21</v>
      </c>
      <c r="B303" s="4" t="s">
        <v>43</v>
      </c>
      <c r="C303" s="4" t="s">
        <v>23</v>
      </c>
      <c r="D303" s="4" t="s">
        <v>44</v>
      </c>
      <c r="E303" s="4" t="s">
        <v>56</v>
      </c>
      <c r="F303" s="4" t="s">
        <v>54</v>
      </c>
      <c r="G303" s="4" t="s">
        <v>25</v>
      </c>
      <c r="H303" s="4" t="s">
        <v>25</v>
      </c>
      <c r="I303" s="5">
        <v>44317</v>
      </c>
      <c r="J303" s="6">
        <v>0</v>
      </c>
      <c r="K303" s="6">
        <v>0</v>
      </c>
      <c r="L303" s="6">
        <v>0.63100000000000001</v>
      </c>
      <c r="M303" s="6">
        <v>0.63100000000000001</v>
      </c>
      <c r="N303" s="6">
        <v>0.63100000000000001</v>
      </c>
      <c r="O303" s="6">
        <v>0.63100000000000001</v>
      </c>
      <c r="P303" s="6">
        <v>0</v>
      </c>
      <c r="Q303" s="4" t="s">
        <v>26</v>
      </c>
      <c r="R303" s="4">
        <v>0</v>
      </c>
      <c r="S303" s="4">
        <v>0</v>
      </c>
      <c r="T303" s="4">
        <v>29</v>
      </c>
      <c r="U303" s="4">
        <v>66</v>
      </c>
      <c r="V303" s="6">
        <f>IF(ISERROR(VLOOKUP($S$303,'TAR FIN'!$A$1:$O$85,15,0)),0,VLOOKUP($S$303,'TAR FIN'!$A$1:$O$85,15,0))</f>
        <v>0</v>
      </c>
      <c r="W303" s="6">
        <f>IF(ISERROR(VLOOKUP($T$303,'TAR FIN'!$A$1:$O$85,15,0)),0,VLOOKUP($T$303,'TAR FIN'!$A$1:$O$85,15,0))</f>
        <v>240.85</v>
      </c>
      <c r="X303" s="6">
        <f>IF(ISERROR(VLOOKUP($U$303,'TAR FIN'!$A$1:$O$85,15,0)),0,VLOOKUP($U$303,'TAR FIN'!$A$1:$O$85,15,0))</f>
        <v>231.7</v>
      </c>
      <c r="Y303" s="6"/>
      <c r="Z303" s="6">
        <f ca="1">('TUSD BE'!$AM$33+'TUSD BF'!$AM$33+'TUSD CVA'!$AM$33)*(1-CUSTOS!$M$38)</f>
        <v>300.89907966262189</v>
      </c>
      <c r="AA303" s="6">
        <f>('TE BE'!$AA$23+'TE BF'!$AA$23+'TE CVA'!$AA$23)*(1-CUSTOS!$M$38)</f>
        <v>198.0053374241497</v>
      </c>
      <c r="AB303" s="6">
        <f t="shared" si="14"/>
        <v>0</v>
      </c>
      <c r="AC303" s="6">
        <f>(L303-M303)*(W303+X303)+($W$182+$X$182-$W$303-$X$303)*(L303)</f>
        <v>40.655330000000006</v>
      </c>
      <c r="AD303" s="6">
        <f t="shared" si="15"/>
        <v>0</v>
      </c>
      <c r="AE303" s="6">
        <f ca="1">(L303-M303)*(Z303+AA303)+($Z$182+$AA$182-$Z$303-$AA$303)*(L303)</f>
        <v>20.094171522239606</v>
      </c>
      <c r="AF303" s="4" t="s">
        <v>808</v>
      </c>
    </row>
    <row r="304" spans="1:32" ht="11.25" customHeight="1" x14ac:dyDescent="0.25">
      <c r="A304" s="4" t="s">
        <v>21</v>
      </c>
      <c r="B304" s="4" t="s">
        <v>43</v>
      </c>
      <c r="C304" s="4" t="s">
        <v>23</v>
      </c>
      <c r="D304" s="4" t="s">
        <v>44</v>
      </c>
      <c r="E304" s="4" t="s">
        <v>56</v>
      </c>
      <c r="F304" s="4" t="s">
        <v>54</v>
      </c>
      <c r="G304" s="4" t="s">
        <v>25</v>
      </c>
      <c r="H304" s="4" t="s">
        <v>25</v>
      </c>
      <c r="I304" s="5">
        <v>44348</v>
      </c>
      <c r="J304" s="6">
        <v>0</v>
      </c>
      <c r="K304" s="6">
        <v>0</v>
      </c>
      <c r="L304" s="6">
        <v>3.714</v>
      </c>
      <c r="M304" s="6">
        <v>3.714</v>
      </c>
      <c r="N304" s="6">
        <v>3.714</v>
      </c>
      <c r="O304" s="6">
        <v>3.714</v>
      </c>
      <c r="P304" s="6">
        <v>0</v>
      </c>
      <c r="Q304" s="4" t="s">
        <v>26</v>
      </c>
      <c r="R304" s="4">
        <v>0</v>
      </c>
      <c r="S304" s="4">
        <v>0</v>
      </c>
      <c r="T304" s="4">
        <v>29</v>
      </c>
      <c r="U304" s="4">
        <v>66</v>
      </c>
      <c r="V304" s="6">
        <f>IF(ISERROR(VLOOKUP($S$304,'TAR FIN'!$A$1:$O$85,15,0)),0,VLOOKUP($S$304,'TAR FIN'!$A$1:$O$85,15,0))</f>
        <v>0</v>
      </c>
      <c r="W304" s="6">
        <f>IF(ISERROR(VLOOKUP($T$304,'TAR FIN'!$A$1:$O$85,15,0)),0,VLOOKUP($T$304,'TAR FIN'!$A$1:$O$85,15,0))</f>
        <v>240.85</v>
      </c>
      <c r="X304" s="6">
        <f>IF(ISERROR(VLOOKUP($U$304,'TAR FIN'!$A$1:$O$85,15,0)),0,VLOOKUP($U$304,'TAR FIN'!$A$1:$O$85,15,0))</f>
        <v>231.7</v>
      </c>
      <c r="Y304" s="6"/>
      <c r="Z304" s="6">
        <f ca="1">('TUSD BE'!$AM$33+'TUSD BF'!$AM$33+'TUSD CVA'!$AM$33)*(1-CUSTOS!$M$38)</f>
        <v>300.89907966262189</v>
      </c>
      <c r="AA304" s="6">
        <f>('TE BE'!$AA$23+'TE BF'!$AA$23+'TE CVA'!$AA$23)*(1-CUSTOS!$M$38)</f>
        <v>198.0053374241497</v>
      </c>
      <c r="AB304" s="6">
        <f t="shared" si="14"/>
        <v>0</v>
      </c>
      <c r="AC304" s="6">
        <f>(L304-M304)*(W304+X304)+($W$182+$X$182-$W$304-$X$304)*(L304)</f>
        <v>239.29302000000001</v>
      </c>
      <c r="AD304" s="6">
        <f t="shared" si="15"/>
        <v>0</v>
      </c>
      <c r="AE304" s="6">
        <f ca="1">(L304-M304)*(Z304+AA304)+($Z$182+$AA$182-$Z$304-$AA$304)*(L304)</f>
        <v>118.27219181235799</v>
      </c>
      <c r="AF304" s="4" t="s">
        <v>808</v>
      </c>
    </row>
    <row r="305" spans="1:32" ht="11.25" customHeight="1" x14ac:dyDescent="0.25">
      <c r="A305" s="4" t="s">
        <v>21</v>
      </c>
      <c r="B305" s="4" t="s">
        <v>43</v>
      </c>
      <c r="C305" s="4" t="s">
        <v>23</v>
      </c>
      <c r="D305" s="4" t="s">
        <v>44</v>
      </c>
      <c r="E305" s="4" t="s">
        <v>56</v>
      </c>
      <c r="F305" s="4" t="s">
        <v>54</v>
      </c>
      <c r="G305" s="4" t="s">
        <v>25</v>
      </c>
      <c r="H305" s="4" t="s">
        <v>25</v>
      </c>
      <c r="I305" s="5">
        <v>44378</v>
      </c>
      <c r="J305" s="6">
        <v>0</v>
      </c>
      <c r="K305" s="6">
        <v>0</v>
      </c>
      <c r="L305" s="6">
        <v>3.6040000000000001</v>
      </c>
      <c r="M305" s="6">
        <v>3.6040000000000001</v>
      </c>
      <c r="N305" s="6">
        <v>3.6040000000000001</v>
      </c>
      <c r="O305" s="6">
        <v>3.6040000000000001</v>
      </c>
      <c r="P305" s="6">
        <v>0</v>
      </c>
      <c r="Q305" s="4" t="s">
        <v>26</v>
      </c>
      <c r="R305" s="4">
        <v>0</v>
      </c>
      <c r="S305" s="4">
        <v>0</v>
      </c>
      <c r="T305" s="4">
        <v>29</v>
      </c>
      <c r="U305" s="4">
        <v>66</v>
      </c>
      <c r="V305" s="6">
        <f>IF(ISERROR(VLOOKUP($S$305,'TAR FIN'!$A$1:$O$85,15,0)),0,VLOOKUP($S$305,'TAR FIN'!$A$1:$O$85,15,0))</f>
        <v>0</v>
      </c>
      <c r="W305" s="6">
        <f>IF(ISERROR(VLOOKUP($T$305,'TAR FIN'!$A$1:$O$85,15,0)),0,VLOOKUP($T$305,'TAR FIN'!$A$1:$O$85,15,0))</f>
        <v>240.85</v>
      </c>
      <c r="X305" s="6">
        <f>IF(ISERROR(VLOOKUP($U$305,'TAR FIN'!$A$1:$O$85,15,0)),0,VLOOKUP($U$305,'TAR FIN'!$A$1:$O$85,15,0))</f>
        <v>231.7</v>
      </c>
      <c r="Y305" s="6"/>
      <c r="Z305" s="6">
        <f ca="1">('TUSD BE'!$AM$33+'TUSD BF'!$AM$33+'TUSD CVA'!$AM$33)*(1-CUSTOS!$M$38)</f>
        <v>300.89907966262189</v>
      </c>
      <c r="AA305" s="6">
        <f>('TE BE'!$AA$23+'TE BF'!$AA$23+'TE CVA'!$AA$23)*(1-CUSTOS!$M$38)</f>
        <v>198.0053374241497</v>
      </c>
      <c r="AB305" s="6">
        <f t="shared" si="14"/>
        <v>0</v>
      </c>
      <c r="AC305" s="6">
        <f>(L305-M305)*(W305+X305)+($W$182+$X$182-$W$305-$X$305)*(L305)</f>
        <v>232.20572000000004</v>
      </c>
      <c r="AD305" s="6">
        <f t="shared" si="15"/>
        <v>0</v>
      </c>
      <c r="AE305" s="6">
        <f ca="1">(L305-M305)*(Z305+AA305)+($Z$182+$AA$182-$Z$305-$AA$305)*(L305)</f>
        <v>114.76924590515299</v>
      </c>
      <c r="AF305" s="4" t="s">
        <v>808</v>
      </c>
    </row>
    <row r="306" spans="1:32" ht="11.25" customHeight="1" x14ac:dyDescent="0.25">
      <c r="A306" s="4" t="s">
        <v>21</v>
      </c>
      <c r="B306" s="4" t="s">
        <v>43</v>
      </c>
      <c r="C306" s="4" t="s">
        <v>23</v>
      </c>
      <c r="D306" s="4" t="s">
        <v>44</v>
      </c>
      <c r="E306" s="4" t="s">
        <v>56</v>
      </c>
      <c r="F306" s="4" t="s">
        <v>54</v>
      </c>
      <c r="G306" s="4" t="s">
        <v>25</v>
      </c>
      <c r="H306" s="4" t="s">
        <v>25</v>
      </c>
      <c r="I306" s="5">
        <v>44409</v>
      </c>
      <c r="J306" s="6">
        <v>0</v>
      </c>
      <c r="K306" s="6">
        <v>0</v>
      </c>
      <c r="L306" s="6">
        <v>4.0940000000000003</v>
      </c>
      <c r="M306" s="6">
        <v>4.0940000000000003</v>
      </c>
      <c r="N306" s="6">
        <v>4.0940000000000003</v>
      </c>
      <c r="O306" s="6">
        <v>4.0940000000000003</v>
      </c>
      <c r="P306" s="6">
        <v>0</v>
      </c>
      <c r="Q306" s="4" t="s">
        <v>26</v>
      </c>
      <c r="R306" s="4">
        <v>0</v>
      </c>
      <c r="S306" s="4">
        <v>0</v>
      </c>
      <c r="T306" s="4">
        <v>29</v>
      </c>
      <c r="U306" s="4">
        <v>66</v>
      </c>
      <c r="V306" s="6">
        <f>IF(ISERROR(VLOOKUP($S$306,'TAR FIN'!$A$1:$O$85,15,0)),0,VLOOKUP($S$306,'TAR FIN'!$A$1:$O$85,15,0))</f>
        <v>0</v>
      </c>
      <c r="W306" s="6">
        <f>IF(ISERROR(VLOOKUP($T$306,'TAR FIN'!$A$1:$O$85,15,0)),0,VLOOKUP($T$306,'TAR FIN'!$A$1:$O$85,15,0))</f>
        <v>240.85</v>
      </c>
      <c r="X306" s="6">
        <f>IF(ISERROR(VLOOKUP($U$306,'TAR FIN'!$A$1:$O$85,15,0)),0,VLOOKUP($U$306,'TAR FIN'!$A$1:$O$85,15,0))</f>
        <v>231.7</v>
      </c>
      <c r="Y306" s="6"/>
      <c r="Z306" s="6">
        <f ca="1">('TUSD BE'!$AM$33+'TUSD BF'!$AM$33+'TUSD CVA'!$AM$33)*(1-CUSTOS!$M$38)</f>
        <v>300.89907966262189</v>
      </c>
      <c r="AA306" s="6">
        <f>('TE BE'!$AA$23+'TE BF'!$AA$23+'TE CVA'!$AA$23)*(1-CUSTOS!$M$38)</f>
        <v>198.0053374241497</v>
      </c>
      <c r="AB306" s="6">
        <f t="shared" si="14"/>
        <v>0</v>
      </c>
      <c r="AC306" s="6">
        <f>(L306-M306)*(W306+X306)+($W$182+$X$182-$W$306-$X$306)*(L306)</f>
        <v>263.77642000000003</v>
      </c>
      <c r="AD306" s="6">
        <f t="shared" si="15"/>
        <v>0</v>
      </c>
      <c r="AE306" s="6">
        <f ca="1">(L306-M306)*(Z306+AA306)+($Z$182+$AA$182-$Z$306-$AA$306)*(L306)</f>
        <v>130.37327767361163</v>
      </c>
      <c r="AF306" s="4" t="s">
        <v>808</v>
      </c>
    </row>
    <row r="307" spans="1:32" ht="11.25" customHeight="1" x14ac:dyDescent="0.25">
      <c r="A307" s="4" t="s">
        <v>21</v>
      </c>
      <c r="B307" s="4" t="s">
        <v>43</v>
      </c>
      <c r="C307" s="4" t="s">
        <v>23</v>
      </c>
      <c r="D307" s="4" t="s">
        <v>44</v>
      </c>
      <c r="E307" s="4" t="s">
        <v>56</v>
      </c>
      <c r="F307" s="4" t="s">
        <v>54</v>
      </c>
      <c r="G307" s="4" t="s">
        <v>25</v>
      </c>
      <c r="H307" s="4" t="s">
        <v>25</v>
      </c>
      <c r="I307" s="5">
        <v>44440</v>
      </c>
      <c r="J307" s="6">
        <v>0</v>
      </c>
      <c r="K307" s="6">
        <v>0</v>
      </c>
      <c r="L307" s="6">
        <v>3.9260000000000002</v>
      </c>
      <c r="M307" s="6">
        <v>3.9260000000000002</v>
      </c>
      <c r="N307" s="6">
        <v>3.9260000000000002</v>
      </c>
      <c r="O307" s="6">
        <v>3.9260000000000002</v>
      </c>
      <c r="P307" s="6">
        <v>0</v>
      </c>
      <c r="Q307" s="4" t="s">
        <v>26</v>
      </c>
      <c r="R307" s="4">
        <v>0</v>
      </c>
      <c r="S307" s="4">
        <v>0</v>
      </c>
      <c r="T307" s="4">
        <v>29</v>
      </c>
      <c r="U307" s="4">
        <v>66</v>
      </c>
      <c r="V307" s="6">
        <f>IF(ISERROR(VLOOKUP($S$307,'TAR FIN'!$A$1:$O$85,15,0)),0,VLOOKUP($S$307,'TAR FIN'!$A$1:$O$85,15,0))</f>
        <v>0</v>
      </c>
      <c r="W307" s="6">
        <f>IF(ISERROR(VLOOKUP($T$307,'TAR FIN'!$A$1:$O$85,15,0)),0,VLOOKUP($T$307,'TAR FIN'!$A$1:$O$85,15,0))</f>
        <v>240.85</v>
      </c>
      <c r="X307" s="6">
        <f>IF(ISERROR(VLOOKUP($U$307,'TAR FIN'!$A$1:$O$85,15,0)),0,VLOOKUP($U$307,'TAR FIN'!$A$1:$O$85,15,0))</f>
        <v>231.7</v>
      </c>
      <c r="Y307" s="6"/>
      <c r="Z307" s="6">
        <f ca="1">('TUSD BE'!$AM$33+'TUSD BF'!$AM$33+'TUSD CVA'!$AM$33)*(1-CUSTOS!$M$38)</f>
        <v>300.89907966262189</v>
      </c>
      <c r="AA307" s="6">
        <f>('TE BE'!$AA$23+'TE BF'!$AA$23+'TE CVA'!$AA$23)*(1-CUSTOS!$M$38)</f>
        <v>198.0053374241497</v>
      </c>
      <c r="AB307" s="6">
        <f t="shared" si="14"/>
        <v>0</v>
      </c>
      <c r="AC307" s="6">
        <f>(L307-M307)*(W307+X307)+($W$182+$X$182-$W$307-$X$307)*(L307)</f>
        <v>252.95218000000003</v>
      </c>
      <c r="AD307" s="6">
        <f t="shared" si="15"/>
        <v>0</v>
      </c>
      <c r="AE307" s="6">
        <f ca="1">(L307-M307)*(Z307+AA307)+($Z$182+$AA$182-$Z$307-$AA$307)*(L307)</f>
        <v>125.02332392442581</v>
      </c>
      <c r="AF307" s="4" t="s">
        <v>808</v>
      </c>
    </row>
    <row r="308" spans="1:32" ht="11.25" customHeight="1" x14ac:dyDescent="0.25">
      <c r="A308" s="4" t="s">
        <v>21</v>
      </c>
      <c r="B308" s="4" t="s">
        <v>43</v>
      </c>
      <c r="C308" s="4" t="s">
        <v>23</v>
      </c>
      <c r="D308" s="4" t="s">
        <v>44</v>
      </c>
      <c r="E308" s="4" t="s">
        <v>56</v>
      </c>
      <c r="F308" s="4" t="s">
        <v>54</v>
      </c>
      <c r="G308" s="4" t="s">
        <v>25</v>
      </c>
      <c r="H308" s="4" t="s">
        <v>25</v>
      </c>
      <c r="I308" s="5">
        <v>44470</v>
      </c>
      <c r="J308" s="6">
        <v>0</v>
      </c>
      <c r="K308" s="6">
        <v>0</v>
      </c>
      <c r="L308" s="6">
        <v>1.698</v>
      </c>
      <c r="M308" s="6">
        <v>1.698</v>
      </c>
      <c r="N308" s="6">
        <v>1.698</v>
      </c>
      <c r="O308" s="6">
        <v>1.698</v>
      </c>
      <c r="P308" s="6">
        <v>0</v>
      </c>
      <c r="Q308" s="4" t="s">
        <v>26</v>
      </c>
      <c r="R308" s="4">
        <v>0</v>
      </c>
      <c r="S308" s="4">
        <v>0</v>
      </c>
      <c r="T308" s="4">
        <v>29</v>
      </c>
      <c r="U308" s="4">
        <v>66</v>
      </c>
      <c r="V308" s="6">
        <f>IF(ISERROR(VLOOKUP($S$308,'TAR FIN'!$A$1:$O$85,15,0)),0,VLOOKUP($S$308,'TAR FIN'!$A$1:$O$85,15,0))</f>
        <v>0</v>
      </c>
      <c r="W308" s="6">
        <f>IF(ISERROR(VLOOKUP($T$308,'TAR FIN'!$A$1:$O$85,15,0)),0,VLOOKUP($T$308,'TAR FIN'!$A$1:$O$85,15,0))</f>
        <v>240.85</v>
      </c>
      <c r="X308" s="6">
        <f>IF(ISERROR(VLOOKUP($U$308,'TAR FIN'!$A$1:$O$85,15,0)),0,VLOOKUP($U$308,'TAR FIN'!$A$1:$O$85,15,0))</f>
        <v>231.7</v>
      </c>
      <c r="Y308" s="6"/>
      <c r="Z308" s="6">
        <f ca="1">('TUSD BE'!$AM$33+'TUSD BF'!$AM$33+'TUSD CVA'!$AM$33)*(1-CUSTOS!$M$38)</f>
        <v>300.89907966262189</v>
      </c>
      <c r="AA308" s="6">
        <f>('TE BE'!$AA$23+'TE BF'!$AA$23+'TE CVA'!$AA$23)*(1-CUSTOS!$M$38)</f>
        <v>198.0053374241497</v>
      </c>
      <c r="AB308" s="6">
        <f t="shared" si="14"/>
        <v>0</v>
      </c>
      <c r="AC308" s="6">
        <f>(L308-M308)*(W308+X308)+($W$182+$X$182-$W$308-$X$308)*(L308)</f>
        <v>109.40214</v>
      </c>
      <c r="AD308" s="6">
        <f t="shared" si="15"/>
        <v>0</v>
      </c>
      <c r="AE308" s="6">
        <f ca="1">(L308-M308)*(Z308+AA308)+($Z$182+$AA$182-$Z$308-$AA$308)*(L308)</f>
        <v>54.072746822128124</v>
      </c>
      <c r="AF308" s="4" t="s">
        <v>808</v>
      </c>
    </row>
    <row r="309" spans="1:32" ht="11.25" customHeight="1" x14ac:dyDescent="0.25">
      <c r="A309" s="4" t="s">
        <v>21</v>
      </c>
      <c r="B309" s="4" t="s">
        <v>43</v>
      </c>
      <c r="C309" s="4" t="s">
        <v>23</v>
      </c>
      <c r="D309" s="4" t="s">
        <v>44</v>
      </c>
      <c r="E309" s="4" t="s">
        <v>56</v>
      </c>
      <c r="F309" s="4" t="s">
        <v>54</v>
      </c>
      <c r="G309" s="4" t="s">
        <v>25</v>
      </c>
      <c r="H309" s="4" t="s">
        <v>25</v>
      </c>
      <c r="I309" s="5">
        <v>44501</v>
      </c>
      <c r="J309" s="6">
        <v>0</v>
      </c>
      <c r="K309" s="6">
        <v>0</v>
      </c>
      <c r="L309" s="6">
        <v>3.7109999999999999</v>
      </c>
      <c r="M309" s="6">
        <v>3.7109999999999999</v>
      </c>
      <c r="N309" s="6">
        <v>3.7109999999999999</v>
      </c>
      <c r="O309" s="6">
        <v>3.7109999999999999</v>
      </c>
      <c r="P309" s="6">
        <v>0</v>
      </c>
      <c r="Q309" s="4" t="s">
        <v>26</v>
      </c>
      <c r="R309" s="4">
        <v>0</v>
      </c>
      <c r="S309" s="4">
        <v>0</v>
      </c>
      <c r="T309" s="4">
        <v>29</v>
      </c>
      <c r="U309" s="4">
        <v>66</v>
      </c>
      <c r="V309" s="6">
        <f>IF(ISERROR(VLOOKUP($S$309,'TAR FIN'!$A$1:$O$85,15,0)),0,VLOOKUP($S$309,'TAR FIN'!$A$1:$O$85,15,0))</f>
        <v>0</v>
      </c>
      <c r="W309" s="6">
        <f>IF(ISERROR(VLOOKUP($T$309,'TAR FIN'!$A$1:$O$85,15,0)),0,VLOOKUP($T$309,'TAR FIN'!$A$1:$O$85,15,0))</f>
        <v>240.85</v>
      </c>
      <c r="X309" s="6">
        <f>IF(ISERROR(VLOOKUP($U$309,'TAR FIN'!$A$1:$O$85,15,0)),0,VLOOKUP($U$309,'TAR FIN'!$A$1:$O$85,15,0))</f>
        <v>231.7</v>
      </c>
      <c r="Y309" s="6"/>
      <c r="Z309" s="6">
        <f ca="1">('TUSD BE'!$AM$33+'TUSD BF'!$AM$33+'TUSD CVA'!$AM$33)*(1-CUSTOS!$M$38)</f>
        <v>300.89907966262189</v>
      </c>
      <c r="AA309" s="6">
        <f>('TE BE'!$AA$23+'TE BF'!$AA$23+'TE CVA'!$AA$23)*(1-CUSTOS!$M$38)</f>
        <v>198.0053374241497</v>
      </c>
      <c r="AB309" s="6">
        <f t="shared" si="14"/>
        <v>0</v>
      </c>
      <c r="AC309" s="6">
        <f>(L309-M309)*(W309+X309)+($W$182+$X$182-$W$309-$X$309)*(L309)</f>
        <v>239.09973000000002</v>
      </c>
      <c r="AD309" s="6">
        <f t="shared" si="15"/>
        <v>0</v>
      </c>
      <c r="AE309" s="6">
        <f ca="1">(L309-M309)*(Z309+AA309)+($Z$182+$AA$182-$Z$309-$AA$309)*(L309)</f>
        <v>118.17665692397966</v>
      </c>
      <c r="AF309" s="4" t="s">
        <v>808</v>
      </c>
    </row>
    <row r="310" spans="1:32" ht="11.25" customHeight="1" x14ac:dyDescent="0.25">
      <c r="A310" s="4" t="s">
        <v>21</v>
      </c>
      <c r="B310" s="4" t="s">
        <v>43</v>
      </c>
      <c r="C310" s="4" t="s">
        <v>23</v>
      </c>
      <c r="D310" s="4" t="s">
        <v>44</v>
      </c>
      <c r="E310" s="4" t="s">
        <v>56</v>
      </c>
      <c r="F310" s="4" t="s">
        <v>54</v>
      </c>
      <c r="G310" s="4" t="s">
        <v>25</v>
      </c>
      <c r="H310" s="4" t="s">
        <v>25</v>
      </c>
      <c r="I310" s="5">
        <v>44531</v>
      </c>
      <c r="J310" s="6">
        <v>0</v>
      </c>
      <c r="K310" s="6">
        <v>0</v>
      </c>
      <c r="L310" s="6">
        <v>3.3180000000000001</v>
      </c>
      <c r="M310" s="6">
        <v>3.3180000000000001</v>
      </c>
      <c r="N310" s="6">
        <v>3.3180000000000001</v>
      </c>
      <c r="O310" s="6">
        <v>3.3180000000000001</v>
      </c>
      <c r="P310" s="6">
        <v>0</v>
      </c>
      <c r="Q310" s="4" t="s">
        <v>26</v>
      </c>
      <c r="R310" s="4">
        <v>0</v>
      </c>
      <c r="S310" s="4">
        <v>0</v>
      </c>
      <c r="T310" s="4">
        <v>29</v>
      </c>
      <c r="U310" s="4">
        <v>66</v>
      </c>
      <c r="V310" s="6">
        <f>IF(ISERROR(VLOOKUP($S$310,'TAR FIN'!$A$1:$O$85,15,0)),0,VLOOKUP($S$310,'TAR FIN'!$A$1:$O$85,15,0))</f>
        <v>0</v>
      </c>
      <c r="W310" s="6">
        <f>IF(ISERROR(VLOOKUP($T$310,'TAR FIN'!$A$1:$O$85,15,0)),0,VLOOKUP($T$310,'TAR FIN'!$A$1:$O$85,15,0))</f>
        <v>240.85</v>
      </c>
      <c r="X310" s="6">
        <f>IF(ISERROR(VLOOKUP($U$310,'TAR FIN'!$A$1:$O$85,15,0)),0,VLOOKUP($U$310,'TAR FIN'!$A$1:$O$85,15,0))</f>
        <v>231.7</v>
      </c>
      <c r="Y310" s="6"/>
      <c r="Z310" s="6">
        <f ca="1">('TUSD BE'!$AM$33+'TUSD BF'!$AM$33+'TUSD CVA'!$AM$33)*(1-CUSTOS!$M$38)</f>
        <v>300.89907966262189</v>
      </c>
      <c r="AA310" s="6">
        <f>('TE BE'!$AA$23+'TE BF'!$AA$23+'TE CVA'!$AA$23)*(1-CUSTOS!$M$38)</f>
        <v>198.0053374241497</v>
      </c>
      <c r="AB310" s="6">
        <f t="shared" si="14"/>
        <v>0</v>
      </c>
      <c r="AC310" s="6">
        <f>(L310-M310)*(W310+X310)+($W$182+$X$182-$W$310-$X$310)*(L310)</f>
        <v>213.77874000000003</v>
      </c>
      <c r="AD310" s="6">
        <f t="shared" si="15"/>
        <v>0</v>
      </c>
      <c r="AE310" s="6">
        <f ca="1">(L310-M310)*(Z310+AA310)+($Z$182+$AA$182-$Z$310-$AA$310)*(L310)</f>
        <v>105.66158654641998</v>
      </c>
      <c r="AF310" s="4" t="s">
        <v>808</v>
      </c>
    </row>
    <row r="311" spans="1:32" ht="11.25" customHeight="1" x14ac:dyDescent="0.25">
      <c r="A311" s="4" t="s">
        <v>21</v>
      </c>
      <c r="B311" s="4" t="s">
        <v>43</v>
      </c>
      <c r="C311" s="4" t="s">
        <v>23</v>
      </c>
      <c r="D311" s="4" t="s">
        <v>44</v>
      </c>
      <c r="E311" s="4" t="s">
        <v>56</v>
      </c>
      <c r="F311" s="4" t="s">
        <v>54</v>
      </c>
      <c r="G311" s="4" t="s">
        <v>25</v>
      </c>
      <c r="H311" s="4" t="s">
        <v>25</v>
      </c>
      <c r="I311" s="5">
        <v>44562</v>
      </c>
      <c r="J311" s="6">
        <v>0</v>
      </c>
      <c r="K311" s="6">
        <v>0</v>
      </c>
      <c r="L311" s="6">
        <v>3.28</v>
      </c>
      <c r="M311" s="6">
        <v>3.28</v>
      </c>
      <c r="N311" s="6">
        <v>3.28</v>
      </c>
      <c r="O311" s="6">
        <v>3.28</v>
      </c>
      <c r="P311" s="6">
        <v>0</v>
      </c>
      <c r="Q311" s="4" t="s">
        <v>26</v>
      </c>
      <c r="R311" s="4">
        <v>0</v>
      </c>
      <c r="S311" s="4">
        <v>0</v>
      </c>
      <c r="T311" s="4">
        <v>29</v>
      </c>
      <c r="U311" s="4">
        <v>66</v>
      </c>
      <c r="V311" s="6">
        <f>IF(ISERROR(VLOOKUP($S$311,'TAR FIN'!$A$1:$O$85,15,0)),0,VLOOKUP($S$311,'TAR FIN'!$A$1:$O$85,15,0))</f>
        <v>0</v>
      </c>
      <c r="W311" s="6">
        <f>IF(ISERROR(VLOOKUP($T$311,'TAR FIN'!$A$1:$O$85,15,0)),0,VLOOKUP($T$311,'TAR FIN'!$A$1:$O$85,15,0))</f>
        <v>240.85</v>
      </c>
      <c r="X311" s="6">
        <f>IF(ISERROR(VLOOKUP($U$311,'TAR FIN'!$A$1:$O$85,15,0)),0,VLOOKUP($U$311,'TAR FIN'!$A$1:$O$85,15,0))</f>
        <v>231.7</v>
      </c>
      <c r="Y311" s="6"/>
      <c r="Z311" s="6">
        <f ca="1">('TUSD BE'!$AM$33+'TUSD BF'!$AM$33+'TUSD CVA'!$AM$33)*(1-CUSTOS!$M$38)</f>
        <v>300.89907966262189</v>
      </c>
      <c r="AA311" s="6">
        <f>('TE BE'!$AA$23+'TE BF'!$AA$23+'TE CVA'!$AA$23)*(1-CUSTOS!$M$38)</f>
        <v>198.0053374241497</v>
      </c>
      <c r="AB311" s="6">
        <f t="shared" si="14"/>
        <v>0</v>
      </c>
      <c r="AC311" s="6">
        <f>(L311-M311)*(W311+X311)+($W$182+$X$182-$W$311-$X$311)*(L311)</f>
        <v>211.3304</v>
      </c>
      <c r="AD311" s="6">
        <f t="shared" si="15"/>
        <v>0</v>
      </c>
      <c r="AE311" s="6">
        <f ca="1">(L311-M311)*(Z311+AA311)+($Z$182+$AA$182-$Z$311-$AA$311)*(L311)</f>
        <v>104.45147796029461</v>
      </c>
      <c r="AF311" s="4" t="s">
        <v>808</v>
      </c>
    </row>
    <row r="312" spans="1:32" ht="11.25" customHeight="1" x14ac:dyDescent="0.25">
      <c r="A312" s="4" t="s">
        <v>21</v>
      </c>
      <c r="B312" s="4" t="s">
        <v>43</v>
      </c>
      <c r="C312" s="4" t="s">
        <v>23</v>
      </c>
      <c r="D312" s="4" t="s">
        <v>44</v>
      </c>
      <c r="E312" s="4" t="s">
        <v>56</v>
      </c>
      <c r="F312" s="4" t="s">
        <v>54</v>
      </c>
      <c r="G312" s="4" t="s">
        <v>25</v>
      </c>
      <c r="H312" s="4" t="s">
        <v>25</v>
      </c>
      <c r="I312" s="5">
        <v>44593</v>
      </c>
      <c r="J312" s="6">
        <v>0</v>
      </c>
      <c r="K312" s="6">
        <v>0</v>
      </c>
      <c r="L312" s="6">
        <v>2.9420000000000002</v>
      </c>
      <c r="M312" s="6">
        <v>2.9420000000000002</v>
      </c>
      <c r="N312" s="6">
        <v>2.9420000000000002</v>
      </c>
      <c r="O312" s="6">
        <v>2.9420000000000002</v>
      </c>
      <c r="P312" s="6">
        <v>0</v>
      </c>
      <c r="Q312" s="4" t="s">
        <v>26</v>
      </c>
      <c r="R312" s="4">
        <v>0</v>
      </c>
      <c r="S312" s="4">
        <v>0</v>
      </c>
      <c r="T312" s="4">
        <v>29</v>
      </c>
      <c r="U312" s="4">
        <v>66</v>
      </c>
      <c r="V312" s="6">
        <f>IF(ISERROR(VLOOKUP($S$312,'TAR FIN'!$A$1:$O$85,15,0)),0,VLOOKUP($S$312,'TAR FIN'!$A$1:$O$85,15,0))</f>
        <v>0</v>
      </c>
      <c r="W312" s="6">
        <f>IF(ISERROR(VLOOKUP($T$312,'TAR FIN'!$A$1:$O$85,15,0)),0,VLOOKUP($T$312,'TAR FIN'!$A$1:$O$85,15,0))</f>
        <v>240.85</v>
      </c>
      <c r="X312" s="6">
        <f>IF(ISERROR(VLOOKUP($U$312,'TAR FIN'!$A$1:$O$85,15,0)),0,VLOOKUP($U$312,'TAR FIN'!$A$1:$O$85,15,0))</f>
        <v>231.7</v>
      </c>
      <c r="Y312" s="6"/>
      <c r="Z312" s="6">
        <f ca="1">('TUSD BE'!$AM$33+'TUSD BF'!$AM$33+'TUSD CVA'!$AM$33)*(1-CUSTOS!$M$38)</f>
        <v>300.89907966262189</v>
      </c>
      <c r="AA312" s="6">
        <f>('TE BE'!$AA$23+'TE BF'!$AA$23+'TE CVA'!$AA$23)*(1-CUSTOS!$M$38)</f>
        <v>198.0053374241497</v>
      </c>
      <c r="AB312" s="6">
        <f t="shared" si="14"/>
        <v>0</v>
      </c>
      <c r="AC312" s="6">
        <f>(L312-M312)*(W312+X312)+($W$182+$X$182-$W$312-$X$312)*(L312)</f>
        <v>189.55306000000004</v>
      </c>
      <c r="AD312" s="6">
        <f t="shared" si="15"/>
        <v>0</v>
      </c>
      <c r="AE312" s="6">
        <f ca="1">(L312-M312)*(Z312+AA312)+($Z$182+$AA$182-$Z$312-$AA$312)*(L312)</f>
        <v>93.687880536337431</v>
      </c>
      <c r="AF312" s="4" t="s">
        <v>808</v>
      </c>
    </row>
    <row r="313" spans="1:32" ht="11.25" customHeight="1" x14ac:dyDescent="0.25">
      <c r="A313" s="4" t="s">
        <v>21</v>
      </c>
      <c r="B313" s="4" t="s">
        <v>43</v>
      </c>
      <c r="C313" s="4" t="s">
        <v>23</v>
      </c>
      <c r="D313" s="4" t="s">
        <v>44</v>
      </c>
      <c r="E313" s="4" t="s">
        <v>56</v>
      </c>
      <c r="F313" s="4" t="s">
        <v>54</v>
      </c>
      <c r="G313" s="4" t="s">
        <v>25</v>
      </c>
      <c r="H313" s="4" t="s">
        <v>25</v>
      </c>
      <c r="I313" s="5">
        <v>44621</v>
      </c>
      <c r="J313" s="6">
        <v>0</v>
      </c>
      <c r="K313" s="6">
        <v>0</v>
      </c>
      <c r="L313" s="6">
        <v>2.9609999999999999</v>
      </c>
      <c r="M313" s="6">
        <v>2.9609999999999999</v>
      </c>
      <c r="N313" s="6">
        <v>2.9609999999999999</v>
      </c>
      <c r="O313" s="6">
        <v>2.9609999999999999</v>
      </c>
      <c r="P313" s="6">
        <v>0</v>
      </c>
      <c r="Q313" s="4" t="s">
        <v>26</v>
      </c>
      <c r="R313" s="4">
        <v>0</v>
      </c>
      <c r="S313" s="4">
        <v>0</v>
      </c>
      <c r="T313" s="4">
        <v>29</v>
      </c>
      <c r="U313" s="4">
        <v>66</v>
      </c>
      <c r="V313" s="6">
        <f>IF(ISERROR(VLOOKUP($S$313,'TAR FIN'!$A$1:$O$85,15,0)),0,VLOOKUP($S$313,'TAR FIN'!$A$1:$O$85,15,0))</f>
        <v>0</v>
      </c>
      <c r="W313" s="6">
        <f>IF(ISERROR(VLOOKUP($T$313,'TAR FIN'!$A$1:$O$85,15,0)),0,VLOOKUP($T$313,'TAR FIN'!$A$1:$O$85,15,0))</f>
        <v>240.85</v>
      </c>
      <c r="X313" s="6">
        <f>IF(ISERROR(VLOOKUP($U$313,'TAR FIN'!$A$1:$O$85,15,0)),0,VLOOKUP($U$313,'TAR FIN'!$A$1:$O$85,15,0))</f>
        <v>231.7</v>
      </c>
      <c r="Y313" s="6"/>
      <c r="Z313" s="6">
        <f ca="1">('TUSD BE'!$AM$33+'TUSD BF'!$AM$33+'TUSD CVA'!$AM$33)*(1-CUSTOS!$M$38)</f>
        <v>300.89907966262189</v>
      </c>
      <c r="AA313" s="6">
        <f>('TE BE'!$AA$23+'TE BF'!$AA$23+'TE CVA'!$AA$23)*(1-CUSTOS!$M$38)</f>
        <v>198.0053374241497</v>
      </c>
      <c r="AB313" s="6">
        <f t="shared" si="14"/>
        <v>0</v>
      </c>
      <c r="AC313" s="6">
        <f>(L313-M313)*(W313+X313)+($W$182+$X$182-$W$313-$X$313)*(L313)</f>
        <v>190.77723</v>
      </c>
      <c r="AD313" s="6">
        <f t="shared" si="15"/>
        <v>0</v>
      </c>
      <c r="AE313" s="6">
        <f ca="1">(L313-M313)*(Z313+AA313)+($Z$182+$AA$182-$Z$313-$AA$313)*(L313)</f>
        <v>94.292934829400096</v>
      </c>
      <c r="AF313" s="4" t="s">
        <v>808</v>
      </c>
    </row>
    <row r="314" spans="1:32" ht="11.25" customHeight="1" x14ac:dyDescent="0.25">
      <c r="A314" s="4" t="s">
        <v>21</v>
      </c>
      <c r="B314" s="4" t="s">
        <v>43</v>
      </c>
      <c r="C314" s="4" t="s">
        <v>23</v>
      </c>
      <c r="D314" s="4" t="s">
        <v>44</v>
      </c>
      <c r="E314" s="4" t="s">
        <v>56</v>
      </c>
      <c r="F314" s="4" t="s">
        <v>54</v>
      </c>
      <c r="G314" s="4" t="s">
        <v>25</v>
      </c>
      <c r="H314" s="4" t="s">
        <v>25</v>
      </c>
      <c r="I314" s="5">
        <v>44652</v>
      </c>
      <c r="J314" s="6">
        <v>0</v>
      </c>
      <c r="K314" s="6">
        <v>0</v>
      </c>
      <c r="L314" s="6">
        <v>2.7930000000000001</v>
      </c>
      <c r="M314" s="6">
        <v>2.7930000000000001</v>
      </c>
      <c r="N314" s="6">
        <v>2.7930000000000001</v>
      </c>
      <c r="O314" s="6">
        <v>2.7930000000000001</v>
      </c>
      <c r="P314" s="6">
        <v>0</v>
      </c>
      <c r="Q314" s="4" t="s">
        <v>26</v>
      </c>
      <c r="R314" s="4">
        <v>0</v>
      </c>
      <c r="S314" s="4">
        <v>0</v>
      </c>
      <c r="T314" s="4">
        <v>29</v>
      </c>
      <c r="U314" s="4">
        <v>66</v>
      </c>
      <c r="V314" s="6">
        <f>IF(ISERROR(VLOOKUP($S$314,'TAR FIN'!$A$1:$O$85,15,0)),0,VLOOKUP($S$314,'TAR FIN'!$A$1:$O$85,15,0))</f>
        <v>0</v>
      </c>
      <c r="W314" s="6">
        <f>IF(ISERROR(VLOOKUP($T$314,'TAR FIN'!$A$1:$O$85,15,0)),0,VLOOKUP($T$314,'TAR FIN'!$A$1:$O$85,15,0))</f>
        <v>240.85</v>
      </c>
      <c r="X314" s="6">
        <f>IF(ISERROR(VLOOKUP($U$314,'TAR FIN'!$A$1:$O$85,15,0)),0,VLOOKUP($U$314,'TAR FIN'!$A$1:$O$85,15,0))</f>
        <v>231.7</v>
      </c>
      <c r="Y314" s="6"/>
      <c r="Z314" s="6">
        <f ca="1">('TUSD BE'!$AM$33+'TUSD BF'!$AM$33+'TUSD CVA'!$AM$33)*(1-CUSTOS!$M$38)</f>
        <v>300.89907966262189</v>
      </c>
      <c r="AA314" s="6">
        <f>('TE BE'!$AA$23+'TE BF'!$AA$23+'TE CVA'!$AA$23)*(1-CUSTOS!$M$38)</f>
        <v>198.0053374241497</v>
      </c>
      <c r="AB314" s="6">
        <f t="shared" si="14"/>
        <v>0</v>
      </c>
      <c r="AC314" s="6">
        <f>(L314-M314)*(W314+X314)+($W$182+$X$182-$W$314-$X$314)*(L314)</f>
        <v>179.95299000000003</v>
      </c>
      <c r="AD314" s="6">
        <f t="shared" si="15"/>
        <v>0</v>
      </c>
      <c r="AE314" s="6">
        <f ca="1">(L314-M314)*(Z314+AA314)+($Z$182+$AA$182-$Z$314-$AA$314)*(L314)</f>
        <v>88.942981080214295</v>
      </c>
      <c r="AF314" s="4" t="s">
        <v>808</v>
      </c>
    </row>
    <row r="315" spans="1:32" ht="11.25" customHeight="1" x14ac:dyDescent="0.25">
      <c r="A315" s="4" t="s">
        <v>21</v>
      </c>
      <c r="B315" s="4" t="s">
        <v>43</v>
      </c>
      <c r="C315" s="4" t="s">
        <v>23</v>
      </c>
      <c r="D315" s="4" t="s">
        <v>44</v>
      </c>
      <c r="E315" s="4" t="s">
        <v>56</v>
      </c>
      <c r="F315" s="4" t="s">
        <v>55</v>
      </c>
      <c r="G315" s="4" t="s">
        <v>25</v>
      </c>
      <c r="H315" s="4" t="s">
        <v>25</v>
      </c>
      <c r="I315" s="5">
        <v>44317</v>
      </c>
      <c r="J315" s="6">
        <v>0</v>
      </c>
      <c r="K315" s="6">
        <v>0</v>
      </c>
      <c r="L315" s="6">
        <v>1.8169999999999999</v>
      </c>
      <c r="M315" s="6">
        <v>0.7268</v>
      </c>
      <c r="N315" s="6">
        <v>1.8169999999999999</v>
      </c>
      <c r="O315" s="6">
        <v>0.7268</v>
      </c>
      <c r="P315" s="6">
        <v>0</v>
      </c>
      <c r="Q315" s="4" t="s">
        <v>26</v>
      </c>
      <c r="R315" s="4">
        <v>0</v>
      </c>
      <c r="S315" s="4">
        <v>0</v>
      </c>
      <c r="T315" s="4">
        <v>29</v>
      </c>
      <c r="U315" s="4">
        <v>66</v>
      </c>
      <c r="V315" s="6">
        <f>IF(ISERROR(VLOOKUP($S$315,'TAR FIN'!$A$1:$O$85,15,0)),0,VLOOKUP($S$315,'TAR FIN'!$A$1:$O$85,15,0))</f>
        <v>0</v>
      </c>
      <c r="W315" s="6">
        <f>IF(ISERROR(VLOOKUP($T$315,'TAR FIN'!$A$1:$O$85,15,0)),0,VLOOKUP($T$315,'TAR FIN'!$A$1:$O$85,15,0))</f>
        <v>240.85</v>
      </c>
      <c r="X315" s="6">
        <f>IF(ISERROR(VLOOKUP($U$315,'TAR FIN'!$A$1:$O$85,15,0)),0,VLOOKUP($U$315,'TAR FIN'!$A$1:$O$85,15,0))</f>
        <v>231.7</v>
      </c>
      <c r="Y315" s="6"/>
      <c r="Z315" s="6">
        <f ca="1">('TUSD BE'!$AM$33+'TUSD BF'!$AM$33+'TUSD CVA'!$AM$33)*(1-CUSTOS!$M$38)</f>
        <v>300.89907966262189</v>
      </c>
      <c r="AA315" s="6">
        <f>('TE BE'!$AA$23+'TE BF'!$AA$23+'TE CVA'!$AA$23)*(1-CUSTOS!$M$38)</f>
        <v>198.0053374241497</v>
      </c>
      <c r="AB315" s="6">
        <f t="shared" si="14"/>
        <v>0</v>
      </c>
      <c r="AC315" s="6">
        <f>(L315-M315)*(W315+X315)+($W$182+$X$182-$W$315-$X$315)*(L315)</f>
        <v>632.24331999999981</v>
      </c>
      <c r="AD315" s="6">
        <f t="shared" si="15"/>
        <v>0</v>
      </c>
      <c r="AE315" s="6">
        <f ca="1">(L315-M315)*(Z315+AA315)+($Z$182+$AA$182-$Z$315-$AA$315)*(L315)</f>
        <v>601.76789290246643</v>
      </c>
      <c r="AF315" s="4" t="s">
        <v>809</v>
      </c>
    </row>
    <row r="316" spans="1:32" ht="11.25" customHeight="1" x14ac:dyDescent="0.25">
      <c r="A316" s="4" t="s">
        <v>21</v>
      </c>
      <c r="B316" s="4" t="s">
        <v>43</v>
      </c>
      <c r="C316" s="4" t="s">
        <v>23</v>
      </c>
      <c r="D316" s="4" t="s">
        <v>44</v>
      </c>
      <c r="E316" s="4" t="s">
        <v>56</v>
      </c>
      <c r="F316" s="4" t="s">
        <v>55</v>
      </c>
      <c r="G316" s="4" t="s">
        <v>25</v>
      </c>
      <c r="H316" s="4" t="s">
        <v>25</v>
      </c>
      <c r="I316" s="5">
        <v>44348</v>
      </c>
      <c r="J316" s="6">
        <v>0</v>
      </c>
      <c r="K316" s="6">
        <v>0</v>
      </c>
      <c r="L316" s="6">
        <v>3.04</v>
      </c>
      <c r="M316" s="6">
        <v>1.216</v>
      </c>
      <c r="N316" s="6">
        <v>3.04</v>
      </c>
      <c r="O316" s="6">
        <v>1.216</v>
      </c>
      <c r="P316" s="6">
        <v>0</v>
      </c>
      <c r="Q316" s="4" t="s">
        <v>26</v>
      </c>
      <c r="R316" s="4">
        <v>0</v>
      </c>
      <c r="S316" s="4">
        <v>0</v>
      </c>
      <c r="T316" s="4">
        <v>29</v>
      </c>
      <c r="U316" s="4">
        <v>66</v>
      </c>
      <c r="V316" s="6">
        <f>IF(ISERROR(VLOOKUP($S$316,'TAR FIN'!$A$1:$O$85,15,0)),0,VLOOKUP($S$316,'TAR FIN'!$A$1:$O$85,15,0))</f>
        <v>0</v>
      </c>
      <c r="W316" s="6">
        <f>IF(ISERROR(VLOOKUP($T$316,'TAR FIN'!$A$1:$O$85,15,0)),0,VLOOKUP($T$316,'TAR FIN'!$A$1:$O$85,15,0))</f>
        <v>240.85</v>
      </c>
      <c r="X316" s="6">
        <f>IF(ISERROR(VLOOKUP($U$316,'TAR FIN'!$A$1:$O$85,15,0)),0,VLOOKUP($U$316,'TAR FIN'!$A$1:$O$85,15,0))</f>
        <v>231.7</v>
      </c>
      <c r="Y316" s="6"/>
      <c r="Z316" s="6">
        <f ca="1">('TUSD BE'!$AM$33+'TUSD BF'!$AM$33+'TUSD CVA'!$AM$33)*(1-CUSTOS!$M$38)</f>
        <v>300.89907966262189</v>
      </c>
      <c r="AA316" s="6">
        <f>('TE BE'!$AA$23+'TE BF'!$AA$23+'TE CVA'!$AA$23)*(1-CUSTOS!$M$38)</f>
        <v>198.0053374241497</v>
      </c>
      <c r="AB316" s="6">
        <f t="shared" si="14"/>
        <v>0</v>
      </c>
      <c r="AC316" s="6">
        <f>(L316-M316)*(W316+X316)+($W$182+$X$182-$W$316-$X$316)*(L316)</f>
        <v>1057.7984000000001</v>
      </c>
      <c r="AD316" s="6">
        <f t="shared" si="15"/>
        <v>0</v>
      </c>
      <c r="AE316" s="6">
        <f ca="1">(L316-M316)*(Z316+AA316)+($Z$182+$AA$182-$Z$316-$AA$316)*(L316)</f>
        <v>1006.8103436563006</v>
      </c>
      <c r="AF316" s="4" t="s">
        <v>809</v>
      </c>
    </row>
    <row r="317" spans="1:32" ht="11.25" customHeight="1" x14ac:dyDescent="0.25">
      <c r="A317" s="4" t="s">
        <v>21</v>
      </c>
      <c r="B317" s="4" t="s">
        <v>43</v>
      </c>
      <c r="C317" s="4" t="s">
        <v>23</v>
      </c>
      <c r="D317" s="4" t="s">
        <v>44</v>
      </c>
      <c r="E317" s="4" t="s">
        <v>56</v>
      </c>
      <c r="F317" s="4" t="s">
        <v>55</v>
      </c>
      <c r="G317" s="4" t="s">
        <v>25</v>
      </c>
      <c r="H317" s="4" t="s">
        <v>25</v>
      </c>
      <c r="I317" s="5">
        <v>44378</v>
      </c>
      <c r="J317" s="6">
        <v>0</v>
      </c>
      <c r="K317" s="6">
        <v>0</v>
      </c>
      <c r="L317" s="6">
        <v>2.3580000000000001</v>
      </c>
      <c r="M317" s="6">
        <v>0.94320000000000004</v>
      </c>
      <c r="N317" s="6">
        <v>2.3580000000000001</v>
      </c>
      <c r="O317" s="6">
        <v>0.94320000000000004</v>
      </c>
      <c r="P317" s="6">
        <v>0</v>
      </c>
      <c r="Q317" s="4" t="s">
        <v>26</v>
      </c>
      <c r="R317" s="4">
        <v>0</v>
      </c>
      <c r="S317" s="4">
        <v>0</v>
      </c>
      <c r="T317" s="4">
        <v>29</v>
      </c>
      <c r="U317" s="4">
        <v>66</v>
      </c>
      <c r="V317" s="6">
        <f>IF(ISERROR(VLOOKUP($S$317,'TAR FIN'!$A$1:$O$85,15,0)),0,VLOOKUP($S$317,'TAR FIN'!$A$1:$O$85,15,0))</f>
        <v>0</v>
      </c>
      <c r="W317" s="6">
        <f>IF(ISERROR(VLOOKUP($T$317,'TAR FIN'!$A$1:$O$85,15,0)),0,VLOOKUP($T$317,'TAR FIN'!$A$1:$O$85,15,0))</f>
        <v>240.85</v>
      </c>
      <c r="X317" s="6">
        <f>IF(ISERROR(VLOOKUP($U$317,'TAR FIN'!$A$1:$O$85,15,0)),0,VLOOKUP($U$317,'TAR FIN'!$A$1:$O$85,15,0))</f>
        <v>231.7</v>
      </c>
      <c r="Y317" s="6"/>
      <c r="Z317" s="6">
        <f ca="1">('TUSD BE'!$AM$33+'TUSD BF'!$AM$33+'TUSD CVA'!$AM$33)*(1-CUSTOS!$M$38)</f>
        <v>300.89907966262189</v>
      </c>
      <c r="AA317" s="6">
        <f>('TE BE'!$AA$23+'TE BF'!$AA$23+'TE CVA'!$AA$23)*(1-CUSTOS!$M$38)</f>
        <v>198.0053374241497</v>
      </c>
      <c r="AB317" s="6">
        <f t="shared" si="14"/>
        <v>0</v>
      </c>
      <c r="AC317" s="6">
        <f>(L317-M317)*(W317+X317)+($W$182+$X$182-$W$317-$X$317)*(L317)</f>
        <v>820.48967999999991</v>
      </c>
      <c r="AD317" s="6">
        <f t="shared" si="15"/>
        <v>0</v>
      </c>
      <c r="AE317" s="6">
        <f ca="1">(L317-M317)*(Z317+AA317)+($Z$182+$AA$182-$Z$317-$AA$317)*(L317)</f>
        <v>780.94039155972257</v>
      </c>
      <c r="AF317" s="4" t="s">
        <v>809</v>
      </c>
    </row>
    <row r="318" spans="1:32" ht="11.25" customHeight="1" x14ac:dyDescent="0.25">
      <c r="A318" s="4" t="s">
        <v>21</v>
      </c>
      <c r="B318" s="4" t="s">
        <v>43</v>
      </c>
      <c r="C318" s="4" t="s">
        <v>23</v>
      </c>
      <c r="D318" s="4" t="s">
        <v>44</v>
      </c>
      <c r="E318" s="4" t="s">
        <v>56</v>
      </c>
      <c r="F318" s="4" t="s">
        <v>55</v>
      </c>
      <c r="G318" s="4" t="s">
        <v>25</v>
      </c>
      <c r="H318" s="4" t="s">
        <v>25</v>
      </c>
      <c r="I318" s="5">
        <v>44409</v>
      </c>
      <c r="J318" s="6">
        <v>0</v>
      </c>
      <c r="K318" s="6">
        <v>0</v>
      </c>
      <c r="L318" s="6">
        <v>2.86</v>
      </c>
      <c r="M318" s="6">
        <v>1.1439999999999999</v>
      </c>
      <c r="N318" s="6">
        <v>2.86</v>
      </c>
      <c r="O318" s="6">
        <v>1.1439999999999999</v>
      </c>
      <c r="P318" s="6">
        <v>0</v>
      </c>
      <c r="Q318" s="4" t="s">
        <v>26</v>
      </c>
      <c r="R318" s="4">
        <v>0</v>
      </c>
      <c r="S318" s="4">
        <v>0</v>
      </c>
      <c r="T318" s="4">
        <v>29</v>
      </c>
      <c r="U318" s="4">
        <v>66</v>
      </c>
      <c r="V318" s="6">
        <f>IF(ISERROR(VLOOKUP($S$318,'TAR FIN'!$A$1:$O$85,15,0)),0,VLOOKUP($S$318,'TAR FIN'!$A$1:$O$85,15,0))</f>
        <v>0</v>
      </c>
      <c r="W318" s="6">
        <f>IF(ISERROR(VLOOKUP($T$318,'TAR FIN'!$A$1:$O$85,15,0)),0,VLOOKUP($T$318,'TAR FIN'!$A$1:$O$85,15,0))</f>
        <v>240.85</v>
      </c>
      <c r="X318" s="6">
        <f>IF(ISERROR(VLOOKUP($U$318,'TAR FIN'!$A$1:$O$85,15,0)),0,VLOOKUP($U$318,'TAR FIN'!$A$1:$O$85,15,0))</f>
        <v>231.7</v>
      </c>
      <c r="Y318" s="6"/>
      <c r="Z318" s="6">
        <f ca="1">('TUSD BE'!$AM$33+'TUSD BF'!$AM$33+'TUSD CVA'!$AM$33)*(1-CUSTOS!$M$38)</f>
        <v>300.89907966262189</v>
      </c>
      <c r="AA318" s="6">
        <f>('TE BE'!$AA$23+'TE BF'!$AA$23+'TE CVA'!$AA$23)*(1-CUSTOS!$M$38)</f>
        <v>198.0053374241497</v>
      </c>
      <c r="AB318" s="6">
        <f t="shared" si="14"/>
        <v>0</v>
      </c>
      <c r="AC318" s="6">
        <f>(L318-M318)*(W318+X318)+($W$182+$X$182-$W$318-$X$318)*(L318)</f>
        <v>995.16559999999993</v>
      </c>
      <c r="AD318" s="6">
        <f t="shared" si="15"/>
        <v>0</v>
      </c>
      <c r="AE318" s="6">
        <f ca="1">(L318-M318)*(Z318+AA318)+($Z$182+$AA$182-$Z$318-$AA$318)*(L318)</f>
        <v>947.19657330823009</v>
      </c>
      <c r="AF318" s="4" t="s">
        <v>809</v>
      </c>
    </row>
    <row r="319" spans="1:32" ht="11.25" customHeight="1" x14ac:dyDescent="0.25">
      <c r="A319" s="4" t="s">
        <v>21</v>
      </c>
      <c r="B319" s="4" t="s">
        <v>43</v>
      </c>
      <c r="C319" s="4" t="s">
        <v>23</v>
      </c>
      <c r="D319" s="4" t="s">
        <v>44</v>
      </c>
      <c r="E319" s="4" t="s">
        <v>56</v>
      </c>
      <c r="F319" s="4" t="s">
        <v>55</v>
      </c>
      <c r="G319" s="4" t="s">
        <v>25</v>
      </c>
      <c r="H319" s="4" t="s">
        <v>25</v>
      </c>
      <c r="I319" s="5">
        <v>44440</v>
      </c>
      <c r="J319" s="6">
        <v>0</v>
      </c>
      <c r="K319" s="6">
        <v>0</v>
      </c>
      <c r="L319" s="6">
        <v>2.6030000000000002</v>
      </c>
      <c r="M319" s="6">
        <v>1.0411999999999999</v>
      </c>
      <c r="N319" s="6">
        <v>2.6030000000000002</v>
      </c>
      <c r="O319" s="6">
        <v>1.0411999999999999</v>
      </c>
      <c r="P319" s="6">
        <v>0</v>
      </c>
      <c r="Q319" s="4" t="s">
        <v>26</v>
      </c>
      <c r="R319" s="4">
        <v>0</v>
      </c>
      <c r="S319" s="4">
        <v>0</v>
      </c>
      <c r="T319" s="4">
        <v>29</v>
      </c>
      <c r="U319" s="4">
        <v>66</v>
      </c>
      <c r="V319" s="6">
        <f>IF(ISERROR(VLOOKUP($S$319,'TAR FIN'!$A$1:$O$85,15,0)),0,VLOOKUP($S$319,'TAR FIN'!$A$1:$O$85,15,0))</f>
        <v>0</v>
      </c>
      <c r="W319" s="6">
        <f>IF(ISERROR(VLOOKUP($T$319,'TAR FIN'!$A$1:$O$85,15,0)),0,VLOOKUP($T$319,'TAR FIN'!$A$1:$O$85,15,0))</f>
        <v>240.85</v>
      </c>
      <c r="X319" s="6">
        <f>IF(ISERROR(VLOOKUP($U$319,'TAR FIN'!$A$1:$O$85,15,0)),0,VLOOKUP($U$319,'TAR FIN'!$A$1:$O$85,15,0))</f>
        <v>231.7</v>
      </c>
      <c r="Y319" s="6"/>
      <c r="Z319" s="6">
        <f ca="1">('TUSD BE'!$AM$33+'TUSD BF'!$AM$33+'TUSD CVA'!$AM$33)*(1-CUSTOS!$M$38)</f>
        <v>300.89907966262189</v>
      </c>
      <c r="AA319" s="6">
        <f>('TE BE'!$AA$23+'TE BF'!$AA$23+'TE CVA'!$AA$23)*(1-CUSTOS!$M$38)</f>
        <v>198.0053374241497</v>
      </c>
      <c r="AB319" s="6">
        <f t="shared" si="14"/>
        <v>0</v>
      </c>
      <c r="AC319" s="6">
        <f>(L319-M319)*(W319+X319)+($W$182+$X$182-$W$319-$X$319)*(L319)</f>
        <v>905.73988000000008</v>
      </c>
      <c r="AD319" s="6">
        <f t="shared" si="15"/>
        <v>0</v>
      </c>
      <c r="AE319" s="6">
        <f ca="1">(L319-M319)*(Z319+AA319)+($Z$182+$AA$182-$Z$319-$AA$319)*(L319)</f>
        <v>862.08135675570747</v>
      </c>
      <c r="AF319" s="4" t="s">
        <v>809</v>
      </c>
    </row>
    <row r="320" spans="1:32" ht="11.25" customHeight="1" x14ac:dyDescent="0.25">
      <c r="A320" s="4" t="s">
        <v>21</v>
      </c>
      <c r="B320" s="4" t="s">
        <v>43</v>
      </c>
      <c r="C320" s="4" t="s">
        <v>23</v>
      </c>
      <c r="D320" s="4" t="s">
        <v>44</v>
      </c>
      <c r="E320" s="4" t="s">
        <v>56</v>
      </c>
      <c r="F320" s="4" t="s">
        <v>55</v>
      </c>
      <c r="G320" s="4" t="s">
        <v>25</v>
      </c>
      <c r="H320" s="4" t="s">
        <v>25</v>
      </c>
      <c r="I320" s="5">
        <v>44470</v>
      </c>
      <c r="J320" s="6">
        <v>0</v>
      </c>
      <c r="K320" s="6">
        <v>0</v>
      </c>
      <c r="L320" s="6">
        <v>2.6150000000000002</v>
      </c>
      <c r="M320" s="6">
        <v>1.046</v>
      </c>
      <c r="N320" s="6">
        <v>2.6150000000000002</v>
      </c>
      <c r="O320" s="6">
        <v>1.046</v>
      </c>
      <c r="P320" s="6">
        <v>0</v>
      </c>
      <c r="Q320" s="4" t="s">
        <v>26</v>
      </c>
      <c r="R320" s="4">
        <v>0</v>
      </c>
      <c r="S320" s="4">
        <v>0</v>
      </c>
      <c r="T320" s="4">
        <v>29</v>
      </c>
      <c r="U320" s="4">
        <v>66</v>
      </c>
      <c r="V320" s="6">
        <f>IF(ISERROR(VLOOKUP($S$320,'TAR FIN'!$A$1:$O$85,15,0)),0,VLOOKUP($S$320,'TAR FIN'!$A$1:$O$85,15,0))</f>
        <v>0</v>
      </c>
      <c r="W320" s="6">
        <f>IF(ISERROR(VLOOKUP($T$320,'TAR FIN'!$A$1:$O$85,15,0)),0,VLOOKUP($T$320,'TAR FIN'!$A$1:$O$85,15,0))</f>
        <v>240.85</v>
      </c>
      <c r="X320" s="6">
        <f>IF(ISERROR(VLOOKUP($U$320,'TAR FIN'!$A$1:$O$85,15,0)),0,VLOOKUP($U$320,'TAR FIN'!$A$1:$O$85,15,0))</f>
        <v>231.7</v>
      </c>
      <c r="Y320" s="6"/>
      <c r="Z320" s="6">
        <f ca="1">('TUSD BE'!$AM$33+'TUSD BF'!$AM$33+'TUSD CVA'!$AM$33)*(1-CUSTOS!$M$38)</f>
        <v>300.89907966262189</v>
      </c>
      <c r="AA320" s="6">
        <f>('TE BE'!$AA$23+'TE BF'!$AA$23+'TE CVA'!$AA$23)*(1-CUSTOS!$M$38)</f>
        <v>198.0053374241497</v>
      </c>
      <c r="AB320" s="6">
        <f t="shared" si="14"/>
        <v>0</v>
      </c>
      <c r="AC320" s="6">
        <f>(L320-M320)*(W320+X320)+($W$182+$X$182-$W$320-$X$320)*(L320)</f>
        <v>909.91540000000009</v>
      </c>
      <c r="AD320" s="6">
        <f t="shared" si="15"/>
        <v>0</v>
      </c>
      <c r="AE320" s="6">
        <f ca="1">(L320-M320)*(Z320+AA320)+($Z$182+$AA$182-$Z$320-$AA$320)*(L320)</f>
        <v>866.05560811224541</v>
      </c>
      <c r="AF320" s="4" t="s">
        <v>809</v>
      </c>
    </row>
    <row r="321" spans="1:32" ht="11.25" customHeight="1" x14ac:dyDescent="0.25">
      <c r="A321" s="4" t="s">
        <v>21</v>
      </c>
      <c r="B321" s="4" t="s">
        <v>43</v>
      </c>
      <c r="C321" s="4" t="s">
        <v>23</v>
      </c>
      <c r="D321" s="4" t="s">
        <v>44</v>
      </c>
      <c r="E321" s="4" t="s">
        <v>56</v>
      </c>
      <c r="F321" s="4" t="s">
        <v>55</v>
      </c>
      <c r="G321" s="4" t="s">
        <v>25</v>
      </c>
      <c r="H321" s="4" t="s">
        <v>25</v>
      </c>
      <c r="I321" s="5">
        <v>44501</v>
      </c>
      <c r="J321" s="6">
        <v>0</v>
      </c>
      <c r="K321" s="6">
        <v>0</v>
      </c>
      <c r="L321" s="6">
        <v>2.3199999999999998</v>
      </c>
      <c r="M321" s="6">
        <v>0.92800000000000005</v>
      </c>
      <c r="N321" s="6">
        <v>2.3199999999999998</v>
      </c>
      <c r="O321" s="6">
        <v>0.92800000000000005</v>
      </c>
      <c r="P321" s="6">
        <v>0</v>
      </c>
      <c r="Q321" s="4" t="s">
        <v>26</v>
      </c>
      <c r="R321" s="4">
        <v>0</v>
      </c>
      <c r="S321" s="4">
        <v>0</v>
      </c>
      <c r="T321" s="4">
        <v>29</v>
      </c>
      <c r="U321" s="4">
        <v>66</v>
      </c>
      <c r="V321" s="6">
        <f>IF(ISERROR(VLOOKUP($S$321,'TAR FIN'!$A$1:$O$85,15,0)),0,VLOOKUP($S$321,'TAR FIN'!$A$1:$O$85,15,0))</f>
        <v>0</v>
      </c>
      <c r="W321" s="6">
        <f>IF(ISERROR(VLOOKUP($T$321,'TAR FIN'!$A$1:$O$85,15,0)),0,VLOOKUP($T$321,'TAR FIN'!$A$1:$O$85,15,0))</f>
        <v>240.85</v>
      </c>
      <c r="X321" s="6">
        <f>IF(ISERROR(VLOOKUP($U$321,'TAR FIN'!$A$1:$O$85,15,0)),0,VLOOKUP($U$321,'TAR FIN'!$A$1:$O$85,15,0))</f>
        <v>231.7</v>
      </c>
      <c r="Y321" s="6"/>
      <c r="Z321" s="6">
        <f ca="1">('TUSD BE'!$AM$33+'TUSD BF'!$AM$33+'TUSD CVA'!$AM$33)*(1-CUSTOS!$M$38)</f>
        <v>300.89907966262189</v>
      </c>
      <c r="AA321" s="6">
        <f>('TE BE'!$AA$23+'TE BF'!$AA$23+'TE CVA'!$AA$23)*(1-CUSTOS!$M$38)</f>
        <v>198.0053374241497</v>
      </c>
      <c r="AB321" s="6">
        <f t="shared" si="14"/>
        <v>0</v>
      </c>
      <c r="AC321" s="6">
        <f>(L321-M321)*(W321+X321)+($W$182+$X$182-$W$321-$X$321)*(L321)</f>
        <v>807.26719999999978</v>
      </c>
      <c r="AD321" s="6">
        <f t="shared" si="15"/>
        <v>0</v>
      </c>
      <c r="AE321" s="6">
        <f ca="1">(L321-M321)*(Z321+AA321)+($Z$182+$AA$182-$Z$321-$AA$321)*(L321)</f>
        <v>768.35526226401873</v>
      </c>
      <c r="AF321" s="4" t="s">
        <v>809</v>
      </c>
    </row>
    <row r="322" spans="1:32" ht="11.25" customHeight="1" x14ac:dyDescent="0.25">
      <c r="A322" s="4" t="s">
        <v>21</v>
      </c>
      <c r="B322" s="4" t="s">
        <v>43</v>
      </c>
      <c r="C322" s="4" t="s">
        <v>23</v>
      </c>
      <c r="D322" s="4" t="s">
        <v>44</v>
      </c>
      <c r="E322" s="4" t="s">
        <v>56</v>
      </c>
      <c r="F322" s="4" t="s">
        <v>55</v>
      </c>
      <c r="G322" s="4" t="s">
        <v>25</v>
      </c>
      <c r="H322" s="4" t="s">
        <v>25</v>
      </c>
      <c r="I322" s="5">
        <v>44531</v>
      </c>
      <c r="J322" s="6">
        <v>0</v>
      </c>
      <c r="K322" s="6">
        <v>0</v>
      </c>
      <c r="L322" s="6">
        <v>2.157</v>
      </c>
      <c r="M322" s="6">
        <v>0.86280000000000001</v>
      </c>
      <c r="N322" s="6">
        <v>2.157</v>
      </c>
      <c r="O322" s="6">
        <v>0.86280000000000001</v>
      </c>
      <c r="P322" s="6">
        <v>0</v>
      </c>
      <c r="Q322" s="4" t="s">
        <v>26</v>
      </c>
      <c r="R322" s="4">
        <v>0</v>
      </c>
      <c r="S322" s="4">
        <v>0</v>
      </c>
      <c r="T322" s="4">
        <v>29</v>
      </c>
      <c r="U322" s="4">
        <v>66</v>
      </c>
      <c r="V322" s="6">
        <f>IF(ISERROR(VLOOKUP($S$322,'TAR FIN'!$A$1:$O$85,15,0)),0,VLOOKUP($S$322,'TAR FIN'!$A$1:$O$85,15,0))</f>
        <v>0</v>
      </c>
      <c r="W322" s="6">
        <f>IF(ISERROR(VLOOKUP($T$322,'TAR FIN'!$A$1:$O$85,15,0)),0,VLOOKUP($T$322,'TAR FIN'!$A$1:$O$85,15,0))</f>
        <v>240.85</v>
      </c>
      <c r="X322" s="6">
        <f>IF(ISERROR(VLOOKUP($U$322,'TAR FIN'!$A$1:$O$85,15,0)),0,VLOOKUP($U$322,'TAR FIN'!$A$1:$O$85,15,0))</f>
        <v>231.7</v>
      </c>
      <c r="Y322" s="6"/>
      <c r="Z322" s="6">
        <f ca="1">('TUSD BE'!$AM$33+'TUSD BF'!$AM$33+'TUSD CVA'!$AM$33)*(1-CUSTOS!$M$38)</f>
        <v>300.89907966262189</v>
      </c>
      <c r="AA322" s="6">
        <f>('TE BE'!$AA$23+'TE BF'!$AA$23+'TE CVA'!$AA$23)*(1-CUSTOS!$M$38)</f>
        <v>198.0053374241497</v>
      </c>
      <c r="AB322" s="6">
        <f t="shared" ref="AB322:AB356" si="16">(J322-K322)*V322</f>
        <v>0</v>
      </c>
      <c r="AC322" s="6">
        <f>(L322-M322)*(W322+X322)+($W$182+$X$182-$W$322-$X$322)*(L322)</f>
        <v>750.54971999999998</v>
      </c>
      <c r="AD322" s="6">
        <f t="shared" ref="AD322:AD356" si="17">(J322-K322)*Y322</f>
        <v>0</v>
      </c>
      <c r="AE322" s="6">
        <f ca="1">(L322-M322)*(Z322+AA322)+($Z$182+$AA$182-$Z$322-$AA$322)*(L322)</f>
        <v>714.37168133771058</v>
      </c>
      <c r="AF322" s="4" t="s">
        <v>809</v>
      </c>
    </row>
    <row r="323" spans="1:32" ht="11.25" customHeight="1" x14ac:dyDescent="0.25">
      <c r="A323" s="4" t="s">
        <v>21</v>
      </c>
      <c r="B323" s="4" t="s">
        <v>43</v>
      </c>
      <c r="C323" s="4" t="s">
        <v>23</v>
      </c>
      <c r="D323" s="4" t="s">
        <v>44</v>
      </c>
      <c r="E323" s="4" t="s">
        <v>56</v>
      </c>
      <c r="F323" s="4" t="s">
        <v>55</v>
      </c>
      <c r="G323" s="4" t="s">
        <v>25</v>
      </c>
      <c r="H323" s="4" t="s">
        <v>25</v>
      </c>
      <c r="I323" s="5">
        <v>44562</v>
      </c>
      <c r="J323" s="6">
        <v>0</v>
      </c>
      <c r="K323" s="6">
        <v>0</v>
      </c>
      <c r="L323" s="6">
        <v>1.97</v>
      </c>
      <c r="M323" s="6">
        <v>0.78800000000000003</v>
      </c>
      <c r="N323" s="6">
        <v>1.97</v>
      </c>
      <c r="O323" s="6">
        <v>0.78800000000000003</v>
      </c>
      <c r="P323" s="6">
        <v>0</v>
      </c>
      <c r="Q323" s="4" t="s">
        <v>26</v>
      </c>
      <c r="R323" s="4">
        <v>0</v>
      </c>
      <c r="S323" s="4">
        <v>0</v>
      </c>
      <c r="T323" s="4">
        <v>29</v>
      </c>
      <c r="U323" s="4">
        <v>66</v>
      </c>
      <c r="V323" s="6">
        <f>IF(ISERROR(VLOOKUP($S$323,'TAR FIN'!$A$1:$O$85,15,0)),0,VLOOKUP($S$323,'TAR FIN'!$A$1:$O$85,15,0))</f>
        <v>0</v>
      </c>
      <c r="W323" s="6">
        <f>IF(ISERROR(VLOOKUP($T$323,'TAR FIN'!$A$1:$O$85,15,0)),0,VLOOKUP($T$323,'TAR FIN'!$A$1:$O$85,15,0))</f>
        <v>240.85</v>
      </c>
      <c r="X323" s="6">
        <f>IF(ISERROR(VLOOKUP($U$323,'TAR FIN'!$A$1:$O$85,15,0)),0,VLOOKUP($U$323,'TAR FIN'!$A$1:$O$85,15,0))</f>
        <v>231.7</v>
      </c>
      <c r="Y323" s="6"/>
      <c r="Z323" s="6">
        <f ca="1">('TUSD BE'!$AM$33+'TUSD BF'!$AM$33+'TUSD CVA'!$AM$33)*(1-CUSTOS!$M$38)</f>
        <v>300.89907966262189</v>
      </c>
      <c r="AA323" s="6">
        <f>('TE BE'!$AA$23+'TE BF'!$AA$23+'TE CVA'!$AA$23)*(1-CUSTOS!$M$38)</f>
        <v>198.0053374241497</v>
      </c>
      <c r="AB323" s="6">
        <f t="shared" si="16"/>
        <v>0</v>
      </c>
      <c r="AC323" s="6">
        <f>(L323-M323)*(W323+X323)+($W$182+$X$182-$W$323-$X$323)*(L323)</f>
        <v>685.48119999999994</v>
      </c>
      <c r="AD323" s="6">
        <f t="shared" si="17"/>
        <v>0</v>
      </c>
      <c r="AE323" s="6">
        <f ca="1">(L323-M323)*(Z323+AA323)+($Z$182+$AA$182-$Z$323-$AA$323)*(L323)</f>
        <v>652.43959769832622</v>
      </c>
      <c r="AF323" s="4" t="s">
        <v>809</v>
      </c>
    </row>
    <row r="324" spans="1:32" ht="11.25" customHeight="1" x14ac:dyDescent="0.25">
      <c r="A324" s="4" t="s">
        <v>21</v>
      </c>
      <c r="B324" s="4" t="s">
        <v>43</v>
      </c>
      <c r="C324" s="4" t="s">
        <v>23</v>
      </c>
      <c r="D324" s="4" t="s">
        <v>44</v>
      </c>
      <c r="E324" s="4" t="s">
        <v>56</v>
      </c>
      <c r="F324" s="4" t="s">
        <v>55</v>
      </c>
      <c r="G324" s="4" t="s">
        <v>25</v>
      </c>
      <c r="H324" s="4" t="s">
        <v>25</v>
      </c>
      <c r="I324" s="5">
        <v>44593</v>
      </c>
      <c r="J324" s="6">
        <v>0</v>
      </c>
      <c r="K324" s="6">
        <v>0</v>
      </c>
      <c r="L324" s="6">
        <v>1.798</v>
      </c>
      <c r="M324" s="6">
        <v>0.71919999999999995</v>
      </c>
      <c r="N324" s="6">
        <v>1.798</v>
      </c>
      <c r="O324" s="6">
        <v>0.71919999999999995</v>
      </c>
      <c r="P324" s="6">
        <v>0</v>
      </c>
      <c r="Q324" s="4" t="s">
        <v>26</v>
      </c>
      <c r="R324" s="4">
        <v>0</v>
      </c>
      <c r="S324" s="4">
        <v>0</v>
      </c>
      <c r="T324" s="4">
        <v>29</v>
      </c>
      <c r="U324" s="4">
        <v>66</v>
      </c>
      <c r="V324" s="6">
        <f>IF(ISERROR(VLOOKUP($S$324,'TAR FIN'!$A$1:$O$85,15,0)),0,VLOOKUP($S$324,'TAR FIN'!$A$1:$O$85,15,0))</f>
        <v>0</v>
      </c>
      <c r="W324" s="6">
        <f>IF(ISERROR(VLOOKUP($T$324,'TAR FIN'!$A$1:$O$85,15,0)),0,VLOOKUP($T$324,'TAR FIN'!$A$1:$O$85,15,0))</f>
        <v>240.85</v>
      </c>
      <c r="X324" s="6">
        <f>IF(ISERROR(VLOOKUP($U$324,'TAR FIN'!$A$1:$O$85,15,0)),0,VLOOKUP($U$324,'TAR FIN'!$A$1:$O$85,15,0))</f>
        <v>231.7</v>
      </c>
      <c r="Y324" s="6"/>
      <c r="Z324" s="6">
        <f ca="1">('TUSD BE'!$AM$33+'TUSD BF'!$AM$33+'TUSD CVA'!$AM$33)*(1-CUSTOS!$M$38)</f>
        <v>300.89907966262189</v>
      </c>
      <c r="AA324" s="6">
        <f>('TE BE'!$AA$23+'TE BF'!$AA$23+'TE CVA'!$AA$23)*(1-CUSTOS!$M$38)</f>
        <v>198.0053374241497</v>
      </c>
      <c r="AB324" s="6">
        <f t="shared" si="16"/>
        <v>0</v>
      </c>
      <c r="AC324" s="6">
        <f>(L324-M324)*(W324+X324)+($W$182+$X$182-$W$324-$X$324)*(L324)</f>
        <v>625.63208000000009</v>
      </c>
      <c r="AD324" s="6">
        <f t="shared" si="17"/>
        <v>0</v>
      </c>
      <c r="AE324" s="6">
        <f ca="1">(L324-M324)*(Z324+AA324)+($Z$182+$AA$182-$Z$324-$AA$324)*(L324)</f>
        <v>595.47532825461462</v>
      </c>
      <c r="AF324" s="4" t="s">
        <v>809</v>
      </c>
    </row>
    <row r="325" spans="1:32" ht="11.25" customHeight="1" x14ac:dyDescent="0.25">
      <c r="A325" s="4" t="s">
        <v>21</v>
      </c>
      <c r="B325" s="4" t="s">
        <v>43</v>
      </c>
      <c r="C325" s="4" t="s">
        <v>23</v>
      </c>
      <c r="D325" s="4" t="s">
        <v>44</v>
      </c>
      <c r="E325" s="4" t="s">
        <v>56</v>
      </c>
      <c r="F325" s="4" t="s">
        <v>55</v>
      </c>
      <c r="G325" s="4" t="s">
        <v>25</v>
      </c>
      <c r="H325" s="4" t="s">
        <v>25</v>
      </c>
      <c r="I325" s="5">
        <v>44621</v>
      </c>
      <c r="J325" s="6">
        <v>0</v>
      </c>
      <c r="K325" s="6">
        <v>0</v>
      </c>
      <c r="L325" s="6">
        <v>1.7749999999999999</v>
      </c>
      <c r="M325" s="6">
        <v>0.71</v>
      </c>
      <c r="N325" s="6">
        <v>1.7749999999999999</v>
      </c>
      <c r="O325" s="6">
        <v>0.71</v>
      </c>
      <c r="P325" s="6">
        <v>0</v>
      </c>
      <c r="Q325" s="4" t="s">
        <v>26</v>
      </c>
      <c r="R325" s="4">
        <v>0</v>
      </c>
      <c r="S325" s="4">
        <v>0</v>
      </c>
      <c r="T325" s="4">
        <v>29</v>
      </c>
      <c r="U325" s="4">
        <v>66</v>
      </c>
      <c r="V325" s="6">
        <f>IF(ISERROR(VLOOKUP($S$325,'TAR FIN'!$A$1:$O$85,15,0)),0,VLOOKUP($S$325,'TAR FIN'!$A$1:$O$85,15,0))</f>
        <v>0</v>
      </c>
      <c r="W325" s="6">
        <f>IF(ISERROR(VLOOKUP($T$325,'TAR FIN'!$A$1:$O$85,15,0)),0,VLOOKUP($T$325,'TAR FIN'!$A$1:$O$85,15,0))</f>
        <v>240.85</v>
      </c>
      <c r="X325" s="6">
        <f>IF(ISERROR(VLOOKUP($U$325,'TAR FIN'!$A$1:$O$85,15,0)),0,VLOOKUP($U$325,'TAR FIN'!$A$1:$O$85,15,0))</f>
        <v>231.7</v>
      </c>
      <c r="Y325" s="6"/>
      <c r="Z325" s="6">
        <f ca="1">('TUSD BE'!$AM$33+'TUSD BF'!$AM$33+'TUSD CVA'!$AM$33)*(1-CUSTOS!$M$38)</f>
        <v>300.89907966262189</v>
      </c>
      <c r="AA325" s="6">
        <f>('TE BE'!$AA$23+'TE BF'!$AA$23+'TE CVA'!$AA$23)*(1-CUSTOS!$M$38)</f>
        <v>198.0053374241497</v>
      </c>
      <c r="AB325" s="6">
        <f t="shared" si="16"/>
        <v>0</v>
      </c>
      <c r="AC325" s="6">
        <f>(L325-M325)*(W325+X325)+($W$182+$X$182-$W$325-$X$325)*(L325)</f>
        <v>617.62899999999991</v>
      </c>
      <c r="AD325" s="6">
        <f t="shared" si="17"/>
        <v>0</v>
      </c>
      <c r="AE325" s="6">
        <f ca="1">(L325-M325)*(Z325+AA325)+($Z$182+$AA$182-$Z$325-$AA$325)*(L325)</f>
        <v>587.85801315458332</v>
      </c>
      <c r="AF325" s="4" t="s">
        <v>809</v>
      </c>
    </row>
    <row r="326" spans="1:32" ht="11.25" customHeight="1" x14ac:dyDescent="0.25">
      <c r="A326" s="4" t="s">
        <v>21</v>
      </c>
      <c r="B326" s="4" t="s">
        <v>43</v>
      </c>
      <c r="C326" s="4" t="s">
        <v>23</v>
      </c>
      <c r="D326" s="4" t="s">
        <v>44</v>
      </c>
      <c r="E326" s="4" t="s">
        <v>56</v>
      </c>
      <c r="F326" s="4" t="s">
        <v>55</v>
      </c>
      <c r="G326" s="4" t="s">
        <v>25</v>
      </c>
      <c r="H326" s="4" t="s">
        <v>25</v>
      </c>
      <c r="I326" s="5">
        <v>44652</v>
      </c>
      <c r="J326" s="6">
        <v>0</v>
      </c>
      <c r="K326" s="6">
        <v>0</v>
      </c>
      <c r="L326" s="6">
        <v>1.724</v>
      </c>
      <c r="M326" s="6">
        <v>0.68959999999999999</v>
      </c>
      <c r="N326" s="6">
        <v>1.724</v>
      </c>
      <c r="O326" s="6">
        <v>0.68959999999999999</v>
      </c>
      <c r="P326" s="6">
        <v>0</v>
      </c>
      <c r="Q326" s="4" t="s">
        <v>26</v>
      </c>
      <c r="R326" s="4">
        <v>0</v>
      </c>
      <c r="S326" s="4">
        <v>0</v>
      </c>
      <c r="T326" s="4">
        <v>29</v>
      </c>
      <c r="U326" s="4">
        <v>66</v>
      </c>
      <c r="V326" s="6">
        <f>IF(ISERROR(VLOOKUP($S$326,'TAR FIN'!$A$1:$O$85,15,0)),0,VLOOKUP($S$326,'TAR FIN'!$A$1:$O$85,15,0))</f>
        <v>0</v>
      </c>
      <c r="W326" s="6">
        <f>IF(ISERROR(VLOOKUP($T$326,'TAR FIN'!$A$1:$O$85,15,0)),0,VLOOKUP($T$326,'TAR FIN'!$A$1:$O$85,15,0))</f>
        <v>240.85</v>
      </c>
      <c r="X326" s="6">
        <f>IF(ISERROR(VLOOKUP($U$326,'TAR FIN'!$A$1:$O$85,15,0)),0,VLOOKUP($U$326,'TAR FIN'!$A$1:$O$85,15,0))</f>
        <v>231.7</v>
      </c>
      <c r="Y326" s="6"/>
      <c r="Z326" s="6">
        <f ca="1">('TUSD BE'!$AM$33+'TUSD BF'!$AM$33+'TUSD CVA'!$AM$33)*(1-CUSTOS!$M$38)</f>
        <v>300.89907966262189</v>
      </c>
      <c r="AA326" s="6">
        <f>('TE BE'!$AA$23+'TE BF'!$AA$23+'TE CVA'!$AA$23)*(1-CUSTOS!$M$38)</f>
        <v>198.0053374241497</v>
      </c>
      <c r="AB326" s="6">
        <f t="shared" si="16"/>
        <v>0</v>
      </c>
      <c r="AC326" s="6">
        <f>(L326-M326)*(W326+X326)+($W$182+$X$182-$W$326-$X$326)*(L326)</f>
        <v>599.88303999999994</v>
      </c>
      <c r="AD326" s="6">
        <f t="shared" si="17"/>
        <v>0</v>
      </c>
      <c r="AE326" s="6">
        <f ca="1">(L326-M326)*(Z326+AA326)+($Z$182+$AA$182-$Z$326-$AA$326)*(L326)</f>
        <v>570.96744488929676</v>
      </c>
      <c r="AF326" s="4" t="s">
        <v>809</v>
      </c>
    </row>
    <row r="327" spans="1:32" ht="11.25" customHeight="1" x14ac:dyDescent="0.25">
      <c r="A327" s="4" t="s">
        <v>21</v>
      </c>
      <c r="B327" s="4" t="s">
        <v>43</v>
      </c>
      <c r="C327" s="4" t="s">
        <v>23</v>
      </c>
      <c r="D327" s="4" t="s">
        <v>44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44317</v>
      </c>
      <c r="J327" s="6">
        <v>0</v>
      </c>
      <c r="K327" s="6">
        <v>0</v>
      </c>
      <c r="L327" s="6">
        <v>3126.35</v>
      </c>
      <c r="M327" s="6">
        <v>3126.35</v>
      </c>
      <c r="N327" s="6">
        <v>3126.35</v>
      </c>
      <c r="O327" s="6">
        <v>3126.35</v>
      </c>
      <c r="P327" s="6">
        <v>2694</v>
      </c>
      <c r="Q327" s="4" t="s">
        <v>26</v>
      </c>
      <c r="R327" s="4">
        <v>0</v>
      </c>
      <c r="S327" s="4">
        <v>0</v>
      </c>
      <c r="T327" s="4">
        <v>29</v>
      </c>
      <c r="U327" s="4">
        <v>66</v>
      </c>
      <c r="V327" s="6">
        <f>IF(ISERROR(VLOOKUP($S$327,'TAR FIN'!$A$1:$O$85,15,0)),0,VLOOKUP($S$327,'TAR FIN'!$A$1:$O$85,15,0))</f>
        <v>0</v>
      </c>
      <c r="W327" s="6">
        <f>IF(ISERROR(VLOOKUP($T$327,'TAR FIN'!$A$1:$O$85,15,0)),0,VLOOKUP($T$327,'TAR FIN'!$A$1:$O$85,15,0))</f>
        <v>240.85</v>
      </c>
      <c r="X327" s="6">
        <f>IF(ISERROR(VLOOKUP($U$327,'TAR FIN'!$A$1:$O$85,15,0)),0,VLOOKUP($U$327,'TAR FIN'!$A$1:$O$85,15,0))</f>
        <v>231.7</v>
      </c>
      <c r="Y327" s="6"/>
      <c r="Z327" s="6">
        <f ca="1">('TUSD BE'!$AM$33+'TUSD BF'!$AM$33+'TUSD CVA'!$AM$33)*(1-CUSTOS!$M$38)</f>
        <v>300.89907966262189</v>
      </c>
      <c r="AA327" s="6">
        <f>('TE BE'!$AA$23+'TE BF'!$AA$23+'TE CVA'!$AA$23)*(1-CUSTOS!$M$38)</f>
        <v>198.0053374241497</v>
      </c>
      <c r="AB327" s="6">
        <f t="shared" si="16"/>
        <v>0</v>
      </c>
      <c r="AC327" s="6">
        <f>(L327-M327)*(W327+X327)+($W$182+$X$182-$W$327-$X$327)*(L327)</f>
        <v>201430.73050000001</v>
      </c>
      <c r="AD327" s="6">
        <f t="shared" si="17"/>
        <v>0</v>
      </c>
      <c r="AE327" s="6">
        <f ca="1">(L327-M327)*(Z327+AA327)+($Z$182+$AA$182-$Z$327-$AA$327)*(L327)</f>
        <v>99558.499427185074</v>
      </c>
      <c r="AF327" s="4" t="s">
        <v>808</v>
      </c>
    </row>
    <row r="328" spans="1:32" ht="11.25" customHeight="1" x14ac:dyDescent="0.25">
      <c r="A328" s="4" t="s">
        <v>27</v>
      </c>
      <c r="B328" s="4" t="s">
        <v>43</v>
      </c>
      <c r="C328" s="4" t="s">
        <v>23</v>
      </c>
      <c r="D328" s="4" t="s">
        <v>44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44317</v>
      </c>
      <c r="J328" s="6">
        <v>0</v>
      </c>
      <c r="K328" s="6">
        <v>0</v>
      </c>
      <c r="L328" s="6">
        <v>-8.8789999999999996</v>
      </c>
      <c r="M328" s="6">
        <v>-8.8789999999999996</v>
      </c>
      <c r="N328" s="6">
        <v>-8.8789999999999996</v>
      </c>
      <c r="O328" s="6">
        <v>-8.8789999999999996</v>
      </c>
      <c r="P328" s="6">
        <v>0</v>
      </c>
      <c r="Q328" s="4" t="s">
        <v>26</v>
      </c>
      <c r="R328" s="4">
        <v>0</v>
      </c>
      <c r="S328" s="4">
        <v>0</v>
      </c>
      <c r="T328" s="4">
        <v>29</v>
      </c>
      <c r="U328" s="4">
        <v>66</v>
      </c>
      <c r="V328" s="6">
        <f>IF(ISERROR(VLOOKUP($S$328,'TAR FIN'!$A$1:$O$85,15,0)),0,VLOOKUP($S$328,'TAR FIN'!$A$1:$O$85,15,0))</f>
        <v>0</v>
      </c>
      <c r="W328" s="6">
        <f>IF(ISERROR(VLOOKUP($T$328,'TAR FIN'!$A$1:$O$85,15,0)),0,VLOOKUP($T$328,'TAR FIN'!$A$1:$O$85,15,0))</f>
        <v>240.85</v>
      </c>
      <c r="X328" s="6">
        <f>IF(ISERROR(VLOOKUP($U$328,'TAR FIN'!$A$1:$O$85,15,0)),0,VLOOKUP($U$328,'TAR FIN'!$A$1:$O$85,15,0))</f>
        <v>231.7</v>
      </c>
      <c r="Y328" s="6"/>
      <c r="Z328" s="6">
        <f ca="1">('TUSD BE'!$AM$33+'TUSD BF'!$AM$33+'TUSD CVA'!$AM$33)*(1-CUSTOS!$M$38)</f>
        <v>300.89907966262189</v>
      </c>
      <c r="AA328" s="6">
        <f>('TE BE'!$AA$23+'TE BF'!$AA$23+'TE CVA'!$AA$23)*(1-CUSTOS!$M$38)</f>
        <v>198.0053374241497</v>
      </c>
      <c r="AB328" s="6">
        <f t="shared" si="16"/>
        <v>0</v>
      </c>
      <c r="AC328" s="6">
        <f>(L328-M328)*(W328+X328)+($W$182+$X$182-$W$328-$X$328)*(L328)</f>
        <v>-572.07397000000003</v>
      </c>
      <c r="AD328" s="6">
        <f t="shared" si="17"/>
        <v>0</v>
      </c>
      <c r="AE328" s="6">
        <f ca="1">(L328-M328)*(Z328+AA328)+($Z$182+$AA$182-$Z$328-$AA$328)*(L328)</f>
        <v>-282.75142463702923</v>
      </c>
      <c r="AF328" s="4" t="s">
        <v>808</v>
      </c>
    </row>
    <row r="329" spans="1:32" ht="11.25" customHeight="1" x14ac:dyDescent="0.25">
      <c r="A329" s="4" t="s">
        <v>28</v>
      </c>
      <c r="B329" s="4" t="s">
        <v>43</v>
      </c>
      <c r="C329" s="4" t="s">
        <v>23</v>
      </c>
      <c r="D329" s="4" t="s">
        <v>44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44317</v>
      </c>
      <c r="J329" s="6">
        <v>0</v>
      </c>
      <c r="K329" s="6">
        <v>0</v>
      </c>
      <c r="L329" s="6">
        <v>37.948</v>
      </c>
      <c r="M329" s="6">
        <v>37.948</v>
      </c>
      <c r="N329" s="6">
        <v>37.948</v>
      </c>
      <c r="O329" s="6">
        <v>37.948</v>
      </c>
      <c r="P329" s="6">
        <v>66</v>
      </c>
      <c r="Q329" s="4" t="s">
        <v>26</v>
      </c>
      <c r="R329" s="4">
        <v>0</v>
      </c>
      <c r="S329" s="4">
        <v>0</v>
      </c>
      <c r="T329" s="4">
        <v>29</v>
      </c>
      <c r="U329" s="4">
        <v>66</v>
      </c>
      <c r="V329" s="6">
        <f>IF(ISERROR(VLOOKUP($S$329,'TAR FIN'!$A$1:$O$85,15,0)),0,VLOOKUP($S$329,'TAR FIN'!$A$1:$O$85,15,0))</f>
        <v>0</v>
      </c>
      <c r="W329" s="6">
        <f>IF(ISERROR(VLOOKUP($T$329,'TAR FIN'!$A$1:$O$85,15,0)),0,VLOOKUP($T$329,'TAR FIN'!$A$1:$O$85,15,0))</f>
        <v>240.85</v>
      </c>
      <c r="X329" s="6">
        <f>IF(ISERROR(VLOOKUP($U$329,'TAR FIN'!$A$1:$O$85,15,0)),0,VLOOKUP($U$329,'TAR FIN'!$A$1:$O$85,15,0))</f>
        <v>231.7</v>
      </c>
      <c r="Y329" s="6"/>
      <c r="Z329" s="6">
        <f ca="1">('TUSD BE'!$AM$33+'TUSD BF'!$AM$33+'TUSD CVA'!$AM$33)*(1-CUSTOS!$M$38)</f>
        <v>300.89907966262189</v>
      </c>
      <c r="AA329" s="6">
        <f>('TE BE'!$AA$23+'TE BF'!$AA$23+'TE CVA'!$AA$23)*(1-CUSTOS!$M$38)</f>
        <v>198.0053374241497</v>
      </c>
      <c r="AB329" s="6">
        <f t="shared" si="16"/>
        <v>0</v>
      </c>
      <c r="AC329" s="6">
        <f>(L329-M329)*(W329+X329)+($W$182+$X$182-$W$329-$X$329)*(L329)</f>
        <v>2444.9896400000002</v>
      </c>
      <c r="AD329" s="6">
        <f t="shared" si="17"/>
        <v>0</v>
      </c>
      <c r="AE329" s="6">
        <f ca="1">(L329-M329)*(Z329+AA329)+($Z$182+$AA$182-$Z$329-$AA$329)*(L329)</f>
        <v>1208.4526480601403</v>
      </c>
      <c r="AF329" s="4" t="s">
        <v>808</v>
      </c>
    </row>
    <row r="330" spans="1:32" ht="11.25" customHeight="1" x14ac:dyDescent="0.25">
      <c r="A330" s="4" t="s">
        <v>21</v>
      </c>
      <c r="B330" s="4" t="s">
        <v>43</v>
      </c>
      <c r="C330" s="4" t="s">
        <v>23</v>
      </c>
      <c r="D330" s="4" t="s">
        <v>44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44348</v>
      </c>
      <c r="J330" s="6">
        <v>0</v>
      </c>
      <c r="K330" s="6">
        <v>0</v>
      </c>
      <c r="L330" s="6">
        <v>2842.0070000000001</v>
      </c>
      <c r="M330" s="6">
        <v>2842.0070000000001</v>
      </c>
      <c r="N330" s="6">
        <v>2842.0070000000001</v>
      </c>
      <c r="O330" s="6">
        <v>2842.0070000000001</v>
      </c>
      <c r="P330" s="6">
        <v>2664</v>
      </c>
      <c r="Q330" s="4" t="s">
        <v>26</v>
      </c>
      <c r="R330" s="4">
        <v>0</v>
      </c>
      <c r="S330" s="4">
        <v>0</v>
      </c>
      <c r="T330" s="4">
        <v>29</v>
      </c>
      <c r="U330" s="4">
        <v>66</v>
      </c>
      <c r="V330" s="6">
        <f>IF(ISERROR(VLOOKUP($S$330,'TAR FIN'!$A$1:$O$85,15,0)),0,VLOOKUP($S$330,'TAR FIN'!$A$1:$O$85,15,0))</f>
        <v>0</v>
      </c>
      <c r="W330" s="6">
        <f>IF(ISERROR(VLOOKUP($T$330,'TAR FIN'!$A$1:$O$85,15,0)),0,VLOOKUP($T$330,'TAR FIN'!$A$1:$O$85,15,0))</f>
        <v>240.85</v>
      </c>
      <c r="X330" s="6">
        <f>IF(ISERROR(VLOOKUP($U$330,'TAR FIN'!$A$1:$O$85,15,0)),0,VLOOKUP($U$330,'TAR FIN'!$A$1:$O$85,15,0))</f>
        <v>231.7</v>
      </c>
      <c r="Y330" s="6"/>
      <c r="Z330" s="6">
        <f ca="1">('TUSD BE'!$AM$33+'TUSD BF'!$AM$33+'TUSD CVA'!$AM$33)*(1-CUSTOS!$M$38)</f>
        <v>300.89907966262189</v>
      </c>
      <c r="AA330" s="6">
        <f>('TE BE'!$AA$23+'TE BF'!$AA$23+'TE CVA'!$AA$23)*(1-CUSTOS!$M$38)</f>
        <v>198.0053374241497</v>
      </c>
      <c r="AB330" s="6">
        <f t="shared" si="16"/>
        <v>0</v>
      </c>
      <c r="AC330" s="6">
        <f>(L330-M330)*(W330+X330)+($W$182+$X$182-$W$330-$X$330)*(L330)</f>
        <v>183110.51101000002</v>
      </c>
      <c r="AD330" s="6">
        <f t="shared" si="17"/>
        <v>0</v>
      </c>
      <c r="AE330" s="6">
        <f ca="1">(L330-M330)*(Z330+AA330)+($Z$182+$AA$182-$Z$330-$AA$330)*(L330)</f>
        <v>90503.607171799697</v>
      </c>
      <c r="AF330" s="4" t="s">
        <v>808</v>
      </c>
    </row>
    <row r="331" spans="1:32" ht="11.25" customHeight="1" x14ac:dyDescent="0.25">
      <c r="A331" s="4" t="s">
        <v>28</v>
      </c>
      <c r="B331" s="4" t="s">
        <v>43</v>
      </c>
      <c r="C331" s="4" t="s">
        <v>23</v>
      </c>
      <c r="D331" s="4" t="s">
        <v>44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44348</v>
      </c>
      <c r="J331" s="6">
        <v>0</v>
      </c>
      <c r="K331" s="6">
        <v>0</v>
      </c>
      <c r="L331" s="6">
        <v>71.721999999999994</v>
      </c>
      <c r="M331" s="6">
        <v>71.721999999999994</v>
      </c>
      <c r="N331" s="6">
        <v>71.721999999999994</v>
      </c>
      <c r="O331" s="6">
        <v>71.721999999999994</v>
      </c>
      <c r="P331" s="6">
        <v>72</v>
      </c>
      <c r="Q331" s="4" t="s">
        <v>26</v>
      </c>
      <c r="R331" s="4">
        <v>0</v>
      </c>
      <c r="S331" s="4">
        <v>0</v>
      </c>
      <c r="T331" s="4">
        <v>29</v>
      </c>
      <c r="U331" s="4">
        <v>66</v>
      </c>
      <c r="V331" s="6">
        <f>IF(ISERROR(VLOOKUP($S$331,'TAR FIN'!$A$1:$O$85,15,0)),0,VLOOKUP($S$331,'TAR FIN'!$A$1:$O$85,15,0))</f>
        <v>0</v>
      </c>
      <c r="W331" s="6">
        <f>IF(ISERROR(VLOOKUP($T$331,'TAR FIN'!$A$1:$O$85,15,0)),0,VLOOKUP($T$331,'TAR FIN'!$A$1:$O$85,15,0))</f>
        <v>240.85</v>
      </c>
      <c r="X331" s="6">
        <f>IF(ISERROR(VLOOKUP($U$331,'TAR FIN'!$A$1:$O$85,15,0)),0,VLOOKUP($U$331,'TAR FIN'!$A$1:$O$85,15,0))</f>
        <v>231.7</v>
      </c>
      <c r="Y331" s="6"/>
      <c r="Z331" s="6">
        <f ca="1">('TUSD BE'!$AM$33+'TUSD BF'!$AM$33+'TUSD CVA'!$AM$33)*(1-CUSTOS!$M$38)</f>
        <v>300.89907966262189</v>
      </c>
      <c r="AA331" s="6">
        <f>('TE BE'!$AA$23+'TE BF'!$AA$23+'TE CVA'!$AA$23)*(1-CUSTOS!$M$38)</f>
        <v>198.0053374241497</v>
      </c>
      <c r="AB331" s="6">
        <f t="shared" si="16"/>
        <v>0</v>
      </c>
      <c r="AC331" s="6">
        <f>(L331-M331)*(W331+X331)+($W$182+$X$182-$W$331-$X$331)*(L331)</f>
        <v>4621.04846</v>
      </c>
      <c r="AD331" s="6">
        <f t="shared" si="17"/>
        <v>0</v>
      </c>
      <c r="AE331" s="6">
        <f ca="1">(L331-M331)*(Z331+AA331)+($Z$182+$AA$182-$Z$331-$AA$331)*(L331)</f>
        <v>2283.9844214232467</v>
      </c>
      <c r="AF331" s="4" t="s">
        <v>808</v>
      </c>
    </row>
    <row r="332" spans="1:32" ht="11.25" customHeight="1" x14ac:dyDescent="0.25">
      <c r="A332" s="4" t="s">
        <v>21</v>
      </c>
      <c r="B332" s="4" t="s">
        <v>43</v>
      </c>
      <c r="C332" s="4" t="s">
        <v>23</v>
      </c>
      <c r="D332" s="4" t="s">
        <v>44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44378</v>
      </c>
      <c r="J332" s="6">
        <v>0</v>
      </c>
      <c r="K332" s="6">
        <v>0</v>
      </c>
      <c r="L332" s="6">
        <v>2702.8150000000001</v>
      </c>
      <c r="M332" s="6">
        <v>2702.8150000000001</v>
      </c>
      <c r="N332" s="6">
        <v>2702.8150000000001</v>
      </c>
      <c r="O332" s="6">
        <v>2702.8150000000001</v>
      </c>
      <c r="P332" s="6">
        <v>2654</v>
      </c>
      <c r="Q332" s="4" t="s">
        <v>26</v>
      </c>
      <c r="R332" s="4">
        <v>0</v>
      </c>
      <c r="S332" s="4">
        <v>0</v>
      </c>
      <c r="T332" s="4">
        <v>29</v>
      </c>
      <c r="U332" s="4">
        <v>66</v>
      </c>
      <c r="V332" s="6">
        <f>IF(ISERROR(VLOOKUP($S$332,'TAR FIN'!$A$1:$O$85,15,0)),0,VLOOKUP($S$332,'TAR FIN'!$A$1:$O$85,15,0))</f>
        <v>0</v>
      </c>
      <c r="W332" s="6">
        <f>IF(ISERROR(VLOOKUP($T$332,'TAR FIN'!$A$1:$O$85,15,0)),0,VLOOKUP($T$332,'TAR FIN'!$A$1:$O$85,15,0))</f>
        <v>240.85</v>
      </c>
      <c r="X332" s="6">
        <f>IF(ISERROR(VLOOKUP($U$332,'TAR FIN'!$A$1:$O$85,15,0)),0,VLOOKUP($U$332,'TAR FIN'!$A$1:$O$85,15,0))</f>
        <v>231.7</v>
      </c>
      <c r="Y332" s="6"/>
      <c r="Z332" s="6">
        <f ca="1">('TUSD BE'!$AM$33+'TUSD BF'!$AM$33+'TUSD CVA'!$AM$33)*(1-CUSTOS!$M$38)</f>
        <v>300.89907966262189</v>
      </c>
      <c r="AA332" s="6">
        <f>('TE BE'!$AA$23+'TE BF'!$AA$23+'TE CVA'!$AA$23)*(1-CUSTOS!$M$38)</f>
        <v>198.0053374241497</v>
      </c>
      <c r="AB332" s="6">
        <f t="shared" si="16"/>
        <v>0</v>
      </c>
      <c r="AC332" s="6">
        <f>(L332-M332)*(W332+X332)+($W$182+$X$182-$W$332-$X$332)*(L332)</f>
        <v>174142.37045000002</v>
      </c>
      <c r="AD332" s="6">
        <f t="shared" si="17"/>
        <v>0</v>
      </c>
      <c r="AE332" s="6">
        <f ca="1">(L332-M332)*(Z332+AA332)+($Z$182+$AA$182-$Z$332-$AA$332)*(L332)</f>
        <v>86071.043110748069</v>
      </c>
      <c r="AF332" s="4" t="s">
        <v>808</v>
      </c>
    </row>
    <row r="333" spans="1:32" ht="11.25" customHeight="1" x14ac:dyDescent="0.25">
      <c r="A333" s="4" t="s">
        <v>27</v>
      </c>
      <c r="B333" s="4" t="s">
        <v>43</v>
      </c>
      <c r="C333" s="4" t="s">
        <v>23</v>
      </c>
      <c r="D333" s="4" t="s">
        <v>44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44378</v>
      </c>
      <c r="J333" s="6">
        <v>0</v>
      </c>
      <c r="K333" s="6">
        <v>0</v>
      </c>
      <c r="L333" s="6">
        <v>-26.428999999999998</v>
      </c>
      <c r="M333" s="6">
        <v>-26.428999999999998</v>
      </c>
      <c r="N333" s="6">
        <v>-26.428999999999998</v>
      </c>
      <c r="O333" s="6">
        <v>-26.428999999999998</v>
      </c>
      <c r="P333" s="6">
        <v>0</v>
      </c>
      <c r="Q333" s="4" t="s">
        <v>26</v>
      </c>
      <c r="R333" s="4">
        <v>0</v>
      </c>
      <c r="S333" s="4">
        <v>0</v>
      </c>
      <c r="T333" s="4">
        <v>29</v>
      </c>
      <c r="U333" s="4">
        <v>66</v>
      </c>
      <c r="V333" s="6">
        <f>IF(ISERROR(VLOOKUP($S$333,'TAR FIN'!$A$1:$O$85,15,0)),0,VLOOKUP($S$333,'TAR FIN'!$A$1:$O$85,15,0))</f>
        <v>0</v>
      </c>
      <c r="W333" s="6">
        <f>IF(ISERROR(VLOOKUP($T$333,'TAR FIN'!$A$1:$O$85,15,0)),0,VLOOKUP($T$333,'TAR FIN'!$A$1:$O$85,15,0))</f>
        <v>240.85</v>
      </c>
      <c r="X333" s="6">
        <f>IF(ISERROR(VLOOKUP($U$333,'TAR FIN'!$A$1:$O$85,15,0)),0,VLOOKUP($U$333,'TAR FIN'!$A$1:$O$85,15,0))</f>
        <v>231.7</v>
      </c>
      <c r="Y333" s="6"/>
      <c r="Z333" s="6">
        <f ca="1">('TUSD BE'!$AM$33+'TUSD BF'!$AM$33+'TUSD CVA'!$AM$33)*(1-CUSTOS!$M$38)</f>
        <v>300.89907966262189</v>
      </c>
      <c r="AA333" s="6">
        <f>('TE BE'!$AA$23+'TE BF'!$AA$23+'TE CVA'!$AA$23)*(1-CUSTOS!$M$38)</f>
        <v>198.0053374241497</v>
      </c>
      <c r="AB333" s="6">
        <f t="shared" si="16"/>
        <v>0</v>
      </c>
      <c r="AC333" s="6">
        <f>(L333-M333)*(W333+X333)+($W$182+$X$182-$W$333-$X$333)*(L333)</f>
        <v>-1702.8204700000001</v>
      </c>
      <c r="AD333" s="6">
        <f t="shared" si="17"/>
        <v>0</v>
      </c>
      <c r="AE333" s="6">
        <f ca="1">(L333-M333)*(Z333+AA333)+($Z$182+$AA$182-$Z$333-$AA$333)*(L333)</f>
        <v>-841.63052165019087</v>
      </c>
      <c r="AF333" s="4" t="s">
        <v>808</v>
      </c>
    </row>
    <row r="334" spans="1:32" ht="11.25" customHeight="1" x14ac:dyDescent="0.25">
      <c r="A334" s="4" t="s">
        <v>28</v>
      </c>
      <c r="B334" s="4" t="s">
        <v>43</v>
      </c>
      <c r="C334" s="4" t="s">
        <v>23</v>
      </c>
      <c r="D334" s="4" t="s">
        <v>44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44378</v>
      </c>
      <c r="J334" s="6">
        <v>0</v>
      </c>
      <c r="K334" s="6">
        <v>0</v>
      </c>
      <c r="L334" s="6">
        <v>68.347999999999999</v>
      </c>
      <c r="M334" s="6">
        <v>68.347999999999999</v>
      </c>
      <c r="N334" s="6">
        <v>68.347999999999999</v>
      </c>
      <c r="O334" s="6">
        <v>68.347999999999999</v>
      </c>
      <c r="P334" s="6">
        <v>77</v>
      </c>
      <c r="Q334" s="4" t="s">
        <v>26</v>
      </c>
      <c r="R334" s="4">
        <v>0</v>
      </c>
      <c r="S334" s="4">
        <v>0</v>
      </c>
      <c r="T334" s="4">
        <v>29</v>
      </c>
      <c r="U334" s="4">
        <v>66</v>
      </c>
      <c r="V334" s="6">
        <f>IF(ISERROR(VLOOKUP($S$334,'TAR FIN'!$A$1:$O$85,15,0)),0,VLOOKUP($S$334,'TAR FIN'!$A$1:$O$85,15,0))</f>
        <v>0</v>
      </c>
      <c r="W334" s="6">
        <f>IF(ISERROR(VLOOKUP($T$334,'TAR FIN'!$A$1:$O$85,15,0)),0,VLOOKUP($T$334,'TAR FIN'!$A$1:$O$85,15,0))</f>
        <v>240.85</v>
      </c>
      <c r="X334" s="6">
        <f>IF(ISERROR(VLOOKUP($U$334,'TAR FIN'!$A$1:$O$85,15,0)),0,VLOOKUP($U$334,'TAR FIN'!$A$1:$O$85,15,0))</f>
        <v>231.7</v>
      </c>
      <c r="Y334" s="6"/>
      <c r="Z334" s="6">
        <f ca="1">('TUSD BE'!$AM$33+'TUSD BF'!$AM$33+'TUSD CVA'!$AM$33)*(1-CUSTOS!$M$38)</f>
        <v>300.89907966262189</v>
      </c>
      <c r="AA334" s="6">
        <f>('TE BE'!$AA$23+'TE BF'!$AA$23+'TE CVA'!$AA$23)*(1-CUSTOS!$M$38)</f>
        <v>198.0053374241497</v>
      </c>
      <c r="AB334" s="6">
        <f t="shared" si="16"/>
        <v>0</v>
      </c>
      <c r="AC334" s="6">
        <f>(L334-M334)*(W334+X334)+($W$182+$X$182-$W$334-$X$334)*(L334)</f>
        <v>4403.6616400000003</v>
      </c>
      <c r="AD334" s="6">
        <f t="shared" si="17"/>
        <v>0</v>
      </c>
      <c r="AE334" s="6">
        <f ca="1">(L334-M334)*(Z334+AA334)+($Z$182+$AA$182-$Z$334-$AA$334)*(L334)</f>
        <v>2176.5395169604317</v>
      </c>
      <c r="AF334" s="4" t="s">
        <v>808</v>
      </c>
    </row>
    <row r="335" spans="1:32" ht="11.25" customHeight="1" x14ac:dyDescent="0.25">
      <c r="A335" s="4" t="s">
        <v>21</v>
      </c>
      <c r="B335" s="4" t="s">
        <v>43</v>
      </c>
      <c r="C335" s="4" t="s">
        <v>23</v>
      </c>
      <c r="D335" s="4" t="s">
        <v>44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44409</v>
      </c>
      <c r="J335" s="6">
        <v>0</v>
      </c>
      <c r="K335" s="6">
        <v>0</v>
      </c>
      <c r="L335" s="6">
        <v>2804.4450000000002</v>
      </c>
      <c r="M335" s="6">
        <v>2804.4450000000002</v>
      </c>
      <c r="N335" s="6">
        <v>2804.4450000000002</v>
      </c>
      <c r="O335" s="6">
        <v>2804.4450000000002</v>
      </c>
      <c r="P335" s="6">
        <v>2642</v>
      </c>
      <c r="Q335" s="4" t="s">
        <v>26</v>
      </c>
      <c r="R335" s="4">
        <v>0</v>
      </c>
      <c r="S335" s="4">
        <v>0</v>
      </c>
      <c r="T335" s="4">
        <v>29</v>
      </c>
      <c r="U335" s="4">
        <v>66</v>
      </c>
      <c r="V335" s="6">
        <f>IF(ISERROR(VLOOKUP($S$335,'TAR FIN'!$A$1:$O$85,15,0)),0,VLOOKUP($S$335,'TAR FIN'!$A$1:$O$85,15,0))</f>
        <v>0</v>
      </c>
      <c r="W335" s="6">
        <f>IF(ISERROR(VLOOKUP($T$335,'TAR FIN'!$A$1:$O$85,15,0)),0,VLOOKUP($T$335,'TAR FIN'!$A$1:$O$85,15,0))</f>
        <v>240.85</v>
      </c>
      <c r="X335" s="6">
        <f>IF(ISERROR(VLOOKUP($U$335,'TAR FIN'!$A$1:$O$85,15,0)),0,VLOOKUP($U$335,'TAR FIN'!$A$1:$O$85,15,0))</f>
        <v>231.7</v>
      </c>
      <c r="Y335" s="6"/>
      <c r="Z335" s="6">
        <f ca="1">('TUSD BE'!$AM$33+'TUSD BF'!$AM$33+'TUSD CVA'!$AM$33)*(1-CUSTOS!$M$38)</f>
        <v>300.89907966262189</v>
      </c>
      <c r="AA335" s="6">
        <f>('TE BE'!$AA$23+'TE BF'!$AA$23+'TE CVA'!$AA$23)*(1-CUSTOS!$M$38)</f>
        <v>198.0053374241497</v>
      </c>
      <c r="AB335" s="6">
        <f t="shared" si="16"/>
        <v>0</v>
      </c>
      <c r="AC335" s="6">
        <f>(L335-M335)*(W335+X335)+($W$182+$X$182-$W$335-$X$335)*(L335)</f>
        <v>180690.39135000002</v>
      </c>
      <c r="AD335" s="6">
        <f t="shared" si="17"/>
        <v>0</v>
      </c>
      <c r="AE335" s="6">
        <f ca="1">(L335-M335)*(Z335+AA335)+($Z$182+$AA$182-$Z$335-$AA$335)*(L335)</f>
        <v>89307.446679377579</v>
      </c>
      <c r="AF335" s="4" t="s">
        <v>808</v>
      </c>
    </row>
    <row r="336" spans="1:32" ht="11.25" customHeight="1" x14ac:dyDescent="0.25">
      <c r="A336" s="4" t="s">
        <v>28</v>
      </c>
      <c r="B336" s="4" t="s">
        <v>43</v>
      </c>
      <c r="C336" s="4" t="s">
        <v>23</v>
      </c>
      <c r="D336" s="4" t="s">
        <v>44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44409</v>
      </c>
      <c r="J336" s="6">
        <v>0</v>
      </c>
      <c r="K336" s="6">
        <v>0</v>
      </c>
      <c r="L336" s="6">
        <v>63.024000000000001</v>
      </c>
      <c r="M336" s="6">
        <v>63.024000000000001</v>
      </c>
      <c r="N336" s="6">
        <v>63.024000000000001</v>
      </c>
      <c r="O336" s="6">
        <v>63.024000000000001</v>
      </c>
      <c r="P336" s="6">
        <v>82</v>
      </c>
      <c r="Q336" s="4" t="s">
        <v>26</v>
      </c>
      <c r="R336" s="4">
        <v>0</v>
      </c>
      <c r="S336" s="4">
        <v>0</v>
      </c>
      <c r="T336" s="4">
        <v>29</v>
      </c>
      <c r="U336" s="4">
        <v>66</v>
      </c>
      <c r="V336" s="6">
        <f>IF(ISERROR(VLOOKUP($S$336,'TAR FIN'!$A$1:$O$85,15,0)),0,VLOOKUP($S$336,'TAR FIN'!$A$1:$O$85,15,0))</f>
        <v>0</v>
      </c>
      <c r="W336" s="6">
        <f>IF(ISERROR(VLOOKUP($T$336,'TAR FIN'!$A$1:$O$85,15,0)),0,VLOOKUP($T$336,'TAR FIN'!$A$1:$O$85,15,0))</f>
        <v>240.85</v>
      </c>
      <c r="X336" s="6">
        <f>IF(ISERROR(VLOOKUP($U$336,'TAR FIN'!$A$1:$O$85,15,0)),0,VLOOKUP($U$336,'TAR FIN'!$A$1:$O$85,15,0))</f>
        <v>231.7</v>
      </c>
      <c r="Y336" s="6"/>
      <c r="Z336" s="6">
        <f ca="1">('TUSD BE'!$AM$33+'TUSD BF'!$AM$33+'TUSD CVA'!$AM$33)*(1-CUSTOS!$M$38)</f>
        <v>300.89907966262189</v>
      </c>
      <c r="AA336" s="6">
        <f>('TE BE'!$AA$23+'TE BF'!$AA$23+'TE CVA'!$AA$23)*(1-CUSTOS!$M$38)</f>
        <v>198.0053374241497</v>
      </c>
      <c r="AB336" s="6">
        <f t="shared" si="16"/>
        <v>0</v>
      </c>
      <c r="AC336" s="6">
        <f>(L336-M336)*(W336+X336)+($W$182+$X$182-$W$336-$X$336)*(L336)</f>
        <v>4060.6363200000005</v>
      </c>
      <c r="AD336" s="6">
        <f t="shared" si="17"/>
        <v>0</v>
      </c>
      <c r="AE336" s="6">
        <f ca="1">(L336-M336)*(Z336+AA336)+($Z$182+$AA$182-$Z$336-$AA$336)*(L336)</f>
        <v>2006.9969350517097</v>
      </c>
      <c r="AF336" s="4" t="s">
        <v>808</v>
      </c>
    </row>
    <row r="337" spans="1:32" ht="11.25" customHeight="1" x14ac:dyDescent="0.25">
      <c r="A337" s="4" t="s">
        <v>21</v>
      </c>
      <c r="B337" s="4" t="s">
        <v>43</v>
      </c>
      <c r="C337" s="4" t="s">
        <v>23</v>
      </c>
      <c r="D337" s="4" t="s">
        <v>44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44440</v>
      </c>
      <c r="J337" s="6">
        <v>0</v>
      </c>
      <c r="K337" s="6">
        <v>0</v>
      </c>
      <c r="L337" s="6">
        <v>3273.73</v>
      </c>
      <c r="M337" s="6">
        <v>3273.73</v>
      </c>
      <c r="N337" s="6">
        <v>3273.73</v>
      </c>
      <c r="O337" s="6">
        <v>3273.73</v>
      </c>
      <c r="P337" s="6">
        <v>2629</v>
      </c>
      <c r="Q337" s="4" t="s">
        <v>26</v>
      </c>
      <c r="R337" s="4">
        <v>0</v>
      </c>
      <c r="S337" s="4">
        <v>0</v>
      </c>
      <c r="T337" s="4">
        <v>29</v>
      </c>
      <c r="U337" s="4">
        <v>66</v>
      </c>
      <c r="V337" s="6">
        <f>IF(ISERROR(VLOOKUP($S$337,'TAR FIN'!$A$1:$O$85,15,0)),0,VLOOKUP($S$337,'TAR FIN'!$A$1:$O$85,15,0))</f>
        <v>0</v>
      </c>
      <c r="W337" s="6">
        <f>IF(ISERROR(VLOOKUP($T$337,'TAR FIN'!$A$1:$O$85,15,0)),0,VLOOKUP($T$337,'TAR FIN'!$A$1:$O$85,15,0))</f>
        <v>240.85</v>
      </c>
      <c r="X337" s="6">
        <f>IF(ISERROR(VLOOKUP($U$337,'TAR FIN'!$A$1:$O$85,15,0)),0,VLOOKUP($U$337,'TAR FIN'!$A$1:$O$85,15,0))</f>
        <v>231.7</v>
      </c>
      <c r="Y337" s="6"/>
      <c r="Z337" s="6">
        <f ca="1">('TUSD BE'!$AM$33+'TUSD BF'!$AM$33+'TUSD CVA'!$AM$33)*(1-CUSTOS!$M$38)</f>
        <v>300.89907966262189</v>
      </c>
      <c r="AA337" s="6">
        <f>('TE BE'!$AA$23+'TE BF'!$AA$23+'TE CVA'!$AA$23)*(1-CUSTOS!$M$38)</f>
        <v>198.0053374241497</v>
      </c>
      <c r="AB337" s="6">
        <f t="shared" si="16"/>
        <v>0</v>
      </c>
      <c r="AC337" s="6">
        <f>(L337-M337)*(W337+X337)+($W$182+$X$182-$W$337-$X$337)*(L337)</f>
        <v>210926.42390000002</v>
      </c>
      <c r="AD337" s="6">
        <f t="shared" si="17"/>
        <v>0</v>
      </c>
      <c r="AE337" s="6">
        <f ca="1">(L337-M337)*(Z337+AA337)+($Z$182+$AA$182-$Z$337-$AA$337)*(L337)</f>
        <v>104251.81004358393</v>
      </c>
      <c r="AF337" s="4" t="s">
        <v>808</v>
      </c>
    </row>
    <row r="338" spans="1:32" ht="11.25" customHeight="1" x14ac:dyDescent="0.25">
      <c r="A338" s="4" t="s">
        <v>28</v>
      </c>
      <c r="B338" s="4" t="s">
        <v>43</v>
      </c>
      <c r="C338" s="4" t="s">
        <v>23</v>
      </c>
      <c r="D338" s="4" t="s">
        <v>44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44440</v>
      </c>
      <c r="J338" s="6">
        <v>0</v>
      </c>
      <c r="K338" s="6">
        <v>0</v>
      </c>
      <c r="L338" s="6">
        <v>65.180999999999997</v>
      </c>
      <c r="M338" s="6">
        <v>65.180999999999997</v>
      </c>
      <c r="N338" s="6">
        <v>65.180999999999997</v>
      </c>
      <c r="O338" s="6">
        <v>65.180999999999997</v>
      </c>
      <c r="P338" s="6">
        <v>80</v>
      </c>
      <c r="Q338" s="4" t="s">
        <v>26</v>
      </c>
      <c r="R338" s="4">
        <v>0</v>
      </c>
      <c r="S338" s="4">
        <v>0</v>
      </c>
      <c r="T338" s="4">
        <v>29</v>
      </c>
      <c r="U338" s="4">
        <v>66</v>
      </c>
      <c r="V338" s="6">
        <f>IF(ISERROR(VLOOKUP($S$338,'TAR FIN'!$A$1:$O$85,15,0)),0,VLOOKUP($S$338,'TAR FIN'!$A$1:$O$85,15,0))</f>
        <v>0</v>
      </c>
      <c r="W338" s="6">
        <f>IF(ISERROR(VLOOKUP($T$338,'TAR FIN'!$A$1:$O$85,15,0)),0,VLOOKUP($T$338,'TAR FIN'!$A$1:$O$85,15,0))</f>
        <v>240.85</v>
      </c>
      <c r="X338" s="6">
        <f>IF(ISERROR(VLOOKUP($U$338,'TAR FIN'!$A$1:$O$85,15,0)),0,VLOOKUP($U$338,'TAR FIN'!$A$1:$O$85,15,0))</f>
        <v>231.7</v>
      </c>
      <c r="Y338" s="6"/>
      <c r="Z338" s="6">
        <f ca="1">('TUSD BE'!$AM$33+'TUSD BF'!$AM$33+'TUSD CVA'!$AM$33)*(1-CUSTOS!$M$38)</f>
        <v>300.89907966262189</v>
      </c>
      <c r="AA338" s="6">
        <f>('TE BE'!$AA$23+'TE BF'!$AA$23+'TE CVA'!$AA$23)*(1-CUSTOS!$M$38)</f>
        <v>198.0053374241497</v>
      </c>
      <c r="AB338" s="6">
        <f t="shared" si="16"/>
        <v>0</v>
      </c>
      <c r="AC338" s="6">
        <f>(L338-M338)*(W338+X338)+($W$182+$X$182-$W$338-$X$338)*(L338)</f>
        <v>4199.6118299999998</v>
      </c>
      <c r="AD338" s="6">
        <f t="shared" si="17"/>
        <v>0</v>
      </c>
      <c r="AE338" s="6">
        <f ca="1">(L338-M338)*(Z338+AA338)+($Z$182+$AA$182-$Z$338-$AA$338)*(L338)</f>
        <v>2075.6865197957204</v>
      </c>
      <c r="AF338" s="4" t="s">
        <v>808</v>
      </c>
    </row>
    <row r="339" spans="1:32" ht="11.25" customHeight="1" x14ac:dyDescent="0.25">
      <c r="A339" s="4" t="s">
        <v>21</v>
      </c>
      <c r="B339" s="4" t="s">
        <v>43</v>
      </c>
      <c r="C339" s="4" t="s">
        <v>23</v>
      </c>
      <c r="D339" s="4" t="s">
        <v>44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44470</v>
      </c>
      <c r="J339" s="6">
        <v>0</v>
      </c>
      <c r="K339" s="6">
        <v>0</v>
      </c>
      <c r="L339" s="6">
        <v>3192.11</v>
      </c>
      <c r="M339" s="6">
        <v>3192.11</v>
      </c>
      <c r="N339" s="6">
        <v>3192.11</v>
      </c>
      <c r="O339" s="6">
        <v>3192.11</v>
      </c>
      <c r="P339" s="6">
        <v>2606</v>
      </c>
      <c r="Q339" s="4" t="s">
        <v>26</v>
      </c>
      <c r="R339" s="4">
        <v>0</v>
      </c>
      <c r="S339" s="4">
        <v>0</v>
      </c>
      <c r="T339" s="4">
        <v>29</v>
      </c>
      <c r="U339" s="4">
        <v>66</v>
      </c>
      <c r="V339" s="6">
        <f>IF(ISERROR(VLOOKUP($S$339,'TAR FIN'!$A$1:$O$85,15,0)),0,VLOOKUP($S$339,'TAR FIN'!$A$1:$O$85,15,0))</f>
        <v>0</v>
      </c>
      <c r="W339" s="6">
        <f>IF(ISERROR(VLOOKUP($T$339,'TAR FIN'!$A$1:$O$85,15,0)),0,VLOOKUP($T$339,'TAR FIN'!$A$1:$O$85,15,0))</f>
        <v>240.85</v>
      </c>
      <c r="X339" s="6">
        <f>IF(ISERROR(VLOOKUP($U$339,'TAR FIN'!$A$1:$O$85,15,0)),0,VLOOKUP($U$339,'TAR FIN'!$A$1:$O$85,15,0))</f>
        <v>231.7</v>
      </c>
      <c r="Y339" s="6"/>
      <c r="Z339" s="6">
        <f ca="1">('TUSD BE'!$AM$33+'TUSD BF'!$AM$33+'TUSD CVA'!$AM$33)*(1-CUSTOS!$M$38)</f>
        <v>300.89907966262189</v>
      </c>
      <c r="AA339" s="6">
        <f>('TE BE'!$AA$23+'TE BF'!$AA$23+'TE CVA'!$AA$23)*(1-CUSTOS!$M$38)</f>
        <v>198.0053374241497</v>
      </c>
      <c r="AB339" s="6">
        <f t="shared" si="16"/>
        <v>0</v>
      </c>
      <c r="AC339" s="6">
        <f>(L339-M339)*(W339+X339)+($W$182+$X$182-$W$339-$X$339)*(L339)</f>
        <v>205667.64730000004</v>
      </c>
      <c r="AD339" s="6">
        <f t="shared" si="17"/>
        <v>0</v>
      </c>
      <c r="AE339" s="6">
        <f ca="1">(L339-M339)*(Z339+AA339)+($Z$182+$AA$182-$Z$339-$AA$339)*(L339)</f>
        <v>101652.62418043782</v>
      </c>
      <c r="AF339" s="4" t="s">
        <v>808</v>
      </c>
    </row>
    <row r="340" spans="1:32" ht="11.25" customHeight="1" x14ac:dyDescent="0.25">
      <c r="A340" s="4" t="s">
        <v>28</v>
      </c>
      <c r="B340" s="4" t="s">
        <v>43</v>
      </c>
      <c r="C340" s="4" t="s">
        <v>23</v>
      </c>
      <c r="D340" s="4" t="s">
        <v>44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44470</v>
      </c>
      <c r="J340" s="6">
        <v>0</v>
      </c>
      <c r="K340" s="6">
        <v>0</v>
      </c>
      <c r="L340" s="6">
        <v>77.048000000000002</v>
      </c>
      <c r="M340" s="6">
        <v>77.048000000000002</v>
      </c>
      <c r="N340" s="6">
        <v>77.048000000000002</v>
      </c>
      <c r="O340" s="6">
        <v>77.048000000000002</v>
      </c>
      <c r="P340" s="6">
        <v>78</v>
      </c>
      <c r="Q340" s="4" t="s">
        <v>26</v>
      </c>
      <c r="R340" s="4">
        <v>0</v>
      </c>
      <c r="S340" s="4">
        <v>0</v>
      </c>
      <c r="T340" s="4">
        <v>29</v>
      </c>
      <c r="U340" s="4">
        <v>66</v>
      </c>
      <c r="V340" s="6">
        <f>IF(ISERROR(VLOOKUP($S$340,'TAR FIN'!$A$1:$O$85,15,0)),0,VLOOKUP($S$340,'TAR FIN'!$A$1:$O$85,15,0))</f>
        <v>0</v>
      </c>
      <c r="W340" s="6">
        <f>IF(ISERROR(VLOOKUP($T$340,'TAR FIN'!$A$1:$O$85,15,0)),0,VLOOKUP($T$340,'TAR FIN'!$A$1:$O$85,15,0))</f>
        <v>240.85</v>
      </c>
      <c r="X340" s="6">
        <f>IF(ISERROR(VLOOKUP($U$340,'TAR FIN'!$A$1:$O$85,15,0)),0,VLOOKUP($U$340,'TAR FIN'!$A$1:$O$85,15,0))</f>
        <v>231.7</v>
      </c>
      <c r="Y340" s="6"/>
      <c r="Z340" s="6">
        <f ca="1">('TUSD BE'!$AM$33+'TUSD BF'!$AM$33+'TUSD CVA'!$AM$33)*(1-CUSTOS!$M$38)</f>
        <v>300.89907966262189</v>
      </c>
      <c r="AA340" s="6">
        <f>('TE BE'!$AA$23+'TE BF'!$AA$23+'TE CVA'!$AA$23)*(1-CUSTOS!$M$38)</f>
        <v>198.0053374241497</v>
      </c>
      <c r="AB340" s="6">
        <f t="shared" si="16"/>
        <v>0</v>
      </c>
      <c r="AC340" s="6">
        <f>(L340-M340)*(W340+X340)+($W$182+$X$182-$W$340-$X$340)*(L340)</f>
        <v>4964.2026400000004</v>
      </c>
      <c r="AD340" s="6">
        <f t="shared" si="17"/>
        <v>0</v>
      </c>
      <c r="AE340" s="6">
        <f ca="1">(L340-M340)*(Z340+AA340)+($Z$182+$AA$182-$Z$340-$AA$340)*(L340)</f>
        <v>2453.5906932575549</v>
      </c>
      <c r="AF340" s="4" t="s">
        <v>808</v>
      </c>
    </row>
    <row r="341" spans="1:32" ht="11.25" customHeight="1" x14ac:dyDescent="0.25">
      <c r="A341" s="4" t="s">
        <v>21</v>
      </c>
      <c r="B341" s="4" t="s">
        <v>43</v>
      </c>
      <c r="C341" s="4" t="s">
        <v>23</v>
      </c>
      <c r="D341" s="4" t="s">
        <v>44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44501</v>
      </c>
      <c r="J341" s="6">
        <v>0</v>
      </c>
      <c r="K341" s="6">
        <v>0</v>
      </c>
      <c r="L341" s="6">
        <v>2736.4780000000001</v>
      </c>
      <c r="M341" s="6">
        <v>2736.4780000000001</v>
      </c>
      <c r="N341" s="6">
        <v>2736.4780000000001</v>
      </c>
      <c r="O341" s="6">
        <v>2736.4780000000001</v>
      </c>
      <c r="P341" s="6">
        <v>2591</v>
      </c>
      <c r="Q341" s="4" t="s">
        <v>26</v>
      </c>
      <c r="R341" s="4">
        <v>0</v>
      </c>
      <c r="S341" s="4">
        <v>0</v>
      </c>
      <c r="T341" s="4">
        <v>29</v>
      </c>
      <c r="U341" s="4">
        <v>66</v>
      </c>
      <c r="V341" s="6">
        <f>IF(ISERROR(VLOOKUP($S$341,'TAR FIN'!$A$1:$O$85,15,0)),0,VLOOKUP($S$341,'TAR FIN'!$A$1:$O$85,15,0))</f>
        <v>0</v>
      </c>
      <c r="W341" s="6">
        <f>IF(ISERROR(VLOOKUP($T$341,'TAR FIN'!$A$1:$O$85,15,0)),0,VLOOKUP($T$341,'TAR FIN'!$A$1:$O$85,15,0))</f>
        <v>240.85</v>
      </c>
      <c r="X341" s="6">
        <f>IF(ISERROR(VLOOKUP($U$341,'TAR FIN'!$A$1:$O$85,15,0)),0,VLOOKUP($U$341,'TAR FIN'!$A$1:$O$85,15,0))</f>
        <v>231.7</v>
      </c>
      <c r="Y341" s="6"/>
      <c r="Z341" s="6">
        <f ca="1">('TUSD BE'!$AM$33+'TUSD BF'!$AM$33+'TUSD CVA'!$AM$33)*(1-CUSTOS!$M$38)</f>
        <v>300.89907966262189</v>
      </c>
      <c r="AA341" s="6">
        <f>('TE BE'!$AA$23+'TE BF'!$AA$23+'TE CVA'!$AA$23)*(1-CUSTOS!$M$38)</f>
        <v>198.0053374241497</v>
      </c>
      <c r="AB341" s="6">
        <f t="shared" si="16"/>
        <v>0</v>
      </c>
      <c r="AC341" s="6">
        <f>(L341-M341)*(W341+X341)+($W$182+$X$182-$W$341-$X$341)*(L341)</f>
        <v>176311.27754000001</v>
      </c>
      <c r="AD341" s="6">
        <f t="shared" si="17"/>
        <v>0</v>
      </c>
      <c r="AE341" s="6">
        <f ca="1">(L341-M341)*(Z341+AA341)+($Z$182+$AA$182-$Z$341-$AA$341)*(L341)</f>
        <v>87143.040093241187</v>
      </c>
      <c r="AF341" s="4" t="s">
        <v>808</v>
      </c>
    </row>
    <row r="342" spans="1:32" ht="11.25" customHeight="1" x14ac:dyDescent="0.25">
      <c r="A342" s="4" t="s">
        <v>27</v>
      </c>
      <c r="B342" s="4" t="s">
        <v>43</v>
      </c>
      <c r="C342" s="4" t="s">
        <v>23</v>
      </c>
      <c r="D342" s="4" t="s">
        <v>44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44501</v>
      </c>
      <c r="J342" s="6">
        <v>0</v>
      </c>
      <c r="K342" s="6">
        <v>0</v>
      </c>
      <c r="L342" s="6">
        <v>-9.3810000000000002</v>
      </c>
      <c r="M342" s="6">
        <v>-9.3810000000000002</v>
      </c>
      <c r="N342" s="6">
        <v>-9.3810000000000002</v>
      </c>
      <c r="O342" s="6">
        <v>-9.3810000000000002</v>
      </c>
      <c r="P342" s="6">
        <v>0</v>
      </c>
      <c r="Q342" s="4" t="s">
        <v>26</v>
      </c>
      <c r="R342" s="4">
        <v>0</v>
      </c>
      <c r="S342" s="4">
        <v>0</v>
      </c>
      <c r="T342" s="4">
        <v>29</v>
      </c>
      <c r="U342" s="4">
        <v>66</v>
      </c>
      <c r="V342" s="6">
        <f>IF(ISERROR(VLOOKUP($S$342,'TAR FIN'!$A$1:$O$85,15,0)),0,VLOOKUP($S$342,'TAR FIN'!$A$1:$O$85,15,0))</f>
        <v>0</v>
      </c>
      <c r="W342" s="6">
        <f>IF(ISERROR(VLOOKUP($T$342,'TAR FIN'!$A$1:$O$85,15,0)),0,VLOOKUP($T$342,'TAR FIN'!$A$1:$O$85,15,0))</f>
        <v>240.85</v>
      </c>
      <c r="X342" s="6">
        <f>IF(ISERROR(VLOOKUP($U$342,'TAR FIN'!$A$1:$O$85,15,0)),0,VLOOKUP($U$342,'TAR FIN'!$A$1:$O$85,15,0))</f>
        <v>231.7</v>
      </c>
      <c r="Y342" s="6"/>
      <c r="Z342" s="6">
        <f ca="1">('TUSD BE'!$AM$33+'TUSD BF'!$AM$33+'TUSD CVA'!$AM$33)*(1-CUSTOS!$M$38)</f>
        <v>300.89907966262189</v>
      </c>
      <c r="AA342" s="6">
        <f>('TE BE'!$AA$23+'TE BF'!$AA$23+'TE CVA'!$AA$23)*(1-CUSTOS!$M$38)</f>
        <v>198.0053374241497</v>
      </c>
      <c r="AB342" s="6">
        <f t="shared" si="16"/>
        <v>0</v>
      </c>
      <c r="AC342" s="6">
        <f>(L342-M342)*(W342+X342)+($W$182+$X$182-$W$342-$X$342)*(L342)</f>
        <v>-604.41783000000009</v>
      </c>
      <c r="AD342" s="6">
        <f t="shared" si="17"/>
        <v>0</v>
      </c>
      <c r="AE342" s="6">
        <f ca="1">(L342-M342)*(Z342+AA342)+($Z$182+$AA$182-$Z$342-$AA$342)*(L342)</f>
        <v>-298.73759595900117</v>
      </c>
      <c r="AF342" s="4" t="s">
        <v>808</v>
      </c>
    </row>
    <row r="343" spans="1:32" ht="11.25" customHeight="1" x14ac:dyDescent="0.25">
      <c r="A343" s="4" t="s">
        <v>28</v>
      </c>
      <c r="B343" s="4" t="s">
        <v>43</v>
      </c>
      <c r="C343" s="4" t="s">
        <v>23</v>
      </c>
      <c r="D343" s="4" t="s">
        <v>44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44501</v>
      </c>
      <c r="J343" s="6">
        <v>0</v>
      </c>
      <c r="K343" s="6">
        <v>0</v>
      </c>
      <c r="L343" s="6">
        <v>90.256</v>
      </c>
      <c r="M343" s="6">
        <v>90.256</v>
      </c>
      <c r="N343" s="6">
        <v>90.256</v>
      </c>
      <c r="O343" s="6">
        <v>90.256</v>
      </c>
      <c r="P343" s="6">
        <v>78</v>
      </c>
      <c r="Q343" s="4" t="s">
        <v>26</v>
      </c>
      <c r="R343" s="4">
        <v>0</v>
      </c>
      <c r="S343" s="4">
        <v>0</v>
      </c>
      <c r="T343" s="4">
        <v>29</v>
      </c>
      <c r="U343" s="4">
        <v>66</v>
      </c>
      <c r="V343" s="6">
        <f>IF(ISERROR(VLOOKUP($S$343,'TAR FIN'!$A$1:$O$85,15,0)),0,VLOOKUP($S$343,'TAR FIN'!$A$1:$O$85,15,0))</f>
        <v>0</v>
      </c>
      <c r="W343" s="6">
        <f>IF(ISERROR(VLOOKUP($T$343,'TAR FIN'!$A$1:$O$85,15,0)),0,VLOOKUP($T$343,'TAR FIN'!$A$1:$O$85,15,0))</f>
        <v>240.85</v>
      </c>
      <c r="X343" s="6">
        <f>IF(ISERROR(VLOOKUP($U$343,'TAR FIN'!$A$1:$O$85,15,0)),0,VLOOKUP($U$343,'TAR FIN'!$A$1:$O$85,15,0))</f>
        <v>231.7</v>
      </c>
      <c r="Y343" s="6"/>
      <c r="Z343" s="6">
        <f ca="1">('TUSD BE'!$AM$33+'TUSD BF'!$AM$33+'TUSD CVA'!$AM$33)*(1-CUSTOS!$M$38)</f>
        <v>300.89907966262189</v>
      </c>
      <c r="AA343" s="6">
        <f>('TE BE'!$AA$23+'TE BF'!$AA$23+'TE CVA'!$AA$23)*(1-CUSTOS!$M$38)</f>
        <v>198.0053374241497</v>
      </c>
      <c r="AB343" s="6">
        <f t="shared" si="16"/>
        <v>0</v>
      </c>
      <c r="AC343" s="6">
        <f>(L343-M343)*(W343+X343)+($W$182+$X$182-$W$343-$X$343)*(L343)</f>
        <v>5815.1940800000002</v>
      </c>
      <c r="AD343" s="6">
        <f t="shared" si="17"/>
        <v>0</v>
      </c>
      <c r="AE343" s="6">
        <f ca="1">(L343-M343)*(Z343+AA343)+($Z$182+$AA$182-$Z$343-$AA$343)*(L343)</f>
        <v>2874.198961824497</v>
      </c>
      <c r="AF343" s="4" t="s">
        <v>808</v>
      </c>
    </row>
    <row r="344" spans="1:32" ht="11.25" customHeight="1" x14ac:dyDescent="0.25">
      <c r="A344" s="4" t="s">
        <v>21</v>
      </c>
      <c r="B344" s="4" t="s">
        <v>43</v>
      </c>
      <c r="C344" s="4" t="s">
        <v>23</v>
      </c>
      <c r="D344" s="4" t="s">
        <v>44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44531</v>
      </c>
      <c r="J344" s="6">
        <v>0</v>
      </c>
      <c r="K344" s="6">
        <v>0</v>
      </c>
      <c r="L344" s="6">
        <v>2746.1570000000002</v>
      </c>
      <c r="M344" s="6">
        <v>2746.1570000000002</v>
      </c>
      <c r="N344" s="6">
        <v>2746.1570000000002</v>
      </c>
      <c r="O344" s="6">
        <v>2746.1570000000002</v>
      </c>
      <c r="P344" s="6">
        <v>2559</v>
      </c>
      <c r="Q344" s="4" t="s">
        <v>26</v>
      </c>
      <c r="R344" s="4">
        <v>0</v>
      </c>
      <c r="S344" s="4">
        <v>0</v>
      </c>
      <c r="T344" s="4">
        <v>29</v>
      </c>
      <c r="U344" s="4">
        <v>66</v>
      </c>
      <c r="V344" s="6">
        <f>IF(ISERROR(VLOOKUP($S$344,'TAR FIN'!$A$1:$O$85,15,0)),0,VLOOKUP($S$344,'TAR FIN'!$A$1:$O$85,15,0))</f>
        <v>0</v>
      </c>
      <c r="W344" s="6">
        <f>IF(ISERROR(VLOOKUP($T$344,'TAR FIN'!$A$1:$O$85,15,0)),0,VLOOKUP($T$344,'TAR FIN'!$A$1:$O$85,15,0))</f>
        <v>240.85</v>
      </c>
      <c r="X344" s="6">
        <f>IF(ISERROR(VLOOKUP($U$344,'TAR FIN'!$A$1:$O$85,15,0)),0,VLOOKUP($U$344,'TAR FIN'!$A$1:$O$85,15,0))</f>
        <v>231.7</v>
      </c>
      <c r="Y344" s="6"/>
      <c r="Z344" s="6">
        <f ca="1">('TUSD BE'!$AM$33+'TUSD BF'!$AM$33+'TUSD CVA'!$AM$33)*(1-CUSTOS!$M$38)</f>
        <v>300.89907966262189</v>
      </c>
      <c r="AA344" s="6">
        <f>('TE BE'!$AA$23+'TE BF'!$AA$23+'TE CVA'!$AA$23)*(1-CUSTOS!$M$38)</f>
        <v>198.0053374241497</v>
      </c>
      <c r="AB344" s="6">
        <f t="shared" si="16"/>
        <v>0</v>
      </c>
      <c r="AC344" s="6">
        <f>(L344-M344)*(W344+X344)+($W$182+$X$182-$W$344-$X$344)*(L344)</f>
        <v>176934.89551000003</v>
      </c>
      <c r="AD344" s="6">
        <f t="shared" si="17"/>
        <v>0</v>
      </c>
      <c r="AE344" s="6">
        <f ca="1">(L344-M344)*(Z344+AA344)+($Z$182+$AA$182-$Z$344-$AA$344)*(L344)</f>
        <v>87451.26748811244</v>
      </c>
      <c r="AF344" s="4" t="s">
        <v>808</v>
      </c>
    </row>
    <row r="345" spans="1:32" ht="11.25" customHeight="1" x14ac:dyDescent="0.25">
      <c r="A345" s="4" t="s">
        <v>27</v>
      </c>
      <c r="B345" s="4" t="s">
        <v>43</v>
      </c>
      <c r="C345" s="4" t="s">
        <v>23</v>
      </c>
      <c r="D345" s="4" t="s">
        <v>44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44531</v>
      </c>
      <c r="J345" s="6">
        <v>0</v>
      </c>
      <c r="K345" s="6">
        <v>0</v>
      </c>
      <c r="L345" s="6">
        <v>-0.69499999999999995</v>
      </c>
      <c r="M345" s="6">
        <v>-0.69499999999999995</v>
      </c>
      <c r="N345" s="6">
        <v>-0.69499999999999995</v>
      </c>
      <c r="O345" s="6">
        <v>-0.69499999999999995</v>
      </c>
      <c r="P345" s="6">
        <v>0</v>
      </c>
      <c r="Q345" s="4" t="s">
        <v>26</v>
      </c>
      <c r="R345" s="4">
        <v>0</v>
      </c>
      <c r="S345" s="4">
        <v>0</v>
      </c>
      <c r="T345" s="4">
        <v>29</v>
      </c>
      <c r="U345" s="4">
        <v>66</v>
      </c>
      <c r="V345" s="6">
        <f>IF(ISERROR(VLOOKUP($S$345,'TAR FIN'!$A$1:$O$85,15,0)),0,VLOOKUP($S$345,'TAR FIN'!$A$1:$O$85,15,0))</f>
        <v>0</v>
      </c>
      <c r="W345" s="6">
        <f>IF(ISERROR(VLOOKUP($T$345,'TAR FIN'!$A$1:$O$85,15,0)),0,VLOOKUP($T$345,'TAR FIN'!$A$1:$O$85,15,0))</f>
        <v>240.85</v>
      </c>
      <c r="X345" s="6">
        <f>IF(ISERROR(VLOOKUP($U$345,'TAR FIN'!$A$1:$O$85,15,0)),0,VLOOKUP($U$345,'TAR FIN'!$A$1:$O$85,15,0))</f>
        <v>231.7</v>
      </c>
      <c r="Y345" s="6"/>
      <c r="Z345" s="6">
        <f ca="1">('TUSD BE'!$AM$33+'TUSD BF'!$AM$33+'TUSD CVA'!$AM$33)*(1-CUSTOS!$M$38)</f>
        <v>300.89907966262189</v>
      </c>
      <c r="AA345" s="6">
        <f>('TE BE'!$AA$23+'TE BF'!$AA$23+'TE CVA'!$AA$23)*(1-CUSTOS!$M$38)</f>
        <v>198.0053374241497</v>
      </c>
      <c r="AB345" s="6">
        <f t="shared" si="16"/>
        <v>0</v>
      </c>
      <c r="AC345" s="6">
        <f>(L345-M345)*(W345+X345)+($W$182+$X$182-$W$345-$X$345)*(L345)</f>
        <v>-44.778849999999998</v>
      </c>
      <c r="AD345" s="6">
        <f t="shared" si="17"/>
        <v>0</v>
      </c>
      <c r="AE345" s="6">
        <f ca="1">(L345-M345)*(Z345+AA345)+($Z$182+$AA$182-$Z$345-$AA$345)*(L345)</f>
        <v>-22.132249140977059</v>
      </c>
      <c r="AF345" s="4" t="s">
        <v>808</v>
      </c>
    </row>
    <row r="346" spans="1:32" ht="11.25" customHeight="1" x14ac:dyDescent="0.25">
      <c r="A346" s="4" t="s">
        <v>28</v>
      </c>
      <c r="B346" s="4" t="s">
        <v>43</v>
      </c>
      <c r="C346" s="4" t="s">
        <v>23</v>
      </c>
      <c r="D346" s="4" t="s">
        <v>44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44531</v>
      </c>
      <c r="J346" s="6">
        <v>0</v>
      </c>
      <c r="K346" s="6">
        <v>0</v>
      </c>
      <c r="L346" s="6">
        <v>60.594000000000001</v>
      </c>
      <c r="M346" s="6">
        <v>60.594000000000001</v>
      </c>
      <c r="N346" s="6">
        <v>60.594000000000001</v>
      </c>
      <c r="O346" s="6">
        <v>60.594000000000001</v>
      </c>
      <c r="P346" s="6">
        <v>85</v>
      </c>
      <c r="Q346" s="4" t="s">
        <v>26</v>
      </c>
      <c r="R346" s="4">
        <v>0</v>
      </c>
      <c r="S346" s="4">
        <v>0</v>
      </c>
      <c r="T346" s="4">
        <v>29</v>
      </c>
      <c r="U346" s="4">
        <v>66</v>
      </c>
      <c r="V346" s="6">
        <f>IF(ISERROR(VLOOKUP($S$346,'TAR FIN'!$A$1:$O$85,15,0)),0,VLOOKUP($S$346,'TAR FIN'!$A$1:$O$85,15,0))</f>
        <v>0</v>
      </c>
      <c r="W346" s="6">
        <f>IF(ISERROR(VLOOKUP($T$346,'TAR FIN'!$A$1:$O$85,15,0)),0,VLOOKUP($T$346,'TAR FIN'!$A$1:$O$85,15,0))</f>
        <v>240.85</v>
      </c>
      <c r="X346" s="6">
        <f>IF(ISERROR(VLOOKUP($U$346,'TAR FIN'!$A$1:$O$85,15,0)),0,VLOOKUP($U$346,'TAR FIN'!$A$1:$O$85,15,0))</f>
        <v>231.7</v>
      </c>
      <c r="Y346" s="6"/>
      <c r="Z346" s="6">
        <f ca="1">('TUSD BE'!$AM$33+'TUSD BF'!$AM$33+'TUSD CVA'!$AM$33)*(1-CUSTOS!$M$38)</f>
        <v>300.89907966262189</v>
      </c>
      <c r="AA346" s="6">
        <f>('TE BE'!$AA$23+'TE BF'!$AA$23+'TE CVA'!$AA$23)*(1-CUSTOS!$M$38)</f>
        <v>198.0053374241497</v>
      </c>
      <c r="AB346" s="6">
        <f t="shared" si="16"/>
        <v>0</v>
      </c>
      <c r="AC346" s="6">
        <f>(L346-M346)*(W346+X346)+($W$182+$X$182-$W$346-$X$346)*(L346)</f>
        <v>3904.0714200000007</v>
      </c>
      <c r="AD346" s="6">
        <f t="shared" si="17"/>
        <v>0</v>
      </c>
      <c r="AE346" s="6">
        <f ca="1">(L346-M346)*(Z346+AA346)+($Z$182+$AA$182-$Z$346-$AA$346)*(L346)</f>
        <v>1929.6136754652719</v>
      </c>
      <c r="AF346" s="4" t="s">
        <v>808</v>
      </c>
    </row>
    <row r="347" spans="1:32" ht="11.25" customHeight="1" x14ac:dyDescent="0.25">
      <c r="A347" s="4" t="s">
        <v>28</v>
      </c>
      <c r="B347" s="4" t="s">
        <v>43</v>
      </c>
      <c r="C347" s="4" t="s">
        <v>23</v>
      </c>
      <c r="D347" s="4" t="s">
        <v>44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44531</v>
      </c>
      <c r="J347" s="6">
        <v>0</v>
      </c>
      <c r="K347" s="6">
        <v>0</v>
      </c>
      <c r="L347" s="6">
        <v>0.1</v>
      </c>
      <c r="M347" s="6">
        <v>0.1</v>
      </c>
      <c r="N347" s="6">
        <v>0.1</v>
      </c>
      <c r="O347" s="6">
        <v>0.1</v>
      </c>
      <c r="P347" s="6">
        <v>1</v>
      </c>
      <c r="Q347" s="4" t="s">
        <v>26</v>
      </c>
      <c r="R347" s="4">
        <v>0</v>
      </c>
      <c r="S347" s="4">
        <v>0</v>
      </c>
      <c r="T347" s="4">
        <v>29</v>
      </c>
      <c r="U347" s="4">
        <v>66</v>
      </c>
      <c r="V347" s="6">
        <f>IF(ISERROR(VLOOKUP($S$347,'TAR FIN'!$A$1:$O$85,15,0)),0,VLOOKUP($S$347,'TAR FIN'!$A$1:$O$85,15,0))</f>
        <v>0</v>
      </c>
      <c r="W347" s="6">
        <f>IF(ISERROR(VLOOKUP($T$347,'TAR FIN'!$A$1:$O$85,15,0)),0,VLOOKUP($T$347,'TAR FIN'!$A$1:$O$85,15,0))</f>
        <v>240.85</v>
      </c>
      <c r="X347" s="6">
        <f>IF(ISERROR(VLOOKUP($U$347,'TAR FIN'!$A$1:$O$85,15,0)),0,VLOOKUP($U$347,'TAR FIN'!$A$1:$O$85,15,0))</f>
        <v>231.7</v>
      </c>
      <c r="Y347" s="6"/>
      <c r="Z347" s="6">
        <f ca="1">('TUSD BE'!$AM$33+'TUSD BF'!$AM$33+'TUSD CVA'!$AM$33)*(1-CUSTOS!$M$38)</f>
        <v>300.89907966262189</v>
      </c>
      <c r="AA347" s="6">
        <f>('TE BE'!$AA$23+'TE BF'!$AA$23+'TE CVA'!$AA$23)*(1-CUSTOS!$M$38)</f>
        <v>198.0053374241497</v>
      </c>
      <c r="AB347" s="6">
        <f t="shared" si="16"/>
        <v>0</v>
      </c>
      <c r="AC347" s="6">
        <f>(L347-M347)*(W347+X347)+($W$182+$X$182-$W$347-$X$347)*(L347)</f>
        <v>6.4430000000000014</v>
      </c>
      <c r="AD347" s="6">
        <f t="shared" si="17"/>
        <v>0</v>
      </c>
      <c r="AE347" s="6">
        <f ca="1">(L347-M347)*(Z347+AA347)+($Z$182+$AA$182-$Z$347-$AA$347)*(L347)</f>
        <v>3.1844962792772749</v>
      </c>
      <c r="AF347" s="4" t="s">
        <v>808</v>
      </c>
    </row>
    <row r="348" spans="1:32" ht="11.25" customHeight="1" x14ac:dyDescent="0.25">
      <c r="A348" s="4" t="s">
        <v>21</v>
      </c>
      <c r="B348" s="4" t="s">
        <v>43</v>
      </c>
      <c r="C348" s="4" t="s">
        <v>23</v>
      </c>
      <c r="D348" s="4" t="s">
        <v>44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44562</v>
      </c>
      <c r="J348" s="6">
        <v>0</v>
      </c>
      <c r="K348" s="6">
        <v>0</v>
      </c>
      <c r="L348" s="6">
        <v>2649.5590000000002</v>
      </c>
      <c r="M348" s="6">
        <v>2649.5590000000002</v>
      </c>
      <c r="N348" s="6">
        <v>2649.5590000000002</v>
      </c>
      <c r="O348" s="6">
        <v>2649.5590000000002</v>
      </c>
      <c r="P348" s="6">
        <v>2542</v>
      </c>
      <c r="Q348" s="4" t="s">
        <v>26</v>
      </c>
      <c r="R348" s="4">
        <v>0</v>
      </c>
      <c r="S348" s="4">
        <v>0</v>
      </c>
      <c r="T348" s="4">
        <v>29</v>
      </c>
      <c r="U348" s="4">
        <v>66</v>
      </c>
      <c r="V348" s="6">
        <f>IF(ISERROR(VLOOKUP($S$348,'TAR FIN'!$A$1:$O$85,15,0)),0,VLOOKUP($S$348,'TAR FIN'!$A$1:$O$85,15,0))</f>
        <v>0</v>
      </c>
      <c r="W348" s="6">
        <f>IF(ISERROR(VLOOKUP($T$348,'TAR FIN'!$A$1:$O$85,15,0)),0,VLOOKUP($T$348,'TAR FIN'!$A$1:$O$85,15,0))</f>
        <v>240.85</v>
      </c>
      <c r="X348" s="6">
        <f>IF(ISERROR(VLOOKUP($U$348,'TAR FIN'!$A$1:$O$85,15,0)),0,VLOOKUP($U$348,'TAR FIN'!$A$1:$O$85,15,0))</f>
        <v>231.7</v>
      </c>
      <c r="Y348" s="6"/>
      <c r="Z348" s="6">
        <f ca="1">('TUSD BE'!$AM$33+'TUSD BF'!$AM$33+'TUSD CVA'!$AM$33)*(1-CUSTOS!$M$38)</f>
        <v>300.89907966262189</v>
      </c>
      <c r="AA348" s="6">
        <f>('TE BE'!$AA$23+'TE BF'!$AA$23+'TE CVA'!$AA$23)*(1-CUSTOS!$M$38)</f>
        <v>198.0053374241497</v>
      </c>
      <c r="AB348" s="6">
        <f t="shared" si="16"/>
        <v>0</v>
      </c>
      <c r="AC348" s="6">
        <f>(L348-M348)*(W348+X348)+($W$182+$X$182-$W$348-$X$348)*(L348)</f>
        <v>170711.08637000003</v>
      </c>
      <c r="AD348" s="6">
        <f t="shared" si="17"/>
        <v>0</v>
      </c>
      <c r="AE348" s="6">
        <f ca="1">(L348-M348)*(Z348+AA348)+($Z$182+$AA$182-$Z$348-$AA$348)*(L348)</f>
        <v>84375.107772256175</v>
      </c>
      <c r="AF348" s="4" t="s">
        <v>808</v>
      </c>
    </row>
    <row r="349" spans="1:32" ht="11.25" customHeight="1" x14ac:dyDescent="0.25">
      <c r="A349" s="4" t="s">
        <v>28</v>
      </c>
      <c r="B349" s="4" t="s">
        <v>43</v>
      </c>
      <c r="C349" s="4" t="s">
        <v>23</v>
      </c>
      <c r="D349" s="4" t="s">
        <v>44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44562</v>
      </c>
      <c r="J349" s="6">
        <v>0</v>
      </c>
      <c r="K349" s="6">
        <v>0</v>
      </c>
      <c r="L349" s="6">
        <v>100.426</v>
      </c>
      <c r="M349" s="6">
        <v>100.426</v>
      </c>
      <c r="N349" s="6">
        <v>100.426</v>
      </c>
      <c r="O349" s="6">
        <v>100.426</v>
      </c>
      <c r="P349" s="6">
        <v>89</v>
      </c>
      <c r="Q349" s="4" t="s">
        <v>26</v>
      </c>
      <c r="R349" s="4">
        <v>0</v>
      </c>
      <c r="S349" s="4">
        <v>0</v>
      </c>
      <c r="T349" s="4">
        <v>29</v>
      </c>
      <c r="U349" s="4">
        <v>66</v>
      </c>
      <c r="V349" s="6">
        <f>IF(ISERROR(VLOOKUP($S$349,'TAR FIN'!$A$1:$O$85,15,0)),0,VLOOKUP($S$349,'TAR FIN'!$A$1:$O$85,15,0))</f>
        <v>0</v>
      </c>
      <c r="W349" s="6">
        <f>IF(ISERROR(VLOOKUP($T$349,'TAR FIN'!$A$1:$O$85,15,0)),0,VLOOKUP($T$349,'TAR FIN'!$A$1:$O$85,15,0))</f>
        <v>240.85</v>
      </c>
      <c r="X349" s="6">
        <f>IF(ISERROR(VLOOKUP($U$349,'TAR FIN'!$A$1:$O$85,15,0)),0,VLOOKUP($U$349,'TAR FIN'!$A$1:$O$85,15,0))</f>
        <v>231.7</v>
      </c>
      <c r="Y349" s="6"/>
      <c r="Z349" s="6">
        <f ca="1">('TUSD BE'!$AM$33+'TUSD BF'!$AM$33+'TUSD CVA'!$AM$33)*(1-CUSTOS!$M$38)</f>
        <v>300.89907966262189</v>
      </c>
      <c r="AA349" s="6">
        <f>('TE BE'!$AA$23+'TE BF'!$AA$23+'TE CVA'!$AA$23)*(1-CUSTOS!$M$38)</f>
        <v>198.0053374241497</v>
      </c>
      <c r="AB349" s="6">
        <f t="shared" si="16"/>
        <v>0</v>
      </c>
      <c r="AC349" s="6">
        <f>(L349-M349)*(W349+X349)+($W$182+$X$182-$W$349-$X$349)*(L349)</f>
        <v>6470.447180000001</v>
      </c>
      <c r="AD349" s="6">
        <f t="shared" si="17"/>
        <v>0</v>
      </c>
      <c r="AE349" s="6">
        <f ca="1">(L349-M349)*(Z349+AA349)+($Z$182+$AA$182-$Z$349-$AA$349)*(L349)</f>
        <v>3198.062233426996</v>
      </c>
      <c r="AF349" s="4" t="s">
        <v>808</v>
      </c>
    </row>
    <row r="350" spans="1:32" ht="11.25" customHeight="1" x14ac:dyDescent="0.25">
      <c r="A350" s="4" t="s">
        <v>21</v>
      </c>
      <c r="B350" s="4" t="s">
        <v>43</v>
      </c>
      <c r="C350" s="4" t="s">
        <v>23</v>
      </c>
      <c r="D350" s="4" t="s">
        <v>44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44593</v>
      </c>
      <c r="J350" s="6">
        <v>0</v>
      </c>
      <c r="K350" s="6">
        <v>0</v>
      </c>
      <c r="L350" s="6">
        <v>2711.0680000000002</v>
      </c>
      <c r="M350" s="6">
        <v>2711.0680000000002</v>
      </c>
      <c r="N350" s="6">
        <v>2711.0680000000002</v>
      </c>
      <c r="O350" s="6">
        <v>2711.0680000000002</v>
      </c>
      <c r="P350" s="6">
        <v>2533</v>
      </c>
      <c r="Q350" s="4" t="s">
        <v>26</v>
      </c>
      <c r="R350" s="4">
        <v>0</v>
      </c>
      <c r="S350" s="4">
        <v>0</v>
      </c>
      <c r="T350" s="4">
        <v>29</v>
      </c>
      <c r="U350" s="4">
        <v>66</v>
      </c>
      <c r="V350" s="6">
        <f>IF(ISERROR(VLOOKUP($S$350,'TAR FIN'!$A$1:$O$85,15,0)),0,VLOOKUP($S$350,'TAR FIN'!$A$1:$O$85,15,0))</f>
        <v>0</v>
      </c>
      <c r="W350" s="6">
        <f>IF(ISERROR(VLOOKUP($T$350,'TAR FIN'!$A$1:$O$85,15,0)),0,VLOOKUP($T$350,'TAR FIN'!$A$1:$O$85,15,0))</f>
        <v>240.85</v>
      </c>
      <c r="X350" s="6">
        <f>IF(ISERROR(VLOOKUP($U$350,'TAR FIN'!$A$1:$O$85,15,0)),0,VLOOKUP($U$350,'TAR FIN'!$A$1:$O$85,15,0))</f>
        <v>231.7</v>
      </c>
      <c r="Y350" s="6"/>
      <c r="Z350" s="6">
        <f ca="1">('TUSD BE'!$AM$33+'TUSD BF'!$AM$33+'TUSD CVA'!$AM$33)*(1-CUSTOS!$M$38)</f>
        <v>300.89907966262189</v>
      </c>
      <c r="AA350" s="6">
        <f>('TE BE'!$AA$23+'TE BF'!$AA$23+'TE CVA'!$AA$23)*(1-CUSTOS!$M$38)</f>
        <v>198.0053374241497</v>
      </c>
      <c r="AB350" s="6">
        <f t="shared" si="16"/>
        <v>0</v>
      </c>
      <c r="AC350" s="6">
        <f>(L350-M350)*(W350+X350)+($W$182+$X$182-$W$350-$X$350)*(L350)</f>
        <v>174674.11124000003</v>
      </c>
      <c r="AD350" s="6">
        <f t="shared" si="17"/>
        <v>0</v>
      </c>
      <c r="AE350" s="6">
        <f ca="1">(L350-M350)*(Z350+AA350)+($Z$182+$AA$182-$Z$350-$AA$350)*(L350)</f>
        <v>86333.859588676831</v>
      </c>
      <c r="AF350" s="4" t="s">
        <v>808</v>
      </c>
    </row>
    <row r="351" spans="1:32" ht="11.25" customHeight="1" x14ac:dyDescent="0.25">
      <c r="A351" s="4" t="s">
        <v>27</v>
      </c>
      <c r="B351" s="4" t="s">
        <v>43</v>
      </c>
      <c r="C351" s="4" t="s">
        <v>23</v>
      </c>
      <c r="D351" s="4" t="s">
        <v>44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44593</v>
      </c>
      <c r="J351" s="6">
        <v>0</v>
      </c>
      <c r="K351" s="6">
        <v>0</v>
      </c>
      <c r="L351" s="6">
        <v>-8.1590000000000007</v>
      </c>
      <c r="M351" s="6">
        <v>-8.1590000000000007</v>
      </c>
      <c r="N351" s="6">
        <v>-8.1590000000000007</v>
      </c>
      <c r="O351" s="6">
        <v>-8.1590000000000007</v>
      </c>
      <c r="P351" s="6">
        <v>0</v>
      </c>
      <c r="Q351" s="4" t="s">
        <v>26</v>
      </c>
      <c r="R351" s="4">
        <v>0</v>
      </c>
      <c r="S351" s="4">
        <v>0</v>
      </c>
      <c r="T351" s="4">
        <v>29</v>
      </c>
      <c r="U351" s="4">
        <v>66</v>
      </c>
      <c r="V351" s="6">
        <f>IF(ISERROR(VLOOKUP($S$351,'TAR FIN'!$A$1:$O$85,15,0)),0,VLOOKUP($S$351,'TAR FIN'!$A$1:$O$85,15,0))</f>
        <v>0</v>
      </c>
      <c r="W351" s="6">
        <f>IF(ISERROR(VLOOKUP($T$351,'TAR FIN'!$A$1:$O$85,15,0)),0,VLOOKUP($T$351,'TAR FIN'!$A$1:$O$85,15,0))</f>
        <v>240.85</v>
      </c>
      <c r="X351" s="6">
        <f>IF(ISERROR(VLOOKUP($U$351,'TAR FIN'!$A$1:$O$85,15,0)),0,VLOOKUP($U$351,'TAR FIN'!$A$1:$O$85,15,0))</f>
        <v>231.7</v>
      </c>
      <c r="Y351" s="6"/>
      <c r="Z351" s="6">
        <f ca="1">('TUSD BE'!$AM$33+'TUSD BF'!$AM$33+'TUSD CVA'!$AM$33)*(1-CUSTOS!$M$38)</f>
        <v>300.89907966262189</v>
      </c>
      <c r="AA351" s="6">
        <f>('TE BE'!$AA$23+'TE BF'!$AA$23+'TE CVA'!$AA$23)*(1-CUSTOS!$M$38)</f>
        <v>198.0053374241497</v>
      </c>
      <c r="AB351" s="6">
        <f t="shared" si="16"/>
        <v>0</v>
      </c>
      <c r="AC351" s="6">
        <f>(L351-M351)*(W351+X351)+($W$182+$X$182-$W$351-$X$351)*(L351)</f>
        <v>-525.68437000000006</v>
      </c>
      <c r="AD351" s="6">
        <f t="shared" si="17"/>
        <v>0</v>
      </c>
      <c r="AE351" s="6">
        <f ca="1">(L351-M351)*(Z351+AA351)+($Z$182+$AA$182-$Z$351-$AA$351)*(L351)</f>
        <v>-259.82305142623289</v>
      </c>
      <c r="AF351" s="4" t="s">
        <v>808</v>
      </c>
    </row>
    <row r="352" spans="1:32" ht="11.25" customHeight="1" x14ac:dyDescent="0.25">
      <c r="A352" s="4" t="s">
        <v>28</v>
      </c>
      <c r="B352" s="4" t="s">
        <v>43</v>
      </c>
      <c r="C352" s="4" t="s">
        <v>23</v>
      </c>
      <c r="D352" s="4" t="s">
        <v>44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44593</v>
      </c>
      <c r="J352" s="6">
        <v>0</v>
      </c>
      <c r="K352" s="6">
        <v>0</v>
      </c>
      <c r="L352" s="6">
        <v>85.2</v>
      </c>
      <c r="M352" s="6">
        <v>85.2</v>
      </c>
      <c r="N352" s="6">
        <v>85.2</v>
      </c>
      <c r="O352" s="6">
        <v>85.2</v>
      </c>
      <c r="P352" s="6">
        <v>88</v>
      </c>
      <c r="Q352" s="4" t="s">
        <v>26</v>
      </c>
      <c r="R352" s="4">
        <v>0</v>
      </c>
      <c r="S352" s="4">
        <v>0</v>
      </c>
      <c r="T352" s="4">
        <v>29</v>
      </c>
      <c r="U352" s="4">
        <v>66</v>
      </c>
      <c r="V352" s="6">
        <f>IF(ISERROR(VLOOKUP($S$352,'TAR FIN'!$A$1:$O$85,15,0)),0,VLOOKUP($S$352,'TAR FIN'!$A$1:$O$85,15,0))</f>
        <v>0</v>
      </c>
      <c r="W352" s="6">
        <f>IF(ISERROR(VLOOKUP($T$352,'TAR FIN'!$A$1:$O$85,15,0)),0,VLOOKUP($T$352,'TAR FIN'!$A$1:$O$85,15,0))</f>
        <v>240.85</v>
      </c>
      <c r="X352" s="6">
        <f>IF(ISERROR(VLOOKUP($U$352,'TAR FIN'!$A$1:$O$85,15,0)),0,VLOOKUP($U$352,'TAR FIN'!$A$1:$O$85,15,0))</f>
        <v>231.7</v>
      </c>
      <c r="Y352" s="6"/>
      <c r="Z352" s="6">
        <f ca="1">('TUSD BE'!$AM$33+'TUSD BF'!$AM$33+'TUSD CVA'!$AM$33)*(1-CUSTOS!$M$38)</f>
        <v>300.89907966262189</v>
      </c>
      <c r="AA352" s="6">
        <f>('TE BE'!$AA$23+'TE BF'!$AA$23+'TE CVA'!$AA$23)*(1-CUSTOS!$M$38)</f>
        <v>198.0053374241497</v>
      </c>
      <c r="AB352" s="6">
        <f t="shared" si="16"/>
        <v>0</v>
      </c>
      <c r="AC352" s="6">
        <f>(L352-M352)*(W352+X352)+($W$182+$X$182-$W$352-$X$352)*(L352)</f>
        <v>5489.4360000000006</v>
      </c>
      <c r="AD352" s="6">
        <f t="shared" si="17"/>
        <v>0</v>
      </c>
      <c r="AE352" s="6">
        <f ca="1">(L352-M352)*(Z352+AA352)+($Z$182+$AA$182-$Z$352-$AA$352)*(L352)</f>
        <v>2713.190829944238</v>
      </c>
      <c r="AF352" s="4" t="s">
        <v>808</v>
      </c>
    </row>
    <row r="353" spans="1:32" ht="11.25" customHeight="1" x14ac:dyDescent="0.25">
      <c r="A353" s="4" t="s">
        <v>21</v>
      </c>
      <c r="B353" s="4" t="s">
        <v>43</v>
      </c>
      <c r="C353" s="4" t="s">
        <v>23</v>
      </c>
      <c r="D353" s="4" t="s">
        <v>44</v>
      </c>
      <c r="E353" s="4" t="s">
        <v>25</v>
      </c>
      <c r="F353" s="4" t="s">
        <v>25</v>
      </c>
      <c r="G353" s="4" t="s">
        <v>25</v>
      </c>
      <c r="H353" s="4" t="s">
        <v>25</v>
      </c>
      <c r="I353" s="5">
        <v>44621</v>
      </c>
      <c r="J353" s="6">
        <v>0</v>
      </c>
      <c r="K353" s="6">
        <v>0</v>
      </c>
      <c r="L353" s="6">
        <v>3048.9229999999998</v>
      </c>
      <c r="M353" s="6">
        <v>3048.9229999999998</v>
      </c>
      <c r="N353" s="6">
        <v>3048.9229999999998</v>
      </c>
      <c r="O353" s="6">
        <v>3048.9229999999998</v>
      </c>
      <c r="P353" s="6">
        <v>2484</v>
      </c>
      <c r="Q353" s="4" t="s">
        <v>26</v>
      </c>
      <c r="R353" s="4">
        <v>0</v>
      </c>
      <c r="S353" s="4">
        <v>0</v>
      </c>
      <c r="T353" s="4">
        <v>29</v>
      </c>
      <c r="U353" s="4">
        <v>66</v>
      </c>
      <c r="V353" s="6">
        <f>IF(ISERROR(VLOOKUP($S$353,'TAR FIN'!$A$1:$O$85,15,0)),0,VLOOKUP($S$353,'TAR FIN'!$A$1:$O$85,15,0))</f>
        <v>0</v>
      </c>
      <c r="W353" s="6">
        <f>IF(ISERROR(VLOOKUP($T$353,'TAR FIN'!$A$1:$O$85,15,0)),0,VLOOKUP($T$353,'TAR FIN'!$A$1:$O$85,15,0))</f>
        <v>240.85</v>
      </c>
      <c r="X353" s="6">
        <f>IF(ISERROR(VLOOKUP($U$353,'TAR FIN'!$A$1:$O$85,15,0)),0,VLOOKUP($U$353,'TAR FIN'!$A$1:$O$85,15,0))</f>
        <v>231.7</v>
      </c>
      <c r="Y353" s="6"/>
      <c r="Z353" s="6">
        <f ca="1">('TUSD BE'!$AM$33+'TUSD BF'!$AM$33+'TUSD CVA'!$AM$33)*(1-CUSTOS!$M$38)</f>
        <v>300.89907966262189</v>
      </c>
      <c r="AA353" s="6">
        <f>('TE BE'!$AA$23+'TE BF'!$AA$23+'TE CVA'!$AA$23)*(1-CUSTOS!$M$38)</f>
        <v>198.0053374241497</v>
      </c>
      <c r="AB353" s="6">
        <f t="shared" si="16"/>
        <v>0</v>
      </c>
      <c r="AC353" s="6">
        <f>(L353-M353)*(W353+X353)+($W$182+$X$182-$W$353-$X$353)*(L353)</f>
        <v>196442.10889</v>
      </c>
      <c r="AD353" s="6">
        <f t="shared" si="17"/>
        <v>0</v>
      </c>
      <c r="AE353" s="6">
        <f ca="1">(L353-M353)*(Z353+AA353)+($Z$182+$AA$182-$Z$353-$AA$353)*(L353)</f>
        <v>97092.839493029052</v>
      </c>
      <c r="AF353" s="4" t="s">
        <v>808</v>
      </c>
    </row>
    <row r="354" spans="1:32" ht="11.25" customHeight="1" x14ac:dyDescent="0.25">
      <c r="A354" s="4" t="s">
        <v>27</v>
      </c>
      <c r="B354" s="4" t="s">
        <v>43</v>
      </c>
      <c r="C354" s="4" t="s">
        <v>23</v>
      </c>
      <c r="D354" s="4" t="s">
        <v>44</v>
      </c>
      <c r="E354" s="4" t="s">
        <v>25</v>
      </c>
      <c r="F354" s="4" t="s">
        <v>25</v>
      </c>
      <c r="G354" s="4" t="s">
        <v>25</v>
      </c>
      <c r="H354" s="4" t="s">
        <v>25</v>
      </c>
      <c r="I354" s="5">
        <v>44621</v>
      </c>
      <c r="J354" s="6">
        <v>0</v>
      </c>
      <c r="K354" s="6">
        <v>0</v>
      </c>
      <c r="L354" s="6">
        <v>0.52500000000000002</v>
      </c>
      <c r="M354" s="6">
        <v>0.52500000000000002</v>
      </c>
      <c r="N354" s="6">
        <v>0.52500000000000002</v>
      </c>
      <c r="O354" s="6">
        <v>0.52500000000000002</v>
      </c>
      <c r="P354" s="6">
        <v>0</v>
      </c>
      <c r="Q354" s="4" t="s">
        <v>26</v>
      </c>
      <c r="R354" s="4">
        <v>0</v>
      </c>
      <c r="S354" s="4">
        <v>0</v>
      </c>
      <c r="T354" s="4">
        <v>29</v>
      </c>
      <c r="U354" s="4">
        <v>66</v>
      </c>
      <c r="V354" s="6">
        <f>IF(ISERROR(VLOOKUP($S$354,'TAR FIN'!$A$1:$O$85,15,0)),0,VLOOKUP($S$354,'TAR FIN'!$A$1:$O$85,15,0))</f>
        <v>0</v>
      </c>
      <c r="W354" s="6">
        <f>IF(ISERROR(VLOOKUP($T$354,'TAR FIN'!$A$1:$O$85,15,0)),0,VLOOKUP($T$354,'TAR FIN'!$A$1:$O$85,15,0))</f>
        <v>240.85</v>
      </c>
      <c r="X354" s="6">
        <f>IF(ISERROR(VLOOKUP($U$354,'TAR FIN'!$A$1:$O$85,15,0)),0,VLOOKUP($U$354,'TAR FIN'!$A$1:$O$85,15,0))</f>
        <v>231.7</v>
      </c>
      <c r="Y354" s="6"/>
      <c r="Z354" s="6">
        <f ca="1">('TUSD BE'!$AM$33+'TUSD BF'!$AM$33+'TUSD CVA'!$AM$33)*(1-CUSTOS!$M$38)</f>
        <v>300.89907966262189</v>
      </c>
      <c r="AA354" s="6">
        <f>('TE BE'!$AA$23+'TE BF'!$AA$23+'TE CVA'!$AA$23)*(1-CUSTOS!$M$38)</f>
        <v>198.0053374241497</v>
      </c>
      <c r="AB354" s="6">
        <f t="shared" si="16"/>
        <v>0</v>
      </c>
      <c r="AC354" s="6">
        <f>(L354-M354)*(W354+X354)+($W$182+$X$182-$W$354-$X$354)*(L354)</f>
        <v>33.825750000000006</v>
      </c>
      <c r="AD354" s="6">
        <f t="shared" si="17"/>
        <v>0</v>
      </c>
      <c r="AE354" s="6">
        <f ca="1">(L354-M354)*(Z354+AA354)+($Z$182+$AA$182-$Z$354-$AA$354)*(L354)</f>
        <v>16.718605466205695</v>
      </c>
      <c r="AF354" s="4" t="s">
        <v>808</v>
      </c>
    </row>
    <row r="355" spans="1:32" ht="11.25" customHeight="1" x14ac:dyDescent="0.25">
      <c r="A355" s="4" t="s">
        <v>28</v>
      </c>
      <c r="B355" s="4" t="s">
        <v>43</v>
      </c>
      <c r="C355" s="4" t="s">
        <v>23</v>
      </c>
      <c r="D355" s="4" t="s">
        <v>44</v>
      </c>
      <c r="E355" s="4" t="s">
        <v>25</v>
      </c>
      <c r="F355" s="4" t="s">
        <v>25</v>
      </c>
      <c r="G355" s="4" t="s">
        <v>25</v>
      </c>
      <c r="H355" s="4" t="s">
        <v>25</v>
      </c>
      <c r="I355" s="5">
        <v>44621</v>
      </c>
      <c r="J355" s="6">
        <v>0</v>
      </c>
      <c r="K355" s="6">
        <v>0</v>
      </c>
      <c r="L355" s="6">
        <v>140.86600000000001</v>
      </c>
      <c r="M355" s="6">
        <v>140.86600000000001</v>
      </c>
      <c r="N355" s="6">
        <v>140.86600000000001</v>
      </c>
      <c r="O355" s="6">
        <v>140.86600000000001</v>
      </c>
      <c r="P355" s="6">
        <v>100</v>
      </c>
      <c r="Q355" s="4" t="s">
        <v>26</v>
      </c>
      <c r="R355" s="4">
        <v>0</v>
      </c>
      <c r="S355" s="4">
        <v>0</v>
      </c>
      <c r="T355" s="4">
        <v>29</v>
      </c>
      <c r="U355" s="4">
        <v>66</v>
      </c>
      <c r="V355" s="6">
        <f>IF(ISERROR(VLOOKUP($S$355,'TAR FIN'!$A$1:$O$85,15,0)),0,VLOOKUP($S$355,'TAR FIN'!$A$1:$O$85,15,0))</f>
        <v>0</v>
      </c>
      <c r="W355" s="6">
        <f>IF(ISERROR(VLOOKUP($T$355,'TAR FIN'!$A$1:$O$85,15,0)),0,VLOOKUP($T$355,'TAR FIN'!$A$1:$O$85,15,0))</f>
        <v>240.85</v>
      </c>
      <c r="X355" s="6">
        <f>IF(ISERROR(VLOOKUP($U$355,'TAR FIN'!$A$1:$O$85,15,0)),0,VLOOKUP($U$355,'TAR FIN'!$A$1:$O$85,15,0))</f>
        <v>231.7</v>
      </c>
      <c r="Y355" s="6"/>
      <c r="Z355" s="6">
        <f ca="1">('TUSD BE'!$AM$33+'TUSD BF'!$AM$33+'TUSD CVA'!$AM$33)*(1-CUSTOS!$M$38)</f>
        <v>300.89907966262189</v>
      </c>
      <c r="AA355" s="6">
        <f>('TE BE'!$AA$23+'TE BF'!$AA$23+'TE CVA'!$AA$23)*(1-CUSTOS!$M$38)</f>
        <v>198.0053374241497</v>
      </c>
      <c r="AB355" s="6">
        <f t="shared" si="16"/>
        <v>0</v>
      </c>
      <c r="AC355" s="6">
        <f>(L355-M355)*(W355+X355)+($W$182+$X$182-$W$355-$X$355)*(L355)</f>
        <v>9075.9963800000023</v>
      </c>
      <c r="AD355" s="6">
        <f t="shared" si="17"/>
        <v>0</v>
      </c>
      <c r="AE355" s="6">
        <f ca="1">(L355-M355)*(Z355+AA355)+($Z$182+$AA$182-$Z$355-$AA$355)*(L355)</f>
        <v>4485.8725287667266</v>
      </c>
      <c r="AF355" s="4" t="s">
        <v>808</v>
      </c>
    </row>
    <row r="356" spans="1:32" ht="11.25" customHeight="1" x14ac:dyDescent="0.25">
      <c r="A356" s="4" t="s">
        <v>21</v>
      </c>
      <c r="B356" s="4" t="s">
        <v>43</v>
      </c>
      <c r="C356" s="4" t="s">
        <v>23</v>
      </c>
      <c r="D356" s="4" t="s">
        <v>44</v>
      </c>
      <c r="E356" s="4" t="s">
        <v>25</v>
      </c>
      <c r="F356" s="4" t="s">
        <v>25</v>
      </c>
      <c r="G356" s="4" t="s">
        <v>25</v>
      </c>
      <c r="H356" s="4" t="s">
        <v>25</v>
      </c>
      <c r="I356" s="5">
        <v>44652</v>
      </c>
      <c r="J356" s="6">
        <v>0</v>
      </c>
      <c r="K356" s="6">
        <v>0</v>
      </c>
      <c r="L356" s="6">
        <v>2867.6010000000001</v>
      </c>
      <c r="M356" s="6">
        <v>2867.6010000000001</v>
      </c>
      <c r="N356" s="6">
        <v>2867.6010000000001</v>
      </c>
      <c r="O356" s="6">
        <v>2867.6010000000001</v>
      </c>
      <c r="P356" s="6">
        <v>2451</v>
      </c>
      <c r="Q356" s="4" t="s">
        <v>26</v>
      </c>
      <c r="R356" s="4">
        <v>0</v>
      </c>
      <c r="S356" s="4">
        <v>0</v>
      </c>
      <c r="T356" s="4">
        <v>29</v>
      </c>
      <c r="U356" s="4">
        <v>66</v>
      </c>
      <c r="V356" s="6">
        <f>IF(ISERROR(VLOOKUP($S$356,'TAR FIN'!$A$1:$O$85,15,0)),0,VLOOKUP($S$356,'TAR FIN'!$A$1:$O$85,15,0))</f>
        <v>0</v>
      </c>
      <c r="W356" s="6">
        <f>IF(ISERROR(VLOOKUP($T$356,'TAR FIN'!$A$1:$O$85,15,0)),0,VLOOKUP($T$356,'TAR FIN'!$A$1:$O$85,15,0))</f>
        <v>240.85</v>
      </c>
      <c r="X356" s="6">
        <f>IF(ISERROR(VLOOKUP($U$356,'TAR FIN'!$A$1:$O$85,15,0)),0,VLOOKUP($U$356,'TAR FIN'!$A$1:$O$85,15,0))</f>
        <v>231.7</v>
      </c>
      <c r="Y356" s="6"/>
      <c r="Z356" s="6">
        <f ca="1">('TUSD BE'!$AM$33+'TUSD BF'!$AM$33+'TUSD CVA'!$AM$33)*(1-CUSTOS!$M$38)</f>
        <v>300.89907966262189</v>
      </c>
      <c r="AA356" s="6">
        <f>('TE BE'!$AA$23+'TE BF'!$AA$23+'TE CVA'!$AA$23)*(1-CUSTOS!$M$38)</f>
        <v>198.0053374241497</v>
      </c>
      <c r="AB356" s="6">
        <f t="shared" si="16"/>
        <v>0</v>
      </c>
      <c r="AC356" s="6">
        <f>(L356-M356)*(W356+X356)+($W$182+$X$182-$W$356-$X$356)*(L356)</f>
        <v>184759.53243000002</v>
      </c>
      <c r="AD356" s="6">
        <f t="shared" si="17"/>
        <v>0</v>
      </c>
      <c r="AE356" s="6">
        <f ca="1">(L356-M356)*(Z356+AA356)+($Z$182+$AA$182-$Z$356-$AA$356)*(L356)</f>
        <v>91318.647149517928</v>
      </c>
      <c r="AF356" s="4" t="s">
        <v>808</v>
      </c>
    </row>
    <row r="357" spans="1:32" ht="11.25" customHeight="1" x14ac:dyDescent="0.25">
      <c r="A357" s="4" t="s">
        <v>21</v>
      </c>
      <c r="B357" s="4" t="s">
        <v>39</v>
      </c>
      <c r="C357" s="4" t="s">
        <v>23</v>
      </c>
      <c r="D357" s="4" t="s">
        <v>50</v>
      </c>
      <c r="E357" s="4" t="s">
        <v>51</v>
      </c>
      <c r="F357" s="4" t="s">
        <v>25</v>
      </c>
      <c r="G357" s="4" t="s">
        <v>25</v>
      </c>
      <c r="H357" s="4" t="s">
        <v>25</v>
      </c>
      <c r="I357" s="5">
        <v>44317</v>
      </c>
      <c r="J357" s="6">
        <v>0</v>
      </c>
      <c r="K357" s="77">
        <v>0</v>
      </c>
      <c r="L357" s="6">
        <v>80.828000000000003</v>
      </c>
      <c r="M357" s="77">
        <v>80.828000000000003</v>
      </c>
      <c r="N357" s="6">
        <v>80.828000000000003</v>
      </c>
      <c r="O357" s="77">
        <v>80.828000000000003</v>
      </c>
      <c r="P357" s="6">
        <v>25</v>
      </c>
      <c r="Q357" s="4" t="s">
        <v>26</v>
      </c>
      <c r="R357" s="4">
        <v>0</v>
      </c>
      <c r="S357" s="4">
        <v>0</v>
      </c>
      <c r="T357" s="4">
        <v>44</v>
      </c>
      <c r="U357" s="4">
        <v>81</v>
      </c>
      <c r="V357" s="77">
        <f>IF(ISERROR(VLOOKUP($S$357,'TAR FIN'!$A$1:$O$85,15,0)),0,VLOOKUP($S$357,'TAR FIN'!$A$1:$O$85,15,0))</f>
        <v>0</v>
      </c>
      <c r="W357" s="77">
        <f>IF(ISERROR(VLOOKUP($T$357,'TAR FIN'!$A$1:$O$85,15,0)),0,VLOOKUP($T$357,'TAR FIN'!$A$1:$O$85,15,0))*(1-0.06)</f>
        <v>257.26859999999999</v>
      </c>
      <c r="X357" s="77">
        <f>IF(ISERROR(VLOOKUP($U$357,'TAR FIN'!$A$1:$O$85,15,0)),0,VLOOKUP($U$357,'TAR FIN'!$A$1:$O$85,15,0))*(1-0.06)</f>
        <v>247.49260000000001</v>
      </c>
      <c r="Y357" s="77"/>
      <c r="Z357" s="77">
        <f ca="1">('TUSD BE'!$AM$48+'TUSD BF'!$AM$48+'TUSD CVA'!$AM$48)*1*(1-0.03)</f>
        <v>310.50224177951412</v>
      </c>
      <c r="AA357" s="77">
        <f>('TE BE'!$AA$38+'TE BF'!$AA$38+'TE CVA'!$AA$38)*1*(1-0.03)</f>
        <v>204.32465670364385</v>
      </c>
      <c r="AB357" s="77">
        <f>(SUBSIDIO!$J$357*SUBSIDIO!$V$357)*(0.06)/(1-0.06)</f>
        <v>0</v>
      </c>
      <c r="AC357" s="77">
        <f>((SUBSIDIO!$L$357*SUBSIDIO!$W$357)+(SUBSIDIO!$N$357*SUBSIDIO!$X$357))*(0.06)/(1-0.06)</f>
        <v>2604.1811664000002</v>
      </c>
      <c r="AD357" s="77">
        <f>(SUBSIDIO!$J$357*SUBSIDIO!$Y$357)*(0.03)/(1-0.03)</f>
        <v>0</v>
      </c>
      <c r="AE357" s="77">
        <f ca="1">((SUBSIDIO!$L$357*SUBSIDIO!$Z$357)+(SUBSIDIO!$N$357*SUBSIDIO!$AA$357))*(0.03)/(1-0.03)</f>
        <v>1286.9823263071144</v>
      </c>
      <c r="AF357" s="4" t="s">
        <v>810</v>
      </c>
    </row>
    <row r="358" spans="1:32" ht="11.25" customHeight="1" x14ac:dyDescent="0.25">
      <c r="A358" s="4" t="s">
        <v>21</v>
      </c>
      <c r="B358" s="4" t="s">
        <v>39</v>
      </c>
      <c r="C358" s="4" t="s">
        <v>23</v>
      </c>
      <c r="D358" s="4" t="s">
        <v>50</v>
      </c>
      <c r="E358" s="4" t="s">
        <v>51</v>
      </c>
      <c r="F358" s="4" t="s">
        <v>25</v>
      </c>
      <c r="G358" s="4" t="s">
        <v>25</v>
      </c>
      <c r="H358" s="4" t="s">
        <v>25</v>
      </c>
      <c r="I358" s="5">
        <v>44348</v>
      </c>
      <c r="J358" s="6">
        <v>0</v>
      </c>
      <c r="K358" s="77">
        <v>0</v>
      </c>
      <c r="L358" s="6">
        <v>76.587999999999994</v>
      </c>
      <c r="M358" s="77">
        <v>76.587999999999994</v>
      </c>
      <c r="N358" s="6">
        <v>76.587999999999994</v>
      </c>
      <c r="O358" s="77">
        <v>76.587999999999994</v>
      </c>
      <c r="P358" s="6">
        <v>26</v>
      </c>
      <c r="Q358" s="4" t="s">
        <v>26</v>
      </c>
      <c r="R358" s="4">
        <v>0</v>
      </c>
      <c r="S358" s="4">
        <v>0</v>
      </c>
      <c r="T358" s="4">
        <v>44</v>
      </c>
      <c r="U358" s="4">
        <v>81</v>
      </c>
      <c r="V358" s="77">
        <f>IF(ISERROR(VLOOKUP($S$358,'TAR FIN'!$A$1:$O$85,15,0)),0,VLOOKUP($S$358,'TAR FIN'!$A$1:$O$85,15,0))</f>
        <v>0</v>
      </c>
      <c r="W358" s="77">
        <f>IF(ISERROR(VLOOKUP($T$358,'TAR FIN'!$A$1:$O$85,15,0)),0,VLOOKUP($T$358,'TAR FIN'!$A$1:$O$85,15,0))*(1-0.06)</f>
        <v>257.26859999999999</v>
      </c>
      <c r="X358" s="77">
        <f>IF(ISERROR(VLOOKUP($U$358,'TAR FIN'!$A$1:$O$85,15,0)),0,VLOOKUP($U$358,'TAR FIN'!$A$1:$O$85,15,0))*(1-0.06)</f>
        <v>247.49260000000001</v>
      </c>
      <c r="Y358" s="77"/>
      <c r="Z358" s="77">
        <f ca="1">('TUSD BE'!$AM$48+'TUSD BF'!$AM$48+'TUSD CVA'!$AM$48)*1*(1-0.03)</f>
        <v>310.50224177951412</v>
      </c>
      <c r="AA358" s="77">
        <f>('TE BE'!$AA$38+'TE BF'!$AA$38+'TE CVA'!$AA$38)*1*(1-0.03)</f>
        <v>204.32465670364385</v>
      </c>
      <c r="AB358" s="77">
        <f>(SUBSIDIO!$J$358*SUBSIDIO!$V$358)*(0.06)/(1-0.06)</f>
        <v>0</v>
      </c>
      <c r="AC358" s="77">
        <f>((SUBSIDIO!$L$358*SUBSIDIO!$W$358)+(SUBSIDIO!$N$358*SUBSIDIO!$X$358))*(0.06)/(1-0.06)</f>
        <v>2467.5734543999997</v>
      </c>
      <c r="AD358" s="77">
        <f>(SUBSIDIO!$J$358*SUBSIDIO!$Y$358)*(0.03)/(1-0.03)</f>
        <v>0</v>
      </c>
      <c r="AE358" s="77">
        <f ca="1">((SUBSIDIO!$L$358*SUBSIDIO!$Z$358)+(SUBSIDIO!$N$358*SUBSIDIO!$AA$358))*(0.03)/(1-0.03)</f>
        <v>1219.4710051864361</v>
      </c>
      <c r="AF358" s="4" t="s">
        <v>810</v>
      </c>
    </row>
    <row r="359" spans="1:32" ht="11.25" customHeight="1" x14ac:dyDescent="0.25">
      <c r="A359" s="4" t="s">
        <v>21</v>
      </c>
      <c r="B359" s="4" t="s">
        <v>39</v>
      </c>
      <c r="C359" s="4" t="s">
        <v>23</v>
      </c>
      <c r="D359" s="4" t="s">
        <v>50</v>
      </c>
      <c r="E359" s="4" t="s">
        <v>51</v>
      </c>
      <c r="F359" s="4" t="s">
        <v>25</v>
      </c>
      <c r="G359" s="4" t="s">
        <v>25</v>
      </c>
      <c r="H359" s="4" t="s">
        <v>25</v>
      </c>
      <c r="I359" s="5">
        <v>44378</v>
      </c>
      <c r="J359" s="6">
        <v>0</v>
      </c>
      <c r="K359" s="77">
        <v>0</v>
      </c>
      <c r="L359" s="6">
        <v>74.275000000000006</v>
      </c>
      <c r="M359" s="77">
        <v>74.275000000000006</v>
      </c>
      <c r="N359" s="6">
        <v>74.275000000000006</v>
      </c>
      <c r="O359" s="77">
        <v>74.275000000000006</v>
      </c>
      <c r="P359" s="6">
        <v>26</v>
      </c>
      <c r="Q359" s="4" t="s">
        <v>26</v>
      </c>
      <c r="R359" s="4">
        <v>0</v>
      </c>
      <c r="S359" s="4">
        <v>0</v>
      </c>
      <c r="T359" s="4">
        <v>44</v>
      </c>
      <c r="U359" s="4">
        <v>81</v>
      </c>
      <c r="V359" s="77">
        <f>IF(ISERROR(VLOOKUP($S$359,'TAR FIN'!$A$1:$O$85,15,0)),0,VLOOKUP($S$359,'TAR FIN'!$A$1:$O$85,15,0))</f>
        <v>0</v>
      </c>
      <c r="W359" s="77">
        <f>IF(ISERROR(VLOOKUP($T$359,'TAR FIN'!$A$1:$O$85,15,0)),0,VLOOKUP($T$359,'TAR FIN'!$A$1:$O$85,15,0))*(1-0.06)</f>
        <v>257.26859999999999</v>
      </c>
      <c r="X359" s="77">
        <f>IF(ISERROR(VLOOKUP($U$359,'TAR FIN'!$A$1:$O$85,15,0)),0,VLOOKUP($U$359,'TAR FIN'!$A$1:$O$85,15,0))*(1-0.06)</f>
        <v>247.49260000000001</v>
      </c>
      <c r="Y359" s="77"/>
      <c r="Z359" s="77">
        <f ca="1">('TUSD BE'!$AM$48+'TUSD BF'!$AM$48+'TUSD CVA'!$AM$48)*1*(1-0.03)</f>
        <v>310.50224177951412</v>
      </c>
      <c r="AA359" s="77">
        <f>('TE BE'!$AA$38+'TE BF'!$AA$38+'TE CVA'!$AA$38)*1*(1-0.03)</f>
        <v>204.32465670364385</v>
      </c>
      <c r="AB359" s="77">
        <f>(SUBSIDIO!$J$359*SUBSIDIO!$V$359)*(0.06)/(1-0.06)</f>
        <v>0</v>
      </c>
      <c r="AC359" s="77">
        <f>((SUBSIDIO!$L$359*SUBSIDIO!$W$359)+(SUBSIDIO!$N$359*SUBSIDIO!$X$359))*(0.06)/(1-0.06)</f>
        <v>2393.0513700000006</v>
      </c>
      <c r="AD359" s="77">
        <f>(SUBSIDIO!$J$359*SUBSIDIO!$Y$359)*(0.03)/(1-0.03)</f>
        <v>0</v>
      </c>
      <c r="AE359" s="77">
        <f ca="1">((SUBSIDIO!$L$359*SUBSIDIO!$Z$359)+(SUBSIDIO!$N$359*SUBSIDIO!$AA$359))*(0.03)/(1-0.03)</f>
        <v>1182.6423057165946</v>
      </c>
      <c r="AF359" s="4" t="s">
        <v>810</v>
      </c>
    </row>
    <row r="360" spans="1:32" ht="11.25" customHeight="1" x14ac:dyDescent="0.25">
      <c r="A360" s="4" t="s">
        <v>21</v>
      </c>
      <c r="B360" s="4" t="s">
        <v>39</v>
      </c>
      <c r="C360" s="4" t="s">
        <v>23</v>
      </c>
      <c r="D360" s="4" t="s">
        <v>50</v>
      </c>
      <c r="E360" s="4" t="s">
        <v>51</v>
      </c>
      <c r="F360" s="4" t="s">
        <v>25</v>
      </c>
      <c r="G360" s="4" t="s">
        <v>25</v>
      </c>
      <c r="H360" s="4" t="s">
        <v>25</v>
      </c>
      <c r="I360" s="5">
        <v>44409</v>
      </c>
      <c r="J360" s="6">
        <v>0</v>
      </c>
      <c r="K360" s="77">
        <v>0</v>
      </c>
      <c r="L360" s="6">
        <v>77.135000000000005</v>
      </c>
      <c r="M360" s="77">
        <v>77.135000000000005</v>
      </c>
      <c r="N360" s="6">
        <v>77.135000000000005</v>
      </c>
      <c r="O360" s="77">
        <v>77.135000000000005</v>
      </c>
      <c r="P360" s="6">
        <v>26</v>
      </c>
      <c r="Q360" s="4" t="s">
        <v>26</v>
      </c>
      <c r="R360" s="4">
        <v>0</v>
      </c>
      <c r="S360" s="4">
        <v>0</v>
      </c>
      <c r="T360" s="4">
        <v>44</v>
      </c>
      <c r="U360" s="4">
        <v>81</v>
      </c>
      <c r="V360" s="77">
        <f>IF(ISERROR(VLOOKUP($S$360,'TAR FIN'!$A$1:$O$85,15,0)),0,VLOOKUP($S$360,'TAR FIN'!$A$1:$O$85,15,0))</f>
        <v>0</v>
      </c>
      <c r="W360" s="77">
        <f>IF(ISERROR(VLOOKUP($T$360,'TAR FIN'!$A$1:$O$85,15,0)),0,VLOOKUP($T$360,'TAR FIN'!$A$1:$O$85,15,0))*(1-0.06)</f>
        <v>257.26859999999999</v>
      </c>
      <c r="X360" s="77">
        <f>IF(ISERROR(VLOOKUP($U$360,'TAR FIN'!$A$1:$O$85,15,0)),0,VLOOKUP($U$360,'TAR FIN'!$A$1:$O$85,15,0))*(1-0.06)</f>
        <v>247.49260000000001</v>
      </c>
      <c r="Y360" s="77"/>
      <c r="Z360" s="77">
        <f ca="1">('TUSD BE'!$AM$48+'TUSD BF'!$AM$48+'TUSD CVA'!$AM$48)*1*(1-0.03)</f>
        <v>310.50224177951412</v>
      </c>
      <c r="AA360" s="77">
        <f>('TE BE'!$AA$38+'TE BF'!$AA$38+'TE CVA'!$AA$38)*1*(1-0.03)</f>
        <v>204.32465670364385</v>
      </c>
      <c r="AB360" s="77">
        <f>(SUBSIDIO!$J$360*SUBSIDIO!$V$360)*(0.06)/(1-0.06)</f>
        <v>0</v>
      </c>
      <c r="AC360" s="77">
        <f>((SUBSIDIO!$L$360*SUBSIDIO!$W$360)+(SUBSIDIO!$N$360*SUBSIDIO!$X$360))*(0.06)/(1-0.06)</f>
        <v>2485.1971380000005</v>
      </c>
      <c r="AD360" s="77">
        <f>(SUBSIDIO!$J$360*SUBSIDIO!$Y$360)*(0.03)/(1-0.03)</f>
        <v>0</v>
      </c>
      <c r="AE360" s="77">
        <f ca="1">((SUBSIDIO!$L$360*SUBSIDIO!$Z$360)+(SUBSIDIO!$N$360*SUBSIDIO!$AA$360))*(0.03)/(1-0.03)</f>
        <v>1228.1806025102596</v>
      </c>
      <c r="AF360" s="4" t="s">
        <v>810</v>
      </c>
    </row>
    <row r="361" spans="1:32" ht="11.25" customHeight="1" x14ac:dyDescent="0.25">
      <c r="A361" s="4" t="s">
        <v>21</v>
      </c>
      <c r="B361" s="4" t="s">
        <v>39</v>
      </c>
      <c r="C361" s="4" t="s">
        <v>23</v>
      </c>
      <c r="D361" s="4" t="s">
        <v>50</v>
      </c>
      <c r="E361" s="4" t="s">
        <v>51</v>
      </c>
      <c r="F361" s="4" t="s">
        <v>25</v>
      </c>
      <c r="G361" s="4" t="s">
        <v>25</v>
      </c>
      <c r="H361" s="4" t="s">
        <v>25</v>
      </c>
      <c r="I361" s="5">
        <v>44440</v>
      </c>
      <c r="J361" s="6">
        <v>0</v>
      </c>
      <c r="K361" s="77">
        <v>0</v>
      </c>
      <c r="L361" s="6">
        <v>90.194999999999993</v>
      </c>
      <c r="M361" s="77">
        <v>90.194999999999993</v>
      </c>
      <c r="N361" s="6">
        <v>90.194999999999993</v>
      </c>
      <c r="O361" s="77">
        <v>90.194999999999993</v>
      </c>
      <c r="P361" s="6">
        <v>26</v>
      </c>
      <c r="Q361" s="4" t="s">
        <v>26</v>
      </c>
      <c r="R361" s="4">
        <v>0</v>
      </c>
      <c r="S361" s="4">
        <v>0</v>
      </c>
      <c r="T361" s="4">
        <v>44</v>
      </c>
      <c r="U361" s="4">
        <v>81</v>
      </c>
      <c r="V361" s="77">
        <f>IF(ISERROR(VLOOKUP($S$361,'TAR FIN'!$A$1:$O$85,15,0)),0,VLOOKUP($S$361,'TAR FIN'!$A$1:$O$85,15,0))</f>
        <v>0</v>
      </c>
      <c r="W361" s="77">
        <f>IF(ISERROR(VLOOKUP($T$361,'TAR FIN'!$A$1:$O$85,15,0)),0,VLOOKUP($T$361,'TAR FIN'!$A$1:$O$85,15,0))*(1-0.06)</f>
        <v>257.26859999999999</v>
      </c>
      <c r="X361" s="77">
        <f>IF(ISERROR(VLOOKUP($U$361,'TAR FIN'!$A$1:$O$85,15,0)),0,VLOOKUP($U$361,'TAR FIN'!$A$1:$O$85,15,0))*(1-0.06)</f>
        <v>247.49260000000001</v>
      </c>
      <c r="Y361" s="77"/>
      <c r="Z361" s="77">
        <f ca="1">('TUSD BE'!$AM$48+'TUSD BF'!$AM$48+'TUSD CVA'!$AM$48)*1*(1-0.03)</f>
        <v>310.50224177951412</v>
      </c>
      <c r="AA361" s="77">
        <f>('TE BE'!$AA$38+'TE BF'!$AA$38+'TE CVA'!$AA$38)*1*(1-0.03)</f>
        <v>204.32465670364385</v>
      </c>
      <c r="AB361" s="77">
        <f>(SUBSIDIO!$J$361*SUBSIDIO!$V$361)*(0.06)/(1-0.06)</f>
        <v>0</v>
      </c>
      <c r="AC361" s="77">
        <f>((SUBSIDIO!$L$361*SUBSIDIO!$W$361)+(SUBSIDIO!$N$361*SUBSIDIO!$X$361))*(0.06)/(1-0.06)</f>
        <v>2905.9746660000001</v>
      </c>
      <c r="AD361" s="77">
        <f>(SUBSIDIO!$J$361*SUBSIDIO!$Y$361)*(0.03)/(1-0.03)</f>
        <v>0</v>
      </c>
      <c r="AE361" s="77">
        <f ca="1">((SUBSIDIO!$L$361*SUBSIDIO!$Z$361)+(SUBSIDIO!$N$361*SUBSIDIO!$AA$361))*(0.03)/(1-0.03)</f>
        <v>1436.1282095470649</v>
      </c>
      <c r="AF361" s="4" t="s">
        <v>810</v>
      </c>
    </row>
    <row r="362" spans="1:32" ht="11.25" customHeight="1" x14ac:dyDescent="0.25">
      <c r="A362" s="4" t="s">
        <v>21</v>
      </c>
      <c r="B362" s="4" t="s">
        <v>39</v>
      </c>
      <c r="C362" s="4" t="s">
        <v>23</v>
      </c>
      <c r="D362" s="4" t="s">
        <v>50</v>
      </c>
      <c r="E362" s="4" t="s">
        <v>51</v>
      </c>
      <c r="F362" s="4" t="s">
        <v>25</v>
      </c>
      <c r="G362" s="4" t="s">
        <v>25</v>
      </c>
      <c r="H362" s="4" t="s">
        <v>25</v>
      </c>
      <c r="I362" s="5">
        <v>44470</v>
      </c>
      <c r="J362" s="6">
        <v>0</v>
      </c>
      <c r="K362" s="77">
        <v>0</v>
      </c>
      <c r="L362" s="6">
        <v>66.856999999999999</v>
      </c>
      <c r="M362" s="77">
        <v>66.856999999999999</v>
      </c>
      <c r="N362" s="6">
        <v>66.856999999999999</v>
      </c>
      <c r="O362" s="77">
        <v>66.856999999999999</v>
      </c>
      <c r="P362" s="6">
        <v>25</v>
      </c>
      <c r="Q362" s="4" t="s">
        <v>26</v>
      </c>
      <c r="R362" s="4">
        <v>0</v>
      </c>
      <c r="S362" s="4">
        <v>0</v>
      </c>
      <c r="T362" s="4">
        <v>44</v>
      </c>
      <c r="U362" s="4">
        <v>81</v>
      </c>
      <c r="V362" s="77">
        <f>IF(ISERROR(VLOOKUP($S$362,'TAR FIN'!$A$1:$O$85,15,0)),0,VLOOKUP($S$362,'TAR FIN'!$A$1:$O$85,15,0))</f>
        <v>0</v>
      </c>
      <c r="W362" s="77">
        <f>IF(ISERROR(VLOOKUP($T$362,'TAR FIN'!$A$1:$O$85,15,0)),0,VLOOKUP($T$362,'TAR FIN'!$A$1:$O$85,15,0))*(1-0.06)</f>
        <v>257.26859999999999</v>
      </c>
      <c r="X362" s="77">
        <f>IF(ISERROR(VLOOKUP($U$362,'TAR FIN'!$A$1:$O$85,15,0)),0,VLOOKUP($U$362,'TAR FIN'!$A$1:$O$85,15,0))*(1-0.06)</f>
        <v>247.49260000000001</v>
      </c>
      <c r="Y362" s="77"/>
      <c r="Z362" s="77">
        <f ca="1">('TUSD BE'!$AM$48+'TUSD BF'!$AM$48+'TUSD CVA'!$AM$48)*1*(1-0.03)</f>
        <v>310.50224177951412</v>
      </c>
      <c r="AA362" s="77">
        <f>('TE BE'!$AA$38+'TE BF'!$AA$38+'TE CVA'!$AA$38)*1*(1-0.03)</f>
        <v>204.32465670364385</v>
      </c>
      <c r="AB362" s="77">
        <f>(SUBSIDIO!$J$362*SUBSIDIO!$V$362)*(0.06)/(1-0.06)</f>
        <v>0</v>
      </c>
      <c r="AC362" s="77">
        <f>((SUBSIDIO!$L$362*SUBSIDIO!$W$362)+(SUBSIDIO!$N$362*SUBSIDIO!$X$362))*(0.06)/(1-0.06)</f>
        <v>2154.0523115999999</v>
      </c>
      <c r="AD362" s="77">
        <f>(SUBSIDIO!$J$362*SUBSIDIO!$Y$362)*(0.03)/(1-0.03)</f>
        <v>0</v>
      </c>
      <c r="AE362" s="77">
        <f ca="1">((SUBSIDIO!$L$362*SUBSIDIO!$Z$362)+(SUBSIDIO!$N$362*SUBSIDIO!$AA$362))*(0.03)/(1-0.03)</f>
        <v>1064.5293387182007</v>
      </c>
      <c r="AF362" s="4" t="s">
        <v>810</v>
      </c>
    </row>
    <row r="363" spans="1:32" ht="11.25" customHeight="1" x14ac:dyDescent="0.25">
      <c r="A363" s="4" t="s">
        <v>21</v>
      </c>
      <c r="B363" s="4" t="s">
        <v>39</v>
      </c>
      <c r="C363" s="4" t="s">
        <v>23</v>
      </c>
      <c r="D363" s="4" t="s">
        <v>50</v>
      </c>
      <c r="E363" s="4" t="s">
        <v>51</v>
      </c>
      <c r="F363" s="4" t="s">
        <v>25</v>
      </c>
      <c r="G363" s="4" t="s">
        <v>25</v>
      </c>
      <c r="H363" s="4" t="s">
        <v>25</v>
      </c>
      <c r="I363" s="5">
        <v>44501</v>
      </c>
      <c r="J363" s="6">
        <v>0</v>
      </c>
      <c r="K363" s="77">
        <v>0</v>
      </c>
      <c r="L363" s="6">
        <v>62.64</v>
      </c>
      <c r="M363" s="77">
        <v>62.64</v>
      </c>
      <c r="N363" s="6">
        <v>62.64</v>
      </c>
      <c r="O363" s="77">
        <v>62.64</v>
      </c>
      <c r="P363" s="6">
        <v>26</v>
      </c>
      <c r="Q363" s="4" t="s">
        <v>26</v>
      </c>
      <c r="R363" s="4">
        <v>0</v>
      </c>
      <c r="S363" s="4">
        <v>0</v>
      </c>
      <c r="T363" s="4">
        <v>44</v>
      </c>
      <c r="U363" s="4">
        <v>81</v>
      </c>
      <c r="V363" s="77">
        <f>IF(ISERROR(VLOOKUP($S$363,'TAR FIN'!$A$1:$O$85,15,0)),0,VLOOKUP($S$363,'TAR FIN'!$A$1:$O$85,15,0))</f>
        <v>0</v>
      </c>
      <c r="W363" s="77">
        <f>IF(ISERROR(VLOOKUP($T$363,'TAR FIN'!$A$1:$O$85,15,0)),0,VLOOKUP($T$363,'TAR FIN'!$A$1:$O$85,15,0))*(1-0.06)</f>
        <v>257.26859999999999</v>
      </c>
      <c r="X363" s="77">
        <f>IF(ISERROR(VLOOKUP($U$363,'TAR FIN'!$A$1:$O$85,15,0)),0,VLOOKUP($U$363,'TAR FIN'!$A$1:$O$85,15,0))*(1-0.06)</f>
        <v>247.49260000000001</v>
      </c>
      <c r="Y363" s="77"/>
      <c r="Z363" s="77">
        <f ca="1">('TUSD BE'!$AM$48+'TUSD BF'!$AM$48+'TUSD CVA'!$AM$48)*1*(1-0.03)</f>
        <v>310.50224177951412</v>
      </c>
      <c r="AA363" s="77">
        <f>('TE BE'!$AA$38+'TE BF'!$AA$38+'TE CVA'!$AA$38)*1*(1-0.03)</f>
        <v>204.32465670364385</v>
      </c>
      <c r="AB363" s="77">
        <f>(SUBSIDIO!$J$363*SUBSIDIO!$V$363)*(0.06)/(1-0.06)</f>
        <v>0</v>
      </c>
      <c r="AC363" s="77">
        <f>((SUBSIDIO!$L$363*SUBSIDIO!$W$363)+(SUBSIDIO!$N$363*SUBSIDIO!$X$363))*(0.06)/(1-0.06)</f>
        <v>2018.1856319999999</v>
      </c>
      <c r="AD363" s="77">
        <f>(SUBSIDIO!$J$363*SUBSIDIO!$Y$363)*(0.03)/(1-0.03)</f>
        <v>0</v>
      </c>
      <c r="AE363" s="77">
        <f ca="1">((SUBSIDIO!$L$363*SUBSIDIO!$Z$363)+(SUBSIDIO!$N$363*SUBSIDIO!$AA$363))*(0.03)/(1-0.03)</f>
        <v>997.38423466963968</v>
      </c>
      <c r="AF363" s="4" t="s">
        <v>810</v>
      </c>
    </row>
    <row r="364" spans="1:32" ht="11.25" customHeight="1" x14ac:dyDescent="0.25">
      <c r="A364" s="4" t="s">
        <v>21</v>
      </c>
      <c r="B364" s="4" t="s">
        <v>39</v>
      </c>
      <c r="C364" s="4" t="s">
        <v>23</v>
      </c>
      <c r="D364" s="4" t="s">
        <v>50</v>
      </c>
      <c r="E364" s="4" t="s">
        <v>51</v>
      </c>
      <c r="F364" s="4" t="s">
        <v>25</v>
      </c>
      <c r="G364" s="4" t="s">
        <v>25</v>
      </c>
      <c r="H364" s="4" t="s">
        <v>25</v>
      </c>
      <c r="I364" s="5">
        <v>44531</v>
      </c>
      <c r="J364" s="6">
        <v>0</v>
      </c>
      <c r="K364" s="77">
        <v>0</v>
      </c>
      <c r="L364" s="6">
        <v>105.90600000000001</v>
      </c>
      <c r="M364" s="77">
        <v>105.90600000000001</v>
      </c>
      <c r="N364" s="6">
        <v>105.90600000000001</v>
      </c>
      <c r="O364" s="77">
        <v>105.90600000000001</v>
      </c>
      <c r="P364" s="6">
        <v>27</v>
      </c>
      <c r="Q364" s="4" t="s">
        <v>26</v>
      </c>
      <c r="R364" s="4">
        <v>0</v>
      </c>
      <c r="S364" s="4">
        <v>0</v>
      </c>
      <c r="T364" s="4">
        <v>44</v>
      </c>
      <c r="U364" s="4">
        <v>81</v>
      </c>
      <c r="V364" s="77">
        <f>IF(ISERROR(VLOOKUP($S$364,'TAR FIN'!$A$1:$O$85,15,0)),0,VLOOKUP($S$364,'TAR FIN'!$A$1:$O$85,15,0))</f>
        <v>0</v>
      </c>
      <c r="W364" s="77">
        <f>IF(ISERROR(VLOOKUP($T$364,'TAR FIN'!$A$1:$O$85,15,0)),0,VLOOKUP($T$364,'TAR FIN'!$A$1:$O$85,15,0))*(1-0.06)</f>
        <v>257.26859999999999</v>
      </c>
      <c r="X364" s="77">
        <f>IF(ISERROR(VLOOKUP($U$364,'TAR FIN'!$A$1:$O$85,15,0)),0,VLOOKUP($U$364,'TAR FIN'!$A$1:$O$85,15,0))*(1-0.06)</f>
        <v>247.49260000000001</v>
      </c>
      <c r="Y364" s="77"/>
      <c r="Z364" s="77">
        <f ca="1">('TUSD BE'!$AM$48+'TUSD BF'!$AM$48+'TUSD CVA'!$AM$48)*1*(1-0.03)</f>
        <v>310.50224177951412</v>
      </c>
      <c r="AA364" s="77">
        <f>('TE BE'!$AA$38+'TE BF'!$AA$38+'TE CVA'!$AA$38)*1*(1-0.03)</f>
        <v>204.32465670364385</v>
      </c>
      <c r="AB364" s="77">
        <f>(SUBSIDIO!$J$364*SUBSIDIO!$V$364)*(0.06)/(1-0.06)</f>
        <v>0</v>
      </c>
      <c r="AC364" s="77">
        <f>((SUBSIDIO!$L$364*SUBSIDIO!$W$364)+(SUBSIDIO!$N$364*SUBSIDIO!$X$364))*(0.06)/(1-0.06)</f>
        <v>3412.1642328000003</v>
      </c>
      <c r="AD364" s="77">
        <f>(SUBSIDIO!$J$364*SUBSIDIO!$Y$364)*(0.03)/(1-0.03)</f>
        <v>0</v>
      </c>
      <c r="AE364" s="77">
        <f ca="1">((SUBSIDIO!$L$364*SUBSIDIO!$Z$364)+(SUBSIDIO!$N$364*SUBSIDIO!$AA$364))*(0.03)/(1-0.03)</f>
        <v>1686.2863147656908</v>
      </c>
      <c r="AF364" s="4" t="s">
        <v>810</v>
      </c>
    </row>
    <row r="365" spans="1:32" ht="11.25" customHeight="1" x14ac:dyDescent="0.25">
      <c r="A365" s="4" t="s">
        <v>21</v>
      </c>
      <c r="B365" s="4" t="s">
        <v>39</v>
      </c>
      <c r="C365" s="4" t="s">
        <v>23</v>
      </c>
      <c r="D365" s="4" t="s">
        <v>50</v>
      </c>
      <c r="E365" s="4" t="s">
        <v>51</v>
      </c>
      <c r="F365" s="4" t="s">
        <v>25</v>
      </c>
      <c r="G365" s="4" t="s">
        <v>25</v>
      </c>
      <c r="H365" s="4" t="s">
        <v>25</v>
      </c>
      <c r="I365" s="5">
        <v>44562</v>
      </c>
      <c r="J365" s="6">
        <v>0</v>
      </c>
      <c r="K365" s="77">
        <v>0</v>
      </c>
      <c r="L365" s="6">
        <v>82.733999999999995</v>
      </c>
      <c r="M365" s="77">
        <v>82.733999999999995</v>
      </c>
      <c r="N365" s="6">
        <v>82.733999999999995</v>
      </c>
      <c r="O365" s="77">
        <v>82.733999999999995</v>
      </c>
      <c r="P365" s="6">
        <v>26</v>
      </c>
      <c r="Q365" s="4" t="s">
        <v>26</v>
      </c>
      <c r="R365" s="4">
        <v>0</v>
      </c>
      <c r="S365" s="4">
        <v>0</v>
      </c>
      <c r="T365" s="4">
        <v>44</v>
      </c>
      <c r="U365" s="4">
        <v>81</v>
      </c>
      <c r="V365" s="77">
        <f>IF(ISERROR(VLOOKUP($S$365,'TAR FIN'!$A$1:$O$85,15,0)),0,VLOOKUP($S$365,'TAR FIN'!$A$1:$O$85,15,0))</f>
        <v>0</v>
      </c>
      <c r="W365" s="77">
        <f>IF(ISERROR(VLOOKUP($T$365,'TAR FIN'!$A$1:$O$85,15,0)),0,VLOOKUP($T$365,'TAR FIN'!$A$1:$O$85,15,0))*(1-0.06)</f>
        <v>257.26859999999999</v>
      </c>
      <c r="X365" s="77">
        <f>IF(ISERROR(VLOOKUP($U$365,'TAR FIN'!$A$1:$O$85,15,0)),0,VLOOKUP($U$365,'TAR FIN'!$A$1:$O$85,15,0))*(1-0.06)</f>
        <v>247.49260000000001</v>
      </c>
      <c r="Y365" s="77"/>
      <c r="Z365" s="77">
        <f ca="1">('TUSD BE'!$AM$48+'TUSD BF'!$AM$48+'TUSD CVA'!$AM$48)*1*(1-0.03)</f>
        <v>310.50224177951412</v>
      </c>
      <c r="AA365" s="77">
        <f>('TE BE'!$AA$38+'TE BF'!$AA$38+'TE CVA'!$AA$38)*1*(1-0.03)</f>
        <v>204.32465670364385</v>
      </c>
      <c r="AB365" s="77">
        <f>(SUBSIDIO!$J$365*SUBSIDIO!$V$365)*(0.06)/(1-0.06)</f>
        <v>0</v>
      </c>
      <c r="AC365" s="77">
        <f>((SUBSIDIO!$L$365*SUBSIDIO!$W$365)+(SUBSIDIO!$N$365*SUBSIDIO!$X$365))*(0.06)/(1-0.06)</f>
        <v>2665.5901992000004</v>
      </c>
      <c r="AD365" s="77">
        <f>(SUBSIDIO!$J$365*SUBSIDIO!$Y$365)*(0.03)/(1-0.03)</f>
        <v>0</v>
      </c>
      <c r="AE365" s="77">
        <f ca="1">((SUBSIDIO!$L$365*SUBSIDIO!$Z$365)+(SUBSIDIO!$N$365*SUBSIDIO!$AA$365))*(0.03)/(1-0.03)</f>
        <v>1317.3305758486263</v>
      </c>
      <c r="AF365" s="4" t="s">
        <v>810</v>
      </c>
    </row>
    <row r="366" spans="1:32" ht="11.25" customHeight="1" x14ac:dyDescent="0.25">
      <c r="A366" s="4" t="s">
        <v>21</v>
      </c>
      <c r="B366" s="4" t="s">
        <v>39</v>
      </c>
      <c r="C366" s="4" t="s">
        <v>23</v>
      </c>
      <c r="D366" s="4" t="s">
        <v>50</v>
      </c>
      <c r="E366" s="4" t="s">
        <v>51</v>
      </c>
      <c r="F366" s="4" t="s">
        <v>25</v>
      </c>
      <c r="G366" s="4" t="s">
        <v>25</v>
      </c>
      <c r="H366" s="4" t="s">
        <v>25</v>
      </c>
      <c r="I366" s="5">
        <v>44593</v>
      </c>
      <c r="J366" s="6">
        <v>0</v>
      </c>
      <c r="K366" s="77">
        <v>0</v>
      </c>
      <c r="L366" s="6">
        <v>76.2</v>
      </c>
      <c r="M366" s="77">
        <v>76.2</v>
      </c>
      <c r="N366" s="6">
        <v>76.2</v>
      </c>
      <c r="O366" s="77">
        <v>76.2</v>
      </c>
      <c r="P366" s="6">
        <v>26</v>
      </c>
      <c r="Q366" s="4" t="s">
        <v>26</v>
      </c>
      <c r="R366" s="4">
        <v>0</v>
      </c>
      <c r="S366" s="4">
        <v>0</v>
      </c>
      <c r="T366" s="4">
        <v>44</v>
      </c>
      <c r="U366" s="4">
        <v>81</v>
      </c>
      <c r="V366" s="77">
        <f>IF(ISERROR(VLOOKUP($S$366,'TAR FIN'!$A$1:$O$85,15,0)),0,VLOOKUP($S$366,'TAR FIN'!$A$1:$O$85,15,0))</f>
        <v>0</v>
      </c>
      <c r="W366" s="77">
        <f>IF(ISERROR(VLOOKUP($T$366,'TAR FIN'!$A$1:$O$85,15,0)),0,VLOOKUP($T$366,'TAR FIN'!$A$1:$O$85,15,0))*(1-0.06)</f>
        <v>257.26859999999999</v>
      </c>
      <c r="X366" s="77">
        <f>IF(ISERROR(VLOOKUP($U$366,'TAR FIN'!$A$1:$O$85,15,0)),0,VLOOKUP($U$366,'TAR FIN'!$A$1:$O$85,15,0))*(1-0.06)</f>
        <v>247.49260000000001</v>
      </c>
      <c r="Y366" s="77"/>
      <c r="Z366" s="77">
        <f ca="1">('TUSD BE'!$AM$48+'TUSD BF'!$AM$48+'TUSD CVA'!$AM$48)*1*(1-0.03)</f>
        <v>310.50224177951412</v>
      </c>
      <c r="AA366" s="77">
        <f>('TE BE'!$AA$38+'TE BF'!$AA$38+'TE CVA'!$AA$38)*1*(1-0.03)</f>
        <v>204.32465670364385</v>
      </c>
      <c r="AB366" s="77">
        <f>(SUBSIDIO!$J$366*SUBSIDIO!$V$366)*(0.06)/(1-0.06)</f>
        <v>0</v>
      </c>
      <c r="AC366" s="77">
        <f>((SUBSIDIO!$L$366*SUBSIDIO!$W$366)+(SUBSIDIO!$N$366*SUBSIDIO!$X$366))*(0.06)/(1-0.06)</f>
        <v>2455.0725600000001</v>
      </c>
      <c r="AD366" s="77">
        <f>(SUBSIDIO!$J$366*SUBSIDIO!$Y$366)*(0.03)/(1-0.03)</f>
        <v>0</v>
      </c>
      <c r="AE366" s="77">
        <f ca="1">((SUBSIDIO!$L$366*SUBSIDIO!$Z$366)+(SUBSIDIO!$N$366*SUBSIDIO!$AA$366))*(0.03)/(1-0.03)</f>
        <v>1213.2930824046382</v>
      </c>
      <c r="AF366" s="4" t="s">
        <v>810</v>
      </c>
    </row>
    <row r="367" spans="1:32" ht="11.25" customHeight="1" x14ac:dyDescent="0.25">
      <c r="A367" s="4" t="s">
        <v>21</v>
      </c>
      <c r="B367" s="4" t="s">
        <v>39</v>
      </c>
      <c r="C367" s="4" t="s">
        <v>23</v>
      </c>
      <c r="D367" s="4" t="s">
        <v>50</v>
      </c>
      <c r="E367" s="4" t="s">
        <v>51</v>
      </c>
      <c r="F367" s="4" t="s">
        <v>25</v>
      </c>
      <c r="G367" s="4" t="s">
        <v>25</v>
      </c>
      <c r="H367" s="4" t="s">
        <v>25</v>
      </c>
      <c r="I367" s="5">
        <v>44621</v>
      </c>
      <c r="J367" s="6">
        <v>0</v>
      </c>
      <c r="K367" s="77">
        <v>0</v>
      </c>
      <c r="L367" s="6">
        <v>84.373000000000005</v>
      </c>
      <c r="M367" s="77">
        <v>84.373000000000005</v>
      </c>
      <c r="N367" s="6">
        <v>84.373000000000005</v>
      </c>
      <c r="O367" s="77">
        <v>84.373000000000005</v>
      </c>
      <c r="P367" s="6">
        <v>26</v>
      </c>
      <c r="Q367" s="4" t="s">
        <v>26</v>
      </c>
      <c r="R367" s="4">
        <v>0</v>
      </c>
      <c r="S367" s="4">
        <v>0</v>
      </c>
      <c r="T367" s="4">
        <v>44</v>
      </c>
      <c r="U367" s="4">
        <v>81</v>
      </c>
      <c r="V367" s="77">
        <f>IF(ISERROR(VLOOKUP($S$367,'TAR FIN'!$A$1:$O$85,15,0)),0,VLOOKUP($S$367,'TAR FIN'!$A$1:$O$85,15,0))</f>
        <v>0</v>
      </c>
      <c r="W367" s="77">
        <f>IF(ISERROR(VLOOKUP($T$367,'TAR FIN'!$A$1:$O$85,15,0)),0,VLOOKUP($T$367,'TAR FIN'!$A$1:$O$85,15,0))*(1-0.06)</f>
        <v>257.26859999999999</v>
      </c>
      <c r="X367" s="77">
        <f>IF(ISERROR(VLOOKUP($U$367,'TAR FIN'!$A$1:$O$85,15,0)),0,VLOOKUP($U$367,'TAR FIN'!$A$1:$O$85,15,0))*(1-0.06)</f>
        <v>247.49260000000001</v>
      </c>
      <c r="Y367" s="77"/>
      <c r="Z367" s="77">
        <f ca="1">('TUSD BE'!$AM$48+'TUSD BF'!$AM$48+'TUSD CVA'!$AM$48)*1*(1-0.03)</f>
        <v>310.50224177951412</v>
      </c>
      <c r="AA367" s="77">
        <f>('TE BE'!$AA$38+'TE BF'!$AA$38+'TE CVA'!$AA$38)*1*(1-0.03)</f>
        <v>204.32465670364385</v>
      </c>
      <c r="AB367" s="77">
        <f>(SUBSIDIO!$J$367*SUBSIDIO!$V$367)*(0.06)/(1-0.06)</f>
        <v>0</v>
      </c>
      <c r="AC367" s="77">
        <f>((SUBSIDIO!$L$367*SUBSIDIO!$W$367)+(SUBSIDIO!$N$367*SUBSIDIO!$X$367))*(0.06)/(1-0.06)</f>
        <v>2718.3968124000003</v>
      </c>
      <c r="AD367" s="77">
        <f>(SUBSIDIO!$J$367*SUBSIDIO!$Y$367)*(0.03)/(1-0.03)</f>
        <v>0</v>
      </c>
      <c r="AE367" s="77">
        <f ca="1">((SUBSIDIO!$L$367*SUBSIDIO!$Z$367)+(SUBSIDIO!$N$367*SUBSIDIO!$AA$367))*(0.03)/(1-0.03)</f>
        <v>1343.4275228573038</v>
      </c>
      <c r="AF367" s="4" t="s">
        <v>810</v>
      </c>
    </row>
    <row r="368" spans="1:32" ht="11.25" customHeight="1" x14ac:dyDescent="0.25">
      <c r="A368" s="4" t="s">
        <v>21</v>
      </c>
      <c r="B368" s="4" t="s">
        <v>39</v>
      </c>
      <c r="C368" s="4" t="s">
        <v>23</v>
      </c>
      <c r="D368" s="4" t="s">
        <v>50</v>
      </c>
      <c r="E368" s="4" t="s">
        <v>51</v>
      </c>
      <c r="F368" s="4" t="s">
        <v>25</v>
      </c>
      <c r="G368" s="4" t="s">
        <v>25</v>
      </c>
      <c r="H368" s="4" t="s">
        <v>25</v>
      </c>
      <c r="I368" s="5">
        <v>44652</v>
      </c>
      <c r="J368" s="6">
        <v>0</v>
      </c>
      <c r="K368" s="77">
        <v>0</v>
      </c>
      <c r="L368" s="6">
        <v>93.983999999999995</v>
      </c>
      <c r="M368" s="77">
        <v>93.983999999999995</v>
      </c>
      <c r="N368" s="6">
        <v>93.983999999999995</v>
      </c>
      <c r="O368" s="77">
        <v>93.983999999999995</v>
      </c>
      <c r="P368" s="6">
        <v>26</v>
      </c>
      <c r="Q368" s="4" t="s">
        <v>26</v>
      </c>
      <c r="R368" s="4">
        <v>0</v>
      </c>
      <c r="S368" s="4">
        <v>0</v>
      </c>
      <c r="T368" s="4">
        <v>44</v>
      </c>
      <c r="U368" s="4">
        <v>81</v>
      </c>
      <c r="V368" s="77">
        <f>IF(ISERROR(VLOOKUP($S$368,'TAR FIN'!$A$1:$O$85,15,0)),0,VLOOKUP($S$368,'TAR FIN'!$A$1:$O$85,15,0))</f>
        <v>0</v>
      </c>
      <c r="W368" s="77">
        <f>IF(ISERROR(VLOOKUP($T$368,'TAR FIN'!$A$1:$O$85,15,0)),0,VLOOKUP($T$368,'TAR FIN'!$A$1:$O$85,15,0))*(1-0.06)</f>
        <v>257.26859999999999</v>
      </c>
      <c r="X368" s="77">
        <f>IF(ISERROR(VLOOKUP($U$368,'TAR FIN'!$A$1:$O$85,15,0)),0,VLOOKUP($U$368,'TAR FIN'!$A$1:$O$85,15,0))*(1-0.06)</f>
        <v>247.49260000000001</v>
      </c>
      <c r="Y368" s="77"/>
      <c r="Z368" s="77">
        <f ca="1">('TUSD BE'!$AM$48+'TUSD BF'!$AM$48+'TUSD CVA'!$AM$48)*1*(1-0.03)</f>
        <v>310.50224177951412</v>
      </c>
      <c r="AA368" s="77">
        <f>('TE BE'!$AA$38+'TE BF'!$AA$38+'TE CVA'!$AA$38)*1*(1-0.03)</f>
        <v>204.32465670364385</v>
      </c>
      <c r="AB368" s="77">
        <f>(SUBSIDIO!$J$368*SUBSIDIO!$V$368)*(0.06)/(1-0.06)</f>
        <v>0</v>
      </c>
      <c r="AC368" s="77">
        <f>((SUBSIDIO!$L$368*SUBSIDIO!$W$368)+(SUBSIDIO!$N$368*SUBSIDIO!$X$368))*(0.06)/(1-0.06)</f>
        <v>3028.0516991999998</v>
      </c>
      <c r="AD368" s="77">
        <f>(SUBSIDIO!$J$368*SUBSIDIO!$Y$368)*(0.03)/(1-0.03)</f>
        <v>0</v>
      </c>
      <c r="AE368" s="77">
        <f ca="1">((SUBSIDIO!$L$368*SUBSIDIO!$Z$368)+(SUBSIDIO!$N$368*SUBSIDIO!$AA$368))*(0.03)/(1-0.03)</f>
        <v>1496.4584915579726</v>
      </c>
      <c r="AF368" s="4" t="s">
        <v>810</v>
      </c>
    </row>
    <row r="369" spans="22:31" ht="11.25" customHeight="1" x14ac:dyDescent="0.25"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22:31" ht="11.25" customHeight="1" x14ac:dyDescent="0.25"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22:31" ht="11.25" customHeight="1" x14ac:dyDescent="0.25"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22:31" ht="11.25" customHeight="1" x14ac:dyDescent="0.25"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22:31" ht="11.25" customHeight="1" x14ac:dyDescent="0.25"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22:31" ht="11.25" customHeight="1" x14ac:dyDescent="0.25"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22:31" ht="11.25" customHeight="1" x14ac:dyDescent="0.25"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22:31" ht="11.25" customHeight="1" x14ac:dyDescent="0.25"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22:31" ht="11.25" customHeight="1" x14ac:dyDescent="0.25"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22:31" ht="11.25" customHeight="1" x14ac:dyDescent="0.25"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22:31" ht="11.25" customHeight="1" x14ac:dyDescent="0.25"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22:31" ht="11.25" customHeight="1" x14ac:dyDescent="0.25"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22:31" ht="11.25" customHeight="1" x14ac:dyDescent="0.25"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22:31" ht="11.25" customHeight="1" x14ac:dyDescent="0.25"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22:31" ht="11.25" customHeight="1" x14ac:dyDescent="0.25"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22:31" ht="11.25" customHeight="1" x14ac:dyDescent="0.25"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22:31" ht="11.25" customHeight="1" x14ac:dyDescent="0.25"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22:31" ht="11.25" customHeight="1" x14ac:dyDescent="0.25"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22:31" ht="11.25" customHeight="1" x14ac:dyDescent="0.25"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22:31" ht="11.25" customHeight="1" x14ac:dyDescent="0.25"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22:31" ht="11.25" customHeight="1" x14ac:dyDescent="0.25"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22:31" ht="11.25" customHeight="1" x14ac:dyDescent="0.25"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22:31" ht="11.25" customHeight="1" x14ac:dyDescent="0.25"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22:31" ht="11.25" customHeight="1" x14ac:dyDescent="0.25"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22:31" ht="11.25" customHeight="1" x14ac:dyDescent="0.25"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22:31" ht="11.25" customHeight="1" x14ac:dyDescent="0.25"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22:31" ht="11.25" customHeight="1" x14ac:dyDescent="0.25"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22:31" ht="11.25" customHeight="1" x14ac:dyDescent="0.25"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22:31" ht="11.25" customHeight="1" x14ac:dyDescent="0.25"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22:31" ht="11.25" customHeight="1" x14ac:dyDescent="0.25"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22:31" ht="11.25" customHeight="1" x14ac:dyDescent="0.25"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22:31" ht="11.25" customHeight="1" x14ac:dyDescent="0.25"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22:31" ht="11.25" customHeight="1" x14ac:dyDescent="0.25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25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25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25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25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25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25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25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25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25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25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25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25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25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25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25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25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25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25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25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25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25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25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25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25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25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25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25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25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25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25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25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25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25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25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25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25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25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25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25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25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25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25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25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25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25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25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25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25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25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25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25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25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25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25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25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25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25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25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25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25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25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25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25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25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25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25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25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25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25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25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25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25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25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25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25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25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25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25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25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25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25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25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25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25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25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25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25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25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25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25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25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25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25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25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25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25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25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25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25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25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25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25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25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25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25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25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25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25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25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25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25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25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25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25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25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25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25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25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25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25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25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25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25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25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25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25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25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25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25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25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25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25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25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25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25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25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25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25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25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25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25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25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25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25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25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25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25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25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25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25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25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25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25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25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25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25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25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25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25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25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25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25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25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25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25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25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25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25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25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25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25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25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25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25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25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25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25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25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25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25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25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25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25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25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25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25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25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25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25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25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25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25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25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25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25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25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25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25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25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25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25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25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25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25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25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25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25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25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25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25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25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25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25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25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25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25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25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25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25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25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25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25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25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25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25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25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25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25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25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25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25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25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25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25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25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25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25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25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25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25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25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25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25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25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25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25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25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25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25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25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25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25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25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25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25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25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25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25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25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25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25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25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25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25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25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25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25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25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25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25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25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25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25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25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25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25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25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25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25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25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25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25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25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25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25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25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25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25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25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25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25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25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25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22:31" ht="11.25" customHeight="1" x14ac:dyDescent="0.25"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22:31" ht="11.25" customHeight="1" x14ac:dyDescent="0.25"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22:31" ht="11.25" customHeight="1" x14ac:dyDescent="0.25"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22:31" ht="11.25" customHeight="1" x14ac:dyDescent="0.25"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22:31" ht="11.25" customHeight="1" x14ac:dyDescent="0.25"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22:31" ht="11.25" customHeight="1" x14ac:dyDescent="0.25"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22:31" ht="11.25" customHeight="1" x14ac:dyDescent="0.25"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22:31" ht="11.25" customHeight="1" x14ac:dyDescent="0.25"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22:31" ht="11.25" customHeight="1" x14ac:dyDescent="0.25"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22:31" ht="11.25" customHeight="1" x14ac:dyDescent="0.25"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22:31" ht="11.25" customHeight="1" x14ac:dyDescent="0.25"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22:31" ht="11.25" customHeight="1" x14ac:dyDescent="0.25"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22:31" ht="11.25" customHeight="1" x14ac:dyDescent="0.25"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22:31" ht="11.25" customHeight="1" x14ac:dyDescent="0.25"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22:31" ht="11.25" customHeight="1" x14ac:dyDescent="0.25"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22:31" ht="11.25" customHeight="1" x14ac:dyDescent="0.25"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22:31" ht="11.25" customHeight="1" x14ac:dyDescent="0.25"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22:31" ht="11.25" customHeight="1" x14ac:dyDescent="0.25"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22:31" ht="11.25" customHeight="1" x14ac:dyDescent="0.25"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22:31" ht="11.25" customHeight="1" x14ac:dyDescent="0.25"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22:31" ht="11.25" customHeight="1" x14ac:dyDescent="0.25"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22:31" ht="11.25" customHeight="1" x14ac:dyDescent="0.25"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22:31" ht="11.25" customHeight="1" x14ac:dyDescent="0.25"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22:31" ht="11.25" customHeight="1" x14ac:dyDescent="0.25"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22:31" ht="11.25" customHeight="1" x14ac:dyDescent="0.25"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22:31" ht="11.25" customHeight="1" x14ac:dyDescent="0.25"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22:31" ht="11.25" customHeight="1" x14ac:dyDescent="0.25"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22:31" ht="11.25" customHeight="1" x14ac:dyDescent="0.25"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22:31" ht="11.25" customHeight="1" x14ac:dyDescent="0.25"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22:31" ht="11.25" customHeight="1" x14ac:dyDescent="0.25"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22:31" ht="11.25" customHeight="1" x14ac:dyDescent="0.25"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22:31" ht="11.25" customHeight="1" x14ac:dyDescent="0.25"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22:31" ht="11.25" customHeight="1" x14ac:dyDescent="0.25"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22:31" ht="11.25" customHeight="1" x14ac:dyDescent="0.25"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22:31" ht="11.25" customHeight="1" x14ac:dyDescent="0.25"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22:31" ht="11.25" customHeight="1" x14ac:dyDescent="0.25"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22:31" ht="11.25" customHeight="1" x14ac:dyDescent="0.25"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22:31" ht="11.25" customHeight="1" x14ac:dyDescent="0.25"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22:31" ht="11.25" customHeight="1" x14ac:dyDescent="0.25"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22:31" ht="11.25" customHeight="1" x14ac:dyDescent="0.25"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22:31" ht="11.25" customHeight="1" x14ac:dyDescent="0.25"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22:31" ht="11.25" customHeight="1" x14ac:dyDescent="0.25"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22:31" ht="11.25" customHeight="1" x14ac:dyDescent="0.25"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22:31" ht="11.25" customHeight="1" x14ac:dyDescent="0.25"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22:31" ht="11.25" customHeight="1" x14ac:dyDescent="0.25"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22:31" ht="11.25" customHeight="1" x14ac:dyDescent="0.25"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22:31" ht="11.25" customHeight="1" x14ac:dyDescent="0.25"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22:31" ht="11.25" customHeight="1" x14ac:dyDescent="0.25"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22:31" ht="11.25" customHeight="1" x14ac:dyDescent="0.25"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22:31" ht="11.25" customHeight="1" x14ac:dyDescent="0.25"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22:31" ht="11.25" customHeight="1" x14ac:dyDescent="0.25"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22:31" ht="11.25" customHeight="1" x14ac:dyDescent="0.25"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22:31" ht="11.25" customHeight="1" x14ac:dyDescent="0.25"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22:31" ht="11.25" customHeight="1" x14ac:dyDescent="0.25"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22:31" ht="11.25" customHeight="1" x14ac:dyDescent="0.25"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22:31" ht="11.25" customHeight="1" x14ac:dyDescent="0.25"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22:31" ht="11.25" customHeight="1" x14ac:dyDescent="0.25"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22:31" ht="11.25" customHeight="1" x14ac:dyDescent="0.25"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22:31" ht="11.25" customHeight="1" x14ac:dyDescent="0.25"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22:31" ht="11.25" customHeight="1" x14ac:dyDescent="0.25"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22:31" ht="11.25" customHeight="1" x14ac:dyDescent="0.25"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817A3-9B0A-4FB9-BC3E-55F715047CCA}">
  <dimension ref="A1:J783"/>
  <sheetViews>
    <sheetView showGridLines="0" workbookViewId="0"/>
  </sheetViews>
  <sheetFormatPr defaultRowHeight="11.25" customHeight="1" x14ac:dyDescent="0.2"/>
  <cols>
    <col min="1" max="1" width="34.7109375" style="17" bestFit="1" customWidth="1"/>
    <col min="2" max="2" width="24.5703125" style="28" bestFit="1" customWidth="1"/>
    <col min="3" max="3" width="25.5703125" style="28" bestFit="1" customWidth="1"/>
    <col min="4" max="4" width="26" style="28" bestFit="1" customWidth="1"/>
    <col min="5" max="5" width="26.85546875" style="28" bestFit="1" customWidth="1"/>
    <col min="6" max="6" width="23.7109375" style="28" bestFit="1" customWidth="1"/>
    <col min="7" max="7" width="24.5703125" style="28" bestFit="1" customWidth="1"/>
    <col min="8" max="8" width="18.28515625" style="29" bestFit="1" customWidth="1"/>
    <col min="9" max="9" width="16" style="29" bestFit="1" customWidth="1"/>
    <col min="10" max="10" width="13.85546875" style="29" bestFit="1" customWidth="1"/>
    <col min="11" max="16384" width="9.140625" style="17"/>
  </cols>
  <sheetData>
    <row r="1" spans="1:10" ht="11.25" customHeight="1" x14ac:dyDescent="0.2">
      <c r="A1" s="27" t="s">
        <v>792</v>
      </c>
      <c r="B1" s="28" t="s">
        <v>793</v>
      </c>
      <c r="C1" s="28" t="s">
        <v>794</v>
      </c>
      <c r="D1" s="28" t="s">
        <v>795</v>
      </c>
      <c r="E1" s="28" t="s">
        <v>796</v>
      </c>
      <c r="F1" s="28" t="s">
        <v>797</v>
      </c>
      <c r="G1" s="28" t="s">
        <v>798</v>
      </c>
      <c r="H1" s="29" t="s">
        <v>799</v>
      </c>
      <c r="I1" s="29" t="s">
        <v>800</v>
      </c>
      <c r="J1" s="29" t="s">
        <v>801</v>
      </c>
    </row>
    <row r="2" spans="1:10" ht="11.25" customHeight="1" x14ac:dyDescent="0.2">
      <c r="A2" s="30" t="s">
        <v>26</v>
      </c>
      <c r="B2" s="28">
        <v>3943456.9964000001</v>
      </c>
      <c r="C2" s="28">
        <v>3414789.3960579685</v>
      </c>
      <c r="D2" s="28">
        <v>25960651.132840198</v>
      </c>
      <c r="E2" s="28">
        <v>31734105.730208453</v>
      </c>
      <c r="F2" s="28">
        <v>31961627.871681821</v>
      </c>
      <c r="G2" s="28">
        <v>26028528.916767351</v>
      </c>
      <c r="H2" s="29">
        <v>0.17538683897072582</v>
      </c>
      <c r="I2" s="29">
        <v>-0.18563193898428632</v>
      </c>
      <c r="J2" s="29">
        <v>-1.1125899445826204E-2</v>
      </c>
    </row>
    <row r="3" spans="1:10" ht="11.25" customHeight="1" x14ac:dyDescent="0.2">
      <c r="A3" s="31" t="s">
        <v>33</v>
      </c>
      <c r="B3" s="28">
        <v>3943456.9964000001</v>
      </c>
      <c r="C3" s="28">
        <v>3414789.3960579685</v>
      </c>
      <c r="D3" s="28">
        <v>4787595.7455311967</v>
      </c>
      <c r="E3" s="28">
        <v>6296405.4425187474</v>
      </c>
      <c r="F3" s="28">
        <v>11542338.272872802</v>
      </c>
      <c r="G3" s="28">
        <v>9234395.6319657974</v>
      </c>
      <c r="H3" s="29">
        <v>0.11225932606481126</v>
      </c>
      <c r="I3" s="29">
        <v>-0.19995451409799858</v>
      </c>
      <c r="J3" s="29">
        <v>-6.5494743493671681E-2</v>
      </c>
    </row>
    <row r="4" spans="1:10" ht="11.25" customHeight="1" x14ac:dyDescent="0.2">
      <c r="A4" s="32" t="s">
        <v>41</v>
      </c>
      <c r="B4" s="28">
        <v>130340.66000000003</v>
      </c>
      <c r="C4" s="28">
        <v>122711.73705414726</v>
      </c>
      <c r="D4" s="28">
        <v>43934.75235000001</v>
      </c>
      <c r="E4" s="28">
        <v>67195.5038237111</v>
      </c>
      <c r="F4" s="28">
        <v>176308.19914999997</v>
      </c>
      <c r="G4" s="28">
        <v>141054.57885746859</v>
      </c>
      <c r="H4" s="29">
        <v>8.9696121312079713E-2</v>
      </c>
      <c r="I4" s="29">
        <v>-0.19995451409799847</v>
      </c>
      <c r="J4" s="29">
        <v>-5.5968936142564374E-2</v>
      </c>
    </row>
    <row r="5" spans="1:10" ht="11.25" customHeight="1" x14ac:dyDescent="0.2">
      <c r="A5" s="33" t="s">
        <v>42</v>
      </c>
      <c r="B5" s="28">
        <v>94543.88</v>
      </c>
      <c r="C5" s="28">
        <v>88776.153868966605</v>
      </c>
      <c r="D5" s="28">
        <v>41049.815040000009</v>
      </c>
      <c r="E5" s="28">
        <v>62783.16949436393</v>
      </c>
      <c r="F5" s="28">
        <v>164731.07455999998</v>
      </c>
      <c r="G5" s="28">
        <v>131792.35258951405</v>
      </c>
      <c r="H5" s="29">
        <v>0.11774609666489777</v>
      </c>
      <c r="I5" s="29">
        <v>-0.19995451409799836</v>
      </c>
      <c r="J5" s="29">
        <v>-5.6515796781470118E-2</v>
      </c>
    </row>
    <row r="6" spans="1:10" ht="11.25" customHeight="1" x14ac:dyDescent="0.2">
      <c r="A6" s="34" t="s">
        <v>25</v>
      </c>
      <c r="B6" s="28">
        <v>94543.88</v>
      </c>
      <c r="C6" s="28">
        <v>88776.153868966605</v>
      </c>
      <c r="D6" s="28">
        <v>41049.815040000009</v>
      </c>
      <c r="E6" s="28">
        <v>62783.16949436393</v>
      </c>
      <c r="F6" s="28">
        <v>164731.07455999998</v>
      </c>
      <c r="G6" s="28">
        <v>131792.35258951405</v>
      </c>
      <c r="H6" s="29">
        <v>0.11774609666489777</v>
      </c>
      <c r="I6" s="29">
        <v>-0.19995451409799836</v>
      </c>
      <c r="J6" s="29">
        <v>-5.6515796781470118E-2</v>
      </c>
    </row>
    <row r="7" spans="1:10" ht="11.25" customHeight="1" x14ac:dyDescent="0.2">
      <c r="A7" s="35" t="s">
        <v>25</v>
      </c>
      <c r="B7" s="28">
        <v>94543.88</v>
      </c>
      <c r="C7" s="28">
        <v>88776.153868966605</v>
      </c>
      <c r="D7" s="28">
        <v>41049.815040000009</v>
      </c>
      <c r="E7" s="28">
        <v>62783.16949436393</v>
      </c>
      <c r="F7" s="28">
        <v>164731.07455999998</v>
      </c>
      <c r="G7" s="28">
        <v>131792.35258951405</v>
      </c>
      <c r="H7" s="29">
        <v>0.11774609666489777</v>
      </c>
      <c r="I7" s="29">
        <v>-0.19995451409799836</v>
      </c>
      <c r="J7" s="29">
        <v>-5.6515796781470118E-2</v>
      </c>
    </row>
    <row r="8" spans="1:10" ht="11.25" customHeight="1" x14ac:dyDescent="0.2">
      <c r="A8" s="36" t="s">
        <v>25</v>
      </c>
      <c r="B8" s="28">
        <v>94543.88</v>
      </c>
      <c r="C8" s="28">
        <v>88776.153868966605</v>
      </c>
      <c r="D8" s="28">
        <v>41049.815040000009</v>
      </c>
      <c r="E8" s="28">
        <v>62783.16949436393</v>
      </c>
      <c r="F8" s="28">
        <v>164731.07455999998</v>
      </c>
      <c r="G8" s="28">
        <v>131792.35258951405</v>
      </c>
      <c r="H8" s="29">
        <v>0.11774609666489777</v>
      </c>
      <c r="I8" s="29">
        <v>-0.19995451409799836</v>
      </c>
      <c r="J8" s="29">
        <v>-5.6515796781470118E-2</v>
      </c>
    </row>
    <row r="9" spans="1:10" ht="11.25" customHeight="1" x14ac:dyDescent="0.2">
      <c r="A9" s="37" t="s">
        <v>36</v>
      </c>
      <c r="B9" s="28">
        <v>39200.280000000006</v>
      </c>
      <c r="C9" s="28">
        <v>33843.805074285221</v>
      </c>
      <c r="D9" s="28">
        <v>37915.034850000004</v>
      </c>
      <c r="E9" s="28">
        <v>57988.715833499286</v>
      </c>
      <c r="F9" s="28">
        <v>152151.34165000002</v>
      </c>
      <c r="G9" s="28">
        <v>121727.99406101569</v>
      </c>
      <c r="H9" s="29">
        <v>0.19084673500213944</v>
      </c>
      <c r="I9" s="29">
        <v>-0.19995451409799858</v>
      </c>
      <c r="J9" s="29">
        <v>-6.8505999829939768E-2</v>
      </c>
    </row>
    <row r="10" spans="1:10" ht="11.25" customHeight="1" x14ac:dyDescent="0.2">
      <c r="A10" s="38">
        <v>44317</v>
      </c>
      <c r="B10" s="28">
        <v>2917.32</v>
      </c>
      <c r="C10" s="28">
        <v>2518.6863313046179</v>
      </c>
      <c r="D10" s="28">
        <v>3109.19229</v>
      </c>
      <c r="E10" s="28">
        <v>4755.3185402522959</v>
      </c>
      <c r="F10" s="28">
        <v>12477.049810000002</v>
      </c>
      <c r="G10" s="28">
        <v>9982.2073778649283</v>
      </c>
      <c r="H10" s="29">
        <v>0.2070007529275133</v>
      </c>
      <c r="I10" s="29">
        <v>-0.19995451409799847</v>
      </c>
      <c r="J10" s="29">
        <v>-6.7411336467920413E-2</v>
      </c>
    </row>
    <row r="11" spans="1:10" ht="11.25" customHeight="1" x14ac:dyDescent="0.2">
      <c r="A11" s="38">
        <v>44348</v>
      </c>
      <c r="B11" s="28">
        <v>2898</v>
      </c>
      <c r="C11" s="28">
        <v>2502.006289375448</v>
      </c>
      <c r="D11" s="28">
        <v>2644.87032</v>
      </c>
      <c r="E11" s="28">
        <v>4045.1666208329048</v>
      </c>
      <c r="F11" s="28">
        <v>10613.74648</v>
      </c>
      <c r="G11" s="28">
        <v>8491.4799598322588</v>
      </c>
      <c r="H11" s="29">
        <v>0.18118818089331601</v>
      </c>
      <c r="I11" s="29">
        <v>-0.19995451409799836</v>
      </c>
      <c r="J11" s="29">
        <v>-6.9195422766936465E-2</v>
      </c>
    </row>
    <row r="12" spans="1:10" ht="11.25" customHeight="1" x14ac:dyDescent="0.2">
      <c r="A12" s="38">
        <v>44378</v>
      </c>
      <c r="B12" s="28">
        <v>2898</v>
      </c>
      <c r="C12" s="28">
        <v>2502.006289375448</v>
      </c>
      <c r="D12" s="28">
        <v>2941.7555700000003</v>
      </c>
      <c r="E12" s="28">
        <v>4499.2343663992106</v>
      </c>
      <c r="F12" s="28">
        <v>11805.133730000001</v>
      </c>
      <c r="G12" s="28">
        <v>9444.6439511559602</v>
      </c>
      <c r="H12" s="29">
        <v>0.19889275704302434</v>
      </c>
      <c r="I12" s="29">
        <v>-0.19995451409799836</v>
      </c>
      <c r="J12" s="29">
        <v>-6.7951953264415499E-2</v>
      </c>
    </row>
    <row r="13" spans="1:10" ht="11.25" customHeight="1" x14ac:dyDescent="0.2">
      <c r="A13" s="38">
        <v>44409</v>
      </c>
      <c r="B13" s="28">
        <v>2898</v>
      </c>
      <c r="C13" s="28">
        <v>2502.006289375448</v>
      </c>
      <c r="D13" s="28">
        <v>2994.9652800000003</v>
      </c>
      <c r="E13" s="28">
        <v>4580.6153479802651</v>
      </c>
      <c r="F13" s="28">
        <v>12018.661920000002</v>
      </c>
      <c r="G13" s="28">
        <v>9615.4762156782836</v>
      </c>
      <c r="H13" s="29">
        <v>0.20187737426406693</v>
      </c>
      <c r="I13" s="29">
        <v>-0.19995451409799858</v>
      </c>
      <c r="J13" s="29">
        <v>-6.7750927004890271E-2</v>
      </c>
    </row>
    <row r="14" spans="1:10" ht="11.25" customHeight="1" x14ac:dyDescent="0.2">
      <c r="A14" s="38">
        <v>44440</v>
      </c>
      <c r="B14" s="28">
        <v>2994.6</v>
      </c>
      <c r="C14" s="28">
        <v>2585.4064990212964</v>
      </c>
      <c r="D14" s="28">
        <v>3579.3535499999998</v>
      </c>
      <c r="E14" s="28">
        <v>5474.4012948883492</v>
      </c>
      <c r="F14" s="28">
        <v>14363.785950000001</v>
      </c>
      <c r="G14" s="28">
        <v>11491.682109760093</v>
      </c>
      <c r="H14" s="29">
        <v>0.2260214089753716</v>
      </c>
      <c r="I14" s="29">
        <v>-0.19995451409799847</v>
      </c>
      <c r="J14" s="29">
        <v>-6.6208178601623313E-2</v>
      </c>
    </row>
    <row r="15" spans="1:10" ht="11.25" customHeight="1" x14ac:dyDescent="0.2">
      <c r="A15" s="38">
        <v>44470</v>
      </c>
      <c r="B15" s="28">
        <v>2936.64</v>
      </c>
      <c r="C15" s="28">
        <v>2535.3663732337873</v>
      </c>
      <c r="D15" s="28">
        <v>3285.4207500000002</v>
      </c>
      <c r="E15" s="28">
        <v>5024.8491401619303</v>
      </c>
      <c r="F15" s="28">
        <v>13184.246750000002</v>
      </c>
      <c r="G15" s="28">
        <v>10547.997097355636</v>
      </c>
      <c r="H15" s="29">
        <v>0.21506616813339807</v>
      </c>
      <c r="I15" s="29">
        <v>-0.19995451409799847</v>
      </c>
      <c r="J15" s="29">
        <v>-6.6890359706432978E-2</v>
      </c>
    </row>
    <row r="16" spans="1:10" ht="11.25" customHeight="1" x14ac:dyDescent="0.2">
      <c r="A16" s="38">
        <v>44501</v>
      </c>
      <c r="B16" s="28">
        <v>3323.04</v>
      </c>
      <c r="C16" s="28">
        <v>2868.9672118171807</v>
      </c>
      <c r="D16" s="28">
        <v>2473.6282200000001</v>
      </c>
      <c r="E16" s="28">
        <v>3783.2623521195219</v>
      </c>
      <c r="F16" s="28">
        <v>9926.559580000001</v>
      </c>
      <c r="G16" s="28">
        <v>7941.6991825162686</v>
      </c>
      <c r="H16" s="29">
        <v>0.14759536193304901</v>
      </c>
      <c r="I16" s="29">
        <v>-0.19995451409799847</v>
      </c>
      <c r="J16" s="29">
        <v>-7.1823614585488027E-2</v>
      </c>
    </row>
    <row r="17" spans="1:10" ht="11.25" customHeight="1" x14ac:dyDescent="0.2">
      <c r="A17" s="38">
        <v>44531</v>
      </c>
      <c r="B17" s="28">
        <v>3535.56</v>
      </c>
      <c r="C17" s="28">
        <v>3052.4476730380466</v>
      </c>
      <c r="D17" s="28">
        <v>3251.82843</v>
      </c>
      <c r="E17" s="28">
        <v>4973.4717510503397</v>
      </c>
      <c r="F17" s="28">
        <v>13049.442270000001</v>
      </c>
      <c r="G17" s="28">
        <v>10440.14738165227</v>
      </c>
      <c r="H17" s="29">
        <v>0.18247533743820021</v>
      </c>
      <c r="I17" s="29">
        <v>-0.19995451409799836</v>
      </c>
      <c r="J17" s="29">
        <v>-6.9101960640282289E-2</v>
      </c>
    </row>
    <row r="18" spans="1:10" ht="11.25" customHeight="1" x14ac:dyDescent="0.2">
      <c r="A18" s="38">
        <v>44562</v>
      </c>
      <c r="B18" s="28">
        <v>3458.28</v>
      </c>
      <c r="C18" s="28">
        <v>2985.727505321368</v>
      </c>
      <c r="D18" s="28">
        <v>3363.6934799999999</v>
      </c>
      <c r="E18" s="28">
        <v>5144.5624706504605</v>
      </c>
      <c r="F18" s="28">
        <v>13498.351720000001</v>
      </c>
      <c r="G18" s="28">
        <v>10799.29536070352</v>
      </c>
      <c r="H18" s="29">
        <v>0.19177976868532598</v>
      </c>
      <c r="I18" s="29">
        <v>-0.19995451409799836</v>
      </c>
      <c r="J18" s="29">
        <v>-6.8440827085023859E-2</v>
      </c>
    </row>
    <row r="19" spans="1:10" ht="11.25" customHeight="1" x14ac:dyDescent="0.2">
      <c r="A19" s="38">
        <v>44593</v>
      </c>
      <c r="B19" s="28">
        <v>3670.8</v>
      </c>
      <c r="C19" s="28">
        <v>3169.2079665422343</v>
      </c>
      <c r="D19" s="28">
        <v>3097.5793200000003</v>
      </c>
      <c r="E19" s="28">
        <v>4737.5572162820781</v>
      </c>
      <c r="F19" s="28">
        <v>12430.447480000003</v>
      </c>
      <c r="G19" s="28">
        <v>9944.9233941159127</v>
      </c>
      <c r="H19" s="29">
        <v>0.16819179437246912</v>
      </c>
      <c r="I19" s="29">
        <v>-0.19995451409799847</v>
      </c>
      <c r="J19" s="29">
        <v>-7.0167736658772184E-2</v>
      </c>
    </row>
    <row r="20" spans="1:10" ht="11.25" customHeight="1" x14ac:dyDescent="0.2">
      <c r="A20" s="38">
        <v>44621</v>
      </c>
      <c r="B20" s="28">
        <v>3921.96</v>
      </c>
      <c r="C20" s="28">
        <v>3386.04851162144</v>
      </c>
      <c r="D20" s="28">
        <v>3802.6899900000003</v>
      </c>
      <c r="E20" s="28">
        <v>5815.9806553099415</v>
      </c>
      <c r="F20" s="28">
        <v>15260.025110000002</v>
      </c>
      <c r="G20" s="28">
        <v>12208.714204006696</v>
      </c>
      <c r="H20" s="29">
        <v>0.19125516092559969</v>
      </c>
      <c r="I20" s="29">
        <v>-0.19995451409799847</v>
      </c>
      <c r="J20" s="29">
        <v>-6.8477440825862379E-2</v>
      </c>
    </row>
    <row r="21" spans="1:10" ht="11.25" customHeight="1" x14ac:dyDescent="0.2">
      <c r="A21" s="38">
        <v>44652</v>
      </c>
      <c r="B21" s="28">
        <v>3748.08</v>
      </c>
      <c r="C21" s="28">
        <v>3235.9281342589129</v>
      </c>
      <c r="D21" s="28">
        <v>3370.0576500000002</v>
      </c>
      <c r="E21" s="28">
        <v>5154.296077571993</v>
      </c>
      <c r="F21" s="28">
        <v>13523.890850000002</v>
      </c>
      <c r="G21" s="28">
        <v>10819.727826373884</v>
      </c>
      <c r="H21" s="29">
        <v>0.17871058756933489</v>
      </c>
      <c r="I21" s="29">
        <v>-0.19995451409799847</v>
      </c>
      <c r="J21" s="29">
        <v>-6.9376731157754556E-2</v>
      </c>
    </row>
    <row r="22" spans="1:10" ht="11.25" customHeight="1" x14ac:dyDescent="0.2">
      <c r="A22" s="37" t="s">
        <v>35</v>
      </c>
      <c r="B22" s="28">
        <v>55343.6</v>
      </c>
      <c r="C22" s="28">
        <v>54932.348794681347</v>
      </c>
      <c r="D22" s="28">
        <v>3134.7801900000004</v>
      </c>
      <c r="E22" s="28">
        <v>4794.4536608646404</v>
      </c>
      <c r="F22" s="28">
        <v>12579.732910000001</v>
      </c>
      <c r="G22" s="28">
        <v>10064.358528498351</v>
      </c>
      <c r="H22" s="29">
        <v>2.1348441278465469E-2</v>
      </c>
      <c r="I22" s="29">
        <v>-0.19995451409799836</v>
      </c>
      <c r="J22" s="29">
        <v>-1.7829802406555295E-2</v>
      </c>
    </row>
    <row r="23" spans="1:10" ht="11.25" customHeight="1" x14ac:dyDescent="0.2">
      <c r="A23" s="38">
        <v>44317</v>
      </c>
      <c r="B23" s="28">
        <v>4587.5</v>
      </c>
      <c r="C23" s="28">
        <v>4553.4108748906965</v>
      </c>
      <c r="D23" s="28">
        <v>239.08284</v>
      </c>
      <c r="E23" s="28">
        <v>365.66251156764997</v>
      </c>
      <c r="F23" s="28">
        <v>959.42876000000012</v>
      </c>
      <c r="G23" s="28">
        <v>767.58664848255489</v>
      </c>
      <c r="H23" s="29">
        <v>1.9162738841201898E-2</v>
      </c>
      <c r="I23" s="29">
        <v>-0.19995451409799847</v>
      </c>
      <c r="J23" s="29">
        <v>-1.7170993065257378E-2</v>
      </c>
    </row>
    <row r="24" spans="1:10" ht="11.25" customHeight="1" x14ac:dyDescent="0.2">
      <c r="A24" s="38">
        <v>44348</v>
      </c>
      <c r="B24" s="28">
        <v>4587.5</v>
      </c>
      <c r="C24" s="28">
        <v>4553.4108748906965</v>
      </c>
      <c r="D24" s="28">
        <v>196.23951</v>
      </c>
      <c r="E24" s="28">
        <v>300.13627115775</v>
      </c>
      <c r="F24" s="28">
        <v>787.50039000000004</v>
      </c>
      <c r="G24" s="28">
        <v>630.03613216556585</v>
      </c>
      <c r="H24" s="29">
        <v>1.4592691743043229E-2</v>
      </c>
      <c r="I24" s="29">
        <v>-0.19995451409799836</v>
      </c>
      <c r="J24" s="29">
        <v>-1.5733772617831154E-2</v>
      </c>
    </row>
    <row r="25" spans="1:10" ht="11.25" customHeight="1" x14ac:dyDescent="0.2">
      <c r="A25" s="38">
        <v>44378</v>
      </c>
      <c r="B25" s="28">
        <v>4587.5</v>
      </c>
      <c r="C25" s="28">
        <v>4553.4108748906965</v>
      </c>
      <c r="D25" s="28">
        <v>242.29773</v>
      </c>
      <c r="E25" s="28">
        <v>370.57948825997016</v>
      </c>
      <c r="F25" s="28">
        <v>972.32997000000012</v>
      </c>
      <c r="G25" s="28">
        <v>777.90820330572865</v>
      </c>
      <c r="H25" s="29">
        <v>1.9502397080853884E-2</v>
      </c>
      <c r="I25" s="29">
        <v>-0.19995451409799847</v>
      </c>
      <c r="J25" s="29">
        <v>-1.7274548015136726E-2</v>
      </c>
    </row>
    <row r="26" spans="1:10" ht="11.25" customHeight="1" x14ac:dyDescent="0.2">
      <c r="A26" s="38">
        <v>44409</v>
      </c>
      <c r="B26" s="28">
        <v>4587.5</v>
      </c>
      <c r="C26" s="28">
        <v>4553.4108748906965</v>
      </c>
      <c r="D26" s="28">
        <v>259.81560000000002</v>
      </c>
      <c r="E26" s="28">
        <v>397.37199390995988</v>
      </c>
      <c r="F26" s="28">
        <v>1042.6284000000001</v>
      </c>
      <c r="G26" s="28">
        <v>834.15014489322652</v>
      </c>
      <c r="H26" s="29">
        <v>2.1345271762510443E-2</v>
      </c>
      <c r="I26" s="29">
        <v>-0.19995451409799836</v>
      </c>
      <c r="J26" s="29">
        <v>-1.7828859884935433E-2</v>
      </c>
    </row>
    <row r="27" spans="1:10" ht="11.25" customHeight="1" x14ac:dyDescent="0.2">
      <c r="A27" s="38">
        <v>44440</v>
      </c>
      <c r="B27" s="28">
        <v>4881.1000000000004</v>
      </c>
      <c r="C27" s="28">
        <v>4844.8291708837005</v>
      </c>
      <c r="D27" s="28">
        <v>338.41638</v>
      </c>
      <c r="E27" s="28">
        <v>517.58705671403368</v>
      </c>
      <c r="F27" s="28">
        <v>1358.0498200000002</v>
      </c>
      <c r="G27" s="28">
        <v>1086.501628121026</v>
      </c>
      <c r="H27" s="29">
        <v>2.7377986233608542E-2</v>
      </c>
      <c r="I27" s="29">
        <v>-0.19995451409799836</v>
      </c>
      <c r="J27" s="29">
        <v>-1.9558654427718203E-2</v>
      </c>
    </row>
    <row r="28" spans="1:10" ht="11.25" customHeight="1" x14ac:dyDescent="0.2">
      <c r="A28" s="38">
        <v>44470</v>
      </c>
      <c r="B28" s="28">
        <v>4587.5</v>
      </c>
      <c r="C28" s="28">
        <v>4553.4108748906965</v>
      </c>
      <c r="D28" s="28">
        <v>268.60734000000002</v>
      </c>
      <c r="E28" s="28">
        <v>410.81841996650905</v>
      </c>
      <c r="F28" s="28">
        <v>1077.9092600000001</v>
      </c>
      <c r="G28" s="28">
        <v>862.37643767496706</v>
      </c>
      <c r="H28" s="29">
        <v>2.2265149282553853E-2</v>
      </c>
      <c r="I28" s="29">
        <v>-0.19995451409799847</v>
      </c>
      <c r="J28" s="29">
        <v>-1.8100870743743447E-2</v>
      </c>
    </row>
    <row r="29" spans="1:10" ht="11.25" customHeight="1" x14ac:dyDescent="0.2">
      <c r="A29" s="38">
        <v>44501</v>
      </c>
      <c r="B29" s="28">
        <v>4587.5</v>
      </c>
      <c r="C29" s="28">
        <v>4553.4108748906965</v>
      </c>
      <c r="D29" s="28">
        <v>185.74190999999999</v>
      </c>
      <c r="E29" s="28">
        <v>284.08083706037792</v>
      </c>
      <c r="F29" s="28">
        <v>745.37399000000005</v>
      </c>
      <c r="G29" s="28">
        <v>596.33309600826374</v>
      </c>
      <c r="H29" s="29">
        <v>1.3460411846395459E-2</v>
      </c>
      <c r="I29" s="29">
        <v>-0.19995451409799836</v>
      </c>
      <c r="J29" s="29">
        <v>-1.5364557631318609E-2</v>
      </c>
    </row>
    <row r="30" spans="1:10" ht="11.25" customHeight="1" x14ac:dyDescent="0.2">
      <c r="A30" s="38">
        <v>44531</v>
      </c>
      <c r="B30" s="28">
        <v>4587.5</v>
      </c>
      <c r="C30" s="28">
        <v>4553.4108748906965</v>
      </c>
      <c r="D30" s="28">
        <v>285.00984</v>
      </c>
      <c r="E30" s="28">
        <v>435.905035743653</v>
      </c>
      <c r="F30" s="28">
        <v>1143.7317600000001</v>
      </c>
      <c r="G30" s="28">
        <v>915.03743167075152</v>
      </c>
      <c r="H30" s="29">
        <v>2.3972464801497395E-2</v>
      </c>
      <c r="I30" s="29">
        <v>-0.19995451409799847</v>
      </c>
      <c r="J30" s="29">
        <v>-1.8597700214515789E-2</v>
      </c>
    </row>
    <row r="31" spans="1:10" ht="11.25" customHeight="1" x14ac:dyDescent="0.2">
      <c r="A31" s="38">
        <v>44562</v>
      </c>
      <c r="B31" s="28">
        <v>4587.5</v>
      </c>
      <c r="C31" s="28">
        <v>4553.4108748906965</v>
      </c>
      <c r="D31" s="28">
        <v>285.53471999999999</v>
      </c>
      <c r="E31" s="28">
        <v>436.70780744852163</v>
      </c>
      <c r="F31" s="28">
        <v>1145.8380800000002</v>
      </c>
      <c r="G31" s="28">
        <v>916.72258347861668</v>
      </c>
      <c r="H31" s="29">
        <v>2.4026909116547035E-2</v>
      </c>
      <c r="I31" s="29">
        <v>-0.19995451409799847</v>
      </c>
      <c r="J31" s="29">
        <v>-1.8613374614290801E-2</v>
      </c>
    </row>
    <row r="32" spans="1:10" ht="11.25" customHeight="1" x14ac:dyDescent="0.2">
      <c r="A32" s="38">
        <v>44593</v>
      </c>
      <c r="B32" s="28">
        <v>4587.5</v>
      </c>
      <c r="C32" s="28">
        <v>4553.4108748906965</v>
      </c>
      <c r="D32" s="28">
        <v>267.49196999999998</v>
      </c>
      <c r="E32" s="28">
        <v>409.11253009366328</v>
      </c>
      <c r="F32" s="28">
        <v>1073.4333300000001</v>
      </c>
      <c r="G32" s="28">
        <v>858.79549008325364</v>
      </c>
      <c r="H32" s="29">
        <v>2.2148632922323941E-2</v>
      </c>
      <c r="I32" s="29">
        <v>-0.19995451409799847</v>
      </c>
      <c r="J32" s="29">
        <v>-1.8066585899696785E-2</v>
      </c>
    </row>
    <row r="33" spans="1:10" ht="11.25" customHeight="1" x14ac:dyDescent="0.2">
      <c r="A33" s="38">
        <v>44621</v>
      </c>
      <c r="B33" s="28">
        <v>4587.5</v>
      </c>
      <c r="C33" s="28">
        <v>4553.4108748906965</v>
      </c>
      <c r="D33" s="28">
        <v>315.25604999999996</v>
      </c>
      <c r="E33" s="28">
        <v>482.16475523670636</v>
      </c>
      <c r="F33" s="28">
        <v>1265.1084499999999</v>
      </c>
      <c r="G33" s="28">
        <v>1012.144304598978</v>
      </c>
      <c r="H33" s="29">
        <v>2.7090799291839884E-2</v>
      </c>
      <c r="I33" s="29">
        <v>-0.19995451409799847</v>
      </c>
      <c r="J33" s="29">
        <v>-1.9479118789593741E-2</v>
      </c>
    </row>
    <row r="34" spans="1:10" ht="11.25" customHeight="1" x14ac:dyDescent="0.2">
      <c r="A34" s="38">
        <v>44652</v>
      </c>
      <c r="B34" s="28">
        <v>4587.5</v>
      </c>
      <c r="C34" s="28">
        <v>4553.4108748906965</v>
      </c>
      <c r="D34" s="28">
        <v>251.28630000000001</v>
      </c>
      <c r="E34" s="28">
        <v>384.32695370584509</v>
      </c>
      <c r="F34" s="28">
        <v>1008.4007000000001</v>
      </c>
      <c r="G34" s="28">
        <v>806.76642801541857</v>
      </c>
      <c r="H34" s="29">
        <v>2.0449658749455812E-2</v>
      </c>
      <c r="I34" s="29">
        <v>-0.19995451409799847</v>
      </c>
      <c r="J34" s="29">
        <v>-1.7561050020811653E-2</v>
      </c>
    </row>
    <row r="35" spans="1:10" ht="11.25" customHeight="1" x14ac:dyDescent="0.2">
      <c r="A35" s="33" t="s">
        <v>40</v>
      </c>
      <c r="B35" s="28">
        <v>35796.78</v>
      </c>
      <c r="C35" s="28">
        <v>33935.583185180651</v>
      </c>
      <c r="D35" s="28">
        <v>2884.9373099999998</v>
      </c>
      <c r="E35" s="28">
        <v>4412.3343293471835</v>
      </c>
      <c r="F35" s="28">
        <v>11577.124590000001</v>
      </c>
      <c r="G35" s="28">
        <v>9262.226267954562</v>
      </c>
      <c r="H35" s="29">
        <v>-8.6293944189977934E-3</v>
      </c>
      <c r="I35" s="29">
        <v>-0.19995451409799836</v>
      </c>
      <c r="J35" s="29">
        <v>-5.2701137101163531E-2</v>
      </c>
    </row>
    <row r="36" spans="1:10" ht="11.25" customHeight="1" x14ac:dyDescent="0.2">
      <c r="A36" s="34" t="s">
        <v>25</v>
      </c>
      <c r="B36" s="28">
        <v>35796.78</v>
      </c>
      <c r="C36" s="28">
        <v>33935.583185180651</v>
      </c>
      <c r="D36" s="28">
        <v>2884.9373099999998</v>
      </c>
      <c r="E36" s="28">
        <v>4412.3343293471835</v>
      </c>
      <c r="F36" s="28">
        <v>11577.124590000001</v>
      </c>
      <c r="G36" s="28">
        <v>9262.226267954562</v>
      </c>
      <c r="H36" s="29">
        <v>-8.6293944189977934E-3</v>
      </c>
      <c r="I36" s="29">
        <v>-0.19995451409799836</v>
      </c>
      <c r="J36" s="29">
        <v>-5.2701137101163531E-2</v>
      </c>
    </row>
    <row r="37" spans="1:10" ht="11.25" customHeight="1" x14ac:dyDescent="0.2">
      <c r="A37" s="35" t="s">
        <v>25</v>
      </c>
      <c r="B37" s="28">
        <v>35796.78</v>
      </c>
      <c r="C37" s="28">
        <v>33935.583185180651</v>
      </c>
      <c r="D37" s="28">
        <v>2884.9373099999998</v>
      </c>
      <c r="E37" s="28">
        <v>4412.3343293471835</v>
      </c>
      <c r="F37" s="28">
        <v>11577.124590000001</v>
      </c>
      <c r="G37" s="28">
        <v>9262.226267954562</v>
      </c>
      <c r="H37" s="29">
        <v>-8.6293944189977934E-3</v>
      </c>
      <c r="I37" s="29">
        <v>-0.19995451409799836</v>
      </c>
      <c r="J37" s="29">
        <v>-5.2701137101163531E-2</v>
      </c>
    </row>
    <row r="38" spans="1:10" ht="11.25" customHeight="1" x14ac:dyDescent="0.2">
      <c r="A38" s="36" t="s">
        <v>25</v>
      </c>
      <c r="B38" s="28">
        <v>35796.78</v>
      </c>
      <c r="C38" s="28">
        <v>33935.583185180651</v>
      </c>
      <c r="D38" s="28">
        <v>2884.9373099999998</v>
      </c>
      <c r="E38" s="28">
        <v>4412.3343293471835</v>
      </c>
      <c r="F38" s="28">
        <v>11577.124590000001</v>
      </c>
      <c r="G38" s="28">
        <v>9262.226267954562</v>
      </c>
      <c r="H38" s="29">
        <v>-8.6293944189977934E-3</v>
      </c>
      <c r="I38" s="29">
        <v>-0.19995451409799836</v>
      </c>
      <c r="J38" s="29">
        <v>-5.2701137101163531E-2</v>
      </c>
    </row>
    <row r="39" spans="1:10" ht="11.25" customHeight="1" x14ac:dyDescent="0.2">
      <c r="A39" s="37" t="s">
        <v>36</v>
      </c>
      <c r="B39" s="28">
        <v>12345.48</v>
      </c>
      <c r="C39" s="28">
        <v>10658.546792739409</v>
      </c>
      <c r="D39" s="28">
        <v>2749.5838800000001</v>
      </c>
      <c r="E39" s="28">
        <v>4205.3195759541923</v>
      </c>
      <c r="F39" s="28">
        <v>11033.957320000001</v>
      </c>
      <c r="G39" s="28">
        <v>8827.6677455013487</v>
      </c>
      <c r="H39" s="29">
        <v>-1.5316100226162033E-2</v>
      </c>
      <c r="I39" s="29">
        <v>-0.19995451409799836</v>
      </c>
      <c r="J39" s="29">
        <v>-9.3286582269872853E-2</v>
      </c>
    </row>
    <row r="40" spans="1:10" ht="11.25" customHeight="1" x14ac:dyDescent="0.2">
      <c r="A40" s="38">
        <v>44317</v>
      </c>
      <c r="B40" s="28">
        <v>4115.16</v>
      </c>
      <c r="C40" s="28">
        <v>3552.8489309131364</v>
      </c>
      <c r="D40" s="28">
        <v>1146.3379200000002</v>
      </c>
      <c r="E40" s="28">
        <v>1753.2534034330354</v>
      </c>
      <c r="F40" s="28">
        <v>4600.2028800000007</v>
      </c>
      <c r="G40" s="28">
        <v>3680.3715483773876</v>
      </c>
      <c r="H40" s="29">
        <v>8.4775124925207113E-3</v>
      </c>
      <c r="I40" s="29">
        <v>-0.19995451409799847</v>
      </c>
      <c r="J40" s="29">
        <v>-8.8750098489749463E-2</v>
      </c>
    </row>
    <row r="41" spans="1:10" ht="11.25" customHeight="1" x14ac:dyDescent="0.2">
      <c r="A41" s="38">
        <v>44348</v>
      </c>
      <c r="B41" s="28">
        <v>4115.16</v>
      </c>
      <c r="C41" s="28">
        <v>3552.8489309131364</v>
      </c>
      <c r="D41" s="28">
        <v>749.3318099999999</v>
      </c>
      <c r="E41" s="28">
        <v>1146.0569551630433</v>
      </c>
      <c r="F41" s="28">
        <v>3007.0350899999999</v>
      </c>
      <c r="G41" s="28">
        <v>2405.7648497034193</v>
      </c>
      <c r="H41" s="29">
        <v>-3.4039716868969228E-2</v>
      </c>
      <c r="I41" s="29">
        <v>-0.19995451409799836</v>
      </c>
      <c r="J41" s="29">
        <v>-9.74215262124557E-2</v>
      </c>
    </row>
    <row r="42" spans="1:10" ht="11.25" customHeight="1" x14ac:dyDescent="0.2">
      <c r="A42" s="38">
        <v>44378</v>
      </c>
      <c r="B42" s="28">
        <v>4115.16</v>
      </c>
      <c r="C42" s="28">
        <v>3552.8489309131364</v>
      </c>
      <c r="D42" s="28">
        <v>853.91415000000006</v>
      </c>
      <c r="E42" s="28">
        <v>1306.0092173581131</v>
      </c>
      <c r="F42" s="28">
        <v>3426.7193500000003</v>
      </c>
      <c r="G42" s="28">
        <v>2741.5313474205414</v>
      </c>
      <c r="H42" s="29">
        <v>-2.218038982749948E-2</v>
      </c>
      <c r="I42" s="29">
        <v>-0.19995451409799836</v>
      </c>
      <c r="J42" s="29">
        <v>-9.473839540100748E-2</v>
      </c>
    </row>
    <row r="43" spans="1:10" ht="11.25" customHeight="1" x14ac:dyDescent="0.2">
      <c r="A43" s="37" t="s">
        <v>35</v>
      </c>
      <c r="B43" s="28">
        <v>23451.300000000003</v>
      </c>
      <c r="C43" s="28">
        <v>23277.036392441241</v>
      </c>
      <c r="D43" s="28">
        <v>135.35343</v>
      </c>
      <c r="E43" s="28">
        <v>207.01475339299174</v>
      </c>
      <c r="F43" s="28">
        <v>543.16727000000003</v>
      </c>
      <c r="G43" s="28">
        <v>434.5585224532137</v>
      </c>
      <c r="H43" s="29">
        <v>-4.3500144889256909E-3</v>
      </c>
      <c r="I43" s="29">
        <v>-0.19995451409799847</v>
      </c>
      <c r="J43" s="29">
        <v>-8.7531123558061141E-3</v>
      </c>
    </row>
    <row r="44" spans="1:10" ht="11.25" customHeight="1" x14ac:dyDescent="0.2">
      <c r="A44" s="38">
        <v>44317</v>
      </c>
      <c r="B44" s="28">
        <v>7817.1</v>
      </c>
      <c r="C44" s="28">
        <v>7759.0121308137468</v>
      </c>
      <c r="D44" s="28">
        <v>88.507890000000003</v>
      </c>
      <c r="E44" s="28">
        <v>135.36737873346866</v>
      </c>
      <c r="F44" s="28">
        <v>355.17821000000004</v>
      </c>
      <c r="G44" s="28">
        <v>284.15872360125314</v>
      </c>
      <c r="H44" s="29">
        <v>-1.4203057638347838E-3</v>
      </c>
      <c r="I44" s="29">
        <v>-0.19995451409799858</v>
      </c>
      <c r="J44" s="29">
        <v>-9.9564213206698726E-3</v>
      </c>
    </row>
    <row r="45" spans="1:10" ht="11.25" customHeight="1" x14ac:dyDescent="0.2">
      <c r="A45" s="38">
        <v>44348</v>
      </c>
      <c r="B45" s="28">
        <v>7817.1</v>
      </c>
      <c r="C45" s="28">
        <v>7759.0121308137468</v>
      </c>
      <c r="D45" s="28">
        <v>10.694430000000001</v>
      </c>
      <c r="E45" s="28">
        <v>16.356473486697844</v>
      </c>
      <c r="F45" s="28">
        <v>42.916270000000004</v>
      </c>
      <c r="G45" s="28">
        <v>34.334968085251496</v>
      </c>
      <c r="H45" s="29">
        <v>-6.6973942875445669E-3</v>
      </c>
      <c r="I45" s="29">
        <v>-0.19995451409799847</v>
      </c>
      <c r="J45" s="29">
        <v>-7.7511586868900251E-3</v>
      </c>
    </row>
    <row r="46" spans="1:10" ht="11.25" customHeight="1" x14ac:dyDescent="0.2">
      <c r="A46" s="38">
        <v>44378</v>
      </c>
      <c r="B46" s="28">
        <v>7817.1</v>
      </c>
      <c r="C46" s="28">
        <v>7759.0121308137468</v>
      </c>
      <c r="D46" s="28">
        <v>36.151110000000003</v>
      </c>
      <c r="E46" s="28">
        <v>55.290901172825237</v>
      </c>
      <c r="F46" s="28">
        <v>145.07279000000003</v>
      </c>
      <c r="G46" s="28">
        <v>116.06483076670905</v>
      </c>
      <c r="H46" s="29">
        <v>-4.9594846093528044E-3</v>
      </c>
      <c r="I46" s="29">
        <v>-0.19995451409799847</v>
      </c>
      <c r="J46" s="29">
        <v>-8.4962847336952363E-3</v>
      </c>
    </row>
    <row r="47" spans="1:10" ht="11.25" customHeight="1" x14ac:dyDescent="0.2">
      <c r="A47" s="32" t="s">
        <v>34</v>
      </c>
      <c r="B47" s="28">
        <v>3813116.3363999999</v>
      </c>
      <c r="C47" s="28">
        <v>3292077.6590038212</v>
      </c>
      <c r="D47" s="28">
        <v>4743660.9931811979</v>
      </c>
      <c r="E47" s="28">
        <v>6229209.9386950368</v>
      </c>
      <c r="F47" s="28">
        <v>11366030.073722802</v>
      </c>
      <c r="G47" s="28">
        <v>9093341.0531083271</v>
      </c>
      <c r="H47" s="29">
        <v>0.11271886961266375</v>
      </c>
      <c r="I47" s="29">
        <v>-0.19995451409799858</v>
      </c>
      <c r="J47" s="29">
        <v>-6.5662370067376741E-2</v>
      </c>
    </row>
    <row r="48" spans="1:10" ht="11.25" customHeight="1" x14ac:dyDescent="0.2">
      <c r="A48" s="33" t="s">
        <v>42</v>
      </c>
      <c r="B48" s="28">
        <v>904968.12000000011</v>
      </c>
      <c r="C48" s="28">
        <v>781309.84400423581</v>
      </c>
      <c r="D48" s="28">
        <v>1218891.8145599999</v>
      </c>
      <c r="E48" s="28">
        <v>1570803.9774782846</v>
      </c>
      <c r="F48" s="28">
        <v>2697713.0461400002</v>
      </c>
      <c r="G48" s="28">
        <v>2158293.1448232457</v>
      </c>
      <c r="H48" s="29">
        <v>0.10747125232145205</v>
      </c>
      <c r="I48" s="29">
        <v>-0.19995451409799825</v>
      </c>
      <c r="J48" s="29">
        <v>-6.453620335931487E-2</v>
      </c>
    </row>
    <row r="49" spans="1:10" ht="11.25" customHeight="1" x14ac:dyDescent="0.2">
      <c r="A49" s="34" t="s">
        <v>25</v>
      </c>
      <c r="B49" s="28">
        <v>904968.12000000011</v>
      </c>
      <c r="C49" s="28">
        <v>781309.84400423581</v>
      </c>
      <c r="D49" s="28">
        <v>1218891.8145599999</v>
      </c>
      <c r="E49" s="28">
        <v>1570803.9774782846</v>
      </c>
      <c r="F49" s="28">
        <v>2697713.0461400002</v>
      </c>
      <c r="G49" s="28">
        <v>2158293.1448232457</v>
      </c>
      <c r="H49" s="29">
        <v>0.10747125232145205</v>
      </c>
      <c r="I49" s="29">
        <v>-0.19995451409799825</v>
      </c>
      <c r="J49" s="29">
        <v>-6.453620335931487E-2</v>
      </c>
    </row>
    <row r="50" spans="1:10" ht="11.25" customHeight="1" x14ac:dyDescent="0.2">
      <c r="A50" s="35" t="s">
        <v>25</v>
      </c>
      <c r="B50" s="28">
        <v>904968.12000000011</v>
      </c>
      <c r="C50" s="28">
        <v>781309.84400423581</v>
      </c>
      <c r="D50" s="28">
        <v>1218891.8145599999</v>
      </c>
      <c r="E50" s="28">
        <v>1570803.9774782846</v>
      </c>
      <c r="F50" s="28">
        <v>2697713.0461400002</v>
      </c>
      <c r="G50" s="28">
        <v>2158293.1448232457</v>
      </c>
      <c r="H50" s="29">
        <v>0.10747125232145205</v>
      </c>
      <c r="I50" s="29">
        <v>-0.19995451409799825</v>
      </c>
      <c r="J50" s="29">
        <v>-6.453620335931487E-2</v>
      </c>
    </row>
    <row r="51" spans="1:10" ht="11.25" customHeight="1" x14ac:dyDescent="0.2">
      <c r="A51" s="36" t="s">
        <v>25</v>
      </c>
      <c r="B51" s="28">
        <v>904968.12000000011</v>
      </c>
      <c r="C51" s="28">
        <v>781309.84400423581</v>
      </c>
      <c r="D51" s="28">
        <v>1218891.8145599999</v>
      </c>
      <c r="E51" s="28">
        <v>1570803.9774782846</v>
      </c>
      <c r="F51" s="28">
        <v>2697713.0461400002</v>
      </c>
      <c r="G51" s="28">
        <v>2158293.1448232457</v>
      </c>
      <c r="H51" s="29">
        <v>0.10747125232145205</v>
      </c>
      <c r="I51" s="29">
        <v>-0.19995451409799825</v>
      </c>
      <c r="J51" s="29">
        <v>-6.453620335931487E-2</v>
      </c>
    </row>
    <row r="52" spans="1:10" ht="11.25" customHeight="1" x14ac:dyDescent="0.2">
      <c r="A52" s="37" t="s">
        <v>36</v>
      </c>
      <c r="B52" s="28">
        <v>0</v>
      </c>
      <c r="C52" s="28">
        <v>0</v>
      </c>
      <c r="D52" s="28">
        <v>631612.44530999998</v>
      </c>
      <c r="E52" s="28">
        <v>966012.42100620677</v>
      </c>
      <c r="F52" s="28">
        <v>2534632.5365900001</v>
      </c>
      <c r="G52" s="28">
        <v>2027821.3193191693</v>
      </c>
      <c r="H52" s="29">
        <v>0.52943854760822662</v>
      </c>
      <c r="I52" s="29">
        <v>-0.19995451409799836</v>
      </c>
      <c r="J52" s="29">
        <v>-5.4452906379708899E-2</v>
      </c>
    </row>
    <row r="53" spans="1:10" ht="11.25" customHeight="1" x14ac:dyDescent="0.2">
      <c r="A53" s="38">
        <v>44317</v>
      </c>
      <c r="B53" s="28">
        <v>0</v>
      </c>
      <c r="C53" s="28">
        <v>0</v>
      </c>
      <c r="D53" s="28">
        <v>49140.905850000003</v>
      </c>
      <c r="E53" s="28">
        <v>75157.995671376601</v>
      </c>
      <c r="F53" s="28">
        <v>197200.26065000001</v>
      </c>
      <c r="G53" s="28">
        <v>157769.17835173063</v>
      </c>
      <c r="H53" s="29">
        <v>0.5294385476082264</v>
      </c>
      <c r="I53" s="29">
        <v>-0.19995451409799836</v>
      </c>
      <c r="J53" s="29">
        <v>-5.445290637970901E-2</v>
      </c>
    </row>
    <row r="54" spans="1:10" ht="11.25" customHeight="1" x14ac:dyDescent="0.2">
      <c r="A54" s="38">
        <v>44348</v>
      </c>
      <c r="B54" s="28">
        <v>0</v>
      </c>
      <c r="C54" s="28">
        <v>0</v>
      </c>
      <c r="D54" s="28">
        <v>48886.273440000004</v>
      </c>
      <c r="E54" s="28">
        <v>74768.551048052221</v>
      </c>
      <c r="F54" s="28">
        <v>196178.43216000003</v>
      </c>
      <c r="G54" s="28">
        <v>156951.66908094008</v>
      </c>
      <c r="H54" s="29">
        <v>0.5294385476082264</v>
      </c>
      <c r="I54" s="29">
        <v>-0.19995451409799836</v>
      </c>
      <c r="J54" s="29">
        <v>-5.445290637970901E-2</v>
      </c>
    </row>
    <row r="55" spans="1:10" ht="11.25" customHeight="1" x14ac:dyDescent="0.2">
      <c r="A55" s="38">
        <v>44378</v>
      </c>
      <c r="B55" s="28">
        <v>0</v>
      </c>
      <c r="C55" s="28">
        <v>0</v>
      </c>
      <c r="D55" s="28">
        <v>50770.723859999998</v>
      </c>
      <c r="E55" s="28">
        <v>77650.702161456735</v>
      </c>
      <c r="F55" s="28">
        <v>203740.64754000003</v>
      </c>
      <c r="G55" s="28">
        <v>163001.78535912777</v>
      </c>
      <c r="H55" s="29">
        <v>0.52943854760822662</v>
      </c>
      <c r="I55" s="29">
        <v>-0.19995451409799847</v>
      </c>
      <c r="J55" s="29">
        <v>-5.445290637970901E-2</v>
      </c>
    </row>
    <row r="56" spans="1:10" ht="11.25" customHeight="1" x14ac:dyDescent="0.2">
      <c r="A56" s="38">
        <v>44409</v>
      </c>
      <c r="B56" s="28">
        <v>0</v>
      </c>
      <c r="C56" s="28">
        <v>0</v>
      </c>
      <c r="D56" s="28">
        <v>50714.29926</v>
      </c>
      <c r="E56" s="28">
        <v>77564.404203183352</v>
      </c>
      <c r="F56" s="28">
        <v>203514.21814000001</v>
      </c>
      <c r="G56" s="28">
        <v>162820.63153978225</v>
      </c>
      <c r="H56" s="29">
        <v>0.5294385476082264</v>
      </c>
      <c r="I56" s="29">
        <v>-0.19995451409799847</v>
      </c>
      <c r="J56" s="29">
        <v>-5.445290637970901E-2</v>
      </c>
    </row>
    <row r="57" spans="1:10" ht="11.25" customHeight="1" x14ac:dyDescent="0.2">
      <c r="A57" s="38">
        <v>44440</v>
      </c>
      <c r="B57" s="28">
        <v>0</v>
      </c>
      <c r="C57" s="28">
        <v>0</v>
      </c>
      <c r="D57" s="28">
        <v>50947.214759999995</v>
      </c>
      <c r="E57" s="28">
        <v>77920.634147218792</v>
      </c>
      <c r="F57" s="28">
        <v>204448.89764000001</v>
      </c>
      <c r="G57" s="28">
        <v>163568.41765452237</v>
      </c>
      <c r="H57" s="29">
        <v>0.5294385476082264</v>
      </c>
      <c r="I57" s="29">
        <v>-0.19995451409799847</v>
      </c>
      <c r="J57" s="29">
        <v>-5.445290637970901E-2</v>
      </c>
    </row>
    <row r="58" spans="1:10" ht="11.25" customHeight="1" x14ac:dyDescent="0.2">
      <c r="A58" s="38">
        <v>44470</v>
      </c>
      <c r="B58" s="28">
        <v>0</v>
      </c>
      <c r="C58" s="28">
        <v>0</v>
      </c>
      <c r="D58" s="28">
        <v>50925.169799999996</v>
      </c>
      <c r="E58" s="28">
        <v>77886.917735614305</v>
      </c>
      <c r="F58" s="28">
        <v>204360.43220000001</v>
      </c>
      <c r="G58" s="28">
        <v>163497.64127859205</v>
      </c>
      <c r="H58" s="29">
        <v>0.5294385476082264</v>
      </c>
      <c r="I58" s="29">
        <v>-0.19995451409799847</v>
      </c>
      <c r="J58" s="29">
        <v>-5.445290637970901E-2</v>
      </c>
    </row>
    <row r="59" spans="1:10" ht="11.25" customHeight="1" x14ac:dyDescent="0.2">
      <c r="A59" s="38">
        <v>44501</v>
      </c>
      <c r="B59" s="28">
        <v>0</v>
      </c>
      <c r="C59" s="28">
        <v>0</v>
      </c>
      <c r="D59" s="28">
        <v>50695.994070000001</v>
      </c>
      <c r="E59" s="28">
        <v>77536.407539976062</v>
      </c>
      <c r="F59" s="28">
        <v>203440.76023000001</v>
      </c>
      <c r="G59" s="28">
        <v>162761.86187048297</v>
      </c>
      <c r="H59" s="29">
        <v>0.5294385476082264</v>
      </c>
      <c r="I59" s="29">
        <v>-0.19995451409799836</v>
      </c>
      <c r="J59" s="29">
        <v>-5.4452906379708899E-2</v>
      </c>
    </row>
    <row r="60" spans="1:10" ht="11.25" customHeight="1" x14ac:dyDescent="0.2">
      <c r="A60" s="38">
        <v>44531</v>
      </c>
      <c r="B60" s="28">
        <v>0</v>
      </c>
      <c r="C60" s="28">
        <v>0</v>
      </c>
      <c r="D60" s="28">
        <v>52208.895059999995</v>
      </c>
      <c r="E60" s="28">
        <v>79850.296632796701</v>
      </c>
      <c r="F60" s="28">
        <v>209511.96434000001</v>
      </c>
      <c r="G60" s="28">
        <v>167619.1013126781</v>
      </c>
      <c r="H60" s="29">
        <v>0.5294385476082264</v>
      </c>
      <c r="I60" s="29">
        <v>-0.19995451409799858</v>
      </c>
      <c r="J60" s="29">
        <v>-5.4452906379709121E-2</v>
      </c>
    </row>
    <row r="61" spans="1:10" ht="11.25" customHeight="1" x14ac:dyDescent="0.2">
      <c r="A61" s="38">
        <v>44562</v>
      </c>
      <c r="B61" s="28">
        <v>0</v>
      </c>
      <c r="C61" s="28">
        <v>0</v>
      </c>
      <c r="D61" s="28">
        <v>56231.969039999996</v>
      </c>
      <c r="E61" s="28">
        <v>86003.341057688347</v>
      </c>
      <c r="F61" s="28">
        <v>225656.38056000002</v>
      </c>
      <c r="G61" s="28">
        <v>180535.36863201219</v>
      </c>
      <c r="H61" s="29">
        <v>0.5294385476082264</v>
      </c>
      <c r="I61" s="29">
        <v>-0.19995451409799847</v>
      </c>
      <c r="J61" s="29">
        <v>-5.4452906379709121E-2</v>
      </c>
    </row>
    <row r="62" spans="1:10" ht="11.25" customHeight="1" x14ac:dyDescent="0.2">
      <c r="A62" s="38">
        <v>44593</v>
      </c>
      <c r="B62" s="28">
        <v>0</v>
      </c>
      <c r="C62" s="28">
        <v>0</v>
      </c>
      <c r="D62" s="28">
        <v>53538.022440000001</v>
      </c>
      <c r="E62" s="28">
        <v>81883.115282450235</v>
      </c>
      <c r="F62" s="28">
        <v>214845.69316000002</v>
      </c>
      <c r="G62" s="28">
        <v>171886.32697814456</v>
      </c>
      <c r="H62" s="29">
        <v>0.5294385476082264</v>
      </c>
      <c r="I62" s="29">
        <v>-0.19995451409799847</v>
      </c>
      <c r="J62" s="29">
        <v>-5.4452906379708788E-2</v>
      </c>
    </row>
    <row r="63" spans="1:10" ht="11.25" customHeight="1" x14ac:dyDescent="0.2">
      <c r="A63" s="38">
        <v>44621</v>
      </c>
      <c r="B63" s="28">
        <v>0</v>
      </c>
      <c r="C63" s="28">
        <v>0</v>
      </c>
      <c r="D63" s="28">
        <v>64237.701240000002</v>
      </c>
      <c r="E63" s="28">
        <v>98247.616486196755</v>
      </c>
      <c r="F63" s="28">
        <v>257783.02636000002</v>
      </c>
      <c r="G63" s="28">
        <v>206238.14658147469</v>
      </c>
      <c r="H63" s="29">
        <v>0.52943854760822617</v>
      </c>
      <c r="I63" s="29">
        <v>-0.19995451409799847</v>
      </c>
      <c r="J63" s="29">
        <v>-5.445290637970901E-2</v>
      </c>
    </row>
    <row r="64" spans="1:10" ht="11.25" customHeight="1" x14ac:dyDescent="0.2">
      <c r="A64" s="38">
        <v>44652</v>
      </c>
      <c r="B64" s="28">
        <v>0</v>
      </c>
      <c r="C64" s="28">
        <v>0</v>
      </c>
      <c r="D64" s="28">
        <v>53315.276490000004</v>
      </c>
      <c r="E64" s="28">
        <v>81542.439040196623</v>
      </c>
      <c r="F64" s="28">
        <v>213951.82361000002</v>
      </c>
      <c r="G64" s="28">
        <v>171171.19067968181</v>
      </c>
      <c r="H64" s="29">
        <v>0.5294385476082264</v>
      </c>
      <c r="I64" s="29">
        <v>-0.19995451409799836</v>
      </c>
      <c r="J64" s="29">
        <v>-5.445290637970901E-2</v>
      </c>
    </row>
    <row r="65" spans="1:10" ht="11.25" customHeight="1" x14ac:dyDescent="0.2">
      <c r="A65" s="37" t="s">
        <v>25</v>
      </c>
      <c r="B65" s="28">
        <v>904968.12000000011</v>
      </c>
      <c r="C65" s="28">
        <v>781309.84400423581</v>
      </c>
      <c r="D65" s="28">
        <v>0</v>
      </c>
      <c r="E65" s="28">
        <v>0</v>
      </c>
      <c r="F65" s="28">
        <v>0</v>
      </c>
      <c r="G65" s="28">
        <v>0</v>
      </c>
      <c r="H65" s="29">
        <v>-0.13664379248604297</v>
      </c>
      <c r="I65" s="29">
        <v>0</v>
      </c>
      <c r="J65" s="29">
        <v>-0.13664379248604297</v>
      </c>
    </row>
    <row r="66" spans="1:10" ht="11.25" customHeight="1" x14ac:dyDescent="0.2">
      <c r="A66" s="38">
        <v>44317</v>
      </c>
      <c r="B66" s="28">
        <v>69803.16</v>
      </c>
      <c r="C66" s="28">
        <v>60264.99149008996</v>
      </c>
      <c r="D66" s="28">
        <v>0</v>
      </c>
      <c r="E66" s="28">
        <v>0</v>
      </c>
      <c r="F66" s="28">
        <v>0</v>
      </c>
      <c r="G66" s="28">
        <v>0</v>
      </c>
      <c r="H66" s="29">
        <v>-0.13664379248604275</v>
      </c>
      <c r="I66" s="29">
        <v>0</v>
      </c>
      <c r="J66" s="29">
        <v>-0.13664379248604275</v>
      </c>
    </row>
    <row r="67" spans="1:10" ht="11.25" customHeight="1" x14ac:dyDescent="0.2">
      <c r="A67" s="38">
        <v>44348</v>
      </c>
      <c r="B67" s="28">
        <v>70402.080000000002</v>
      </c>
      <c r="C67" s="28">
        <v>60782.07278989422</v>
      </c>
      <c r="D67" s="28">
        <v>0</v>
      </c>
      <c r="E67" s="28">
        <v>0</v>
      </c>
      <c r="F67" s="28">
        <v>0</v>
      </c>
      <c r="G67" s="28">
        <v>0</v>
      </c>
      <c r="H67" s="29">
        <v>-0.13664379248604275</v>
      </c>
      <c r="I67" s="29">
        <v>0</v>
      </c>
      <c r="J67" s="29">
        <v>-0.13664379248604275</v>
      </c>
    </row>
    <row r="68" spans="1:10" ht="11.25" customHeight="1" x14ac:dyDescent="0.2">
      <c r="A68" s="38">
        <v>44378</v>
      </c>
      <c r="B68" s="28">
        <v>69783.839999999997</v>
      </c>
      <c r="C68" s="28">
        <v>60248.311448160792</v>
      </c>
      <c r="D68" s="28">
        <v>0</v>
      </c>
      <c r="E68" s="28">
        <v>0</v>
      </c>
      <c r="F68" s="28">
        <v>0</v>
      </c>
      <c r="G68" s="28">
        <v>0</v>
      </c>
      <c r="H68" s="29">
        <v>-0.13664379248604264</v>
      </c>
      <c r="I68" s="29">
        <v>0</v>
      </c>
      <c r="J68" s="29">
        <v>-0.13664379248604264</v>
      </c>
    </row>
    <row r="69" spans="1:10" ht="11.25" customHeight="1" x14ac:dyDescent="0.2">
      <c r="A69" s="38">
        <v>44409</v>
      </c>
      <c r="B69" s="28">
        <v>71116.92</v>
      </c>
      <c r="C69" s="28">
        <v>61399.234341273492</v>
      </c>
      <c r="D69" s="28">
        <v>0</v>
      </c>
      <c r="E69" s="28">
        <v>0</v>
      </c>
      <c r="F69" s="28">
        <v>0</v>
      </c>
      <c r="G69" s="28">
        <v>0</v>
      </c>
      <c r="H69" s="29">
        <v>-0.13664379248604275</v>
      </c>
      <c r="I69" s="29">
        <v>0</v>
      </c>
      <c r="J69" s="29">
        <v>-0.13664379248604275</v>
      </c>
    </row>
    <row r="70" spans="1:10" ht="11.25" customHeight="1" x14ac:dyDescent="0.2">
      <c r="A70" s="38">
        <v>44440</v>
      </c>
      <c r="B70" s="28">
        <v>71773.8</v>
      </c>
      <c r="C70" s="28">
        <v>61966.355766865265</v>
      </c>
      <c r="D70" s="28">
        <v>0</v>
      </c>
      <c r="E70" s="28">
        <v>0</v>
      </c>
      <c r="F70" s="28">
        <v>0</v>
      </c>
      <c r="G70" s="28">
        <v>0</v>
      </c>
      <c r="H70" s="29">
        <v>-0.13664379248604275</v>
      </c>
      <c r="I70" s="29">
        <v>0</v>
      </c>
      <c r="J70" s="29">
        <v>-0.13664379248604275</v>
      </c>
    </row>
    <row r="71" spans="1:10" ht="11.25" customHeight="1" x14ac:dyDescent="0.2">
      <c r="A71" s="38">
        <v>44470</v>
      </c>
      <c r="B71" s="28">
        <v>72527.28</v>
      </c>
      <c r="C71" s="28">
        <v>62616.87740210288</v>
      </c>
      <c r="D71" s="28">
        <v>0</v>
      </c>
      <c r="E71" s="28">
        <v>0</v>
      </c>
      <c r="F71" s="28">
        <v>0</v>
      </c>
      <c r="G71" s="28">
        <v>0</v>
      </c>
      <c r="H71" s="29">
        <v>-0.13664379248604275</v>
      </c>
      <c r="I71" s="29">
        <v>0</v>
      </c>
      <c r="J71" s="29">
        <v>-0.13664379248604275</v>
      </c>
    </row>
    <row r="72" spans="1:10" ht="11.25" customHeight="1" x14ac:dyDescent="0.2">
      <c r="A72" s="38">
        <v>44501</v>
      </c>
      <c r="B72" s="28">
        <v>75174.12</v>
      </c>
      <c r="C72" s="28">
        <v>64902.043146399119</v>
      </c>
      <c r="D72" s="28">
        <v>0</v>
      </c>
      <c r="E72" s="28">
        <v>0</v>
      </c>
      <c r="F72" s="28">
        <v>0</v>
      </c>
      <c r="G72" s="28">
        <v>0</v>
      </c>
      <c r="H72" s="29">
        <v>-0.13664379248604275</v>
      </c>
      <c r="I72" s="29">
        <v>0</v>
      </c>
      <c r="J72" s="29">
        <v>-0.13664379248604275</v>
      </c>
    </row>
    <row r="73" spans="1:10" ht="11.25" customHeight="1" x14ac:dyDescent="0.2">
      <c r="A73" s="38">
        <v>44531</v>
      </c>
      <c r="B73" s="28">
        <v>77222.040000000008</v>
      </c>
      <c r="C73" s="28">
        <v>66670.127590891105</v>
      </c>
      <c r="D73" s="28">
        <v>0</v>
      </c>
      <c r="E73" s="28">
        <v>0</v>
      </c>
      <c r="F73" s="28">
        <v>0</v>
      </c>
      <c r="G73" s="28">
        <v>0</v>
      </c>
      <c r="H73" s="29">
        <v>-0.13664379248604286</v>
      </c>
      <c r="I73" s="29">
        <v>0</v>
      </c>
      <c r="J73" s="29">
        <v>-0.13664379248604286</v>
      </c>
    </row>
    <row r="74" spans="1:10" ht="11.25" customHeight="1" x14ac:dyDescent="0.2">
      <c r="A74" s="38">
        <v>44562</v>
      </c>
      <c r="B74" s="28">
        <v>79675.680000000008</v>
      </c>
      <c r="C74" s="28">
        <v>68788.492915895651</v>
      </c>
      <c r="D74" s="28">
        <v>0</v>
      </c>
      <c r="E74" s="28">
        <v>0</v>
      </c>
      <c r="F74" s="28">
        <v>0</v>
      </c>
      <c r="G74" s="28">
        <v>0</v>
      </c>
      <c r="H74" s="29">
        <v>-0.13664379248604286</v>
      </c>
      <c r="I74" s="29">
        <v>0</v>
      </c>
      <c r="J74" s="29">
        <v>-0.13664379248604286</v>
      </c>
    </row>
    <row r="75" spans="1:10" ht="11.25" customHeight="1" x14ac:dyDescent="0.2">
      <c r="A75" s="38">
        <v>44593</v>
      </c>
      <c r="B75" s="28">
        <v>80738.28</v>
      </c>
      <c r="C75" s="28">
        <v>69705.895221999992</v>
      </c>
      <c r="D75" s="28">
        <v>0</v>
      </c>
      <c r="E75" s="28">
        <v>0</v>
      </c>
      <c r="F75" s="28">
        <v>0</v>
      </c>
      <c r="G75" s="28">
        <v>0</v>
      </c>
      <c r="H75" s="29">
        <v>-0.13664379248604264</v>
      </c>
      <c r="I75" s="29">
        <v>0</v>
      </c>
      <c r="J75" s="29">
        <v>-0.13664379248604264</v>
      </c>
    </row>
    <row r="76" spans="1:10" ht="11.25" customHeight="1" x14ac:dyDescent="0.2">
      <c r="A76" s="38">
        <v>44621</v>
      </c>
      <c r="B76" s="28">
        <v>83327.16</v>
      </c>
      <c r="C76" s="28">
        <v>71941.020840508718</v>
      </c>
      <c r="D76" s="28">
        <v>0</v>
      </c>
      <c r="E76" s="28">
        <v>0</v>
      </c>
      <c r="F76" s="28">
        <v>0</v>
      </c>
      <c r="G76" s="28">
        <v>0</v>
      </c>
      <c r="H76" s="29">
        <v>-0.13664379248604275</v>
      </c>
      <c r="I76" s="29">
        <v>0</v>
      </c>
      <c r="J76" s="29">
        <v>-0.13664379248604275</v>
      </c>
    </row>
    <row r="77" spans="1:10" ht="11.25" customHeight="1" x14ac:dyDescent="0.2">
      <c r="A77" s="38">
        <v>44652</v>
      </c>
      <c r="B77" s="28">
        <v>83423.759999999995</v>
      </c>
      <c r="C77" s="28">
        <v>72024.42105015456</v>
      </c>
      <c r="D77" s="28">
        <v>0</v>
      </c>
      <c r="E77" s="28">
        <v>0</v>
      </c>
      <c r="F77" s="28">
        <v>0</v>
      </c>
      <c r="G77" s="28">
        <v>0</v>
      </c>
      <c r="H77" s="29">
        <v>-0.13664379248604275</v>
      </c>
      <c r="I77" s="29">
        <v>0</v>
      </c>
      <c r="J77" s="29">
        <v>-0.13664379248604275</v>
      </c>
    </row>
    <row r="78" spans="1:10" ht="11.25" customHeight="1" x14ac:dyDescent="0.2">
      <c r="A78" s="37" t="s">
        <v>35</v>
      </c>
      <c r="B78" s="28">
        <v>0</v>
      </c>
      <c r="C78" s="28">
        <v>0</v>
      </c>
      <c r="D78" s="28">
        <v>587279.36925000011</v>
      </c>
      <c r="E78" s="28">
        <v>604791.55647207785</v>
      </c>
      <c r="F78" s="28">
        <v>163080.50955000002</v>
      </c>
      <c r="G78" s="28">
        <v>130471.82550407578</v>
      </c>
      <c r="H78" s="29">
        <v>2.9819176594679586E-2</v>
      </c>
      <c r="I78" s="29">
        <v>-0.19995451409799836</v>
      </c>
      <c r="J78" s="29">
        <v>-2.0119008558918794E-2</v>
      </c>
    </row>
    <row r="79" spans="1:10" ht="11.25" customHeight="1" x14ac:dyDescent="0.2">
      <c r="A79" s="38">
        <v>44317</v>
      </c>
      <c r="B79" s="28">
        <v>0</v>
      </c>
      <c r="C79" s="28">
        <v>0</v>
      </c>
      <c r="D79" s="28">
        <v>44381.0052</v>
      </c>
      <c r="E79" s="28">
        <v>45704.410231508191</v>
      </c>
      <c r="F79" s="28">
        <v>12324.078320000001</v>
      </c>
      <c r="G79" s="28">
        <v>9859.8232278187243</v>
      </c>
      <c r="H79" s="29">
        <v>2.9819176594679586E-2</v>
      </c>
      <c r="I79" s="29">
        <v>-0.19995451409799836</v>
      </c>
      <c r="J79" s="29">
        <v>-2.0119008558918683E-2</v>
      </c>
    </row>
    <row r="80" spans="1:10" ht="11.25" customHeight="1" x14ac:dyDescent="0.2">
      <c r="A80" s="38">
        <v>44348</v>
      </c>
      <c r="B80" s="28">
        <v>0</v>
      </c>
      <c r="C80" s="28">
        <v>0</v>
      </c>
      <c r="D80" s="28">
        <v>45455.259149999998</v>
      </c>
      <c r="E80" s="28">
        <v>46810.697549750774</v>
      </c>
      <c r="F80" s="28">
        <v>12622.385890000001</v>
      </c>
      <c r="G80" s="28">
        <v>10098.48285260762</v>
      </c>
      <c r="H80" s="29">
        <v>2.9819176594679586E-2</v>
      </c>
      <c r="I80" s="29">
        <v>-0.19995451409799836</v>
      </c>
      <c r="J80" s="29">
        <v>-2.0119008558918794E-2</v>
      </c>
    </row>
    <row r="81" spans="1:10" ht="11.25" customHeight="1" x14ac:dyDescent="0.2">
      <c r="A81" s="38">
        <v>44378</v>
      </c>
      <c r="B81" s="28">
        <v>0</v>
      </c>
      <c r="C81" s="28">
        <v>0</v>
      </c>
      <c r="D81" s="28">
        <v>52343.568899999998</v>
      </c>
      <c r="E81" s="28">
        <v>53904.411024624875</v>
      </c>
      <c r="F81" s="28">
        <v>14535.187740000001</v>
      </c>
      <c r="G81" s="28">
        <v>11628.811338125117</v>
      </c>
      <c r="H81" s="29">
        <v>2.9819176594679586E-2</v>
      </c>
      <c r="I81" s="29">
        <v>-0.19995451409799847</v>
      </c>
      <c r="J81" s="29">
        <v>-2.0119008558918905E-2</v>
      </c>
    </row>
    <row r="82" spans="1:10" ht="11.25" customHeight="1" x14ac:dyDescent="0.2">
      <c r="A82" s="38">
        <v>44409</v>
      </c>
      <c r="B82" s="28">
        <v>0</v>
      </c>
      <c r="C82" s="28">
        <v>0</v>
      </c>
      <c r="D82" s="28">
        <v>48082.582800000004</v>
      </c>
      <c r="E82" s="28">
        <v>49516.365827641501</v>
      </c>
      <c r="F82" s="28">
        <v>13351.962480000002</v>
      </c>
      <c r="G82" s="28">
        <v>10682.177310056895</v>
      </c>
      <c r="H82" s="29">
        <v>2.9819176594679364E-2</v>
      </c>
      <c r="I82" s="29">
        <v>-0.19995451409799847</v>
      </c>
      <c r="J82" s="29">
        <v>-2.0119008558918905E-2</v>
      </c>
    </row>
    <row r="83" spans="1:10" ht="11.25" customHeight="1" x14ac:dyDescent="0.2">
      <c r="A83" s="38">
        <v>44440</v>
      </c>
      <c r="B83" s="28">
        <v>0</v>
      </c>
      <c r="C83" s="28">
        <v>0</v>
      </c>
      <c r="D83" s="28">
        <v>48135.679199999999</v>
      </c>
      <c r="E83" s="28">
        <v>49571.045518569641</v>
      </c>
      <c r="F83" s="28">
        <v>13366.706720000002</v>
      </c>
      <c r="G83" s="28">
        <v>10693.973372711951</v>
      </c>
      <c r="H83" s="29">
        <v>2.9819176594679586E-2</v>
      </c>
      <c r="I83" s="29">
        <v>-0.19995451409799847</v>
      </c>
      <c r="J83" s="29">
        <v>-2.0119008558918794E-2</v>
      </c>
    </row>
    <row r="84" spans="1:10" ht="11.25" customHeight="1" x14ac:dyDescent="0.2">
      <c r="A84" s="38">
        <v>44470</v>
      </c>
      <c r="B84" s="28">
        <v>0</v>
      </c>
      <c r="C84" s="28">
        <v>0</v>
      </c>
      <c r="D84" s="28">
        <v>41636.110949999995</v>
      </c>
      <c r="E84" s="28">
        <v>42877.665495133711</v>
      </c>
      <c r="F84" s="28">
        <v>11561.853770000002</v>
      </c>
      <c r="G84" s="28">
        <v>9250.008917347539</v>
      </c>
      <c r="H84" s="29">
        <v>2.9819176594679364E-2</v>
      </c>
      <c r="I84" s="29">
        <v>-0.19995451409799847</v>
      </c>
      <c r="J84" s="29">
        <v>-2.0119008558918794E-2</v>
      </c>
    </row>
    <row r="85" spans="1:10" ht="11.25" customHeight="1" x14ac:dyDescent="0.2">
      <c r="A85" s="38">
        <v>44501</v>
      </c>
      <c r="B85" s="28">
        <v>0</v>
      </c>
      <c r="C85" s="28">
        <v>0</v>
      </c>
      <c r="D85" s="28">
        <v>48489.33915</v>
      </c>
      <c r="E85" s="28">
        <v>49935.251317073154</v>
      </c>
      <c r="F85" s="28">
        <v>13464.91389</v>
      </c>
      <c r="G85" s="28">
        <v>10772.54357575366</v>
      </c>
      <c r="H85" s="29">
        <v>2.9819176594679364E-2</v>
      </c>
      <c r="I85" s="29">
        <v>-0.19995451409799847</v>
      </c>
      <c r="J85" s="29">
        <v>-2.0119008558918794E-2</v>
      </c>
    </row>
    <row r="86" spans="1:10" ht="11.25" customHeight="1" x14ac:dyDescent="0.2">
      <c r="A86" s="38">
        <v>44531</v>
      </c>
      <c r="B86" s="28">
        <v>0</v>
      </c>
      <c r="C86" s="28">
        <v>0</v>
      </c>
      <c r="D86" s="28">
        <v>50036.719949999999</v>
      </c>
      <c r="E86" s="28">
        <v>51528.773738407566</v>
      </c>
      <c r="F86" s="28">
        <v>13894.603170000002</v>
      </c>
      <c r="G86" s="28">
        <v>11116.314544558143</v>
      </c>
      <c r="H86" s="29">
        <v>2.9819176594679364E-2</v>
      </c>
      <c r="I86" s="29">
        <v>-0.19995451409799847</v>
      </c>
      <c r="J86" s="29">
        <v>-2.0119008558919016E-2</v>
      </c>
    </row>
    <row r="87" spans="1:10" ht="11.25" customHeight="1" x14ac:dyDescent="0.2">
      <c r="A87" s="38">
        <v>44562</v>
      </c>
      <c r="B87" s="28">
        <v>0</v>
      </c>
      <c r="C87" s="28">
        <v>0</v>
      </c>
      <c r="D87" s="28">
        <v>48051.293850000002</v>
      </c>
      <c r="E87" s="28">
        <v>49484.143866915991</v>
      </c>
      <c r="F87" s="28">
        <v>13343.273910000002</v>
      </c>
      <c r="G87" s="28">
        <v>10675.226058849452</v>
      </c>
      <c r="H87" s="29">
        <v>2.9819176594679586E-2</v>
      </c>
      <c r="I87" s="29">
        <v>-0.19995451409799847</v>
      </c>
      <c r="J87" s="29">
        <v>-2.0119008558918794E-2</v>
      </c>
    </row>
    <row r="88" spans="1:10" ht="11.25" customHeight="1" x14ac:dyDescent="0.2">
      <c r="A88" s="38">
        <v>44593</v>
      </c>
      <c r="B88" s="28">
        <v>0</v>
      </c>
      <c r="C88" s="28">
        <v>0</v>
      </c>
      <c r="D88" s="28">
        <v>48046.553099999997</v>
      </c>
      <c r="E88" s="28">
        <v>49479.261751654543</v>
      </c>
      <c r="F88" s="28">
        <v>13341.957460000001</v>
      </c>
      <c r="G88" s="28">
        <v>10674.172838969534</v>
      </c>
      <c r="H88" s="29">
        <v>2.9819176594679586E-2</v>
      </c>
      <c r="I88" s="29">
        <v>-0.19995451409799858</v>
      </c>
      <c r="J88" s="29">
        <v>-2.0119008558918794E-2</v>
      </c>
    </row>
    <row r="89" spans="1:10" ht="11.25" customHeight="1" x14ac:dyDescent="0.2">
      <c r="A89" s="38">
        <v>44621</v>
      </c>
      <c r="B89" s="28">
        <v>0</v>
      </c>
      <c r="C89" s="28">
        <v>0</v>
      </c>
      <c r="D89" s="28">
        <v>65828.158199999991</v>
      </c>
      <c r="E89" s="28">
        <v>67791.099674268291</v>
      </c>
      <c r="F89" s="28">
        <v>18279.698120000001</v>
      </c>
      <c r="G89" s="28">
        <v>14624.589964557304</v>
      </c>
      <c r="H89" s="29">
        <v>2.9819176594679586E-2</v>
      </c>
      <c r="I89" s="29">
        <v>-0.19995451409799847</v>
      </c>
      <c r="J89" s="29">
        <v>-2.0119008558918794E-2</v>
      </c>
    </row>
    <row r="90" spans="1:10" ht="11.25" customHeight="1" x14ac:dyDescent="0.2">
      <c r="A90" s="38">
        <v>44652</v>
      </c>
      <c r="B90" s="28">
        <v>0</v>
      </c>
      <c r="C90" s="28">
        <v>0</v>
      </c>
      <c r="D90" s="28">
        <v>46793.098799999992</v>
      </c>
      <c r="E90" s="28">
        <v>48188.43047652948</v>
      </c>
      <c r="F90" s="28">
        <v>12993.888080000001</v>
      </c>
      <c r="G90" s="28">
        <v>10395.701502719827</v>
      </c>
      <c r="H90" s="29">
        <v>2.9819176594679586E-2</v>
      </c>
      <c r="I90" s="29">
        <v>-0.19995451409799847</v>
      </c>
      <c r="J90" s="29">
        <v>-2.0119008558918794E-2</v>
      </c>
    </row>
    <row r="91" spans="1:10" ht="11.25" customHeight="1" x14ac:dyDescent="0.2">
      <c r="A91" s="33" t="s">
        <v>40</v>
      </c>
      <c r="B91" s="28">
        <v>1016753.6399999999</v>
      </c>
      <c r="C91" s="28">
        <v>877820.56660641136</v>
      </c>
      <c r="D91" s="28">
        <v>861566.41908000014</v>
      </c>
      <c r="E91" s="28">
        <v>1118629.8022148851</v>
      </c>
      <c r="F91" s="28">
        <v>1969037.4345200001</v>
      </c>
      <c r="G91" s="28">
        <v>1575319.5110597846</v>
      </c>
      <c r="H91" s="29">
        <v>6.2891470050720155E-2</v>
      </c>
      <c r="I91" s="29">
        <v>-0.19995451409799869</v>
      </c>
      <c r="J91" s="29">
        <v>-7.1630362964022476E-2</v>
      </c>
    </row>
    <row r="92" spans="1:10" ht="11.25" customHeight="1" x14ac:dyDescent="0.2">
      <c r="A92" s="34" t="s">
        <v>25</v>
      </c>
      <c r="B92" s="28">
        <v>1016753.6399999999</v>
      </c>
      <c r="C92" s="28">
        <v>877820.56660641136</v>
      </c>
      <c r="D92" s="28">
        <v>861566.41908000014</v>
      </c>
      <c r="E92" s="28">
        <v>1118629.8022148851</v>
      </c>
      <c r="F92" s="28">
        <v>1969037.4345200001</v>
      </c>
      <c r="G92" s="28">
        <v>1575319.5110597846</v>
      </c>
      <c r="H92" s="29">
        <v>6.2891470050720155E-2</v>
      </c>
      <c r="I92" s="29">
        <v>-0.19995451409799869</v>
      </c>
      <c r="J92" s="29">
        <v>-7.1630362964022476E-2</v>
      </c>
    </row>
    <row r="93" spans="1:10" ht="11.25" customHeight="1" x14ac:dyDescent="0.2">
      <c r="A93" s="35" t="s">
        <v>25</v>
      </c>
      <c r="B93" s="28">
        <v>1016753.6399999999</v>
      </c>
      <c r="C93" s="28">
        <v>877820.56660641136</v>
      </c>
      <c r="D93" s="28">
        <v>861566.41908000014</v>
      </c>
      <c r="E93" s="28">
        <v>1118629.8022148851</v>
      </c>
      <c r="F93" s="28">
        <v>1969037.4345200001</v>
      </c>
      <c r="G93" s="28">
        <v>1575319.5110597846</v>
      </c>
      <c r="H93" s="29">
        <v>6.2891470050720155E-2</v>
      </c>
      <c r="I93" s="29">
        <v>-0.19995451409799869</v>
      </c>
      <c r="J93" s="29">
        <v>-7.1630362964022476E-2</v>
      </c>
    </row>
    <row r="94" spans="1:10" ht="11.25" customHeight="1" x14ac:dyDescent="0.2">
      <c r="A94" s="36" t="s">
        <v>25</v>
      </c>
      <c r="B94" s="28">
        <v>1016753.6399999999</v>
      </c>
      <c r="C94" s="28">
        <v>877820.56660641136</v>
      </c>
      <c r="D94" s="28">
        <v>861566.41908000014</v>
      </c>
      <c r="E94" s="28">
        <v>1118629.8022148851</v>
      </c>
      <c r="F94" s="28">
        <v>1969037.4345200001</v>
      </c>
      <c r="G94" s="28">
        <v>1575319.5110597846</v>
      </c>
      <c r="H94" s="29">
        <v>6.2891470050720155E-2</v>
      </c>
      <c r="I94" s="29">
        <v>-0.19995451409799869</v>
      </c>
      <c r="J94" s="29">
        <v>-7.1630362964022476E-2</v>
      </c>
    </row>
    <row r="95" spans="1:10" ht="11.25" customHeight="1" x14ac:dyDescent="0.2">
      <c r="A95" s="37" t="s">
        <v>36</v>
      </c>
      <c r="B95" s="28">
        <v>0</v>
      </c>
      <c r="C95" s="28">
        <v>0</v>
      </c>
      <c r="D95" s="28">
        <v>463096.90007999999</v>
      </c>
      <c r="E95" s="28">
        <v>708278.25026022713</v>
      </c>
      <c r="F95" s="28">
        <v>1858387.1791200005</v>
      </c>
      <c r="G95" s="28">
        <v>1486794.2737131109</v>
      </c>
      <c r="H95" s="29">
        <v>0.52943854760822662</v>
      </c>
      <c r="I95" s="29">
        <v>-0.19995451409799836</v>
      </c>
      <c r="J95" s="29">
        <v>-5.445290637970901E-2</v>
      </c>
    </row>
    <row r="96" spans="1:10" ht="11.25" customHeight="1" x14ac:dyDescent="0.2">
      <c r="A96" s="38">
        <v>44317</v>
      </c>
      <c r="B96" s="28">
        <v>0</v>
      </c>
      <c r="C96" s="28">
        <v>0</v>
      </c>
      <c r="D96" s="28">
        <v>81113.971049999993</v>
      </c>
      <c r="E96" s="28">
        <v>124058.83407344774</v>
      </c>
      <c r="F96" s="28">
        <v>325506.74345000007</v>
      </c>
      <c r="G96" s="28">
        <v>260420.20072783343</v>
      </c>
      <c r="H96" s="29">
        <v>0.52943854760822684</v>
      </c>
      <c r="I96" s="29">
        <v>-0.19995451409799858</v>
      </c>
      <c r="J96" s="29">
        <v>-5.445290637970901E-2</v>
      </c>
    </row>
    <row r="97" spans="1:10" ht="11.25" customHeight="1" x14ac:dyDescent="0.2">
      <c r="A97" s="38">
        <v>44348</v>
      </c>
      <c r="B97" s="28">
        <v>0</v>
      </c>
      <c r="C97" s="28">
        <v>0</v>
      </c>
      <c r="D97" s="28">
        <v>49662.242910000001</v>
      </c>
      <c r="E97" s="28">
        <v>75955.34866723734</v>
      </c>
      <c r="F97" s="28">
        <v>199292.36299000002</v>
      </c>
      <c r="G97" s="28">
        <v>159442.95538489264</v>
      </c>
      <c r="H97" s="29">
        <v>0.5294385476082264</v>
      </c>
      <c r="I97" s="29">
        <v>-0.19995451409799847</v>
      </c>
      <c r="J97" s="29">
        <v>-5.445290637970901E-2</v>
      </c>
    </row>
    <row r="98" spans="1:10" ht="11.25" customHeight="1" x14ac:dyDescent="0.2">
      <c r="A98" s="38">
        <v>44378</v>
      </c>
      <c r="B98" s="28">
        <v>0</v>
      </c>
      <c r="C98" s="28">
        <v>0</v>
      </c>
      <c r="D98" s="28">
        <v>36985.734809999994</v>
      </c>
      <c r="E98" s="28">
        <v>56567.408530029425</v>
      </c>
      <c r="F98" s="28">
        <v>148422.10209</v>
      </c>
      <c r="G98" s="28">
        <v>118744.43278519054</v>
      </c>
      <c r="H98" s="29">
        <v>0.52943854760822662</v>
      </c>
      <c r="I98" s="29">
        <v>-0.19995451409799836</v>
      </c>
      <c r="J98" s="29">
        <v>-5.4452906379708899E-2</v>
      </c>
    </row>
    <row r="99" spans="1:10" ht="11.25" customHeight="1" x14ac:dyDescent="0.2">
      <c r="A99" s="38">
        <v>44409</v>
      </c>
      <c r="B99" s="28">
        <v>0</v>
      </c>
      <c r="C99" s="28">
        <v>0</v>
      </c>
      <c r="D99" s="28">
        <v>41386.984829999994</v>
      </c>
      <c r="E99" s="28">
        <v>63298.849968278897</v>
      </c>
      <c r="F99" s="28">
        <v>166084.12187</v>
      </c>
      <c r="G99" s="28">
        <v>132874.85198209138</v>
      </c>
      <c r="H99" s="29">
        <v>0.52943854760822662</v>
      </c>
      <c r="I99" s="29">
        <v>-0.19995451409799858</v>
      </c>
      <c r="J99" s="29">
        <v>-5.445290637970901E-2</v>
      </c>
    </row>
    <row r="100" spans="1:10" ht="11.25" customHeight="1" x14ac:dyDescent="0.2">
      <c r="A100" s="38">
        <v>44440</v>
      </c>
      <c r="B100" s="28">
        <v>0</v>
      </c>
      <c r="C100" s="28">
        <v>0</v>
      </c>
      <c r="D100" s="28">
        <v>38832.328260000002</v>
      </c>
      <c r="E100" s="28">
        <v>59391.65973422028</v>
      </c>
      <c r="F100" s="28">
        <v>155832.39913999999</v>
      </c>
      <c r="G100" s="28">
        <v>124673.00748923594</v>
      </c>
      <c r="H100" s="29">
        <v>0.52943854760822617</v>
      </c>
      <c r="I100" s="29">
        <v>-0.19995451409799847</v>
      </c>
      <c r="J100" s="29">
        <v>-5.445290637970901E-2</v>
      </c>
    </row>
    <row r="101" spans="1:10" ht="11.25" customHeight="1" x14ac:dyDescent="0.2">
      <c r="A101" s="38">
        <v>44470</v>
      </c>
      <c r="B101" s="28">
        <v>0</v>
      </c>
      <c r="C101" s="28">
        <v>0</v>
      </c>
      <c r="D101" s="28">
        <v>39122.127630000003</v>
      </c>
      <c r="E101" s="28">
        <v>59834.890061770864</v>
      </c>
      <c r="F101" s="28">
        <v>156995.35107000003</v>
      </c>
      <c r="G101" s="28">
        <v>125603.42193115348</v>
      </c>
      <c r="H101" s="29">
        <v>0.5294385476082264</v>
      </c>
      <c r="I101" s="29">
        <v>-0.19995451409799858</v>
      </c>
      <c r="J101" s="29">
        <v>-5.4452906379709121E-2</v>
      </c>
    </row>
    <row r="102" spans="1:10" ht="11.25" customHeight="1" x14ac:dyDescent="0.2">
      <c r="A102" s="38">
        <v>44501</v>
      </c>
      <c r="B102" s="28">
        <v>0</v>
      </c>
      <c r="C102" s="28">
        <v>0</v>
      </c>
      <c r="D102" s="28">
        <v>30440.54682</v>
      </c>
      <c r="E102" s="28">
        <v>46556.945716781018</v>
      </c>
      <c r="F102" s="28">
        <v>122156.55498</v>
      </c>
      <c r="G102" s="28">
        <v>97730.800385088674</v>
      </c>
      <c r="H102" s="29">
        <v>0.52943854760822662</v>
      </c>
      <c r="I102" s="29">
        <v>-0.19995451409799836</v>
      </c>
      <c r="J102" s="29">
        <v>-5.445290637970901E-2</v>
      </c>
    </row>
    <row r="103" spans="1:10" ht="11.25" customHeight="1" x14ac:dyDescent="0.2">
      <c r="A103" s="38">
        <v>44531</v>
      </c>
      <c r="B103" s="28">
        <v>0</v>
      </c>
      <c r="C103" s="28">
        <v>0</v>
      </c>
      <c r="D103" s="28">
        <v>27971.839350000002</v>
      </c>
      <c r="E103" s="28">
        <v>42781.209349394638</v>
      </c>
      <c r="F103" s="28">
        <v>112249.74215000002</v>
      </c>
      <c r="G103" s="28">
        <v>89804.899500771149</v>
      </c>
      <c r="H103" s="29">
        <v>0.5294385476082264</v>
      </c>
      <c r="I103" s="29">
        <v>-0.19995451409799847</v>
      </c>
      <c r="J103" s="29">
        <v>-5.445290637970901E-2</v>
      </c>
    </row>
    <row r="104" spans="1:10" ht="11.25" customHeight="1" x14ac:dyDescent="0.2">
      <c r="A104" s="38">
        <v>44562</v>
      </c>
      <c r="B104" s="28">
        <v>0</v>
      </c>
      <c r="C104" s="28">
        <v>0</v>
      </c>
      <c r="D104" s="28">
        <v>29140.287840000001</v>
      </c>
      <c r="E104" s="28">
        <v>44568.279510895263</v>
      </c>
      <c r="F104" s="28">
        <v>116938.67376000002</v>
      </c>
      <c r="G104" s="28">
        <v>93556.258069054849</v>
      </c>
      <c r="H104" s="29">
        <v>0.5294385476082264</v>
      </c>
      <c r="I104" s="29">
        <v>-0.19995451409799847</v>
      </c>
      <c r="J104" s="29">
        <v>-5.4452906379708899E-2</v>
      </c>
    </row>
    <row r="105" spans="1:10" ht="11.25" customHeight="1" x14ac:dyDescent="0.2">
      <c r="A105" s="38">
        <v>44593</v>
      </c>
      <c r="B105" s="28">
        <v>0</v>
      </c>
      <c r="C105" s="28">
        <v>0</v>
      </c>
      <c r="D105" s="28">
        <v>28633.778639999997</v>
      </c>
      <c r="E105" s="28">
        <v>43793.604815697057</v>
      </c>
      <c r="F105" s="28">
        <v>114906.07496000001</v>
      </c>
      <c r="G105" s="28">
        <v>91930.086574465022</v>
      </c>
      <c r="H105" s="29">
        <v>0.52943854760822662</v>
      </c>
      <c r="I105" s="29">
        <v>-0.19995451409799847</v>
      </c>
      <c r="J105" s="29">
        <v>-5.445290637970901E-2</v>
      </c>
    </row>
    <row r="106" spans="1:10" ht="11.25" customHeight="1" x14ac:dyDescent="0.2">
      <c r="A106" s="38">
        <v>44621</v>
      </c>
      <c r="B106" s="28">
        <v>0</v>
      </c>
      <c r="C106" s="28">
        <v>0</v>
      </c>
      <c r="D106" s="28">
        <v>33506.895779999999</v>
      </c>
      <c r="E106" s="28">
        <v>51246.738016623414</v>
      </c>
      <c r="F106" s="28">
        <v>134461.67642</v>
      </c>
      <c r="G106" s="28">
        <v>107575.45724663662</v>
      </c>
      <c r="H106" s="29">
        <v>0.52943854760822662</v>
      </c>
      <c r="I106" s="29">
        <v>-0.19995451409799836</v>
      </c>
      <c r="J106" s="29">
        <v>-5.4452906379708788E-2</v>
      </c>
    </row>
    <row r="107" spans="1:10" ht="11.25" customHeight="1" x14ac:dyDescent="0.2">
      <c r="A107" s="38">
        <v>44652</v>
      </c>
      <c r="B107" s="28">
        <v>0</v>
      </c>
      <c r="C107" s="28">
        <v>0</v>
      </c>
      <c r="D107" s="28">
        <v>26300.16216</v>
      </c>
      <c r="E107" s="28">
        <v>40224.481815851235</v>
      </c>
      <c r="F107" s="28">
        <v>105541.37624000001</v>
      </c>
      <c r="G107" s="28">
        <v>84437.90163669677</v>
      </c>
      <c r="H107" s="29">
        <v>0.5294385476082264</v>
      </c>
      <c r="I107" s="29">
        <v>-0.19995451409799847</v>
      </c>
      <c r="J107" s="29">
        <v>-5.445290637970901E-2</v>
      </c>
    </row>
    <row r="108" spans="1:10" ht="11.25" customHeight="1" x14ac:dyDescent="0.2">
      <c r="A108" s="37" t="s">
        <v>25</v>
      </c>
      <c r="B108" s="28">
        <v>1016753.6399999999</v>
      </c>
      <c r="C108" s="28">
        <v>877820.56660641136</v>
      </c>
      <c r="D108" s="28">
        <v>0</v>
      </c>
      <c r="E108" s="28">
        <v>0</v>
      </c>
      <c r="F108" s="28">
        <v>0</v>
      </c>
      <c r="G108" s="28">
        <v>0</v>
      </c>
      <c r="H108" s="29">
        <v>-0.13664379248604264</v>
      </c>
      <c r="I108" s="29">
        <v>0</v>
      </c>
      <c r="J108" s="29">
        <v>-0.13664379248604264</v>
      </c>
    </row>
    <row r="109" spans="1:10" ht="11.25" customHeight="1" x14ac:dyDescent="0.2">
      <c r="A109" s="38">
        <v>44317</v>
      </c>
      <c r="B109" s="28">
        <v>121329.60000000001</v>
      </c>
      <c r="C109" s="28">
        <v>104750.66331518543</v>
      </c>
      <c r="D109" s="28">
        <v>0</v>
      </c>
      <c r="E109" s="28">
        <v>0</v>
      </c>
      <c r="F109" s="28">
        <v>0</v>
      </c>
      <c r="G109" s="28">
        <v>0</v>
      </c>
      <c r="H109" s="29">
        <v>-0.13664379248604275</v>
      </c>
      <c r="I109" s="29">
        <v>0</v>
      </c>
      <c r="J109" s="29">
        <v>-0.13664379248604275</v>
      </c>
    </row>
    <row r="110" spans="1:10" ht="11.25" customHeight="1" x14ac:dyDescent="0.2">
      <c r="A110" s="38">
        <v>44348</v>
      </c>
      <c r="B110" s="28">
        <v>101333.4</v>
      </c>
      <c r="C110" s="28">
        <v>87486.819918494846</v>
      </c>
      <c r="D110" s="28">
        <v>0</v>
      </c>
      <c r="E110" s="28">
        <v>0</v>
      </c>
      <c r="F110" s="28">
        <v>0</v>
      </c>
      <c r="G110" s="28">
        <v>0</v>
      </c>
      <c r="H110" s="29">
        <v>-0.13664379248604264</v>
      </c>
      <c r="I110" s="29">
        <v>0</v>
      </c>
      <c r="J110" s="29">
        <v>-0.13664379248604264</v>
      </c>
    </row>
    <row r="111" spans="1:10" ht="11.25" customHeight="1" x14ac:dyDescent="0.2">
      <c r="A111" s="38">
        <v>44378</v>
      </c>
      <c r="B111" s="28">
        <v>80351.88</v>
      </c>
      <c r="C111" s="28">
        <v>69372.294383416593</v>
      </c>
      <c r="D111" s="28">
        <v>0</v>
      </c>
      <c r="E111" s="28">
        <v>0</v>
      </c>
      <c r="F111" s="28">
        <v>0</v>
      </c>
      <c r="G111" s="28">
        <v>0</v>
      </c>
      <c r="H111" s="29">
        <v>-0.13664379248604275</v>
      </c>
      <c r="I111" s="29">
        <v>0</v>
      </c>
      <c r="J111" s="29">
        <v>-0.13664379248604275</v>
      </c>
    </row>
    <row r="112" spans="1:10" ht="11.25" customHeight="1" x14ac:dyDescent="0.2">
      <c r="A112" s="38">
        <v>44409</v>
      </c>
      <c r="B112" s="28">
        <v>83423.759999999995</v>
      </c>
      <c r="C112" s="28">
        <v>72024.421050154575</v>
      </c>
      <c r="D112" s="28">
        <v>0</v>
      </c>
      <c r="E112" s="28">
        <v>0</v>
      </c>
      <c r="F112" s="28">
        <v>0</v>
      </c>
      <c r="G112" s="28">
        <v>0</v>
      </c>
      <c r="H112" s="29">
        <v>-0.13664379248604264</v>
      </c>
      <c r="I112" s="29">
        <v>0</v>
      </c>
      <c r="J112" s="29">
        <v>-0.13664379248604264</v>
      </c>
    </row>
    <row r="113" spans="1:10" ht="11.25" customHeight="1" x14ac:dyDescent="0.2">
      <c r="A113" s="38">
        <v>44440</v>
      </c>
      <c r="B113" s="28">
        <v>83037.36</v>
      </c>
      <c r="C113" s="28">
        <v>71690.820211571176</v>
      </c>
      <c r="D113" s="28">
        <v>0</v>
      </c>
      <c r="E113" s="28">
        <v>0</v>
      </c>
      <c r="F113" s="28">
        <v>0</v>
      </c>
      <c r="G113" s="28">
        <v>0</v>
      </c>
      <c r="H113" s="29">
        <v>-0.13664379248604275</v>
      </c>
      <c r="I113" s="29">
        <v>0</v>
      </c>
      <c r="J113" s="29">
        <v>-0.13664379248604275</v>
      </c>
    </row>
    <row r="114" spans="1:10" ht="11.25" customHeight="1" x14ac:dyDescent="0.2">
      <c r="A114" s="38">
        <v>44470</v>
      </c>
      <c r="B114" s="28">
        <v>87867.36</v>
      </c>
      <c r="C114" s="28">
        <v>75860.83069386358</v>
      </c>
      <c r="D114" s="28">
        <v>0</v>
      </c>
      <c r="E114" s="28">
        <v>0</v>
      </c>
      <c r="F114" s="28">
        <v>0</v>
      </c>
      <c r="G114" s="28">
        <v>0</v>
      </c>
      <c r="H114" s="29">
        <v>-0.13664379248604286</v>
      </c>
      <c r="I114" s="29">
        <v>0</v>
      </c>
      <c r="J114" s="29">
        <v>-0.13664379248604286</v>
      </c>
    </row>
    <row r="115" spans="1:10" ht="11.25" customHeight="1" x14ac:dyDescent="0.2">
      <c r="A115" s="38">
        <v>44501</v>
      </c>
      <c r="B115" s="28">
        <v>78941.51999999999</v>
      </c>
      <c r="C115" s="28">
        <v>68154.651322587204</v>
      </c>
      <c r="D115" s="28">
        <v>0</v>
      </c>
      <c r="E115" s="28">
        <v>0</v>
      </c>
      <c r="F115" s="28">
        <v>0</v>
      </c>
      <c r="G115" s="28">
        <v>0</v>
      </c>
      <c r="H115" s="29">
        <v>-0.13664379248604264</v>
      </c>
      <c r="I115" s="29">
        <v>0</v>
      </c>
      <c r="J115" s="29">
        <v>-0.13664379248604264</v>
      </c>
    </row>
    <row r="116" spans="1:10" ht="11.25" customHeight="1" x14ac:dyDescent="0.2">
      <c r="A116" s="38">
        <v>44531</v>
      </c>
      <c r="B116" s="28">
        <v>78477.84</v>
      </c>
      <c r="C116" s="28">
        <v>67754.330316287131</v>
      </c>
      <c r="D116" s="28">
        <v>0</v>
      </c>
      <c r="E116" s="28">
        <v>0</v>
      </c>
      <c r="F116" s="28">
        <v>0</v>
      </c>
      <c r="G116" s="28">
        <v>0</v>
      </c>
      <c r="H116" s="29">
        <v>-0.13664379248604275</v>
      </c>
      <c r="I116" s="29">
        <v>0</v>
      </c>
      <c r="J116" s="29">
        <v>-0.13664379248604275</v>
      </c>
    </row>
    <row r="117" spans="1:10" ht="11.25" customHeight="1" x14ac:dyDescent="0.2">
      <c r="A117" s="38">
        <v>44562</v>
      </c>
      <c r="B117" s="28">
        <v>78207.360000000001</v>
      </c>
      <c r="C117" s="28">
        <v>67520.809729278757</v>
      </c>
      <c r="D117" s="28">
        <v>0</v>
      </c>
      <c r="E117" s="28">
        <v>0</v>
      </c>
      <c r="F117" s="28">
        <v>0</v>
      </c>
      <c r="G117" s="28">
        <v>0</v>
      </c>
      <c r="H117" s="29">
        <v>-0.13664379248604275</v>
      </c>
      <c r="I117" s="29">
        <v>0</v>
      </c>
      <c r="J117" s="29">
        <v>-0.13664379248604275</v>
      </c>
    </row>
    <row r="118" spans="1:10" ht="11.25" customHeight="1" x14ac:dyDescent="0.2">
      <c r="A118" s="38">
        <v>44593</v>
      </c>
      <c r="B118" s="28">
        <v>76661.759999999995</v>
      </c>
      <c r="C118" s="28">
        <v>66186.406374945189</v>
      </c>
      <c r="D118" s="28">
        <v>0</v>
      </c>
      <c r="E118" s="28">
        <v>0</v>
      </c>
      <c r="F118" s="28">
        <v>0</v>
      </c>
      <c r="G118" s="28">
        <v>0</v>
      </c>
      <c r="H118" s="29">
        <v>-0.13664379248604264</v>
      </c>
      <c r="I118" s="29">
        <v>0</v>
      </c>
      <c r="J118" s="29">
        <v>-0.13664379248604264</v>
      </c>
    </row>
    <row r="119" spans="1:10" ht="11.25" customHeight="1" x14ac:dyDescent="0.2">
      <c r="A119" s="38">
        <v>44621</v>
      </c>
      <c r="B119" s="28">
        <v>77917.56</v>
      </c>
      <c r="C119" s="28">
        <v>67270.609100341215</v>
      </c>
      <c r="D119" s="28">
        <v>0</v>
      </c>
      <c r="E119" s="28">
        <v>0</v>
      </c>
      <c r="F119" s="28">
        <v>0</v>
      </c>
      <c r="G119" s="28">
        <v>0</v>
      </c>
      <c r="H119" s="29">
        <v>-0.13664379248604275</v>
      </c>
      <c r="I119" s="29">
        <v>0</v>
      </c>
      <c r="J119" s="29">
        <v>-0.13664379248604275</v>
      </c>
    </row>
    <row r="120" spans="1:10" ht="11.25" customHeight="1" x14ac:dyDescent="0.2">
      <c r="A120" s="38">
        <v>44652</v>
      </c>
      <c r="B120" s="28">
        <v>69204.240000000005</v>
      </c>
      <c r="C120" s="28">
        <v>59747.9101902857</v>
      </c>
      <c r="D120" s="28">
        <v>0</v>
      </c>
      <c r="E120" s="28">
        <v>0</v>
      </c>
      <c r="F120" s="28">
        <v>0</v>
      </c>
      <c r="G120" s="28">
        <v>0</v>
      </c>
      <c r="H120" s="29">
        <v>-0.13664379248604286</v>
      </c>
      <c r="I120" s="29">
        <v>0</v>
      </c>
      <c r="J120" s="29">
        <v>-0.13664379248604286</v>
      </c>
    </row>
    <row r="121" spans="1:10" ht="11.25" customHeight="1" x14ac:dyDescent="0.2">
      <c r="A121" s="37" t="s">
        <v>35</v>
      </c>
      <c r="B121" s="28">
        <v>0</v>
      </c>
      <c r="C121" s="28">
        <v>0</v>
      </c>
      <c r="D121" s="28">
        <v>398469.51900000003</v>
      </c>
      <c r="E121" s="28">
        <v>410351.55195465806</v>
      </c>
      <c r="F121" s="28">
        <v>110650.25540000002</v>
      </c>
      <c r="G121" s="28">
        <v>88525.237346673588</v>
      </c>
      <c r="H121" s="29">
        <v>2.9819176594679364E-2</v>
      </c>
      <c r="I121" s="29">
        <v>-0.19995451409799825</v>
      </c>
      <c r="J121" s="29">
        <v>-2.0119008558918683E-2</v>
      </c>
    </row>
    <row r="122" spans="1:10" ht="11.25" customHeight="1" x14ac:dyDescent="0.2">
      <c r="A122" s="38">
        <v>44317</v>
      </c>
      <c r="B122" s="28">
        <v>0</v>
      </c>
      <c r="C122" s="28">
        <v>0</v>
      </c>
      <c r="D122" s="28">
        <v>90763.55505000001</v>
      </c>
      <c r="E122" s="28">
        <v>93470.049526396877</v>
      </c>
      <c r="F122" s="28">
        <v>25203.961830000004</v>
      </c>
      <c r="G122" s="28">
        <v>20164.315888937854</v>
      </c>
      <c r="H122" s="29">
        <v>2.9819176594679586E-2</v>
      </c>
      <c r="I122" s="29">
        <v>-0.19995451409799847</v>
      </c>
      <c r="J122" s="29">
        <v>-2.0119008558918794E-2</v>
      </c>
    </row>
    <row r="123" spans="1:10" ht="11.25" customHeight="1" x14ac:dyDescent="0.2">
      <c r="A123" s="38">
        <v>44348</v>
      </c>
      <c r="B123" s="28">
        <v>0</v>
      </c>
      <c r="C123" s="28">
        <v>0</v>
      </c>
      <c r="D123" s="28">
        <v>45417.333149999999</v>
      </c>
      <c r="E123" s="28">
        <v>46771.640627659246</v>
      </c>
      <c r="F123" s="28">
        <v>12611.854290000001</v>
      </c>
      <c r="G123" s="28">
        <v>10090.057093568295</v>
      </c>
      <c r="H123" s="29">
        <v>2.9819176594679586E-2</v>
      </c>
      <c r="I123" s="29">
        <v>-0.19995451409799836</v>
      </c>
      <c r="J123" s="29">
        <v>-2.0119008558918794E-2</v>
      </c>
    </row>
    <row r="124" spans="1:10" ht="11.25" customHeight="1" x14ac:dyDescent="0.2">
      <c r="A124" s="38">
        <v>44378</v>
      </c>
      <c r="B124" s="28">
        <v>0</v>
      </c>
      <c r="C124" s="28">
        <v>0</v>
      </c>
      <c r="D124" s="28">
        <v>31536.417150000001</v>
      </c>
      <c r="E124" s="28">
        <v>32476.807142159334</v>
      </c>
      <c r="F124" s="28">
        <v>8757.2886900000012</v>
      </c>
      <c r="G124" s="28">
        <v>7006.2292851751536</v>
      </c>
      <c r="H124" s="29">
        <v>2.9819176594679586E-2</v>
      </c>
      <c r="I124" s="29">
        <v>-0.19995451409799847</v>
      </c>
      <c r="J124" s="29">
        <v>-2.0119008558918683E-2</v>
      </c>
    </row>
    <row r="125" spans="1:10" ht="11.25" customHeight="1" x14ac:dyDescent="0.2">
      <c r="A125" s="38">
        <v>44409</v>
      </c>
      <c r="B125" s="28">
        <v>0</v>
      </c>
      <c r="C125" s="28">
        <v>0</v>
      </c>
      <c r="D125" s="28">
        <v>35321.431949999998</v>
      </c>
      <c r="E125" s="28">
        <v>36374.687966894002</v>
      </c>
      <c r="F125" s="28">
        <v>9808.3423700000003</v>
      </c>
      <c r="G125" s="28">
        <v>7847.1200372998401</v>
      </c>
      <c r="H125" s="29">
        <v>2.9819176594679364E-2</v>
      </c>
      <c r="I125" s="29">
        <v>-0.19995451409799836</v>
      </c>
      <c r="J125" s="29">
        <v>-2.0119008558918794E-2</v>
      </c>
    </row>
    <row r="126" spans="1:10" ht="11.25" customHeight="1" x14ac:dyDescent="0.2">
      <c r="A126" s="38">
        <v>44440</v>
      </c>
      <c r="B126" s="28">
        <v>0</v>
      </c>
      <c r="C126" s="28">
        <v>0</v>
      </c>
      <c r="D126" s="28">
        <v>36032.544450000001</v>
      </c>
      <c r="E126" s="28">
        <v>37107.005256110191</v>
      </c>
      <c r="F126" s="28">
        <v>10005.809870000001</v>
      </c>
      <c r="G126" s="28">
        <v>8005.103019287194</v>
      </c>
      <c r="H126" s="29">
        <v>2.9819176594679586E-2</v>
      </c>
      <c r="I126" s="29">
        <v>-0.19995451409799847</v>
      </c>
      <c r="J126" s="29">
        <v>-2.0119008558918794E-2</v>
      </c>
    </row>
    <row r="127" spans="1:10" ht="11.25" customHeight="1" x14ac:dyDescent="0.2">
      <c r="A127" s="38">
        <v>44470</v>
      </c>
      <c r="B127" s="28">
        <v>0</v>
      </c>
      <c r="C127" s="28">
        <v>0</v>
      </c>
      <c r="D127" s="28">
        <v>35973.759149999998</v>
      </c>
      <c r="E127" s="28">
        <v>37046.467026868318</v>
      </c>
      <c r="F127" s="28">
        <v>9989.4858899999999</v>
      </c>
      <c r="G127" s="28">
        <v>7992.0430927762391</v>
      </c>
      <c r="H127" s="29">
        <v>2.9819176594679586E-2</v>
      </c>
      <c r="I127" s="29">
        <v>-0.19995451409799836</v>
      </c>
      <c r="J127" s="29">
        <v>-2.0119008558918572E-2</v>
      </c>
    </row>
    <row r="128" spans="1:10" ht="11.25" customHeight="1" x14ac:dyDescent="0.2">
      <c r="A128" s="38">
        <v>44501</v>
      </c>
      <c r="B128" s="28">
        <v>0</v>
      </c>
      <c r="C128" s="28">
        <v>0</v>
      </c>
      <c r="D128" s="28">
        <v>18608.391899999999</v>
      </c>
      <c r="E128" s="28">
        <v>19163.278824209105</v>
      </c>
      <c r="F128" s="28">
        <v>5167.3295400000006</v>
      </c>
      <c r="G128" s="28">
        <v>4134.0986726450665</v>
      </c>
      <c r="H128" s="29">
        <v>2.9819176594679586E-2</v>
      </c>
      <c r="I128" s="29">
        <v>-0.19995451409799847</v>
      </c>
      <c r="J128" s="29">
        <v>-2.0119008558918905E-2</v>
      </c>
    </row>
    <row r="129" spans="1:10" ht="11.25" customHeight="1" x14ac:dyDescent="0.2">
      <c r="A129" s="38">
        <v>44531</v>
      </c>
      <c r="B129" s="28">
        <v>0</v>
      </c>
      <c r="C129" s="28">
        <v>0</v>
      </c>
      <c r="D129" s="28">
        <v>22547.955149999998</v>
      </c>
      <c r="E129" s="28">
        <v>23220.316606466764</v>
      </c>
      <c r="F129" s="28">
        <v>6261.2994900000003</v>
      </c>
      <c r="G129" s="28">
        <v>5009.3243928550046</v>
      </c>
      <c r="H129" s="29">
        <v>2.9819176594679586E-2</v>
      </c>
      <c r="I129" s="29">
        <v>-0.19995451409799847</v>
      </c>
      <c r="J129" s="29">
        <v>-2.0119008558918794E-2</v>
      </c>
    </row>
    <row r="130" spans="1:10" ht="11.25" customHeight="1" x14ac:dyDescent="0.2">
      <c r="A130" s="38">
        <v>44562</v>
      </c>
      <c r="B130" s="28">
        <v>0</v>
      </c>
      <c r="C130" s="28">
        <v>0</v>
      </c>
      <c r="D130" s="28">
        <v>19529.045549999999</v>
      </c>
      <c r="E130" s="28">
        <v>20111.385607980988</v>
      </c>
      <c r="F130" s="28">
        <v>5422.9841300000007</v>
      </c>
      <c r="G130" s="28">
        <v>4338.6339733246941</v>
      </c>
      <c r="H130" s="29">
        <v>2.9819176594679586E-2</v>
      </c>
      <c r="I130" s="29">
        <v>-0.19995451409799836</v>
      </c>
      <c r="J130" s="29">
        <v>-2.0119008558918905E-2</v>
      </c>
    </row>
    <row r="131" spans="1:10" ht="11.25" customHeight="1" x14ac:dyDescent="0.2">
      <c r="A131" s="38">
        <v>44593</v>
      </c>
      <c r="B131" s="28">
        <v>0</v>
      </c>
      <c r="C131" s="28">
        <v>0</v>
      </c>
      <c r="D131" s="28">
        <v>21370.352849999999</v>
      </c>
      <c r="E131" s="28">
        <v>22007.599175524763</v>
      </c>
      <c r="F131" s="28">
        <v>5934.2933100000009</v>
      </c>
      <c r="G131" s="28">
        <v>4747.7045746839476</v>
      </c>
      <c r="H131" s="29">
        <v>2.9819176594679586E-2</v>
      </c>
      <c r="I131" s="29">
        <v>-0.19995451409799847</v>
      </c>
      <c r="J131" s="29">
        <v>-2.0119008558918794E-2</v>
      </c>
    </row>
    <row r="132" spans="1:10" ht="11.25" customHeight="1" x14ac:dyDescent="0.2">
      <c r="A132" s="38">
        <v>44621</v>
      </c>
      <c r="B132" s="28">
        <v>0</v>
      </c>
      <c r="C132" s="28">
        <v>0</v>
      </c>
      <c r="D132" s="28">
        <v>24809.2929</v>
      </c>
      <c r="E132" s="28">
        <v>25549.085586174231</v>
      </c>
      <c r="F132" s="28">
        <v>6889.2461400000002</v>
      </c>
      <c r="G132" s="28">
        <v>5511.7102755747892</v>
      </c>
      <c r="H132" s="29">
        <v>2.9819176594679586E-2</v>
      </c>
      <c r="I132" s="29">
        <v>-0.19995451409799836</v>
      </c>
      <c r="J132" s="29">
        <v>-2.0119008558918683E-2</v>
      </c>
    </row>
    <row r="133" spans="1:10" ht="11.25" customHeight="1" x14ac:dyDescent="0.2">
      <c r="A133" s="38">
        <v>44652</v>
      </c>
      <c r="B133" s="28">
        <v>0</v>
      </c>
      <c r="C133" s="28">
        <v>0</v>
      </c>
      <c r="D133" s="28">
        <v>16559.439749999998</v>
      </c>
      <c r="E133" s="28">
        <v>17053.228608214205</v>
      </c>
      <c r="F133" s="28">
        <v>4598.3598500000007</v>
      </c>
      <c r="G133" s="28">
        <v>3678.8970405455052</v>
      </c>
      <c r="H133" s="29">
        <v>2.9819176594679586E-2</v>
      </c>
      <c r="I133" s="29">
        <v>-0.19995451409799847</v>
      </c>
      <c r="J133" s="29">
        <v>-2.0119008558918794E-2</v>
      </c>
    </row>
    <row r="134" spans="1:10" ht="11.25" customHeight="1" x14ac:dyDescent="0.2">
      <c r="A134" s="33" t="s">
        <v>24</v>
      </c>
      <c r="B134" s="28">
        <v>11611.32</v>
      </c>
      <c r="C134" s="28">
        <v>10024.70519943096</v>
      </c>
      <c r="D134" s="28">
        <v>7688.82384</v>
      </c>
      <c r="E134" s="28">
        <v>9554.4444003187728</v>
      </c>
      <c r="F134" s="28">
        <v>14368.78846</v>
      </c>
      <c r="G134" s="28">
        <v>11495.684345303771</v>
      </c>
      <c r="H134" s="29">
        <v>1.4456149242343397E-2</v>
      </c>
      <c r="I134" s="29">
        <v>-0.19995451409799858</v>
      </c>
      <c r="J134" s="29">
        <v>-7.7047241410340028E-2</v>
      </c>
    </row>
    <row r="135" spans="1:10" ht="11.25" customHeight="1" x14ac:dyDescent="0.2">
      <c r="A135" s="34" t="s">
        <v>24</v>
      </c>
      <c r="B135" s="28">
        <v>11611.32</v>
      </c>
      <c r="C135" s="28">
        <v>10024.70519943096</v>
      </c>
      <c r="D135" s="28">
        <v>7688.82384</v>
      </c>
      <c r="E135" s="28">
        <v>9554.4444003187728</v>
      </c>
      <c r="F135" s="28">
        <v>14368.78846</v>
      </c>
      <c r="G135" s="28">
        <v>11495.684345303771</v>
      </c>
      <c r="H135" s="29">
        <v>1.4456149242343397E-2</v>
      </c>
      <c r="I135" s="29">
        <v>-0.19995451409799858</v>
      </c>
      <c r="J135" s="29">
        <v>-7.7047241410340028E-2</v>
      </c>
    </row>
    <row r="136" spans="1:10" ht="11.25" customHeight="1" x14ac:dyDescent="0.2">
      <c r="A136" s="35" t="s">
        <v>25</v>
      </c>
      <c r="B136" s="28">
        <v>11611.32</v>
      </c>
      <c r="C136" s="28">
        <v>10024.70519943096</v>
      </c>
      <c r="D136" s="28">
        <v>7688.82384</v>
      </c>
      <c r="E136" s="28">
        <v>9554.4444003187728</v>
      </c>
      <c r="F136" s="28">
        <v>14368.78846</v>
      </c>
      <c r="G136" s="28">
        <v>11495.684345303771</v>
      </c>
      <c r="H136" s="29">
        <v>1.4456149242343397E-2</v>
      </c>
      <c r="I136" s="29">
        <v>-0.19995451409799858</v>
      </c>
      <c r="J136" s="29">
        <v>-7.7047241410340028E-2</v>
      </c>
    </row>
    <row r="137" spans="1:10" ht="11.25" customHeight="1" x14ac:dyDescent="0.2">
      <c r="A137" s="36" t="s">
        <v>25</v>
      </c>
      <c r="B137" s="28">
        <v>11611.32</v>
      </c>
      <c r="C137" s="28">
        <v>10024.70519943096</v>
      </c>
      <c r="D137" s="28">
        <v>7688.82384</v>
      </c>
      <c r="E137" s="28">
        <v>9554.4444003187728</v>
      </c>
      <c r="F137" s="28">
        <v>14368.78846</v>
      </c>
      <c r="G137" s="28">
        <v>11495.684345303771</v>
      </c>
      <c r="H137" s="29">
        <v>1.4456149242343397E-2</v>
      </c>
      <c r="I137" s="29">
        <v>-0.19995451409799858</v>
      </c>
      <c r="J137" s="29">
        <v>-7.7047241410340028E-2</v>
      </c>
    </row>
    <row r="138" spans="1:10" ht="11.25" customHeight="1" x14ac:dyDescent="0.2">
      <c r="A138" s="37" t="s">
        <v>36</v>
      </c>
      <c r="B138" s="28">
        <v>0</v>
      </c>
      <c r="C138" s="28">
        <v>0</v>
      </c>
      <c r="D138" s="28">
        <v>3275.18559</v>
      </c>
      <c r="E138" s="28">
        <v>5009.1950919169913</v>
      </c>
      <c r="F138" s="28">
        <v>13143.173510000001</v>
      </c>
      <c r="G138" s="28">
        <v>10515.136637102265</v>
      </c>
      <c r="H138" s="29">
        <v>0.52943854760822617</v>
      </c>
      <c r="I138" s="29">
        <v>-0.19995451409799847</v>
      </c>
      <c r="J138" s="29">
        <v>-5.445290637970901E-2</v>
      </c>
    </row>
    <row r="139" spans="1:10" ht="11.25" customHeight="1" x14ac:dyDescent="0.2">
      <c r="A139" s="38">
        <v>44317</v>
      </c>
      <c r="B139" s="28">
        <v>0</v>
      </c>
      <c r="C139" s="28">
        <v>0</v>
      </c>
      <c r="D139" s="28">
        <v>196.37072999999998</v>
      </c>
      <c r="E139" s="28">
        <v>300.33696408396713</v>
      </c>
      <c r="F139" s="28">
        <v>788.02697000000001</v>
      </c>
      <c r="G139" s="28">
        <v>630.45742011753202</v>
      </c>
      <c r="H139" s="29">
        <v>0.5294385476082264</v>
      </c>
      <c r="I139" s="29">
        <v>-0.19995451409799847</v>
      </c>
      <c r="J139" s="29">
        <v>-5.445290637970901E-2</v>
      </c>
    </row>
    <row r="140" spans="1:10" ht="11.25" customHeight="1" x14ac:dyDescent="0.2">
      <c r="A140" s="38">
        <v>44348</v>
      </c>
      <c r="B140" s="28">
        <v>0</v>
      </c>
      <c r="C140" s="28">
        <v>0</v>
      </c>
      <c r="D140" s="28">
        <v>173.53845000000001</v>
      </c>
      <c r="E140" s="28">
        <v>265.4163949221828</v>
      </c>
      <c r="F140" s="28">
        <v>696.40205000000003</v>
      </c>
      <c r="G140" s="28">
        <v>557.15331647540006</v>
      </c>
      <c r="H140" s="29">
        <v>0.52943854760822617</v>
      </c>
      <c r="I140" s="29">
        <v>-0.19995451409799836</v>
      </c>
      <c r="J140" s="29">
        <v>-5.4452906379708899E-2</v>
      </c>
    </row>
    <row r="141" spans="1:10" ht="11.25" customHeight="1" x14ac:dyDescent="0.2">
      <c r="A141" s="38">
        <v>44378</v>
      </c>
      <c r="B141" s="28">
        <v>0</v>
      </c>
      <c r="C141" s="28">
        <v>0</v>
      </c>
      <c r="D141" s="28">
        <v>291.43961999999999</v>
      </c>
      <c r="E141" s="28">
        <v>445.73898912829344</v>
      </c>
      <c r="F141" s="28">
        <v>1169.5341800000001</v>
      </c>
      <c r="G141" s="28">
        <v>935.68054131709903</v>
      </c>
      <c r="H141" s="29">
        <v>0.52943854760822662</v>
      </c>
      <c r="I141" s="29">
        <v>-0.19995451409799847</v>
      </c>
      <c r="J141" s="29">
        <v>-5.445290637970901E-2</v>
      </c>
    </row>
    <row r="142" spans="1:10" ht="11.25" customHeight="1" x14ac:dyDescent="0.2">
      <c r="A142" s="38">
        <v>44409</v>
      </c>
      <c r="B142" s="28">
        <v>0</v>
      </c>
      <c r="C142" s="28">
        <v>0</v>
      </c>
      <c r="D142" s="28">
        <v>269.59149000000002</v>
      </c>
      <c r="E142" s="28">
        <v>412.3236169131377</v>
      </c>
      <c r="F142" s="28">
        <v>1081.85861</v>
      </c>
      <c r="G142" s="28">
        <v>865.53609731471408</v>
      </c>
      <c r="H142" s="29">
        <v>0.5294385476082264</v>
      </c>
      <c r="I142" s="29">
        <v>-0.19995451409799836</v>
      </c>
      <c r="J142" s="29">
        <v>-5.4452906379708899E-2</v>
      </c>
    </row>
    <row r="143" spans="1:10" ht="11.25" customHeight="1" x14ac:dyDescent="0.2">
      <c r="A143" s="38">
        <v>44440</v>
      </c>
      <c r="B143" s="28">
        <v>0</v>
      </c>
      <c r="C143" s="28">
        <v>0</v>
      </c>
      <c r="D143" s="28">
        <v>200.50416000000001</v>
      </c>
      <c r="E143" s="28">
        <v>306.65879125980746</v>
      </c>
      <c r="F143" s="28">
        <v>804.61424000000011</v>
      </c>
      <c r="G143" s="28">
        <v>643.72799060446971</v>
      </c>
      <c r="H143" s="29">
        <v>0.5294385476082264</v>
      </c>
      <c r="I143" s="29">
        <v>-0.19995451409799858</v>
      </c>
      <c r="J143" s="29">
        <v>-5.445290637970901E-2</v>
      </c>
    </row>
    <row r="144" spans="1:10" ht="11.25" customHeight="1" x14ac:dyDescent="0.2">
      <c r="A144" s="38">
        <v>44470</v>
      </c>
      <c r="B144" s="28">
        <v>0</v>
      </c>
      <c r="C144" s="28">
        <v>0</v>
      </c>
      <c r="D144" s="28">
        <v>357.83693999999997</v>
      </c>
      <c r="E144" s="28">
        <v>547.28960979417207</v>
      </c>
      <c r="F144" s="28">
        <v>1435.9836600000001</v>
      </c>
      <c r="G144" s="28">
        <v>1148.8522450120347</v>
      </c>
      <c r="H144" s="29">
        <v>0.52943854760822662</v>
      </c>
      <c r="I144" s="29">
        <v>-0.19995451409799847</v>
      </c>
      <c r="J144" s="29">
        <v>-5.4452906379708899E-2</v>
      </c>
    </row>
    <row r="145" spans="1:10" ht="11.25" customHeight="1" x14ac:dyDescent="0.2">
      <c r="A145" s="38">
        <v>44501</v>
      </c>
      <c r="B145" s="28">
        <v>0</v>
      </c>
      <c r="C145" s="28">
        <v>0</v>
      </c>
      <c r="D145" s="28">
        <v>335.98881</v>
      </c>
      <c r="E145" s="28">
        <v>513.87423757901638</v>
      </c>
      <c r="F145" s="28">
        <v>1348.3080900000002</v>
      </c>
      <c r="G145" s="28">
        <v>1078.7078010096498</v>
      </c>
      <c r="H145" s="29">
        <v>0.52943854760822662</v>
      </c>
      <c r="I145" s="29">
        <v>-0.19995451409799847</v>
      </c>
      <c r="J145" s="29">
        <v>-5.445290637970901E-2</v>
      </c>
    </row>
    <row r="146" spans="1:10" ht="11.25" customHeight="1" x14ac:dyDescent="0.2">
      <c r="A146" s="38">
        <v>44531</v>
      </c>
      <c r="B146" s="28">
        <v>0</v>
      </c>
      <c r="C146" s="28">
        <v>0</v>
      </c>
      <c r="D146" s="28">
        <v>231.14403000000001</v>
      </c>
      <c r="E146" s="28">
        <v>353.52058953151231</v>
      </c>
      <c r="F146" s="28">
        <v>927.57067000000006</v>
      </c>
      <c r="G146" s="28">
        <v>742.09872738859519</v>
      </c>
      <c r="H146" s="29">
        <v>0.5294385476082264</v>
      </c>
      <c r="I146" s="29">
        <v>-0.19995451409799847</v>
      </c>
      <c r="J146" s="29">
        <v>-5.445290637970901E-2</v>
      </c>
    </row>
    <row r="147" spans="1:10" ht="11.25" customHeight="1" x14ac:dyDescent="0.2">
      <c r="A147" s="38">
        <v>44562</v>
      </c>
      <c r="B147" s="28">
        <v>0</v>
      </c>
      <c r="C147" s="28">
        <v>0</v>
      </c>
      <c r="D147" s="28">
        <v>219.46545</v>
      </c>
      <c r="E147" s="28">
        <v>335.65891909818583</v>
      </c>
      <c r="F147" s="28">
        <v>880.70505000000014</v>
      </c>
      <c r="G147" s="28">
        <v>704.60409966359668</v>
      </c>
      <c r="H147" s="29">
        <v>0.5294385476082264</v>
      </c>
      <c r="I147" s="29">
        <v>-0.19995451409799847</v>
      </c>
      <c r="J147" s="29">
        <v>-5.4452906379709121E-2</v>
      </c>
    </row>
    <row r="148" spans="1:10" ht="11.25" customHeight="1" x14ac:dyDescent="0.2">
      <c r="A148" s="38">
        <v>44593</v>
      </c>
      <c r="B148" s="28">
        <v>0</v>
      </c>
      <c r="C148" s="28">
        <v>0</v>
      </c>
      <c r="D148" s="28">
        <v>230.09426999999999</v>
      </c>
      <c r="E148" s="28">
        <v>351.91504612177511</v>
      </c>
      <c r="F148" s="28">
        <v>923.3580300000001</v>
      </c>
      <c r="G148" s="28">
        <v>738.72842377286497</v>
      </c>
      <c r="H148" s="29">
        <v>0.5294385476082264</v>
      </c>
      <c r="I148" s="29">
        <v>-0.19995451409799847</v>
      </c>
      <c r="J148" s="29">
        <v>-5.4452906379709121E-2</v>
      </c>
    </row>
    <row r="149" spans="1:10" ht="11.25" customHeight="1" x14ac:dyDescent="0.2">
      <c r="A149" s="38">
        <v>44621</v>
      </c>
      <c r="B149" s="28">
        <v>0</v>
      </c>
      <c r="C149" s="28">
        <v>0</v>
      </c>
      <c r="D149" s="28">
        <v>287.69984999999997</v>
      </c>
      <c r="E149" s="28">
        <v>440.01924073110456</v>
      </c>
      <c r="F149" s="28">
        <v>1154.52665</v>
      </c>
      <c r="G149" s="28">
        <v>923.6738346860601</v>
      </c>
      <c r="H149" s="29">
        <v>0.5294385476082264</v>
      </c>
      <c r="I149" s="29">
        <v>-0.19995451409799847</v>
      </c>
      <c r="J149" s="29">
        <v>-5.445290637970901E-2</v>
      </c>
    </row>
    <row r="150" spans="1:10" ht="11.25" customHeight="1" x14ac:dyDescent="0.2">
      <c r="A150" s="38">
        <v>44652</v>
      </c>
      <c r="B150" s="28">
        <v>0</v>
      </c>
      <c r="C150" s="28">
        <v>0</v>
      </c>
      <c r="D150" s="28">
        <v>481.51179000000002</v>
      </c>
      <c r="E150" s="28">
        <v>736.44269275383738</v>
      </c>
      <c r="F150" s="28">
        <v>1932.2853100000002</v>
      </c>
      <c r="G150" s="28">
        <v>1545.9161397402499</v>
      </c>
      <c r="H150" s="29">
        <v>0.5294385476082264</v>
      </c>
      <c r="I150" s="29">
        <v>-0.19995451409799836</v>
      </c>
      <c r="J150" s="29">
        <v>-5.4452906379708899E-2</v>
      </c>
    </row>
    <row r="151" spans="1:10" ht="11.25" customHeight="1" x14ac:dyDescent="0.2">
      <c r="A151" s="37" t="s">
        <v>25</v>
      </c>
      <c r="B151" s="28">
        <v>11611.32</v>
      </c>
      <c r="C151" s="28">
        <v>10024.70519943096</v>
      </c>
      <c r="D151" s="28">
        <v>0</v>
      </c>
      <c r="E151" s="28">
        <v>0</v>
      </c>
      <c r="F151" s="28">
        <v>0</v>
      </c>
      <c r="G151" s="28">
        <v>0</v>
      </c>
      <c r="H151" s="29">
        <v>-0.13664379248604286</v>
      </c>
      <c r="I151" s="29">
        <v>0</v>
      </c>
      <c r="J151" s="29">
        <v>-0.13664379248604286</v>
      </c>
    </row>
    <row r="152" spans="1:10" ht="11.25" customHeight="1" x14ac:dyDescent="0.2">
      <c r="A152" s="38">
        <v>44317</v>
      </c>
      <c r="B152" s="28">
        <v>966</v>
      </c>
      <c r="C152" s="28">
        <v>834.0020964584827</v>
      </c>
      <c r="D152" s="28">
        <v>0</v>
      </c>
      <c r="E152" s="28">
        <v>0</v>
      </c>
      <c r="F152" s="28">
        <v>0</v>
      </c>
      <c r="G152" s="28">
        <v>0</v>
      </c>
      <c r="H152" s="29">
        <v>-0.13664379248604275</v>
      </c>
      <c r="I152" s="29">
        <v>0</v>
      </c>
      <c r="J152" s="29">
        <v>-0.13664379248604275</v>
      </c>
    </row>
    <row r="153" spans="1:10" ht="11.25" customHeight="1" x14ac:dyDescent="0.2">
      <c r="A153" s="38">
        <v>44348</v>
      </c>
      <c r="B153" s="28">
        <v>966</v>
      </c>
      <c r="C153" s="28">
        <v>834.0020964584827</v>
      </c>
      <c r="D153" s="28">
        <v>0</v>
      </c>
      <c r="E153" s="28">
        <v>0</v>
      </c>
      <c r="F153" s="28">
        <v>0</v>
      </c>
      <c r="G153" s="28">
        <v>0</v>
      </c>
      <c r="H153" s="29">
        <v>-0.13664379248604275</v>
      </c>
      <c r="I153" s="29">
        <v>0</v>
      </c>
      <c r="J153" s="29">
        <v>-0.13664379248604275</v>
      </c>
    </row>
    <row r="154" spans="1:10" ht="11.25" customHeight="1" x14ac:dyDescent="0.2">
      <c r="A154" s="38">
        <v>44378</v>
      </c>
      <c r="B154" s="28">
        <v>966</v>
      </c>
      <c r="C154" s="28">
        <v>834.0020964584827</v>
      </c>
      <c r="D154" s="28">
        <v>0</v>
      </c>
      <c r="E154" s="28">
        <v>0</v>
      </c>
      <c r="F154" s="28">
        <v>0</v>
      </c>
      <c r="G154" s="28">
        <v>0</v>
      </c>
      <c r="H154" s="29">
        <v>-0.13664379248604275</v>
      </c>
      <c r="I154" s="29">
        <v>0</v>
      </c>
      <c r="J154" s="29">
        <v>-0.13664379248604275</v>
      </c>
    </row>
    <row r="155" spans="1:10" ht="11.25" customHeight="1" x14ac:dyDescent="0.2">
      <c r="A155" s="38">
        <v>44409</v>
      </c>
      <c r="B155" s="28">
        <v>966</v>
      </c>
      <c r="C155" s="28">
        <v>834.0020964584827</v>
      </c>
      <c r="D155" s="28">
        <v>0</v>
      </c>
      <c r="E155" s="28">
        <v>0</v>
      </c>
      <c r="F155" s="28">
        <v>0</v>
      </c>
      <c r="G155" s="28">
        <v>0</v>
      </c>
      <c r="H155" s="29">
        <v>-0.13664379248604275</v>
      </c>
      <c r="I155" s="29">
        <v>0</v>
      </c>
      <c r="J155" s="29">
        <v>-0.13664379248604275</v>
      </c>
    </row>
    <row r="156" spans="1:10" ht="11.25" customHeight="1" x14ac:dyDescent="0.2">
      <c r="A156" s="38">
        <v>44440</v>
      </c>
      <c r="B156" s="28">
        <v>966</v>
      </c>
      <c r="C156" s="28">
        <v>834.0020964584827</v>
      </c>
      <c r="D156" s="28">
        <v>0</v>
      </c>
      <c r="E156" s="28">
        <v>0</v>
      </c>
      <c r="F156" s="28">
        <v>0</v>
      </c>
      <c r="G156" s="28">
        <v>0</v>
      </c>
      <c r="H156" s="29">
        <v>-0.13664379248604275</v>
      </c>
      <c r="I156" s="29">
        <v>0</v>
      </c>
      <c r="J156" s="29">
        <v>-0.13664379248604275</v>
      </c>
    </row>
    <row r="157" spans="1:10" ht="11.25" customHeight="1" x14ac:dyDescent="0.2">
      <c r="A157" s="38">
        <v>44470</v>
      </c>
      <c r="B157" s="28">
        <v>966</v>
      </c>
      <c r="C157" s="28">
        <v>834.0020964584827</v>
      </c>
      <c r="D157" s="28">
        <v>0</v>
      </c>
      <c r="E157" s="28">
        <v>0</v>
      </c>
      <c r="F157" s="28">
        <v>0</v>
      </c>
      <c r="G157" s="28">
        <v>0</v>
      </c>
      <c r="H157" s="29">
        <v>-0.13664379248604275</v>
      </c>
      <c r="I157" s="29">
        <v>0</v>
      </c>
      <c r="J157" s="29">
        <v>-0.13664379248604275</v>
      </c>
    </row>
    <row r="158" spans="1:10" ht="11.25" customHeight="1" x14ac:dyDescent="0.2">
      <c r="A158" s="38">
        <v>44501</v>
      </c>
      <c r="B158" s="28">
        <v>966</v>
      </c>
      <c r="C158" s="28">
        <v>834.0020964584827</v>
      </c>
      <c r="D158" s="28">
        <v>0</v>
      </c>
      <c r="E158" s="28">
        <v>0</v>
      </c>
      <c r="F158" s="28">
        <v>0</v>
      </c>
      <c r="G158" s="28">
        <v>0</v>
      </c>
      <c r="H158" s="29">
        <v>-0.13664379248604275</v>
      </c>
      <c r="I158" s="29">
        <v>0</v>
      </c>
      <c r="J158" s="29">
        <v>-0.13664379248604275</v>
      </c>
    </row>
    <row r="159" spans="1:10" ht="11.25" customHeight="1" x14ac:dyDescent="0.2">
      <c r="A159" s="38">
        <v>44531</v>
      </c>
      <c r="B159" s="28">
        <v>966</v>
      </c>
      <c r="C159" s="28">
        <v>834.0020964584827</v>
      </c>
      <c r="D159" s="28">
        <v>0</v>
      </c>
      <c r="E159" s="28">
        <v>0</v>
      </c>
      <c r="F159" s="28">
        <v>0</v>
      </c>
      <c r="G159" s="28">
        <v>0</v>
      </c>
      <c r="H159" s="29">
        <v>-0.13664379248604275</v>
      </c>
      <c r="I159" s="29">
        <v>0</v>
      </c>
      <c r="J159" s="29">
        <v>-0.13664379248604275</v>
      </c>
    </row>
    <row r="160" spans="1:10" ht="11.25" customHeight="1" x14ac:dyDescent="0.2">
      <c r="A160" s="38">
        <v>44562</v>
      </c>
      <c r="B160" s="28">
        <v>966</v>
      </c>
      <c r="C160" s="28">
        <v>834.0020964584827</v>
      </c>
      <c r="D160" s="28">
        <v>0</v>
      </c>
      <c r="E160" s="28">
        <v>0</v>
      </c>
      <c r="F160" s="28">
        <v>0</v>
      </c>
      <c r="G160" s="28">
        <v>0</v>
      </c>
      <c r="H160" s="29">
        <v>-0.13664379248604275</v>
      </c>
      <c r="I160" s="29">
        <v>0</v>
      </c>
      <c r="J160" s="29">
        <v>-0.13664379248604275</v>
      </c>
    </row>
    <row r="161" spans="1:10" ht="11.25" customHeight="1" x14ac:dyDescent="0.2">
      <c r="A161" s="38">
        <v>44593</v>
      </c>
      <c r="B161" s="28">
        <v>966</v>
      </c>
      <c r="C161" s="28">
        <v>834.0020964584827</v>
      </c>
      <c r="D161" s="28">
        <v>0</v>
      </c>
      <c r="E161" s="28">
        <v>0</v>
      </c>
      <c r="F161" s="28">
        <v>0</v>
      </c>
      <c r="G161" s="28">
        <v>0</v>
      </c>
      <c r="H161" s="29">
        <v>-0.13664379248604275</v>
      </c>
      <c r="I161" s="29">
        <v>0</v>
      </c>
      <c r="J161" s="29">
        <v>-0.13664379248604275</v>
      </c>
    </row>
    <row r="162" spans="1:10" ht="11.25" customHeight="1" x14ac:dyDescent="0.2">
      <c r="A162" s="38">
        <v>44621</v>
      </c>
      <c r="B162" s="28">
        <v>966</v>
      </c>
      <c r="C162" s="28">
        <v>834.0020964584827</v>
      </c>
      <c r="D162" s="28">
        <v>0</v>
      </c>
      <c r="E162" s="28">
        <v>0</v>
      </c>
      <c r="F162" s="28">
        <v>0</v>
      </c>
      <c r="G162" s="28">
        <v>0</v>
      </c>
      <c r="H162" s="29">
        <v>-0.13664379248604275</v>
      </c>
      <c r="I162" s="29">
        <v>0</v>
      </c>
      <c r="J162" s="29">
        <v>-0.13664379248604275</v>
      </c>
    </row>
    <row r="163" spans="1:10" ht="11.25" customHeight="1" x14ac:dyDescent="0.2">
      <c r="A163" s="38">
        <v>44652</v>
      </c>
      <c r="B163" s="28">
        <v>985.32</v>
      </c>
      <c r="C163" s="28">
        <v>850.68213838765234</v>
      </c>
      <c r="D163" s="28">
        <v>0</v>
      </c>
      <c r="E163" s="28">
        <v>0</v>
      </c>
      <c r="F163" s="28">
        <v>0</v>
      </c>
      <c r="G163" s="28">
        <v>0</v>
      </c>
      <c r="H163" s="29">
        <v>-0.13664379248604286</v>
      </c>
      <c r="I163" s="29">
        <v>0</v>
      </c>
      <c r="J163" s="29">
        <v>-0.13664379248604286</v>
      </c>
    </row>
    <row r="164" spans="1:10" ht="11.25" customHeight="1" x14ac:dyDescent="0.2">
      <c r="A164" s="37" t="s">
        <v>35</v>
      </c>
      <c r="B164" s="28">
        <v>0</v>
      </c>
      <c r="C164" s="28">
        <v>0</v>
      </c>
      <c r="D164" s="28">
        <v>4413.63825</v>
      </c>
      <c r="E164" s="28">
        <v>4545.2493084017815</v>
      </c>
      <c r="F164" s="28">
        <v>1225.6149500000004</v>
      </c>
      <c r="G164" s="28">
        <v>980.54770820150748</v>
      </c>
      <c r="H164" s="29">
        <v>2.9819176594679364E-2</v>
      </c>
      <c r="I164" s="29">
        <v>-0.19995451409799858</v>
      </c>
      <c r="J164" s="29">
        <v>-2.0119008558918905E-2</v>
      </c>
    </row>
    <row r="165" spans="1:10" ht="11.25" customHeight="1" x14ac:dyDescent="0.2">
      <c r="A165" s="38">
        <v>44317</v>
      </c>
      <c r="B165" s="28">
        <v>0</v>
      </c>
      <c r="C165" s="28">
        <v>0</v>
      </c>
      <c r="D165" s="28">
        <v>296.77094999999997</v>
      </c>
      <c r="E165" s="28">
        <v>305.62041536622081</v>
      </c>
      <c r="F165" s="28">
        <v>82.409770000000009</v>
      </c>
      <c r="G165" s="28">
        <v>65.931564482722194</v>
      </c>
      <c r="H165" s="29">
        <v>2.9819176594679586E-2</v>
      </c>
      <c r="I165" s="29">
        <v>-0.19995451409799847</v>
      </c>
      <c r="J165" s="29">
        <v>-2.0119008558918683E-2</v>
      </c>
    </row>
    <row r="166" spans="1:10" ht="11.25" customHeight="1" x14ac:dyDescent="0.2">
      <c r="A166" s="38">
        <v>44348</v>
      </c>
      <c r="B166" s="28">
        <v>0</v>
      </c>
      <c r="C166" s="28">
        <v>0</v>
      </c>
      <c r="D166" s="28">
        <v>274.01534999999996</v>
      </c>
      <c r="E166" s="28">
        <v>282.18626211130288</v>
      </c>
      <c r="F166" s="28">
        <v>76.090810000000005</v>
      </c>
      <c r="G166" s="28">
        <v>60.876109059126883</v>
      </c>
      <c r="H166" s="29">
        <v>2.9819176594679586E-2</v>
      </c>
      <c r="I166" s="29">
        <v>-0.19995451409799847</v>
      </c>
      <c r="J166" s="29">
        <v>-2.0119008558918794E-2</v>
      </c>
    </row>
    <row r="167" spans="1:10" ht="11.25" customHeight="1" x14ac:dyDescent="0.2">
      <c r="A167" s="38">
        <v>44378</v>
      </c>
      <c r="B167" s="28">
        <v>0</v>
      </c>
      <c r="C167" s="28">
        <v>0</v>
      </c>
      <c r="D167" s="28">
        <v>407.7045</v>
      </c>
      <c r="E167" s="28">
        <v>419.8619124839455</v>
      </c>
      <c r="F167" s="28">
        <v>113.21470000000001</v>
      </c>
      <c r="G167" s="28">
        <v>90.576909672749338</v>
      </c>
      <c r="H167" s="29">
        <v>2.9819176594679586E-2</v>
      </c>
      <c r="I167" s="29">
        <v>-0.19995451409799847</v>
      </c>
      <c r="J167" s="29">
        <v>-2.0119008558918905E-2</v>
      </c>
    </row>
    <row r="168" spans="1:10" ht="11.25" customHeight="1" x14ac:dyDescent="0.2">
      <c r="A168" s="38">
        <v>44409</v>
      </c>
      <c r="B168" s="28">
        <v>0</v>
      </c>
      <c r="C168" s="28">
        <v>0</v>
      </c>
      <c r="D168" s="28">
        <v>443.73419999999999</v>
      </c>
      <c r="E168" s="28">
        <v>456.96598847089882</v>
      </c>
      <c r="F168" s="28">
        <v>123.21972000000002</v>
      </c>
      <c r="G168" s="28">
        <v>98.581380760108587</v>
      </c>
      <c r="H168" s="29">
        <v>2.9819176594679586E-2</v>
      </c>
      <c r="I168" s="29">
        <v>-0.19995451409799858</v>
      </c>
      <c r="J168" s="29">
        <v>-2.0119008558918794E-2</v>
      </c>
    </row>
    <row r="169" spans="1:10" ht="11.25" customHeight="1" x14ac:dyDescent="0.2">
      <c r="A169" s="38">
        <v>44440</v>
      </c>
      <c r="B169" s="28">
        <v>0</v>
      </c>
      <c r="C169" s="28">
        <v>0</v>
      </c>
      <c r="D169" s="28">
        <v>315.73394999999999</v>
      </c>
      <c r="E169" s="28">
        <v>325.14887641198573</v>
      </c>
      <c r="F169" s="28">
        <v>87.675570000000008</v>
      </c>
      <c r="G169" s="28">
        <v>70.144444002384958</v>
      </c>
      <c r="H169" s="29">
        <v>2.9819176594679586E-2</v>
      </c>
      <c r="I169" s="29">
        <v>-0.19995451409799847</v>
      </c>
      <c r="J169" s="29">
        <v>-2.0119008558918794E-2</v>
      </c>
    </row>
    <row r="170" spans="1:10" ht="11.25" customHeight="1" x14ac:dyDescent="0.2">
      <c r="A170" s="38">
        <v>44470</v>
      </c>
      <c r="B170" s="28">
        <v>0</v>
      </c>
      <c r="C170" s="28">
        <v>0</v>
      </c>
      <c r="D170" s="28">
        <v>475.02314999999999</v>
      </c>
      <c r="E170" s="28">
        <v>489.1879491964109</v>
      </c>
      <c r="F170" s="28">
        <v>131.90829000000002</v>
      </c>
      <c r="G170" s="28">
        <v>105.53263196755213</v>
      </c>
      <c r="H170" s="29">
        <v>2.9819176594679364E-2</v>
      </c>
      <c r="I170" s="29">
        <v>-0.19995451409799858</v>
      </c>
      <c r="J170" s="29">
        <v>-2.0119008558918905E-2</v>
      </c>
    </row>
    <row r="171" spans="1:10" ht="11.25" customHeight="1" x14ac:dyDescent="0.2">
      <c r="A171" s="38">
        <v>44501</v>
      </c>
      <c r="B171" s="28">
        <v>0</v>
      </c>
      <c r="C171" s="28">
        <v>0</v>
      </c>
      <c r="D171" s="28">
        <v>414.34154999999998</v>
      </c>
      <c r="E171" s="28">
        <v>426.6968738499632</v>
      </c>
      <c r="F171" s="28">
        <v>115.05773000000001</v>
      </c>
      <c r="G171" s="28">
        <v>92.051417504631303</v>
      </c>
      <c r="H171" s="29">
        <v>2.9819176594679364E-2</v>
      </c>
      <c r="I171" s="29">
        <v>-0.19995451409799847</v>
      </c>
      <c r="J171" s="29">
        <v>-2.0119008558918905E-2</v>
      </c>
    </row>
    <row r="172" spans="1:10" ht="11.25" customHeight="1" x14ac:dyDescent="0.2">
      <c r="A172" s="38">
        <v>44531</v>
      </c>
      <c r="B172" s="28">
        <v>0</v>
      </c>
      <c r="C172" s="28">
        <v>0</v>
      </c>
      <c r="D172" s="28">
        <v>341.334</v>
      </c>
      <c r="E172" s="28">
        <v>351.51229882376833</v>
      </c>
      <c r="F172" s="28">
        <v>94.784400000000005</v>
      </c>
      <c r="G172" s="28">
        <v>75.831831353929672</v>
      </c>
      <c r="H172" s="29">
        <v>2.9819176594679586E-2</v>
      </c>
      <c r="I172" s="29">
        <v>-0.19995451409799858</v>
      </c>
      <c r="J172" s="29">
        <v>-2.0119008558918905E-2</v>
      </c>
    </row>
    <row r="173" spans="1:10" ht="11.25" customHeight="1" x14ac:dyDescent="0.2">
      <c r="A173" s="38">
        <v>44562</v>
      </c>
      <c r="B173" s="28">
        <v>0</v>
      </c>
      <c r="C173" s="28">
        <v>0</v>
      </c>
      <c r="D173" s="28">
        <v>318.57839999999999</v>
      </c>
      <c r="E173" s="28">
        <v>328.07814556885046</v>
      </c>
      <c r="F173" s="28">
        <v>88.465440000000015</v>
      </c>
      <c r="G173" s="28">
        <v>70.776375930334368</v>
      </c>
      <c r="H173" s="29">
        <v>2.9819176594679586E-2</v>
      </c>
      <c r="I173" s="29">
        <v>-0.19995451409799858</v>
      </c>
      <c r="J173" s="29">
        <v>-2.0119008558918683E-2</v>
      </c>
    </row>
    <row r="174" spans="1:10" ht="11.25" customHeight="1" x14ac:dyDescent="0.2">
      <c r="A174" s="38">
        <v>44593</v>
      </c>
      <c r="B174" s="28">
        <v>0</v>
      </c>
      <c r="C174" s="28">
        <v>0</v>
      </c>
      <c r="D174" s="28">
        <v>241.77824999999999</v>
      </c>
      <c r="E174" s="28">
        <v>248.98787833350258</v>
      </c>
      <c r="F174" s="28">
        <v>67.138950000000008</v>
      </c>
      <c r="G174" s="28">
        <v>53.714213875700196</v>
      </c>
      <c r="H174" s="29">
        <v>2.9819176594679586E-2</v>
      </c>
      <c r="I174" s="29">
        <v>-0.19995451409799847</v>
      </c>
      <c r="J174" s="29">
        <v>-2.0119008558918794E-2</v>
      </c>
    </row>
    <row r="175" spans="1:10" ht="11.25" customHeight="1" x14ac:dyDescent="0.2">
      <c r="A175" s="38">
        <v>44621</v>
      </c>
      <c r="B175" s="28">
        <v>0</v>
      </c>
      <c r="C175" s="28">
        <v>0</v>
      </c>
      <c r="D175" s="28">
        <v>349.86734999999999</v>
      </c>
      <c r="E175" s="28">
        <v>360.30010629436254</v>
      </c>
      <c r="F175" s="28">
        <v>97.15401</v>
      </c>
      <c r="G175" s="28">
        <v>77.72762713777793</v>
      </c>
      <c r="H175" s="29">
        <v>2.9819176594679586E-2</v>
      </c>
      <c r="I175" s="29">
        <v>-0.19995451409799836</v>
      </c>
      <c r="J175" s="29">
        <v>-2.0119008558918794E-2</v>
      </c>
    </row>
    <row r="176" spans="1:10" ht="11.25" customHeight="1" x14ac:dyDescent="0.2">
      <c r="A176" s="38">
        <v>44652</v>
      </c>
      <c r="B176" s="28">
        <v>0</v>
      </c>
      <c r="C176" s="28">
        <v>0</v>
      </c>
      <c r="D176" s="28">
        <v>534.75659999999993</v>
      </c>
      <c r="E176" s="28">
        <v>550.70260149057037</v>
      </c>
      <c r="F176" s="28">
        <v>148.49555999999998</v>
      </c>
      <c r="G176" s="28">
        <v>118.80320245448982</v>
      </c>
      <c r="H176" s="29">
        <v>2.9819176594679586E-2</v>
      </c>
      <c r="I176" s="29">
        <v>-0.19995451409799836</v>
      </c>
      <c r="J176" s="29">
        <v>-2.0119008558918794E-2</v>
      </c>
    </row>
    <row r="177" spans="1:10" ht="11.25" customHeight="1" x14ac:dyDescent="0.2">
      <c r="A177" s="33" t="s">
        <v>44</v>
      </c>
      <c r="B177" s="28">
        <v>1828234.5984000002</v>
      </c>
      <c r="C177" s="28">
        <v>1578417.6893204267</v>
      </c>
      <c r="D177" s="28">
        <v>2490519.0363137997</v>
      </c>
      <c r="E177" s="28">
        <v>3325761.4491922962</v>
      </c>
      <c r="F177" s="28">
        <v>6380824.8142386014</v>
      </c>
      <c r="G177" s="28">
        <v>5104950.0889630709</v>
      </c>
      <c r="H177" s="29">
        <v>0.13555427174481927</v>
      </c>
      <c r="I177" s="29">
        <v>-0.19995451409799792</v>
      </c>
      <c r="J177" s="29">
        <v>-6.4530506951347211E-2</v>
      </c>
    </row>
    <row r="178" spans="1:10" ht="11.25" customHeight="1" x14ac:dyDescent="0.2">
      <c r="A178" s="34" t="s">
        <v>53</v>
      </c>
      <c r="B178" s="28">
        <v>96426.892800000031</v>
      </c>
      <c r="C178" s="28">
        <v>83250.756470162902</v>
      </c>
      <c r="D178" s="28">
        <v>34365.976115400008</v>
      </c>
      <c r="E178" s="28">
        <v>48108.039171815559</v>
      </c>
      <c r="F178" s="28">
        <v>104620.41414899997</v>
      </c>
      <c r="G178" s="28">
        <v>83701.09007310537</v>
      </c>
      <c r="H178" s="29">
        <v>4.3268928288779929E-3</v>
      </c>
      <c r="I178" s="29">
        <v>-0.19995451409799803</v>
      </c>
      <c r="J178" s="29">
        <v>-8.6458151742220601E-2</v>
      </c>
    </row>
    <row r="179" spans="1:10" ht="11.25" customHeight="1" x14ac:dyDescent="0.2">
      <c r="A179" s="35" t="s">
        <v>55</v>
      </c>
      <c r="B179" s="28">
        <v>0</v>
      </c>
      <c r="C179" s="28">
        <v>0</v>
      </c>
      <c r="D179" s="28">
        <v>2499.2489250000003</v>
      </c>
      <c r="E179" s="28">
        <v>3822.4476459634202</v>
      </c>
      <c r="F179" s="28">
        <v>10029.374325000003</v>
      </c>
      <c r="G179" s="28">
        <v>8023.9556551376863</v>
      </c>
      <c r="H179" s="29">
        <v>0.52943854760822573</v>
      </c>
      <c r="I179" s="29">
        <v>-0.19995451409799836</v>
      </c>
      <c r="J179" s="29">
        <v>-5.445290637970901E-2</v>
      </c>
    </row>
    <row r="180" spans="1:10" ht="11.25" customHeight="1" x14ac:dyDescent="0.2">
      <c r="A180" s="36" t="s">
        <v>25</v>
      </c>
      <c r="B180" s="28">
        <v>0</v>
      </c>
      <c r="C180" s="28">
        <v>0</v>
      </c>
      <c r="D180" s="28">
        <v>2499.2489250000003</v>
      </c>
      <c r="E180" s="28">
        <v>3822.4476459634202</v>
      </c>
      <c r="F180" s="28">
        <v>10029.374325000003</v>
      </c>
      <c r="G180" s="28">
        <v>8023.9556551376863</v>
      </c>
      <c r="H180" s="29">
        <v>0.52943854760822573</v>
      </c>
      <c r="I180" s="29">
        <v>-0.19995451409799836</v>
      </c>
      <c r="J180" s="29">
        <v>-5.445290637970901E-2</v>
      </c>
    </row>
    <row r="181" spans="1:10" ht="11.25" customHeight="1" x14ac:dyDescent="0.2">
      <c r="A181" s="37" t="s">
        <v>36</v>
      </c>
      <c r="B181" s="28">
        <v>0</v>
      </c>
      <c r="C181" s="28">
        <v>0</v>
      </c>
      <c r="D181" s="28">
        <v>2499.2489250000003</v>
      </c>
      <c r="E181" s="28">
        <v>3822.4476459634202</v>
      </c>
      <c r="F181" s="28">
        <v>10029.374325000003</v>
      </c>
      <c r="G181" s="28">
        <v>8023.9556551376863</v>
      </c>
      <c r="H181" s="29">
        <v>0.52943854760822573</v>
      </c>
      <c r="I181" s="29">
        <v>-0.19995451409799836</v>
      </c>
      <c r="J181" s="29">
        <v>-5.445290637970901E-2</v>
      </c>
    </row>
    <row r="182" spans="1:10" ht="11.25" customHeight="1" x14ac:dyDescent="0.2">
      <c r="A182" s="38">
        <v>44317</v>
      </c>
      <c r="B182" s="28">
        <v>0</v>
      </c>
      <c r="C182" s="28">
        <v>0</v>
      </c>
      <c r="D182" s="28">
        <v>696.20739300000002</v>
      </c>
      <c r="E182" s="28">
        <v>1064.8064239840296</v>
      </c>
      <c r="F182" s="28">
        <v>2793.8491770000001</v>
      </c>
      <c r="G182" s="28">
        <v>2235.2064223498724</v>
      </c>
      <c r="H182" s="29">
        <v>0.52943854760822617</v>
      </c>
      <c r="I182" s="29">
        <v>-0.19995451409799836</v>
      </c>
      <c r="J182" s="29">
        <v>-5.445290637970901E-2</v>
      </c>
    </row>
    <row r="183" spans="1:10" ht="11.25" customHeight="1" x14ac:dyDescent="0.2">
      <c r="A183" s="38">
        <v>44348</v>
      </c>
      <c r="B183" s="28">
        <v>0</v>
      </c>
      <c r="C183" s="28">
        <v>0</v>
      </c>
      <c r="D183" s="28">
        <v>133.64757</v>
      </c>
      <c r="E183" s="28">
        <v>204.40574535216876</v>
      </c>
      <c r="F183" s="28">
        <v>536.32173</v>
      </c>
      <c r="G183" s="28">
        <v>429.08177907765213</v>
      </c>
      <c r="H183" s="29">
        <v>0.5294385476082264</v>
      </c>
      <c r="I183" s="29">
        <v>-0.19995451409799836</v>
      </c>
      <c r="J183" s="29">
        <v>-5.4452906379708788E-2</v>
      </c>
    </row>
    <row r="184" spans="1:10" ht="11.25" customHeight="1" x14ac:dyDescent="0.2">
      <c r="A184" s="38">
        <v>44378</v>
      </c>
      <c r="B184" s="28">
        <v>0</v>
      </c>
      <c r="C184" s="28">
        <v>0</v>
      </c>
      <c r="D184" s="28">
        <v>319.514139</v>
      </c>
      <c r="E184" s="28">
        <v>488.67724069245298</v>
      </c>
      <c r="F184" s="28">
        <v>1282.1959710000001</v>
      </c>
      <c r="G184" s="28">
        <v>1025.8150986402838</v>
      </c>
      <c r="H184" s="29">
        <v>0.5294385476082264</v>
      </c>
      <c r="I184" s="29">
        <v>-0.19995451409799836</v>
      </c>
      <c r="J184" s="29">
        <v>-5.4452906379708899E-2</v>
      </c>
    </row>
    <row r="185" spans="1:10" ht="11.25" customHeight="1" x14ac:dyDescent="0.2">
      <c r="A185" s="38">
        <v>44409</v>
      </c>
      <c r="B185" s="28">
        <v>0</v>
      </c>
      <c r="C185" s="28">
        <v>0</v>
      </c>
      <c r="D185" s="28">
        <v>393.54190199999999</v>
      </c>
      <c r="E185" s="28">
        <v>601.89815501785893</v>
      </c>
      <c r="F185" s="28">
        <v>1579.2660780000001</v>
      </c>
      <c r="G185" s="28">
        <v>1263.4846967420583</v>
      </c>
      <c r="H185" s="29">
        <v>0.5294385476082264</v>
      </c>
      <c r="I185" s="29">
        <v>-0.19995451409799847</v>
      </c>
      <c r="J185" s="29">
        <v>-5.445290637970901E-2</v>
      </c>
    </row>
    <row r="186" spans="1:10" ht="11.25" customHeight="1" x14ac:dyDescent="0.2">
      <c r="A186" s="38">
        <v>44440</v>
      </c>
      <c r="B186" s="28">
        <v>0</v>
      </c>
      <c r="C186" s="28">
        <v>0</v>
      </c>
      <c r="D186" s="28">
        <v>832.07914199999993</v>
      </c>
      <c r="E186" s="28">
        <v>1272.6139144355791</v>
      </c>
      <c r="F186" s="28">
        <v>3339.096438</v>
      </c>
      <c r="G186" s="28">
        <v>2671.4290322133529</v>
      </c>
      <c r="H186" s="29">
        <v>0.5294385476082264</v>
      </c>
      <c r="I186" s="29">
        <v>-0.19995451409799836</v>
      </c>
      <c r="J186" s="29">
        <v>-5.4452906379708899E-2</v>
      </c>
    </row>
    <row r="187" spans="1:10" ht="11.25" customHeight="1" x14ac:dyDescent="0.2">
      <c r="A187" s="38">
        <v>44470</v>
      </c>
      <c r="B187" s="28">
        <v>0</v>
      </c>
      <c r="C187" s="28">
        <v>0</v>
      </c>
      <c r="D187" s="28">
        <v>47.239199999999997</v>
      </c>
      <c r="E187" s="28">
        <v>72.249453438174527</v>
      </c>
      <c r="F187" s="28">
        <v>189.56880000000001</v>
      </c>
      <c r="G187" s="28">
        <v>151.66366270785934</v>
      </c>
      <c r="H187" s="29">
        <v>0.5294385476082264</v>
      </c>
      <c r="I187" s="29">
        <v>-0.19995451409799858</v>
      </c>
      <c r="J187" s="29">
        <v>-5.445290637970901E-2</v>
      </c>
    </row>
    <row r="188" spans="1:10" ht="11.25" customHeight="1" x14ac:dyDescent="0.2">
      <c r="A188" s="38">
        <v>44501</v>
      </c>
      <c r="B188" s="28">
        <v>0</v>
      </c>
      <c r="C188" s="28">
        <v>0</v>
      </c>
      <c r="D188" s="28">
        <v>0.62985599999999997</v>
      </c>
      <c r="E188" s="28">
        <v>0.96332604584232695</v>
      </c>
      <c r="F188" s="28">
        <v>2.5275840000000001</v>
      </c>
      <c r="G188" s="28">
        <v>2.0221821694381248</v>
      </c>
      <c r="H188" s="29">
        <v>0.5294385476082264</v>
      </c>
      <c r="I188" s="29">
        <v>-0.19995451409799847</v>
      </c>
      <c r="J188" s="29">
        <v>-5.4452906379709121E-2</v>
      </c>
    </row>
    <row r="189" spans="1:10" ht="11.25" customHeight="1" x14ac:dyDescent="0.2">
      <c r="A189" s="38">
        <v>44531</v>
      </c>
      <c r="B189" s="28">
        <v>0</v>
      </c>
      <c r="C189" s="28">
        <v>0</v>
      </c>
      <c r="D189" s="28">
        <v>1.2990780000000002</v>
      </c>
      <c r="E189" s="28">
        <v>1.9868599695497997</v>
      </c>
      <c r="F189" s="28">
        <v>5.2131420000000013</v>
      </c>
      <c r="G189" s="28">
        <v>4.1707507244661333</v>
      </c>
      <c r="H189" s="29">
        <v>0.5294385476082264</v>
      </c>
      <c r="I189" s="29">
        <v>-0.19995451409799847</v>
      </c>
      <c r="J189" s="29">
        <v>-5.4452906379708899E-2</v>
      </c>
    </row>
    <row r="190" spans="1:10" ht="11.25" customHeight="1" x14ac:dyDescent="0.2">
      <c r="A190" s="38">
        <v>44562</v>
      </c>
      <c r="B190" s="28">
        <v>0</v>
      </c>
      <c r="C190" s="28">
        <v>0</v>
      </c>
      <c r="D190" s="28">
        <v>2.007666</v>
      </c>
      <c r="E190" s="28">
        <v>3.0706017711224174</v>
      </c>
      <c r="F190" s="28">
        <v>8.056674000000001</v>
      </c>
      <c r="G190" s="28">
        <v>6.4457056650840228</v>
      </c>
      <c r="H190" s="29">
        <v>0.5294385476082264</v>
      </c>
      <c r="I190" s="29">
        <v>-0.19995451409799847</v>
      </c>
      <c r="J190" s="29">
        <v>-5.4452906379709121E-2</v>
      </c>
    </row>
    <row r="191" spans="1:10" ht="11.25" customHeight="1" x14ac:dyDescent="0.2">
      <c r="A191" s="38">
        <v>44593</v>
      </c>
      <c r="B191" s="28">
        <v>0</v>
      </c>
      <c r="C191" s="28">
        <v>0</v>
      </c>
      <c r="D191" s="28">
        <v>5.0585310000000003</v>
      </c>
      <c r="E191" s="28">
        <v>7.7367123056711895</v>
      </c>
      <c r="F191" s="28">
        <v>20.299659000000002</v>
      </c>
      <c r="G191" s="28">
        <v>16.240650548299939</v>
      </c>
      <c r="H191" s="29">
        <v>0.5294385476082264</v>
      </c>
      <c r="I191" s="29">
        <v>-0.19995451409799847</v>
      </c>
      <c r="J191" s="29">
        <v>-5.4452906379708899E-2</v>
      </c>
    </row>
    <row r="192" spans="1:10" ht="11.25" customHeight="1" x14ac:dyDescent="0.2">
      <c r="A192" s="38">
        <v>44621</v>
      </c>
      <c r="B192" s="28">
        <v>0</v>
      </c>
      <c r="C192" s="28">
        <v>0</v>
      </c>
      <c r="D192" s="28">
        <v>66.902517000000003</v>
      </c>
      <c r="E192" s="28">
        <v>102.32328843181467</v>
      </c>
      <c r="F192" s="28">
        <v>268.47681300000005</v>
      </c>
      <c r="G192" s="28">
        <v>214.79366231000583</v>
      </c>
      <c r="H192" s="29">
        <v>0.5294385476082264</v>
      </c>
      <c r="I192" s="29">
        <v>-0.19995451409799847</v>
      </c>
      <c r="J192" s="29">
        <v>-5.445290637970901E-2</v>
      </c>
    </row>
    <row r="193" spans="1:10" ht="11.25" customHeight="1" x14ac:dyDescent="0.2">
      <c r="A193" s="38">
        <v>44652</v>
      </c>
      <c r="B193" s="28">
        <v>0</v>
      </c>
      <c r="C193" s="28">
        <v>0</v>
      </c>
      <c r="D193" s="28">
        <v>1.121931</v>
      </c>
      <c r="E193" s="28">
        <v>1.715924519156645</v>
      </c>
      <c r="F193" s="28">
        <v>4.5022590000000005</v>
      </c>
      <c r="G193" s="28">
        <v>3.6020119893116602</v>
      </c>
      <c r="H193" s="29">
        <v>0.5294385476082264</v>
      </c>
      <c r="I193" s="29">
        <v>-0.19995451409799836</v>
      </c>
      <c r="J193" s="29">
        <v>-5.4452906379708899E-2</v>
      </c>
    </row>
    <row r="194" spans="1:10" ht="11.25" customHeight="1" x14ac:dyDescent="0.2">
      <c r="A194" s="35" t="s">
        <v>25</v>
      </c>
      <c r="B194" s="28">
        <v>96426.892800000031</v>
      </c>
      <c r="C194" s="28">
        <v>83250.756470162902</v>
      </c>
      <c r="D194" s="28">
        <v>31866.727190400001</v>
      </c>
      <c r="E194" s="28">
        <v>44285.591525852142</v>
      </c>
      <c r="F194" s="28">
        <v>94591.039823999978</v>
      </c>
      <c r="G194" s="28">
        <v>75677.134417967682</v>
      </c>
      <c r="H194" s="29">
        <v>-5.9026473369576671E-3</v>
      </c>
      <c r="I194" s="29">
        <v>-0.19995451409799803</v>
      </c>
      <c r="J194" s="29">
        <v>-8.8257206291351809E-2</v>
      </c>
    </row>
    <row r="195" spans="1:10" ht="11.25" customHeight="1" x14ac:dyDescent="0.2">
      <c r="A195" s="36" t="s">
        <v>25</v>
      </c>
      <c r="B195" s="28">
        <v>96426.892800000031</v>
      </c>
      <c r="C195" s="28">
        <v>83250.756470162902</v>
      </c>
      <c r="D195" s="28">
        <v>31866.727190400001</v>
      </c>
      <c r="E195" s="28">
        <v>44285.591525852142</v>
      </c>
      <c r="F195" s="28">
        <v>94591.039823999978</v>
      </c>
      <c r="G195" s="28">
        <v>75677.134417967682</v>
      </c>
      <c r="H195" s="29">
        <v>-5.9026473369576671E-3</v>
      </c>
      <c r="I195" s="29">
        <v>-0.19995451409799803</v>
      </c>
      <c r="J195" s="29">
        <v>-8.8257206291351809E-2</v>
      </c>
    </row>
    <row r="196" spans="1:10" ht="11.25" customHeight="1" x14ac:dyDescent="0.2">
      <c r="A196" s="37" t="s">
        <v>36</v>
      </c>
      <c r="B196" s="28">
        <v>0</v>
      </c>
      <c r="C196" s="28">
        <v>0</v>
      </c>
      <c r="D196" s="28">
        <v>22954.7240064</v>
      </c>
      <c r="E196" s="28">
        <v>35107.839745096106</v>
      </c>
      <c r="F196" s="28">
        <v>92116.282329599999</v>
      </c>
      <c r="G196" s="28">
        <v>73697.215855870803</v>
      </c>
      <c r="H196" s="29">
        <v>0.5294385476082264</v>
      </c>
      <c r="I196" s="29">
        <v>-0.19995451409799836</v>
      </c>
      <c r="J196" s="29">
        <v>-5.4452906379708788E-2</v>
      </c>
    </row>
    <row r="197" spans="1:10" ht="11.25" customHeight="1" x14ac:dyDescent="0.2">
      <c r="A197" s="38">
        <v>44317</v>
      </c>
      <c r="B197" s="28">
        <v>0</v>
      </c>
      <c r="C197" s="28">
        <v>0</v>
      </c>
      <c r="D197" s="28">
        <v>5122.8707904000003</v>
      </c>
      <c r="E197" s="28">
        <v>7835.1160612539834</v>
      </c>
      <c r="F197" s="28">
        <v>20557.851705600002</v>
      </c>
      <c r="G197" s="28">
        <v>16447.216456908045</v>
      </c>
      <c r="H197" s="29">
        <v>0.5294385476082264</v>
      </c>
      <c r="I197" s="29">
        <v>-0.19995451409799847</v>
      </c>
      <c r="J197" s="29">
        <v>-5.445290637970901E-2</v>
      </c>
    </row>
    <row r="198" spans="1:10" ht="11.25" customHeight="1" x14ac:dyDescent="0.2">
      <c r="A198" s="38">
        <v>44348</v>
      </c>
      <c r="B198" s="28">
        <v>0</v>
      </c>
      <c r="C198" s="28">
        <v>0</v>
      </c>
      <c r="D198" s="28">
        <v>1663.5126816</v>
      </c>
      <c r="E198" s="28">
        <v>2544.24041967417</v>
      </c>
      <c r="F198" s="28">
        <v>6675.6021024000001</v>
      </c>
      <c r="G198" s="28">
        <v>5340.7853277030317</v>
      </c>
      <c r="H198" s="29">
        <v>0.5294385476082264</v>
      </c>
      <c r="I198" s="29">
        <v>-0.19995451409799836</v>
      </c>
      <c r="J198" s="29">
        <v>-5.4452906379708788E-2</v>
      </c>
    </row>
    <row r="199" spans="1:10" ht="11.25" customHeight="1" x14ac:dyDescent="0.2">
      <c r="A199" s="38">
        <v>44378</v>
      </c>
      <c r="B199" s="28">
        <v>0</v>
      </c>
      <c r="C199" s="28">
        <v>0</v>
      </c>
      <c r="D199" s="28">
        <v>2655.5358815999998</v>
      </c>
      <c r="E199" s="28">
        <v>4061.4789418758346</v>
      </c>
      <c r="F199" s="28">
        <v>10656.546902399999</v>
      </c>
      <c r="G199" s="28">
        <v>8525.7222445680782</v>
      </c>
      <c r="H199" s="29">
        <v>0.5294385476082264</v>
      </c>
      <c r="I199" s="29">
        <v>-0.19995451409799836</v>
      </c>
      <c r="J199" s="29">
        <v>-5.4452906379708899E-2</v>
      </c>
    </row>
    <row r="200" spans="1:10" ht="11.25" customHeight="1" x14ac:dyDescent="0.2">
      <c r="A200" s="38">
        <v>44409</v>
      </c>
      <c r="B200" s="28">
        <v>0</v>
      </c>
      <c r="C200" s="28">
        <v>0</v>
      </c>
      <c r="D200" s="28">
        <v>3974.2024031999999</v>
      </c>
      <c r="E200" s="28">
        <v>6078.2983514513317</v>
      </c>
      <c r="F200" s="28">
        <v>15948.296764800001</v>
      </c>
      <c r="G200" s="28">
        <v>12759.362834503738</v>
      </c>
      <c r="H200" s="29">
        <v>0.52943854760822662</v>
      </c>
      <c r="I200" s="29">
        <v>-0.19995451409799836</v>
      </c>
      <c r="J200" s="29">
        <v>-5.4452906379708899E-2</v>
      </c>
    </row>
    <row r="201" spans="1:10" ht="11.25" customHeight="1" x14ac:dyDescent="0.2">
      <c r="A201" s="38">
        <v>44440</v>
      </c>
      <c r="B201" s="28">
        <v>0</v>
      </c>
      <c r="C201" s="28">
        <v>0</v>
      </c>
      <c r="D201" s="28">
        <v>4899.3978815999999</v>
      </c>
      <c r="E201" s="28">
        <v>7493.3279801891249</v>
      </c>
      <c r="F201" s="28">
        <v>19661.064902400001</v>
      </c>
      <c r="G201" s="28">
        <v>15729.746223191398</v>
      </c>
      <c r="H201" s="29">
        <v>0.5294385476082264</v>
      </c>
      <c r="I201" s="29">
        <v>-0.19995451409799847</v>
      </c>
      <c r="J201" s="29">
        <v>-5.4452906379709121E-2</v>
      </c>
    </row>
    <row r="202" spans="1:10" ht="11.25" customHeight="1" x14ac:dyDescent="0.2">
      <c r="A202" s="38">
        <v>44470</v>
      </c>
      <c r="B202" s="28">
        <v>0</v>
      </c>
      <c r="C202" s="28">
        <v>0</v>
      </c>
      <c r="D202" s="28">
        <v>683.6457024</v>
      </c>
      <c r="E202" s="28">
        <v>1045.5940901572619</v>
      </c>
      <c r="F202" s="28">
        <v>2743.4396736000003</v>
      </c>
      <c r="G202" s="28">
        <v>2194.8765267081408</v>
      </c>
      <c r="H202" s="29">
        <v>0.52943854760822662</v>
      </c>
      <c r="I202" s="29">
        <v>-0.19995451409799847</v>
      </c>
      <c r="J202" s="29">
        <v>-5.4452906379708899E-2</v>
      </c>
    </row>
    <row r="203" spans="1:10" ht="11.25" customHeight="1" x14ac:dyDescent="0.2">
      <c r="A203" s="38">
        <v>44501</v>
      </c>
      <c r="B203" s="28">
        <v>0</v>
      </c>
      <c r="C203" s="28">
        <v>0</v>
      </c>
      <c r="D203" s="28">
        <v>704.9978208</v>
      </c>
      <c r="E203" s="28">
        <v>1078.2508431113165</v>
      </c>
      <c r="F203" s="28">
        <v>2829.1247711999999</v>
      </c>
      <c r="G203" s="28">
        <v>2263.428502252093</v>
      </c>
      <c r="H203" s="29">
        <v>0.52943854760822617</v>
      </c>
      <c r="I203" s="29">
        <v>-0.19995451409799836</v>
      </c>
      <c r="J203" s="29">
        <v>-5.4452906379708899E-2</v>
      </c>
    </row>
    <row r="204" spans="1:10" ht="11.25" customHeight="1" x14ac:dyDescent="0.2">
      <c r="A204" s="38">
        <v>44531</v>
      </c>
      <c r="B204" s="28">
        <v>0</v>
      </c>
      <c r="C204" s="28">
        <v>0</v>
      </c>
      <c r="D204" s="28">
        <v>501.23940479999999</v>
      </c>
      <c r="E204" s="28">
        <v>766.61486728132388</v>
      </c>
      <c r="F204" s="28">
        <v>2011.4513472000003</v>
      </c>
      <c r="G204" s="28">
        <v>1609.2525704388597</v>
      </c>
      <c r="H204" s="29">
        <v>0.5294385476082264</v>
      </c>
      <c r="I204" s="29">
        <v>-0.19995451409799858</v>
      </c>
      <c r="J204" s="29">
        <v>-5.445290637970901E-2</v>
      </c>
    </row>
    <row r="205" spans="1:10" ht="11.25" customHeight="1" x14ac:dyDescent="0.2">
      <c r="A205" s="38">
        <v>44562</v>
      </c>
      <c r="B205" s="28">
        <v>0</v>
      </c>
      <c r="C205" s="28">
        <v>0</v>
      </c>
      <c r="D205" s="28">
        <v>423.70413119999995</v>
      </c>
      <c r="E205" s="28">
        <v>648.02943103813334</v>
      </c>
      <c r="F205" s="28">
        <v>1700.3057568000002</v>
      </c>
      <c r="G205" s="28">
        <v>1360.3219453810266</v>
      </c>
      <c r="H205" s="29">
        <v>0.5294385476082264</v>
      </c>
      <c r="I205" s="29">
        <v>-0.19995451409799847</v>
      </c>
      <c r="J205" s="29">
        <v>-5.445290637970901E-2</v>
      </c>
    </row>
    <row r="206" spans="1:10" ht="11.25" customHeight="1" x14ac:dyDescent="0.2">
      <c r="A206" s="38">
        <v>44593</v>
      </c>
      <c r="B206" s="28">
        <v>0</v>
      </c>
      <c r="C206" s="28">
        <v>0</v>
      </c>
      <c r="D206" s="28">
        <v>700.65181440000003</v>
      </c>
      <c r="E206" s="28">
        <v>1071.6038933950047</v>
      </c>
      <c r="F206" s="28">
        <v>2811.6844416000004</v>
      </c>
      <c r="G206" s="28">
        <v>2249.4754452829702</v>
      </c>
      <c r="H206" s="29">
        <v>0.5294385476082264</v>
      </c>
      <c r="I206" s="29">
        <v>-0.19995451409799847</v>
      </c>
      <c r="J206" s="29">
        <v>-5.4452906379708899E-2</v>
      </c>
    </row>
    <row r="207" spans="1:10" ht="11.25" customHeight="1" x14ac:dyDescent="0.2">
      <c r="A207" s="38">
        <v>44621</v>
      </c>
      <c r="B207" s="28">
        <v>0</v>
      </c>
      <c r="C207" s="28">
        <v>0</v>
      </c>
      <c r="D207" s="28">
        <v>1175.4372672</v>
      </c>
      <c r="E207" s="28">
        <v>1797.7590667509508</v>
      </c>
      <c r="F207" s="28">
        <v>4716.9772608000003</v>
      </c>
      <c r="G207" s="28">
        <v>3773.7963646054286</v>
      </c>
      <c r="H207" s="29">
        <v>0.5294385476082264</v>
      </c>
      <c r="I207" s="29">
        <v>-0.19995451409799847</v>
      </c>
      <c r="J207" s="29">
        <v>-5.445290637970901E-2</v>
      </c>
    </row>
    <row r="208" spans="1:10" ht="11.25" customHeight="1" x14ac:dyDescent="0.2">
      <c r="A208" s="38">
        <v>44652</v>
      </c>
      <c r="B208" s="28">
        <v>0</v>
      </c>
      <c r="C208" s="28">
        <v>0</v>
      </c>
      <c r="D208" s="28">
        <v>449.5282272</v>
      </c>
      <c r="E208" s="28">
        <v>687.52579891766879</v>
      </c>
      <c r="F208" s="28">
        <v>1803.9367008000002</v>
      </c>
      <c r="G208" s="28">
        <v>1443.2314143279896</v>
      </c>
      <c r="H208" s="29">
        <v>0.5294385476082264</v>
      </c>
      <c r="I208" s="29">
        <v>-0.19995451409799858</v>
      </c>
      <c r="J208" s="29">
        <v>-5.4452906379709121E-2</v>
      </c>
    </row>
    <row r="209" spans="1:10" ht="11.25" customHeight="1" x14ac:dyDescent="0.2">
      <c r="A209" s="37" t="s">
        <v>25</v>
      </c>
      <c r="B209" s="28">
        <v>96426.892800000031</v>
      </c>
      <c r="C209" s="28">
        <v>83250.756470162902</v>
      </c>
      <c r="D209" s="28">
        <v>0</v>
      </c>
      <c r="E209" s="28">
        <v>0</v>
      </c>
      <c r="F209" s="28">
        <v>0</v>
      </c>
      <c r="G209" s="28">
        <v>0</v>
      </c>
      <c r="H209" s="29">
        <v>-0.13664379248604308</v>
      </c>
      <c r="I209" s="29">
        <v>0</v>
      </c>
      <c r="J209" s="29">
        <v>-0.13664379248604308</v>
      </c>
    </row>
    <row r="210" spans="1:10" ht="11.25" customHeight="1" x14ac:dyDescent="0.2">
      <c r="A210" s="38">
        <v>44317</v>
      </c>
      <c r="B210" s="28">
        <v>9032.4863999999998</v>
      </c>
      <c r="C210" s="28">
        <v>7798.2532027253965</v>
      </c>
      <c r="D210" s="28">
        <v>0</v>
      </c>
      <c r="E210" s="28">
        <v>0</v>
      </c>
      <c r="F210" s="28">
        <v>0</v>
      </c>
      <c r="G210" s="28">
        <v>0</v>
      </c>
      <c r="H210" s="29">
        <v>-0.13664379248604275</v>
      </c>
      <c r="I210" s="29">
        <v>0</v>
      </c>
      <c r="J210" s="29">
        <v>-0.13664379248604275</v>
      </c>
    </row>
    <row r="211" spans="1:10" ht="11.25" customHeight="1" x14ac:dyDescent="0.2">
      <c r="A211" s="38">
        <v>44348</v>
      </c>
      <c r="B211" s="28">
        <v>7140.6720000000005</v>
      </c>
      <c r="C211" s="28">
        <v>6164.943497021105</v>
      </c>
      <c r="D211" s="28">
        <v>0</v>
      </c>
      <c r="E211" s="28">
        <v>0</v>
      </c>
      <c r="F211" s="28">
        <v>0</v>
      </c>
      <c r="G211" s="28">
        <v>0</v>
      </c>
      <c r="H211" s="29">
        <v>-0.13664379248604264</v>
      </c>
      <c r="I211" s="29">
        <v>0</v>
      </c>
      <c r="J211" s="29">
        <v>-0.13664379248604264</v>
      </c>
    </row>
    <row r="212" spans="1:10" ht="11.25" customHeight="1" x14ac:dyDescent="0.2">
      <c r="A212" s="38">
        <v>44378</v>
      </c>
      <c r="B212" s="28">
        <v>7214.8608000000004</v>
      </c>
      <c r="C212" s="28">
        <v>6228.9948580291157</v>
      </c>
      <c r="D212" s="28">
        <v>0</v>
      </c>
      <c r="E212" s="28">
        <v>0</v>
      </c>
      <c r="F212" s="28">
        <v>0</v>
      </c>
      <c r="G212" s="28">
        <v>0</v>
      </c>
      <c r="H212" s="29">
        <v>-0.13664379248604275</v>
      </c>
      <c r="I212" s="29">
        <v>0</v>
      </c>
      <c r="J212" s="29">
        <v>-0.13664379248604275</v>
      </c>
    </row>
    <row r="213" spans="1:10" ht="11.25" customHeight="1" x14ac:dyDescent="0.2">
      <c r="A213" s="38">
        <v>44409</v>
      </c>
      <c r="B213" s="28">
        <v>9310.6944000000003</v>
      </c>
      <c r="C213" s="28">
        <v>8038.4458065054396</v>
      </c>
      <c r="D213" s="28">
        <v>0</v>
      </c>
      <c r="E213" s="28">
        <v>0</v>
      </c>
      <c r="F213" s="28">
        <v>0</v>
      </c>
      <c r="G213" s="28">
        <v>0</v>
      </c>
      <c r="H213" s="29">
        <v>-0.13664379248604275</v>
      </c>
      <c r="I213" s="29">
        <v>0</v>
      </c>
      <c r="J213" s="29">
        <v>-0.13664379248604275</v>
      </c>
    </row>
    <row r="214" spans="1:10" ht="11.25" customHeight="1" x14ac:dyDescent="0.2">
      <c r="A214" s="38">
        <v>44440</v>
      </c>
      <c r="B214" s="28">
        <v>9199.4112000000005</v>
      </c>
      <c r="C214" s="28">
        <v>7942.3687649934227</v>
      </c>
      <c r="D214" s="28">
        <v>0</v>
      </c>
      <c r="E214" s="28">
        <v>0</v>
      </c>
      <c r="F214" s="28">
        <v>0</v>
      </c>
      <c r="G214" s="28">
        <v>0</v>
      </c>
      <c r="H214" s="29">
        <v>-0.13664379248604275</v>
      </c>
      <c r="I214" s="29">
        <v>0</v>
      </c>
      <c r="J214" s="29">
        <v>-0.13664379248604275</v>
      </c>
    </row>
    <row r="215" spans="1:10" ht="11.25" customHeight="1" x14ac:dyDescent="0.2">
      <c r="A215" s="38">
        <v>44470</v>
      </c>
      <c r="B215" s="28">
        <v>8642.9952000000012</v>
      </c>
      <c r="C215" s="28">
        <v>7461.9835574333365</v>
      </c>
      <c r="D215" s="28">
        <v>0</v>
      </c>
      <c r="E215" s="28">
        <v>0</v>
      </c>
      <c r="F215" s="28">
        <v>0</v>
      </c>
      <c r="G215" s="28">
        <v>0</v>
      </c>
      <c r="H215" s="29">
        <v>-0.13664379248604286</v>
      </c>
      <c r="I215" s="29">
        <v>0</v>
      </c>
      <c r="J215" s="29">
        <v>-0.13664379248604286</v>
      </c>
    </row>
    <row r="216" spans="1:10" ht="11.25" customHeight="1" x14ac:dyDescent="0.2">
      <c r="A216" s="38">
        <v>44501</v>
      </c>
      <c r="B216" s="28">
        <v>5768.1792000000005</v>
      </c>
      <c r="C216" s="28">
        <v>4979.9933183728917</v>
      </c>
      <c r="D216" s="28">
        <v>0</v>
      </c>
      <c r="E216" s="28">
        <v>0</v>
      </c>
      <c r="F216" s="28">
        <v>0</v>
      </c>
      <c r="G216" s="28">
        <v>0</v>
      </c>
      <c r="H216" s="29">
        <v>-0.13664379248604286</v>
      </c>
      <c r="I216" s="29">
        <v>0</v>
      </c>
      <c r="J216" s="29">
        <v>-0.13664379248604286</v>
      </c>
    </row>
    <row r="217" spans="1:10" ht="11.25" customHeight="1" x14ac:dyDescent="0.2">
      <c r="A217" s="38">
        <v>44531</v>
      </c>
      <c r="B217" s="28">
        <v>5693.9904000000006</v>
      </c>
      <c r="C217" s="28">
        <v>4915.9419573648811</v>
      </c>
      <c r="D217" s="28">
        <v>0</v>
      </c>
      <c r="E217" s="28">
        <v>0</v>
      </c>
      <c r="F217" s="28">
        <v>0</v>
      </c>
      <c r="G217" s="28">
        <v>0</v>
      </c>
      <c r="H217" s="29">
        <v>-0.13664379248604275</v>
      </c>
      <c r="I217" s="29">
        <v>0</v>
      </c>
      <c r="J217" s="29">
        <v>-0.13664379248604275</v>
      </c>
    </row>
    <row r="218" spans="1:10" ht="11.25" customHeight="1" x14ac:dyDescent="0.2">
      <c r="A218" s="38">
        <v>44562</v>
      </c>
      <c r="B218" s="28">
        <v>7474.5216</v>
      </c>
      <c r="C218" s="28">
        <v>6453.1746215571557</v>
      </c>
      <c r="D218" s="28">
        <v>0</v>
      </c>
      <c r="E218" s="28">
        <v>0</v>
      </c>
      <c r="F218" s="28">
        <v>0</v>
      </c>
      <c r="G218" s="28">
        <v>0</v>
      </c>
      <c r="H218" s="29">
        <v>-0.13664379248604275</v>
      </c>
      <c r="I218" s="29">
        <v>0</v>
      </c>
      <c r="J218" s="29">
        <v>-0.13664379248604275</v>
      </c>
    </row>
    <row r="219" spans="1:10" ht="11.25" customHeight="1" x14ac:dyDescent="0.2">
      <c r="A219" s="38">
        <v>44593</v>
      </c>
      <c r="B219" s="28">
        <v>5916.5568000000003</v>
      </c>
      <c r="C219" s="28">
        <v>5108.0960403889148</v>
      </c>
      <c r="D219" s="28">
        <v>0</v>
      </c>
      <c r="E219" s="28">
        <v>0</v>
      </c>
      <c r="F219" s="28">
        <v>0</v>
      </c>
      <c r="G219" s="28">
        <v>0</v>
      </c>
      <c r="H219" s="29">
        <v>-0.13664379248604275</v>
      </c>
      <c r="I219" s="29">
        <v>0</v>
      </c>
      <c r="J219" s="29">
        <v>-0.13664379248604275</v>
      </c>
    </row>
    <row r="220" spans="1:10" ht="11.25" customHeight="1" x14ac:dyDescent="0.2">
      <c r="A220" s="38">
        <v>44621</v>
      </c>
      <c r="B220" s="28">
        <v>14225.702400000002</v>
      </c>
      <c r="C220" s="28">
        <v>12281.8484732862</v>
      </c>
      <c r="D220" s="28">
        <v>0</v>
      </c>
      <c r="E220" s="28">
        <v>0</v>
      </c>
      <c r="F220" s="28">
        <v>0</v>
      </c>
      <c r="G220" s="28">
        <v>0</v>
      </c>
      <c r="H220" s="29">
        <v>-0.13664379248604286</v>
      </c>
      <c r="I220" s="29">
        <v>0</v>
      </c>
      <c r="J220" s="29">
        <v>-0.13664379248604286</v>
      </c>
    </row>
    <row r="221" spans="1:10" ht="11.25" customHeight="1" x14ac:dyDescent="0.2">
      <c r="A221" s="38">
        <v>44652</v>
      </c>
      <c r="B221" s="28">
        <v>6806.8224</v>
      </c>
      <c r="C221" s="28">
        <v>5876.7123724850526</v>
      </c>
      <c r="D221" s="28">
        <v>0</v>
      </c>
      <c r="E221" s="28">
        <v>0</v>
      </c>
      <c r="F221" s="28">
        <v>0</v>
      </c>
      <c r="G221" s="28">
        <v>0</v>
      </c>
      <c r="H221" s="29">
        <v>-0.13664379248604275</v>
      </c>
      <c r="I221" s="29">
        <v>0</v>
      </c>
      <c r="J221" s="29">
        <v>-0.13664379248604275</v>
      </c>
    </row>
    <row r="222" spans="1:10" ht="11.25" customHeight="1" x14ac:dyDescent="0.2">
      <c r="A222" s="37" t="s">
        <v>35</v>
      </c>
      <c r="B222" s="28">
        <v>0</v>
      </c>
      <c r="C222" s="28">
        <v>0</v>
      </c>
      <c r="D222" s="28">
        <v>8912.0031839999992</v>
      </c>
      <c r="E222" s="28">
        <v>9177.7517807560398</v>
      </c>
      <c r="F222" s="28">
        <v>2474.7574944000003</v>
      </c>
      <c r="G222" s="28">
        <v>1979.9185620968681</v>
      </c>
      <c r="H222" s="29">
        <v>2.9819176594679364E-2</v>
      </c>
      <c r="I222" s="29">
        <v>-0.19995451409799847</v>
      </c>
      <c r="J222" s="29">
        <v>-2.0119008558919127E-2</v>
      </c>
    </row>
    <row r="223" spans="1:10" ht="11.25" customHeight="1" x14ac:dyDescent="0.2">
      <c r="A223" s="38">
        <v>44317</v>
      </c>
      <c r="B223" s="28">
        <v>0</v>
      </c>
      <c r="C223" s="28">
        <v>0</v>
      </c>
      <c r="D223" s="28">
        <v>2774.3627519999995</v>
      </c>
      <c r="E223" s="28">
        <v>2857.0919648395889</v>
      </c>
      <c r="F223" s="28">
        <v>770.40760320000004</v>
      </c>
      <c r="G223" s="28">
        <v>616.36112524474038</v>
      </c>
      <c r="H223" s="29">
        <v>2.9819176594679586E-2</v>
      </c>
      <c r="I223" s="29">
        <v>-0.19995451409799847</v>
      </c>
      <c r="J223" s="29">
        <v>-2.0119008558918683E-2</v>
      </c>
    </row>
    <row r="224" spans="1:10" ht="11.25" customHeight="1" x14ac:dyDescent="0.2">
      <c r="A224" s="38">
        <v>44348</v>
      </c>
      <c r="B224" s="28">
        <v>0</v>
      </c>
      <c r="C224" s="28">
        <v>0</v>
      </c>
      <c r="D224" s="28">
        <v>313.11705599999999</v>
      </c>
      <c r="E224" s="28">
        <v>322.45394878767013</v>
      </c>
      <c r="F224" s="28">
        <v>86.948889600000001</v>
      </c>
      <c r="G224" s="28">
        <v>69.563066628671493</v>
      </c>
      <c r="H224" s="29">
        <v>2.9819176594679364E-2</v>
      </c>
      <c r="I224" s="29">
        <v>-0.19995451409799847</v>
      </c>
      <c r="J224" s="29">
        <v>-2.0119008558918794E-2</v>
      </c>
    </row>
    <row r="225" spans="1:10" ht="11.25" customHeight="1" x14ac:dyDescent="0.2">
      <c r="A225" s="38">
        <v>44378</v>
      </c>
      <c r="B225" s="28">
        <v>0</v>
      </c>
      <c r="C225" s="28">
        <v>0</v>
      </c>
      <c r="D225" s="28">
        <v>950.27385600000002</v>
      </c>
      <c r="E225" s="28">
        <v>978.61023992537105</v>
      </c>
      <c r="F225" s="28">
        <v>263.87976960000003</v>
      </c>
      <c r="G225" s="28">
        <v>211.11581848934023</v>
      </c>
      <c r="H225" s="29">
        <v>2.9819176594679586E-2</v>
      </c>
      <c r="I225" s="29">
        <v>-0.19995451409799847</v>
      </c>
      <c r="J225" s="29">
        <v>-2.0119008558918683E-2</v>
      </c>
    </row>
    <row r="226" spans="1:10" ht="11.25" customHeight="1" x14ac:dyDescent="0.2">
      <c r="A226" s="38">
        <v>44409</v>
      </c>
      <c r="B226" s="28">
        <v>0</v>
      </c>
      <c r="C226" s="28">
        <v>0</v>
      </c>
      <c r="D226" s="28">
        <v>1798.6026239999999</v>
      </c>
      <c r="E226" s="28">
        <v>1852.2354732687099</v>
      </c>
      <c r="F226" s="28">
        <v>499.45059840000005</v>
      </c>
      <c r="G226" s="28">
        <v>399.58319668097346</v>
      </c>
      <c r="H226" s="29">
        <v>2.9819176594679586E-2</v>
      </c>
      <c r="I226" s="29">
        <v>-0.19995451409799847</v>
      </c>
      <c r="J226" s="29">
        <v>-2.0119008558918905E-2</v>
      </c>
    </row>
    <row r="227" spans="1:10" ht="11.25" customHeight="1" x14ac:dyDescent="0.2">
      <c r="A227" s="38">
        <v>44440</v>
      </c>
      <c r="B227" s="28">
        <v>0</v>
      </c>
      <c r="C227" s="28">
        <v>0</v>
      </c>
      <c r="D227" s="28">
        <v>2437.5798719999998</v>
      </c>
      <c r="E227" s="28">
        <v>2510.266496666804</v>
      </c>
      <c r="F227" s="28">
        <v>676.8869952</v>
      </c>
      <c r="G227" s="28">
        <v>541.54038497552983</v>
      </c>
      <c r="H227" s="29">
        <v>2.9819176594679364E-2</v>
      </c>
      <c r="I227" s="29">
        <v>-0.19995451409799836</v>
      </c>
      <c r="J227" s="29">
        <v>-2.0119008558918905E-2</v>
      </c>
    </row>
    <row r="228" spans="1:10" ht="11.25" customHeight="1" x14ac:dyDescent="0.2">
      <c r="A228" s="38">
        <v>44470</v>
      </c>
      <c r="B228" s="28">
        <v>0</v>
      </c>
      <c r="C228" s="28">
        <v>0</v>
      </c>
      <c r="D228" s="28">
        <v>14.563584000000001</v>
      </c>
      <c r="E228" s="28">
        <v>14.997858083147449</v>
      </c>
      <c r="F228" s="28">
        <v>4.0441344000000008</v>
      </c>
      <c r="G228" s="28">
        <v>3.2354914711009997</v>
      </c>
      <c r="H228" s="29">
        <v>2.9819176594679364E-2</v>
      </c>
      <c r="I228" s="29">
        <v>-0.19995451409799858</v>
      </c>
      <c r="J228" s="29">
        <v>-2.0119008558919016E-2</v>
      </c>
    </row>
    <row r="229" spans="1:10" ht="11.25" customHeight="1" x14ac:dyDescent="0.2">
      <c r="A229" s="38">
        <v>44501</v>
      </c>
      <c r="B229" s="28">
        <v>0</v>
      </c>
      <c r="C229" s="28">
        <v>0</v>
      </c>
      <c r="D229" s="28">
        <v>16.384032000000001</v>
      </c>
      <c r="E229" s="28">
        <v>16.872590343540878</v>
      </c>
      <c r="F229" s="28">
        <v>4.5496512000000005</v>
      </c>
      <c r="G229" s="28">
        <v>3.6399279049886246</v>
      </c>
      <c r="H229" s="29">
        <v>2.9819176594679364E-2</v>
      </c>
      <c r="I229" s="29">
        <v>-0.19995451409799847</v>
      </c>
      <c r="J229" s="29">
        <v>-2.0119008558918905E-2</v>
      </c>
    </row>
    <row r="230" spans="1:10" ht="11.25" customHeight="1" x14ac:dyDescent="0.2">
      <c r="A230" s="38">
        <v>44531</v>
      </c>
      <c r="B230" s="28">
        <v>0</v>
      </c>
      <c r="C230" s="28">
        <v>0</v>
      </c>
      <c r="D230" s="28">
        <v>91.022400000000005</v>
      </c>
      <c r="E230" s="28">
        <v>93.736613019671552</v>
      </c>
      <c r="F230" s="28">
        <v>25.275840000000002</v>
      </c>
      <c r="G230" s="28">
        <v>20.221821694381248</v>
      </c>
      <c r="H230" s="29">
        <v>2.9819176594679364E-2</v>
      </c>
      <c r="I230" s="29">
        <v>-0.19995451409799847</v>
      </c>
      <c r="J230" s="29">
        <v>-2.0119008558918905E-2</v>
      </c>
    </row>
    <row r="231" spans="1:10" ht="11.25" customHeight="1" x14ac:dyDescent="0.2">
      <c r="A231" s="38">
        <v>44562</v>
      </c>
      <c r="B231" s="28">
        <v>0</v>
      </c>
      <c r="C231" s="28">
        <v>0</v>
      </c>
      <c r="D231" s="28">
        <v>116.508672</v>
      </c>
      <c r="E231" s="28">
        <v>119.98286466517959</v>
      </c>
      <c r="F231" s="28">
        <v>32.353075200000006</v>
      </c>
      <c r="G231" s="28">
        <v>25.883931768807997</v>
      </c>
      <c r="H231" s="29">
        <v>2.9819176594679364E-2</v>
      </c>
      <c r="I231" s="29">
        <v>-0.19995451409799858</v>
      </c>
      <c r="J231" s="29">
        <v>-2.0119008558919016E-2</v>
      </c>
    </row>
    <row r="232" spans="1:10" ht="11.25" customHeight="1" x14ac:dyDescent="0.2">
      <c r="A232" s="38">
        <v>44593</v>
      </c>
      <c r="B232" s="28">
        <v>0</v>
      </c>
      <c r="C232" s="28">
        <v>0</v>
      </c>
      <c r="D232" s="28">
        <v>180.22435199999998</v>
      </c>
      <c r="E232" s="28">
        <v>185.59849377894966</v>
      </c>
      <c r="F232" s="28">
        <v>50.046163200000002</v>
      </c>
      <c r="G232" s="28">
        <v>40.039206954874871</v>
      </c>
      <c r="H232" s="29">
        <v>2.9819176594679586E-2</v>
      </c>
      <c r="I232" s="29">
        <v>-0.19995451409799847</v>
      </c>
      <c r="J232" s="29">
        <v>-2.0119008558918794E-2</v>
      </c>
    </row>
    <row r="233" spans="1:10" ht="11.25" customHeight="1" x14ac:dyDescent="0.2">
      <c r="A233" s="38">
        <v>44621</v>
      </c>
      <c r="B233" s="28">
        <v>0</v>
      </c>
      <c r="C233" s="28">
        <v>0</v>
      </c>
      <c r="D233" s="28">
        <v>194.787936</v>
      </c>
      <c r="E233" s="28">
        <v>200.59635186209712</v>
      </c>
      <c r="F233" s="28">
        <v>54.090297600000007</v>
      </c>
      <c r="G233" s="28">
        <v>43.274698425975878</v>
      </c>
      <c r="H233" s="29">
        <v>2.9819176594679364E-2</v>
      </c>
      <c r="I233" s="29">
        <v>-0.19995451409799836</v>
      </c>
      <c r="J233" s="29">
        <v>-2.0119008558918905E-2</v>
      </c>
    </row>
    <row r="234" spans="1:10" ht="11.25" customHeight="1" x14ac:dyDescent="0.2">
      <c r="A234" s="38">
        <v>44652</v>
      </c>
      <c r="B234" s="28">
        <v>0</v>
      </c>
      <c r="C234" s="28">
        <v>0</v>
      </c>
      <c r="D234" s="28">
        <v>24.576047999999997</v>
      </c>
      <c r="E234" s="28">
        <v>25.308885515311317</v>
      </c>
      <c r="F234" s="28">
        <v>6.8244768000000002</v>
      </c>
      <c r="G234" s="28">
        <v>5.4598918574829369</v>
      </c>
      <c r="H234" s="29">
        <v>2.9819176594679586E-2</v>
      </c>
      <c r="I234" s="29">
        <v>-0.19995451409799847</v>
      </c>
      <c r="J234" s="29">
        <v>-2.0119008558918794E-2</v>
      </c>
    </row>
    <row r="235" spans="1:10" ht="11.25" customHeight="1" x14ac:dyDescent="0.2">
      <c r="A235" s="34" t="s">
        <v>25</v>
      </c>
      <c r="B235" s="28">
        <v>1731807.7056</v>
      </c>
      <c r="C235" s="28">
        <v>1495166.9328502638</v>
      </c>
      <c r="D235" s="28">
        <v>2456153.0601983997</v>
      </c>
      <c r="E235" s="28">
        <v>3277653.4100204804</v>
      </c>
      <c r="F235" s="28">
        <v>6276204.400089602</v>
      </c>
      <c r="G235" s="28">
        <v>5021248.9988899659</v>
      </c>
      <c r="H235" s="29">
        <v>0.13965259222308957</v>
      </c>
      <c r="I235" s="29">
        <v>-0.19995451409799792</v>
      </c>
      <c r="J235" s="29">
        <v>-6.4037198716217492E-2</v>
      </c>
    </row>
    <row r="236" spans="1:10" ht="11.25" customHeight="1" x14ac:dyDescent="0.2">
      <c r="A236" s="35" t="s">
        <v>25</v>
      </c>
      <c r="B236" s="28">
        <v>1731807.7056</v>
      </c>
      <c r="C236" s="28">
        <v>1495166.9328502638</v>
      </c>
      <c r="D236" s="28">
        <v>2456153.0601983997</v>
      </c>
      <c r="E236" s="28">
        <v>3277653.4100204804</v>
      </c>
      <c r="F236" s="28">
        <v>6276204.400089602</v>
      </c>
      <c r="G236" s="28">
        <v>5021248.9988899659</v>
      </c>
      <c r="H236" s="29">
        <v>0.13965259222308957</v>
      </c>
      <c r="I236" s="29">
        <v>-0.19995451409799792</v>
      </c>
      <c r="J236" s="29">
        <v>-6.4037198716217492E-2</v>
      </c>
    </row>
    <row r="237" spans="1:10" ht="11.25" customHeight="1" x14ac:dyDescent="0.2">
      <c r="A237" s="36" t="s">
        <v>25</v>
      </c>
      <c r="B237" s="28">
        <v>1731807.7056</v>
      </c>
      <c r="C237" s="28">
        <v>1495166.9328502638</v>
      </c>
      <c r="D237" s="28">
        <v>2456153.0601983997</v>
      </c>
      <c r="E237" s="28">
        <v>3277653.4100204804</v>
      </c>
      <c r="F237" s="28">
        <v>6276204.400089602</v>
      </c>
      <c r="G237" s="28">
        <v>5021248.9988899659</v>
      </c>
      <c r="H237" s="29">
        <v>0.13965259222308957</v>
      </c>
      <c r="I237" s="29">
        <v>-0.19995451409799792</v>
      </c>
      <c r="J237" s="29">
        <v>-6.4037198716217492E-2</v>
      </c>
    </row>
    <row r="238" spans="1:10" ht="11.25" customHeight="1" x14ac:dyDescent="0.2">
      <c r="A238" s="37" t="s">
        <v>36</v>
      </c>
      <c r="B238" s="28">
        <v>0</v>
      </c>
      <c r="C238" s="28">
        <v>0</v>
      </c>
      <c r="D238" s="28">
        <v>1497659.8814784</v>
      </c>
      <c r="E238" s="28">
        <v>2290578.7539394326</v>
      </c>
      <c r="F238" s="28">
        <v>6010042.222137602</v>
      </c>
      <c r="G238" s="28">
        <v>4808307.1499016229</v>
      </c>
      <c r="H238" s="29">
        <v>0.52943854760822595</v>
      </c>
      <c r="I238" s="29">
        <v>-0.19995451409799858</v>
      </c>
      <c r="J238" s="29">
        <v>-5.4452906379709232E-2</v>
      </c>
    </row>
    <row r="239" spans="1:10" ht="11.25" customHeight="1" x14ac:dyDescent="0.2">
      <c r="A239" s="38">
        <v>44317</v>
      </c>
      <c r="B239" s="28">
        <v>0</v>
      </c>
      <c r="C239" s="28">
        <v>0</v>
      </c>
      <c r="D239" s="28">
        <v>94308.779779200006</v>
      </c>
      <c r="E239" s="28">
        <v>144239.48317220371</v>
      </c>
      <c r="F239" s="28">
        <v>378456.92162880005</v>
      </c>
      <c r="G239" s="28">
        <v>302782.75175748905</v>
      </c>
      <c r="H239" s="29">
        <v>0.52943854760822617</v>
      </c>
      <c r="I239" s="29">
        <v>-0.19995451409799847</v>
      </c>
      <c r="J239" s="29">
        <v>-5.4452906379709121E-2</v>
      </c>
    </row>
    <row r="240" spans="1:10" ht="11.25" customHeight="1" x14ac:dyDescent="0.2">
      <c r="A240" s="38">
        <v>44348</v>
      </c>
      <c r="B240" s="28">
        <v>0</v>
      </c>
      <c r="C240" s="28">
        <v>0</v>
      </c>
      <c r="D240" s="28">
        <v>93479.511369600004</v>
      </c>
      <c r="E240" s="28">
        <v>142971.16810024771</v>
      </c>
      <c r="F240" s="28">
        <v>375129.10453440004</v>
      </c>
      <c r="G240" s="28">
        <v>300120.34671320685</v>
      </c>
      <c r="H240" s="29">
        <v>0.5294385476082264</v>
      </c>
      <c r="I240" s="29">
        <v>-0.19995451409799836</v>
      </c>
      <c r="J240" s="29">
        <v>-5.4452906379708899E-2</v>
      </c>
    </row>
    <row r="241" spans="1:10" ht="11.25" customHeight="1" x14ac:dyDescent="0.2">
      <c r="A241" s="38">
        <v>44378</v>
      </c>
      <c r="B241" s="28">
        <v>0</v>
      </c>
      <c r="C241" s="28">
        <v>0</v>
      </c>
      <c r="D241" s="28">
        <v>96580.292457600008</v>
      </c>
      <c r="E241" s="28">
        <v>147713.6222239295</v>
      </c>
      <c r="F241" s="28">
        <v>387572.40056640009</v>
      </c>
      <c r="G241" s="28">
        <v>310075.54953335074</v>
      </c>
      <c r="H241" s="29">
        <v>0.5294385476082264</v>
      </c>
      <c r="I241" s="29">
        <v>-0.19995451409799847</v>
      </c>
      <c r="J241" s="29">
        <v>-5.445290637970901E-2</v>
      </c>
    </row>
    <row r="242" spans="1:10" ht="11.25" customHeight="1" x14ac:dyDescent="0.2">
      <c r="A242" s="38">
        <v>44409</v>
      </c>
      <c r="B242" s="28">
        <v>0</v>
      </c>
      <c r="C242" s="28">
        <v>0</v>
      </c>
      <c r="D242" s="28">
        <v>101541.03831359999</v>
      </c>
      <c r="E242" s="28">
        <v>155300.77816098364</v>
      </c>
      <c r="F242" s="28">
        <v>407479.65215039998</v>
      </c>
      <c r="G242" s="28">
        <v>326002.25629984535</v>
      </c>
      <c r="H242" s="29">
        <v>0.5294385476082264</v>
      </c>
      <c r="I242" s="29">
        <v>-0.19995451409799836</v>
      </c>
      <c r="J242" s="29">
        <v>-5.4452906379708899E-2</v>
      </c>
    </row>
    <row r="243" spans="1:10" ht="11.25" customHeight="1" x14ac:dyDescent="0.2">
      <c r="A243" s="38">
        <v>44440</v>
      </c>
      <c r="B243" s="28">
        <v>0</v>
      </c>
      <c r="C243" s="28">
        <v>0</v>
      </c>
      <c r="D243" s="28">
        <v>126058.5610272</v>
      </c>
      <c r="E243" s="28">
        <v>192798.82249102372</v>
      </c>
      <c r="F243" s="28">
        <v>505867.37590080005</v>
      </c>
      <c r="G243" s="28">
        <v>404716.91055452608</v>
      </c>
      <c r="H243" s="29">
        <v>0.52943854760822617</v>
      </c>
      <c r="I243" s="29">
        <v>-0.19995451409799836</v>
      </c>
      <c r="J243" s="29">
        <v>-5.4452906379708899E-2</v>
      </c>
    </row>
    <row r="244" spans="1:10" ht="11.25" customHeight="1" x14ac:dyDescent="0.2">
      <c r="A244" s="38">
        <v>44470</v>
      </c>
      <c r="B244" s="28">
        <v>0</v>
      </c>
      <c r="C244" s="28">
        <v>0</v>
      </c>
      <c r="D244" s="28">
        <v>134452.525968</v>
      </c>
      <c r="E244" s="28">
        <v>205636.87603875526</v>
      </c>
      <c r="F244" s="28">
        <v>539551.98235200008</v>
      </c>
      <c r="G244" s="28">
        <v>431666.12789019407</v>
      </c>
      <c r="H244" s="29">
        <v>0.5294385476082264</v>
      </c>
      <c r="I244" s="29">
        <v>-0.19995451409799847</v>
      </c>
      <c r="J244" s="29">
        <v>-5.4452906379708899E-2</v>
      </c>
    </row>
    <row r="245" spans="1:10" ht="11.25" customHeight="1" x14ac:dyDescent="0.2">
      <c r="A245" s="38">
        <v>44501</v>
      </c>
      <c r="B245" s="28">
        <v>0</v>
      </c>
      <c r="C245" s="28">
        <v>0</v>
      </c>
      <c r="D245" s="28">
        <v>138882.55515840001</v>
      </c>
      <c r="E245" s="28">
        <v>212412.33344958269</v>
      </c>
      <c r="F245" s="28">
        <v>557329.49165760004</v>
      </c>
      <c r="G245" s="28">
        <v>445888.94396072015</v>
      </c>
      <c r="H245" s="29">
        <v>0.5294385476082264</v>
      </c>
      <c r="I245" s="29">
        <v>-0.19995451409799847</v>
      </c>
      <c r="J245" s="29">
        <v>-5.445290637970901E-2</v>
      </c>
    </row>
    <row r="246" spans="1:10" ht="11.25" customHeight="1" x14ac:dyDescent="0.2">
      <c r="A246" s="38">
        <v>44531</v>
      </c>
      <c r="B246" s="28">
        <v>0</v>
      </c>
      <c r="C246" s="28">
        <v>0</v>
      </c>
      <c r="D246" s="28">
        <v>147602.8484928</v>
      </c>
      <c r="E246" s="28">
        <v>225749.48622166511</v>
      </c>
      <c r="F246" s="28">
        <v>592323.63937920006</v>
      </c>
      <c r="G246" s="28">
        <v>473885.85387837404</v>
      </c>
      <c r="H246" s="29">
        <v>0.5294385476082264</v>
      </c>
      <c r="I246" s="29">
        <v>-0.19995451409799847</v>
      </c>
      <c r="J246" s="29">
        <v>-5.445290637970901E-2</v>
      </c>
    </row>
    <row r="247" spans="1:10" ht="11.25" customHeight="1" x14ac:dyDescent="0.2">
      <c r="A247" s="38">
        <v>44562</v>
      </c>
      <c r="B247" s="28">
        <v>0</v>
      </c>
      <c r="C247" s="28">
        <v>0</v>
      </c>
      <c r="D247" s="28">
        <v>153615.20192640001</v>
      </c>
      <c r="E247" s="28">
        <v>234945.01132485762</v>
      </c>
      <c r="F247" s="28">
        <v>616450.94520960003</v>
      </c>
      <c r="G247" s="28">
        <v>493188.79599496257</v>
      </c>
      <c r="H247" s="29">
        <v>0.52943854760822617</v>
      </c>
      <c r="I247" s="29">
        <v>-0.19995451409799847</v>
      </c>
      <c r="J247" s="29">
        <v>-5.445290637970901E-2</v>
      </c>
    </row>
    <row r="248" spans="1:10" ht="11.25" customHeight="1" x14ac:dyDescent="0.2">
      <c r="A248" s="38">
        <v>44593</v>
      </c>
      <c r="B248" s="28">
        <v>0</v>
      </c>
      <c r="C248" s="28">
        <v>0</v>
      </c>
      <c r="D248" s="28">
        <v>136791.2442816</v>
      </c>
      <c r="E248" s="28">
        <v>209213.80197957242</v>
      </c>
      <c r="F248" s="28">
        <v>548937.15450240008</v>
      </c>
      <c r="G248" s="28">
        <v>439174.69250353478</v>
      </c>
      <c r="H248" s="29">
        <v>0.52943854760822662</v>
      </c>
      <c r="I248" s="29">
        <v>-0.19995451409799847</v>
      </c>
      <c r="J248" s="29">
        <v>-5.4452906379708899E-2</v>
      </c>
    </row>
    <row r="249" spans="1:10" ht="11.25" customHeight="1" x14ac:dyDescent="0.2">
      <c r="A249" s="38">
        <v>44621</v>
      </c>
      <c r="B249" s="28">
        <v>0</v>
      </c>
      <c r="C249" s="28">
        <v>0</v>
      </c>
      <c r="D249" s="28">
        <v>154658.55839040002</v>
      </c>
      <c r="E249" s="28">
        <v>236540.76091979546</v>
      </c>
      <c r="F249" s="28">
        <v>620637.88810560002</v>
      </c>
      <c r="G249" s="28">
        <v>496538.54075863684</v>
      </c>
      <c r="H249" s="29">
        <v>0.52943854760822617</v>
      </c>
      <c r="I249" s="29">
        <v>-0.19995451409799847</v>
      </c>
      <c r="J249" s="29">
        <v>-5.445290637970901E-2</v>
      </c>
    </row>
    <row r="250" spans="1:10" ht="11.25" customHeight="1" x14ac:dyDescent="0.2">
      <c r="A250" s="38">
        <v>44652</v>
      </c>
      <c r="B250" s="28">
        <v>0</v>
      </c>
      <c r="C250" s="28">
        <v>0</v>
      </c>
      <c r="D250" s="28">
        <v>119688.7643136</v>
      </c>
      <c r="E250" s="28">
        <v>183056.60985681569</v>
      </c>
      <c r="F250" s="28">
        <v>480305.66615040007</v>
      </c>
      <c r="G250" s="28">
        <v>384266.38005678135</v>
      </c>
      <c r="H250" s="29">
        <v>0.5294385476082264</v>
      </c>
      <c r="I250" s="29">
        <v>-0.19995451409799847</v>
      </c>
      <c r="J250" s="29">
        <v>-5.4452906379709121E-2</v>
      </c>
    </row>
    <row r="251" spans="1:10" ht="11.25" customHeight="1" x14ac:dyDescent="0.2">
      <c r="A251" s="37" t="s">
        <v>25</v>
      </c>
      <c r="B251" s="28">
        <v>1731807.7056</v>
      </c>
      <c r="C251" s="28">
        <v>1495166.9328502638</v>
      </c>
      <c r="D251" s="28">
        <v>0</v>
      </c>
      <c r="E251" s="28">
        <v>0</v>
      </c>
      <c r="F251" s="28">
        <v>0</v>
      </c>
      <c r="G251" s="28">
        <v>0</v>
      </c>
      <c r="H251" s="29">
        <v>-0.13664379248604241</v>
      </c>
      <c r="I251" s="29">
        <v>0</v>
      </c>
      <c r="J251" s="29">
        <v>-0.13664379248604241</v>
      </c>
    </row>
    <row r="252" spans="1:10" ht="11.25" customHeight="1" x14ac:dyDescent="0.2">
      <c r="A252" s="38">
        <v>44317</v>
      </c>
      <c r="B252" s="28">
        <v>126083.86559999999</v>
      </c>
      <c r="C252" s="28">
        <v>108855.28803311549</v>
      </c>
      <c r="D252" s="28">
        <v>0</v>
      </c>
      <c r="E252" s="28">
        <v>0</v>
      </c>
      <c r="F252" s="28">
        <v>0</v>
      </c>
      <c r="G252" s="28">
        <v>0</v>
      </c>
      <c r="H252" s="29">
        <v>-0.13664379248604275</v>
      </c>
      <c r="I252" s="29">
        <v>0</v>
      </c>
      <c r="J252" s="29">
        <v>-0.13664379248604275</v>
      </c>
    </row>
    <row r="253" spans="1:10" ht="11.25" customHeight="1" x14ac:dyDescent="0.2">
      <c r="A253" s="38">
        <v>44348</v>
      </c>
      <c r="B253" s="28">
        <v>113527.4112</v>
      </c>
      <c r="C253" s="28">
        <v>98014.595182509554</v>
      </c>
      <c r="D253" s="28">
        <v>0</v>
      </c>
      <c r="E253" s="28">
        <v>0</v>
      </c>
      <c r="F253" s="28">
        <v>0</v>
      </c>
      <c r="G253" s="28">
        <v>0</v>
      </c>
      <c r="H253" s="29">
        <v>-0.13664379248604275</v>
      </c>
      <c r="I253" s="29">
        <v>0</v>
      </c>
      <c r="J253" s="29">
        <v>-0.13664379248604275</v>
      </c>
    </row>
    <row r="254" spans="1:10" ht="11.25" customHeight="1" x14ac:dyDescent="0.2">
      <c r="A254" s="38">
        <v>44378</v>
      </c>
      <c r="B254" s="28">
        <v>108148.72319999999</v>
      </c>
      <c r="C254" s="28">
        <v>93370.871509428733</v>
      </c>
      <c r="D254" s="28">
        <v>0</v>
      </c>
      <c r="E254" s="28">
        <v>0</v>
      </c>
      <c r="F254" s="28">
        <v>0</v>
      </c>
      <c r="G254" s="28">
        <v>0</v>
      </c>
      <c r="H254" s="29">
        <v>-0.13664379248604264</v>
      </c>
      <c r="I254" s="29">
        <v>0</v>
      </c>
      <c r="J254" s="29">
        <v>-0.13664379248604264</v>
      </c>
    </row>
    <row r="255" spans="1:10" ht="11.25" customHeight="1" x14ac:dyDescent="0.2">
      <c r="A255" s="38">
        <v>44409</v>
      </c>
      <c r="B255" s="28">
        <v>124767.0144</v>
      </c>
      <c r="C255" s="28">
        <v>107718.37637522329</v>
      </c>
      <c r="D255" s="28">
        <v>0</v>
      </c>
      <c r="E255" s="28">
        <v>0</v>
      </c>
      <c r="F255" s="28">
        <v>0</v>
      </c>
      <c r="G255" s="28">
        <v>0</v>
      </c>
      <c r="H255" s="29">
        <v>-0.13664379248604275</v>
      </c>
      <c r="I255" s="29">
        <v>0</v>
      </c>
      <c r="J255" s="29">
        <v>-0.13664379248604275</v>
      </c>
    </row>
    <row r="256" spans="1:10" ht="11.25" customHeight="1" x14ac:dyDescent="0.2">
      <c r="A256" s="38">
        <v>44440</v>
      </c>
      <c r="B256" s="28">
        <v>172896.99839999998</v>
      </c>
      <c r="C256" s="28">
        <v>149271.69682917072</v>
      </c>
      <c r="D256" s="28">
        <v>0</v>
      </c>
      <c r="E256" s="28">
        <v>0</v>
      </c>
      <c r="F256" s="28">
        <v>0</v>
      </c>
      <c r="G256" s="28">
        <v>0</v>
      </c>
      <c r="H256" s="29">
        <v>-0.13664379248604275</v>
      </c>
      <c r="I256" s="29">
        <v>0</v>
      </c>
      <c r="J256" s="29">
        <v>-0.13664379248604275</v>
      </c>
    </row>
    <row r="257" spans="1:10" ht="11.25" customHeight="1" x14ac:dyDescent="0.2">
      <c r="A257" s="38">
        <v>44470</v>
      </c>
      <c r="B257" s="28">
        <v>162603.30240000002</v>
      </c>
      <c r="C257" s="28">
        <v>140384.57048930915</v>
      </c>
      <c r="D257" s="28">
        <v>0</v>
      </c>
      <c r="E257" s="28">
        <v>0</v>
      </c>
      <c r="F257" s="28">
        <v>0</v>
      </c>
      <c r="G257" s="28">
        <v>0</v>
      </c>
      <c r="H257" s="29">
        <v>-0.13664379248604286</v>
      </c>
      <c r="I257" s="29">
        <v>0</v>
      </c>
      <c r="J257" s="29">
        <v>-0.13664379248604286</v>
      </c>
    </row>
    <row r="258" spans="1:10" ht="11.25" customHeight="1" x14ac:dyDescent="0.2">
      <c r="A258" s="38">
        <v>44501</v>
      </c>
      <c r="B258" s="28">
        <v>150992.75520000001</v>
      </c>
      <c r="C258" s="28">
        <v>130360.53249155535</v>
      </c>
      <c r="D258" s="28">
        <v>0</v>
      </c>
      <c r="E258" s="28">
        <v>0</v>
      </c>
      <c r="F258" s="28">
        <v>0</v>
      </c>
      <c r="G258" s="28">
        <v>0</v>
      </c>
      <c r="H258" s="29">
        <v>-0.13664379248604286</v>
      </c>
      <c r="I258" s="29">
        <v>0</v>
      </c>
      <c r="J258" s="29">
        <v>-0.13664379248604286</v>
      </c>
    </row>
    <row r="259" spans="1:10" ht="11.25" customHeight="1" x14ac:dyDescent="0.2">
      <c r="A259" s="38">
        <v>44531</v>
      </c>
      <c r="B259" s="28">
        <v>169762.52160000004</v>
      </c>
      <c r="C259" s="28">
        <v>146565.52682658227</v>
      </c>
      <c r="D259" s="28">
        <v>0</v>
      </c>
      <c r="E259" s="28">
        <v>0</v>
      </c>
      <c r="F259" s="28">
        <v>0</v>
      </c>
      <c r="G259" s="28">
        <v>0</v>
      </c>
      <c r="H259" s="29">
        <v>-0.13664379248604286</v>
      </c>
      <c r="I259" s="29">
        <v>0</v>
      </c>
      <c r="J259" s="29">
        <v>-0.13664379248604286</v>
      </c>
    </row>
    <row r="260" spans="1:10" ht="11.25" customHeight="1" x14ac:dyDescent="0.2">
      <c r="A260" s="38">
        <v>44562</v>
      </c>
      <c r="B260" s="28">
        <v>165923.2512</v>
      </c>
      <c r="C260" s="28">
        <v>143250.86889441765</v>
      </c>
      <c r="D260" s="28">
        <v>0</v>
      </c>
      <c r="E260" s="28">
        <v>0</v>
      </c>
      <c r="F260" s="28">
        <v>0</v>
      </c>
      <c r="G260" s="28">
        <v>0</v>
      </c>
      <c r="H260" s="29">
        <v>-0.13664379248604275</v>
      </c>
      <c r="I260" s="29">
        <v>0</v>
      </c>
      <c r="J260" s="29">
        <v>-0.13664379248604275</v>
      </c>
    </row>
    <row r="261" spans="1:10" ht="11.25" customHeight="1" x14ac:dyDescent="0.2">
      <c r="A261" s="38">
        <v>44593</v>
      </c>
      <c r="B261" s="28">
        <v>151029.84960000002</v>
      </c>
      <c r="C261" s="28">
        <v>130392.55817205936</v>
      </c>
      <c r="D261" s="28">
        <v>0</v>
      </c>
      <c r="E261" s="28">
        <v>0</v>
      </c>
      <c r="F261" s="28">
        <v>0</v>
      </c>
      <c r="G261" s="28">
        <v>0</v>
      </c>
      <c r="H261" s="29">
        <v>-0.13664379248604275</v>
      </c>
      <c r="I261" s="29">
        <v>0</v>
      </c>
      <c r="J261" s="29">
        <v>-0.13664379248604275</v>
      </c>
    </row>
    <row r="262" spans="1:10" ht="11.25" customHeight="1" x14ac:dyDescent="0.2">
      <c r="A262" s="38">
        <v>44621</v>
      </c>
      <c r="B262" s="28">
        <v>154053.04320000001</v>
      </c>
      <c r="C262" s="28">
        <v>133002.65113313583</v>
      </c>
      <c r="D262" s="28">
        <v>0</v>
      </c>
      <c r="E262" s="28">
        <v>0</v>
      </c>
      <c r="F262" s="28">
        <v>0</v>
      </c>
      <c r="G262" s="28">
        <v>0</v>
      </c>
      <c r="H262" s="29">
        <v>-0.13664379248604275</v>
      </c>
      <c r="I262" s="29">
        <v>0</v>
      </c>
      <c r="J262" s="29">
        <v>-0.13664379248604275</v>
      </c>
    </row>
    <row r="263" spans="1:10" ht="11.25" customHeight="1" x14ac:dyDescent="0.2">
      <c r="A263" s="38">
        <v>44652</v>
      </c>
      <c r="B263" s="28">
        <v>132018.96960000001</v>
      </c>
      <c r="C263" s="28">
        <v>113979.39691375641</v>
      </c>
      <c r="D263" s="28">
        <v>0</v>
      </c>
      <c r="E263" s="28">
        <v>0</v>
      </c>
      <c r="F263" s="28">
        <v>0</v>
      </c>
      <c r="G263" s="28">
        <v>0</v>
      </c>
      <c r="H263" s="29">
        <v>-0.13664379248604286</v>
      </c>
      <c r="I263" s="29">
        <v>0</v>
      </c>
      <c r="J263" s="29">
        <v>-0.13664379248604286</v>
      </c>
    </row>
    <row r="264" spans="1:10" ht="11.25" customHeight="1" x14ac:dyDescent="0.2">
      <c r="A264" s="37" t="s">
        <v>35</v>
      </c>
      <c r="B264" s="28">
        <v>0</v>
      </c>
      <c r="C264" s="28">
        <v>0</v>
      </c>
      <c r="D264" s="28">
        <v>958493.17871999997</v>
      </c>
      <c r="E264" s="28">
        <v>987074.65608104737</v>
      </c>
      <c r="F264" s="28">
        <v>266162.177952</v>
      </c>
      <c r="G264" s="28">
        <v>212941.84898834286</v>
      </c>
      <c r="H264" s="29">
        <v>2.9819176594679808E-2</v>
      </c>
      <c r="I264" s="29">
        <v>-0.19995451409799836</v>
      </c>
      <c r="J264" s="29">
        <v>-2.0119008558918572E-2</v>
      </c>
    </row>
    <row r="265" spans="1:10" ht="11.25" customHeight="1" x14ac:dyDescent="0.2">
      <c r="A265" s="38">
        <v>44317</v>
      </c>
      <c r="B265" s="28">
        <v>0</v>
      </c>
      <c r="C265" s="28">
        <v>0</v>
      </c>
      <c r="D265" s="28">
        <v>70981.087967999993</v>
      </c>
      <c r="E265" s="28">
        <v>73097.685565000269</v>
      </c>
      <c r="F265" s="28">
        <v>19710.605548800002</v>
      </c>
      <c r="G265" s="28">
        <v>15769.380993712384</v>
      </c>
      <c r="H265" s="29">
        <v>2.9819176594679586E-2</v>
      </c>
      <c r="I265" s="29">
        <v>-0.19995451409799847</v>
      </c>
      <c r="J265" s="29">
        <v>-2.0119008558918683E-2</v>
      </c>
    </row>
    <row r="266" spans="1:10" ht="11.25" customHeight="1" x14ac:dyDescent="0.2">
      <c r="A266" s="38">
        <v>44348</v>
      </c>
      <c r="B266" s="28">
        <v>0</v>
      </c>
      <c r="C266" s="28">
        <v>0</v>
      </c>
      <c r="D266" s="28">
        <v>58079.572991999994</v>
      </c>
      <c r="E266" s="28">
        <v>59811.458035592026</v>
      </c>
      <c r="F266" s="28">
        <v>16128.007987200001</v>
      </c>
      <c r="G266" s="28">
        <v>12903.139986750786</v>
      </c>
      <c r="H266" s="29">
        <v>2.9819176594679586E-2</v>
      </c>
      <c r="I266" s="29">
        <v>-0.19995451409799847</v>
      </c>
      <c r="J266" s="29">
        <v>-2.0119008558918794E-2</v>
      </c>
    </row>
    <row r="267" spans="1:10" ht="11.25" customHeight="1" x14ac:dyDescent="0.2">
      <c r="A267" s="38">
        <v>44378</v>
      </c>
      <c r="B267" s="28">
        <v>0</v>
      </c>
      <c r="C267" s="28">
        <v>0</v>
      </c>
      <c r="D267" s="28">
        <v>58841.430479999995</v>
      </c>
      <c r="E267" s="28">
        <v>60596.033486566674</v>
      </c>
      <c r="F267" s="28">
        <v>16339.566768000001</v>
      </c>
      <c r="G267" s="28">
        <v>13072.396634332757</v>
      </c>
      <c r="H267" s="29">
        <v>2.9819176594679586E-2</v>
      </c>
      <c r="I267" s="29">
        <v>-0.19995451409799847</v>
      </c>
      <c r="J267" s="29">
        <v>-2.0119008558918905E-2</v>
      </c>
    </row>
    <row r="268" spans="1:10" ht="11.25" customHeight="1" x14ac:dyDescent="0.2">
      <c r="A268" s="38">
        <v>44409</v>
      </c>
      <c r="B268" s="28">
        <v>0</v>
      </c>
      <c r="C268" s="28">
        <v>0</v>
      </c>
      <c r="D268" s="28">
        <v>59949.173087999996</v>
      </c>
      <c r="E268" s="28">
        <v>61736.808067016078</v>
      </c>
      <c r="F268" s="28">
        <v>16647.173740800001</v>
      </c>
      <c r="G268" s="28">
        <v>13318.496204353378</v>
      </c>
      <c r="H268" s="29">
        <v>2.9819176594679586E-2</v>
      </c>
      <c r="I268" s="29">
        <v>-0.19995451409799847</v>
      </c>
      <c r="J268" s="29">
        <v>-2.0119008558918794E-2</v>
      </c>
    </row>
    <row r="269" spans="1:10" ht="11.25" customHeight="1" x14ac:dyDescent="0.2">
      <c r="A269" s="38">
        <v>44440</v>
      </c>
      <c r="B269" s="28">
        <v>0</v>
      </c>
      <c r="C269" s="28">
        <v>0</v>
      </c>
      <c r="D269" s="28">
        <v>70845.464591999989</v>
      </c>
      <c r="E269" s="28">
        <v>72958.018011600958</v>
      </c>
      <c r="F269" s="28">
        <v>19672.944547200001</v>
      </c>
      <c r="G269" s="28">
        <v>15739.250479387758</v>
      </c>
      <c r="H269" s="29">
        <v>2.9819176594679586E-2</v>
      </c>
      <c r="I269" s="29">
        <v>-0.19995451409799836</v>
      </c>
      <c r="J269" s="29">
        <v>-2.0119008558918794E-2</v>
      </c>
    </row>
    <row r="270" spans="1:10" ht="11.25" customHeight="1" x14ac:dyDescent="0.2">
      <c r="A270" s="38">
        <v>44470</v>
      </c>
      <c r="B270" s="28">
        <v>0</v>
      </c>
      <c r="C270" s="28">
        <v>0</v>
      </c>
      <c r="D270" s="28">
        <v>68628.15892799999</v>
      </c>
      <c r="E270" s="28">
        <v>70674.594118441761</v>
      </c>
      <c r="F270" s="28">
        <v>19057.2250848</v>
      </c>
      <c r="G270" s="28">
        <v>15246.646902912629</v>
      </c>
      <c r="H270" s="29">
        <v>2.9819176594679586E-2</v>
      </c>
      <c r="I270" s="29">
        <v>-0.19995451409799847</v>
      </c>
      <c r="J270" s="29">
        <v>-2.0119008558918683E-2</v>
      </c>
    </row>
    <row r="271" spans="1:10" ht="11.25" customHeight="1" x14ac:dyDescent="0.2">
      <c r="A271" s="38">
        <v>44501</v>
      </c>
      <c r="B271" s="28">
        <v>0</v>
      </c>
      <c r="C271" s="28">
        <v>0</v>
      </c>
      <c r="D271" s="28">
        <v>71676.499104000002</v>
      </c>
      <c r="E271" s="28">
        <v>73813.833288470574</v>
      </c>
      <c r="F271" s="28">
        <v>19903.712966400002</v>
      </c>
      <c r="G271" s="28">
        <v>15923.875711457458</v>
      </c>
      <c r="H271" s="29">
        <v>2.9819176594679586E-2</v>
      </c>
      <c r="I271" s="29">
        <v>-0.19995451409799847</v>
      </c>
      <c r="J271" s="29">
        <v>-2.0119008558918905E-2</v>
      </c>
    </row>
    <row r="272" spans="1:10" ht="11.25" customHeight="1" x14ac:dyDescent="0.2">
      <c r="A272" s="38">
        <v>44531</v>
      </c>
      <c r="B272" s="28">
        <v>0</v>
      </c>
      <c r="C272" s="28">
        <v>0</v>
      </c>
      <c r="D272" s="28">
        <v>96091.437456</v>
      </c>
      <c r="E272" s="28">
        <v>98956.804998737061</v>
      </c>
      <c r="F272" s="28">
        <v>26683.451529600003</v>
      </c>
      <c r="G272" s="28">
        <v>21347.97494454134</v>
      </c>
      <c r="H272" s="29">
        <v>2.9819176594679364E-2</v>
      </c>
      <c r="I272" s="29">
        <v>-0.19995451409799847</v>
      </c>
      <c r="J272" s="29">
        <v>-2.0119008558918794E-2</v>
      </c>
    </row>
    <row r="273" spans="1:10" ht="11.25" customHeight="1" x14ac:dyDescent="0.2">
      <c r="A273" s="38">
        <v>44562</v>
      </c>
      <c r="B273" s="28">
        <v>0</v>
      </c>
      <c r="C273" s="28">
        <v>0</v>
      </c>
      <c r="D273" s="28">
        <v>104544.687744</v>
      </c>
      <c r="E273" s="28">
        <v>107662.12424987396</v>
      </c>
      <c r="F273" s="28">
        <v>29030.818790400004</v>
      </c>
      <c r="G273" s="28">
        <v>23225.975525298527</v>
      </c>
      <c r="H273" s="29">
        <v>2.9819176594679586E-2</v>
      </c>
      <c r="I273" s="29">
        <v>-0.19995451409799847</v>
      </c>
      <c r="J273" s="29">
        <v>-2.0119008558918794E-2</v>
      </c>
    </row>
    <row r="274" spans="1:10" ht="11.25" customHeight="1" x14ac:dyDescent="0.2">
      <c r="A274" s="38">
        <v>44593</v>
      </c>
      <c r="B274" s="28">
        <v>0</v>
      </c>
      <c r="C274" s="28">
        <v>0</v>
      </c>
      <c r="D274" s="28">
        <v>99050.575680000009</v>
      </c>
      <c r="E274" s="28">
        <v>102004.18228800659</v>
      </c>
      <c r="F274" s="28">
        <v>27505.169088000002</v>
      </c>
      <c r="G274" s="28">
        <v>22005.386367825675</v>
      </c>
      <c r="H274" s="29">
        <v>2.9819176594679364E-2</v>
      </c>
      <c r="I274" s="29">
        <v>-0.19995451409799847</v>
      </c>
      <c r="J274" s="29">
        <v>-2.0119008558918794E-2</v>
      </c>
    </row>
    <row r="275" spans="1:10" ht="11.25" customHeight="1" x14ac:dyDescent="0.2">
      <c r="A275" s="38">
        <v>44621</v>
      </c>
      <c r="B275" s="28">
        <v>0</v>
      </c>
      <c r="C275" s="28">
        <v>0</v>
      </c>
      <c r="D275" s="28">
        <v>124200.975024</v>
      </c>
      <c r="E275" s="28">
        <v>127904.54583147203</v>
      </c>
      <c r="F275" s="28">
        <v>34489.136438400004</v>
      </c>
      <c r="G275" s="28">
        <v>27592.877920200157</v>
      </c>
      <c r="H275" s="29">
        <v>2.9819176594679586E-2</v>
      </c>
      <c r="I275" s="29">
        <v>-0.19995451409799847</v>
      </c>
      <c r="J275" s="29">
        <v>-2.0119008558918905E-2</v>
      </c>
    </row>
    <row r="276" spans="1:10" ht="11.25" customHeight="1" x14ac:dyDescent="0.2">
      <c r="A276" s="38">
        <v>44652</v>
      </c>
      <c r="B276" s="28">
        <v>0</v>
      </c>
      <c r="C276" s="28">
        <v>0</v>
      </c>
      <c r="D276" s="28">
        <v>75604.115664000012</v>
      </c>
      <c r="E276" s="28">
        <v>77858.568140269388</v>
      </c>
      <c r="F276" s="28">
        <v>20994.365462400005</v>
      </c>
      <c r="G276" s="28">
        <v>16796.447317570011</v>
      </c>
      <c r="H276" s="29">
        <v>2.9819176594679364E-2</v>
      </c>
      <c r="I276" s="29">
        <v>-0.19995451409799847</v>
      </c>
      <c r="J276" s="29">
        <v>-2.0119008558919016E-2</v>
      </c>
    </row>
    <row r="277" spans="1:10" ht="11.25" customHeight="1" x14ac:dyDescent="0.2">
      <c r="A277" s="33" t="s">
        <v>50</v>
      </c>
      <c r="B277" s="28">
        <v>51548.65800000001</v>
      </c>
      <c r="C277" s="28">
        <v>44504.853873314023</v>
      </c>
      <c r="D277" s="28">
        <v>164994.89938739999</v>
      </c>
      <c r="E277" s="28">
        <v>204460.26540925269</v>
      </c>
      <c r="F277" s="28">
        <v>304085.99036420003</v>
      </c>
      <c r="G277" s="28">
        <v>243282.62391691774</v>
      </c>
      <c r="H277" s="29">
        <v>0.14972305011672082</v>
      </c>
      <c r="I277" s="29">
        <v>-0.19995451409799858</v>
      </c>
      <c r="J277" s="29">
        <v>-5.4514394495444596E-2</v>
      </c>
    </row>
    <row r="278" spans="1:10" ht="11.25" customHeight="1" x14ac:dyDescent="0.2">
      <c r="A278" s="34" t="s">
        <v>51</v>
      </c>
      <c r="B278" s="28">
        <v>51548.65800000001</v>
      </c>
      <c r="C278" s="28">
        <v>44504.853873314023</v>
      </c>
      <c r="D278" s="28">
        <v>164994.89938739999</v>
      </c>
      <c r="E278" s="28">
        <v>204460.26540925269</v>
      </c>
      <c r="F278" s="28">
        <v>304085.99036420003</v>
      </c>
      <c r="G278" s="28">
        <v>243282.62391691774</v>
      </c>
      <c r="H278" s="29">
        <v>0.14972305011672082</v>
      </c>
      <c r="I278" s="29">
        <v>-0.19995451409799858</v>
      </c>
      <c r="J278" s="29">
        <v>-5.4514394495444596E-2</v>
      </c>
    </row>
    <row r="279" spans="1:10" ht="11.25" customHeight="1" x14ac:dyDescent="0.2">
      <c r="A279" s="35" t="s">
        <v>25</v>
      </c>
      <c r="B279" s="28">
        <v>51548.65800000001</v>
      </c>
      <c r="C279" s="28">
        <v>44504.853873314023</v>
      </c>
      <c r="D279" s="28">
        <v>164994.89938739999</v>
      </c>
      <c r="E279" s="28">
        <v>204460.26540925269</v>
      </c>
      <c r="F279" s="28">
        <v>304085.99036420003</v>
      </c>
      <c r="G279" s="28">
        <v>243282.62391691774</v>
      </c>
      <c r="H279" s="29">
        <v>0.14972305011672082</v>
      </c>
      <c r="I279" s="29">
        <v>-0.19995451409799858</v>
      </c>
      <c r="J279" s="29">
        <v>-5.4514394495444596E-2</v>
      </c>
    </row>
    <row r="280" spans="1:10" ht="11.25" customHeight="1" x14ac:dyDescent="0.2">
      <c r="A280" s="36" t="s">
        <v>25</v>
      </c>
      <c r="B280" s="28">
        <v>51548.65800000001</v>
      </c>
      <c r="C280" s="28">
        <v>44504.853873314023</v>
      </c>
      <c r="D280" s="28">
        <v>164994.89938739999</v>
      </c>
      <c r="E280" s="28">
        <v>204460.26540925269</v>
      </c>
      <c r="F280" s="28">
        <v>304085.99036420003</v>
      </c>
      <c r="G280" s="28">
        <v>243282.62391691774</v>
      </c>
      <c r="H280" s="29">
        <v>0.14972305011672082</v>
      </c>
      <c r="I280" s="29">
        <v>-0.19995451409799858</v>
      </c>
      <c r="J280" s="29">
        <v>-5.4514394495444596E-2</v>
      </c>
    </row>
    <row r="281" spans="1:10" ht="11.25" customHeight="1" x14ac:dyDescent="0.2">
      <c r="A281" s="37" t="s">
        <v>36</v>
      </c>
      <c r="B281" s="28">
        <v>0</v>
      </c>
      <c r="C281" s="28">
        <v>0</v>
      </c>
      <c r="D281" s="28">
        <v>69143.343881399996</v>
      </c>
      <c r="E281" s="28">
        <v>105750.49544274455</v>
      </c>
      <c r="F281" s="28">
        <v>277469.1512046</v>
      </c>
      <c r="G281" s="28">
        <v>221987.94189830017</v>
      </c>
      <c r="H281" s="29">
        <v>0.52943854760822617</v>
      </c>
      <c r="I281" s="29">
        <v>-0.19995451409799836</v>
      </c>
      <c r="J281" s="29">
        <v>-5.445290637970901E-2</v>
      </c>
    </row>
    <row r="282" spans="1:10" ht="11.25" customHeight="1" x14ac:dyDescent="0.2">
      <c r="A282" s="38">
        <v>44317</v>
      </c>
      <c r="B282" s="28">
        <v>0</v>
      </c>
      <c r="C282" s="28">
        <v>0</v>
      </c>
      <c r="D282" s="28">
        <v>4540.1490143999999</v>
      </c>
      <c r="E282" s="28">
        <v>6943.8789145088558</v>
      </c>
      <c r="F282" s="28">
        <v>18219.4152416</v>
      </c>
      <c r="G282" s="28">
        <v>14576.360919816205</v>
      </c>
      <c r="H282" s="29">
        <v>0.52943854760822617</v>
      </c>
      <c r="I282" s="29">
        <v>-0.19995451409799847</v>
      </c>
      <c r="J282" s="29">
        <v>-5.4452906379708899E-2</v>
      </c>
    </row>
    <row r="283" spans="1:10" ht="11.25" customHeight="1" x14ac:dyDescent="0.2">
      <c r="A283" s="38">
        <v>44348</v>
      </c>
      <c r="B283" s="28">
        <v>0</v>
      </c>
      <c r="C283" s="28">
        <v>0</v>
      </c>
      <c r="D283" s="28">
        <v>5270.1770501999999</v>
      </c>
      <c r="E283" s="28">
        <v>8060.4119332960945</v>
      </c>
      <c r="F283" s="28">
        <v>21148.985147799998</v>
      </c>
      <c r="G283" s="28">
        <v>16920.150098905866</v>
      </c>
      <c r="H283" s="29">
        <v>0.5294385476082264</v>
      </c>
      <c r="I283" s="29">
        <v>-0.19995451409799836</v>
      </c>
      <c r="J283" s="29">
        <v>-5.4452906379708899E-2</v>
      </c>
    </row>
    <row r="284" spans="1:10" ht="11.25" customHeight="1" x14ac:dyDescent="0.2">
      <c r="A284" s="38">
        <v>44378</v>
      </c>
      <c r="B284" s="28">
        <v>0</v>
      </c>
      <c r="C284" s="28">
        <v>0</v>
      </c>
      <c r="D284" s="28">
        <v>5376.8103588000004</v>
      </c>
      <c r="E284" s="28">
        <v>8223.5010259279388</v>
      </c>
      <c r="F284" s="28">
        <v>21576.899853200004</v>
      </c>
      <c r="G284" s="28">
        <v>17262.501327312224</v>
      </c>
      <c r="H284" s="29">
        <v>0.5294385476082264</v>
      </c>
      <c r="I284" s="29">
        <v>-0.19995451409799836</v>
      </c>
      <c r="J284" s="29">
        <v>-5.445290637970901E-2</v>
      </c>
    </row>
    <row r="285" spans="1:10" ht="11.25" customHeight="1" x14ac:dyDescent="0.2">
      <c r="A285" s="38">
        <v>44409</v>
      </c>
      <c r="B285" s="28">
        <v>0</v>
      </c>
      <c r="C285" s="28">
        <v>0</v>
      </c>
      <c r="D285" s="28">
        <v>5058.0822275999999</v>
      </c>
      <c r="E285" s="28">
        <v>7736.0259358635258</v>
      </c>
      <c r="F285" s="28">
        <v>20297.858096399999</v>
      </c>
      <c r="G285" s="28">
        <v>16239.209743504214</v>
      </c>
      <c r="H285" s="29">
        <v>0.5294385476082264</v>
      </c>
      <c r="I285" s="29">
        <v>-0.19995451409799847</v>
      </c>
      <c r="J285" s="29">
        <v>-5.445290637970901E-2</v>
      </c>
    </row>
    <row r="286" spans="1:10" ht="11.25" customHeight="1" x14ac:dyDescent="0.2">
      <c r="A286" s="38">
        <v>44440</v>
      </c>
      <c r="B286" s="28">
        <v>0</v>
      </c>
      <c r="C286" s="28">
        <v>0</v>
      </c>
      <c r="D286" s="28">
        <v>4705.6804199999997</v>
      </c>
      <c r="E286" s="28">
        <v>7197.049027073268</v>
      </c>
      <c r="F286" s="28">
        <v>18883.685379999999</v>
      </c>
      <c r="G286" s="28">
        <v>15107.807245462624</v>
      </c>
      <c r="H286" s="29">
        <v>0.5294385476082264</v>
      </c>
      <c r="I286" s="29">
        <v>-0.19995451409799836</v>
      </c>
      <c r="J286" s="29">
        <v>-5.4452906379708899E-2</v>
      </c>
    </row>
    <row r="287" spans="1:10" ht="11.25" customHeight="1" x14ac:dyDescent="0.2">
      <c r="A287" s="38">
        <v>44470</v>
      </c>
      <c r="B287" s="28">
        <v>0</v>
      </c>
      <c r="C287" s="28">
        <v>0</v>
      </c>
      <c r="D287" s="28">
        <v>5103.1038096000002</v>
      </c>
      <c r="E287" s="28">
        <v>7804.8836788486306</v>
      </c>
      <c r="F287" s="28">
        <v>20478.5276944</v>
      </c>
      <c r="G287" s="28">
        <v>16383.753639823844</v>
      </c>
      <c r="H287" s="29">
        <v>0.52943854760822617</v>
      </c>
      <c r="I287" s="29">
        <v>-0.19995451409799836</v>
      </c>
      <c r="J287" s="29">
        <v>-5.445290637970901E-2</v>
      </c>
    </row>
    <row r="288" spans="1:10" ht="11.25" customHeight="1" x14ac:dyDescent="0.2">
      <c r="A288" s="38">
        <v>44501</v>
      </c>
      <c r="B288" s="28">
        <v>0</v>
      </c>
      <c r="C288" s="28">
        <v>0</v>
      </c>
      <c r="D288" s="28">
        <v>5721.9963785999989</v>
      </c>
      <c r="E288" s="28">
        <v>8751.441830705513</v>
      </c>
      <c r="F288" s="28">
        <v>22962.115935399997</v>
      </c>
      <c r="G288" s="28">
        <v>18370.737200875184</v>
      </c>
      <c r="H288" s="29">
        <v>0.5294385476082264</v>
      </c>
      <c r="I288" s="29">
        <v>-0.19995451409799847</v>
      </c>
      <c r="J288" s="29">
        <v>-5.445290637970901E-2</v>
      </c>
    </row>
    <row r="289" spans="1:10" ht="11.25" customHeight="1" x14ac:dyDescent="0.2">
      <c r="A289" s="38">
        <v>44531</v>
      </c>
      <c r="B289" s="28">
        <v>0</v>
      </c>
      <c r="C289" s="28">
        <v>0</v>
      </c>
      <c r="D289" s="28">
        <v>5978.9277629999988</v>
      </c>
      <c r="E289" s="28">
        <v>9144.4025940972206</v>
      </c>
      <c r="F289" s="28">
        <v>23993.170106999998</v>
      </c>
      <c r="G289" s="28">
        <v>19195.627436584193</v>
      </c>
      <c r="H289" s="29">
        <v>0.5294385476082264</v>
      </c>
      <c r="I289" s="29">
        <v>-0.19995451409799847</v>
      </c>
      <c r="J289" s="29">
        <v>-5.445290637970901E-2</v>
      </c>
    </row>
    <row r="290" spans="1:10" ht="11.25" customHeight="1" x14ac:dyDescent="0.2">
      <c r="A290" s="38">
        <v>44562</v>
      </c>
      <c r="B290" s="28">
        <v>0</v>
      </c>
      <c r="C290" s="28">
        <v>0</v>
      </c>
      <c r="D290" s="28">
        <v>6532.1998343999994</v>
      </c>
      <c r="E290" s="28">
        <v>9990.5982274114322</v>
      </c>
      <c r="F290" s="28">
        <v>26213.426221599999</v>
      </c>
      <c r="G290" s="28">
        <v>20971.93331861624</v>
      </c>
      <c r="H290" s="29">
        <v>0.5294385476082264</v>
      </c>
      <c r="I290" s="29">
        <v>-0.19995451409799847</v>
      </c>
      <c r="J290" s="29">
        <v>-5.4452906379708899E-2</v>
      </c>
    </row>
    <row r="291" spans="1:10" ht="11.25" customHeight="1" x14ac:dyDescent="0.2">
      <c r="A291" s="38">
        <v>44593</v>
      </c>
      <c r="B291" s="28">
        <v>0</v>
      </c>
      <c r="C291" s="28">
        <v>0</v>
      </c>
      <c r="D291" s="28">
        <v>6581.9702681999988</v>
      </c>
      <c r="E291" s="28">
        <v>10066.719047396335</v>
      </c>
      <c r="F291" s="28">
        <v>26413.1527498</v>
      </c>
      <c r="G291" s="28">
        <v>21131.72362591753</v>
      </c>
      <c r="H291" s="29">
        <v>0.5294385476082264</v>
      </c>
      <c r="I291" s="29">
        <v>-0.19995451409799847</v>
      </c>
      <c r="J291" s="29">
        <v>-5.445290637970901E-2</v>
      </c>
    </row>
    <row r="292" spans="1:10" ht="11.25" customHeight="1" x14ac:dyDescent="0.2">
      <c r="A292" s="38">
        <v>44621</v>
      </c>
      <c r="B292" s="28">
        <v>0</v>
      </c>
      <c r="C292" s="28">
        <v>0</v>
      </c>
      <c r="D292" s="28">
        <v>7439.1688547999993</v>
      </c>
      <c r="E292" s="28">
        <v>11377.751608697663</v>
      </c>
      <c r="F292" s="28">
        <v>29853.052397200001</v>
      </c>
      <c r="G292" s="28">
        <v>23883.799810775785</v>
      </c>
      <c r="H292" s="29">
        <v>0.5294385476082264</v>
      </c>
      <c r="I292" s="29">
        <v>-0.19995451409799847</v>
      </c>
      <c r="J292" s="29">
        <v>-5.4452906379709121E-2</v>
      </c>
    </row>
    <row r="293" spans="1:10" ht="11.25" customHeight="1" x14ac:dyDescent="0.2">
      <c r="A293" s="38">
        <v>44652</v>
      </c>
      <c r="B293" s="28">
        <v>0</v>
      </c>
      <c r="C293" s="28">
        <v>0</v>
      </c>
      <c r="D293" s="28">
        <v>6835.0779018000003</v>
      </c>
      <c r="E293" s="28">
        <v>10453.831618918075</v>
      </c>
      <c r="F293" s="28">
        <v>27428.8623802</v>
      </c>
      <c r="G293" s="28">
        <v>21944.337530706242</v>
      </c>
      <c r="H293" s="29">
        <v>0.52943854760822617</v>
      </c>
      <c r="I293" s="29">
        <v>-0.19995451409799836</v>
      </c>
      <c r="J293" s="29">
        <v>-5.4452906379709121E-2</v>
      </c>
    </row>
    <row r="294" spans="1:10" ht="11.25" customHeight="1" x14ac:dyDescent="0.2">
      <c r="A294" s="37" t="s">
        <v>25</v>
      </c>
      <c r="B294" s="28">
        <v>51548.65800000001</v>
      </c>
      <c r="C294" s="28">
        <v>44504.853873314023</v>
      </c>
      <c r="D294" s="28">
        <v>0</v>
      </c>
      <c r="E294" s="28">
        <v>0</v>
      </c>
      <c r="F294" s="28">
        <v>0</v>
      </c>
      <c r="G294" s="28">
        <v>0</v>
      </c>
      <c r="H294" s="29">
        <v>-0.13664379248604275</v>
      </c>
      <c r="I294" s="29">
        <v>0</v>
      </c>
      <c r="J294" s="29">
        <v>-0.13664379248604275</v>
      </c>
    </row>
    <row r="295" spans="1:10" ht="11.25" customHeight="1" x14ac:dyDescent="0.2">
      <c r="A295" s="38">
        <v>44317</v>
      </c>
      <c r="B295" s="28">
        <v>4253.2979999999998</v>
      </c>
      <c r="C295" s="28">
        <v>3672.1112307066996</v>
      </c>
      <c r="D295" s="28">
        <v>0</v>
      </c>
      <c r="E295" s="28">
        <v>0</v>
      </c>
      <c r="F295" s="28">
        <v>0</v>
      </c>
      <c r="G295" s="28">
        <v>0</v>
      </c>
      <c r="H295" s="29">
        <v>-0.13664379248604264</v>
      </c>
      <c r="I295" s="29">
        <v>0</v>
      </c>
      <c r="J295" s="29">
        <v>-0.13664379248604264</v>
      </c>
    </row>
    <row r="296" spans="1:10" ht="11.25" customHeight="1" x14ac:dyDescent="0.2">
      <c r="A296" s="38">
        <v>44348</v>
      </c>
      <c r="B296" s="28">
        <v>4253.2979999999998</v>
      </c>
      <c r="C296" s="28">
        <v>3672.1112307066996</v>
      </c>
      <c r="D296" s="28">
        <v>0</v>
      </c>
      <c r="E296" s="28">
        <v>0</v>
      </c>
      <c r="F296" s="28">
        <v>0</v>
      </c>
      <c r="G296" s="28">
        <v>0</v>
      </c>
      <c r="H296" s="29">
        <v>-0.13664379248604264</v>
      </c>
      <c r="I296" s="29">
        <v>0</v>
      </c>
      <c r="J296" s="29">
        <v>-0.13664379248604264</v>
      </c>
    </row>
    <row r="297" spans="1:10" ht="11.25" customHeight="1" x14ac:dyDescent="0.2">
      <c r="A297" s="38">
        <v>44378</v>
      </c>
      <c r="B297" s="28">
        <v>4253.2979999999998</v>
      </c>
      <c r="C297" s="28">
        <v>3672.1112307066996</v>
      </c>
      <c r="D297" s="28">
        <v>0</v>
      </c>
      <c r="E297" s="28">
        <v>0</v>
      </c>
      <c r="F297" s="28">
        <v>0</v>
      </c>
      <c r="G297" s="28">
        <v>0</v>
      </c>
      <c r="H297" s="29">
        <v>-0.13664379248604264</v>
      </c>
      <c r="I297" s="29">
        <v>0</v>
      </c>
      <c r="J297" s="29">
        <v>-0.13664379248604264</v>
      </c>
    </row>
    <row r="298" spans="1:10" ht="11.25" customHeight="1" x14ac:dyDescent="0.2">
      <c r="A298" s="38">
        <v>44409</v>
      </c>
      <c r="B298" s="28">
        <v>4253.2979999999998</v>
      </c>
      <c r="C298" s="28">
        <v>3672.1112307066996</v>
      </c>
      <c r="D298" s="28">
        <v>0</v>
      </c>
      <c r="E298" s="28">
        <v>0</v>
      </c>
      <c r="F298" s="28">
        <v>0</v>
      </c>
      <c r="G298" s="28">
        <v>0</v>
      </c>
      <c r="H298" s="29">
        <v>-0.13664379248604264</v>
      </c>
      <c r="I298" s="29">
        <v>0</v>
      </c>
      <c r="J298" s="29">
        <v>-0.13664379248604264</v>
      </c>
    </row>
    <row r="299" spans="1:10" ht="11.25" customHeight="1" x14ac:dyDescent="0.2">
      <c r="A299" s="38">
        <v>44440</v>
      </c>
      <c r="B299" s="28">
        <v>4286.1419999999998</v>
      </c>
      <c r="C299" s="28">
        <v>3700.4673019862876</v>
      </c>
      <c r="D299" s="28">
        <v>0</v>
      </c>
      <c r="E299" s="28">
        <v>0</v>
      </c>
      <c r="F299" s="28">
        <v>0</v>
      </c>
      <c r="G299" s="28">
        <v>0</v>
      </c>
      <c r="H299" s="29">
        <v>-0.13664379248604275</v>
      </c>
      <c r="I299" s="29">
        <v>0</v>
      </c>
      <c r="J299" s="29">
        <v>-0.13664379248604275</v>
      </c>
    </row>
    <row r="300" spans="1:10" ht="11.25" customHeight="1" x14ac:dyDescent="0.2">
      <c r="A300" s="38">
        <v>44470</v>
      </c>
      <c r="B300" s="28">
        <v>4269.72</v>
      </c>
      <c r="C300" s="28">
        <v>3686.2892663464936</v>
      </c>
      <c r="D300" s="28">
        <v>0</v>
      </c>
      <c r="E300" s="28">
        <v>0</v>
      </c>
      <c r="F300" s="28">
        <v>0</v>
      </c>
      <c r="G300" s="28">
        <v>0</v>
      </c>
      <c r="H300" s="29">
        <v>-0.13664379248604275</v>
      </c>
      <c r="I300" s="29">
        <v>0</v>
      </c>
      <c r="J300" s="29">
        <v>-0.13664379248604275</v>
      </c>
    </row>
    <row r="301" spans="1:10" ht="11.25" customHeight="1" x14ac:dyDescent="0.2">
      <c r="A301" s="38">
        <v>44501</v>
      </c>
      <c r="B301" s="28">
        <v>4253.2979999999998</v>
      </c>
      <c r="C301" s="28">
        <v>3672.1112307066996</v>
      </c>
      <c r="D301" s="28">
        <v>0</v>
      </c>
      <c r="E301" s="28">
        <v>0</v>
      </c>
      <c r="F301" s="28">
        <v>0</v>
      </c>
      <c r="G301" s="28">
        <v>0</v>
      </c>
      <c r="H301" s="29">
        <v>-0.13664379248604264</v>
      </c>
      <c r="I301" s="29">
        <v>0</v>
      </c>
      <c r="J301" s="29">
        <v>-0.13664379248604264</v>
      </c>
    </row>
    <row r="302" spans="1:10" ht="11.25" customHeight="1" x14ac:dyDescent="0.2">
      <c r="A302" s="38">
        <v>44531</v>
      </c>
      <c r="B302" s="28">
        <v>4253.2979999999998</v>
      </c>
      <c r="C302" s="28">
        <v>3672.1112307066996</v>
      </c>
      <c r="D302" s="28">
        <v>0</v>
      </c>
      <c r="E302" s="28">
        <v>0</v>
      </c>
      <c r="F302" s="28">
        <v>0</v>
      </c>
      <c r="G302" s="28">
        <v>0</v>
      </c>
      <c r="H302" s="29">
        <v>-0.13664379248604264</v>
      </c>
      <c r="I302" s="29">
        <v>0</v>
      </c>
      <c r="J302" s="29">
        <v>-0.13664379248604264</v>
      </c>
    </row>
    <row r="303" spans="1:10" ht="11.25" customHeight="1" x14ac:dyDescent="0.2">
      <c r="A303" s="38">
        <v>44562</v>
      </c>
      <c r="B303" s="28">
        <v>4286.1419999999998</v>
      </c>
      <c r="C303" s="28">
        <v>3700.4673019862876</v>
      </c>
      <c r="D303" s="28">
        <v>0</v>
      </c>
      <c r="E303" s="28">
        <v>0</v>
      </c>
      <c r="F303" s="28">
        <v>0</v>
      </c>
      <c r="G303" s="28">
        <v>0</v>
      </c>
      <c r="H303" s="29">
        <v>-0.13664379248604275</v>
      </c>
      <c r="I303" s="29">
        <v>0</v>
      </c>
      <c r="J303" s="29">
        <v>-0.13664379248604275</v>
      </c>
    </row>
    <row r="304" spans="1:10" ht="11.25" customHeight="1" x14ac:dyDescent="0.2">
      <c r="A304" s="38">
        <v>44593</v>
      </c>
      <c r="B304" s="28">
        <v>4335.4080000000004</v>
      </c>
      <c r="C304" s="28">
        <v>3743.0014089056704</v>
      </c>
      <c r="D304" s="28">
        <v>0</v>
      </c>
      <c r="E304" s="28">
        <v>0</v>
      </c>
      <c r="F304" s="28">
        <v>0</v>
      </c>
      <c r="G304" s="28">
        <v>0</v>
      </c>
      <c r="H304" s="29">
        <v>-0.13664379248604286</v>
      </c>
      <c r="I304" s="29">
        <v>0</v>
      </c>
      <c r="J304" s="29">
        <v>-0.13664379248604286</v>
      </c>
    </row>
    <row r="305" spans="1:10" ht="11.25" customHeight="1" x14ac:dyDescent="0.2">
      <c r="A305" s="38">
        <v>44621</v>
      </c>
      <c r="B305" s="28">
        <v>4417.518</v>
      </c>
      <c r="C305" s="28">
        <v>3813.8915871046415</v>
      </c>
      <c r="D305" s="28">
        <v>0</v>
      </c>
      <c r="E305" s="28">
        <v>0</v>
      </c>
      <c r="F305" s="28">
        <v>0</v>
      </c>
      <c r="G305" s="28">
        <v>0</v>
      </c>
      <c r="H305" s="29">
        <v>-0.13664379248604275</v>
      </c>
      <c r="I305" s="29">
        <v>0</v>
      </c>
      <c r="J305" s="29">
        <v>-0.13664379248604275</v>
      </c>
    </row>
    <row r="306" spans="1:10" ht="11.25" customHeight="1" x14ac:dyDescent="0.2">
      <c r="A306" s="38">
        <v>44652</v>
      </c>
      <c r="B306" s="28">
        <v>4433.9400000000005</v>
      </c>
      <c r="C306" s="28">
        <v>3828.0696227444355</v>
      </c>
      <c r="D306" s="28">
        <v>0</v>
      </c>
      <c r="E306" s="28">
        <v>0</v>
      </c>
      <c r="F306" s="28">
        <v>0</v>
      </c>
      <c r="G306" s="28">
        <v>0</v>
      </c>
      <c r="H306" s="29">
        <v>-0.13664379248604286</v>
      </c>
      <c r="I306" s="29">
        <v>0</v>
      </c>
      <c r="J306" s="29">
        <v>-0.13664379248604286</v>
      </c>
    </row>
    <row r="307" spans="1:10" ht="11.25" customHeight="1" x14ac:dyDescent="0.2">
      <c r="A307" s="37" t="s">
        <v>35</v>
      </c>
      <c r="B307" s="28">
        <v>0</v>
      </c>
      <c r="C307" s="28">
        <v>0</v>
      </c>
      <c r="D307" s="28">
        <v>95851.555506000004</v>
      </c>
      <c r="E307" s="28">
        <v>98709.769966508145</v>
      </c>
      <c r="F307" s="28">
        <v>26616.839159599996</v>
      </c>
      <c r="G307" s="28">
        <v>21294.682018617605</v>
      </c>
      <c r="H307" s="29">
        <v>2.9819176594679586E-2</v>
      </c>
      <c r="I307" s="29">
        <v>-0.19995451409799836</v>
      </c>
      <c r="J307" s="29">
        <v>-2.0119008558918794E-2</v>
      </c>
    </row>
    <row r="308" spans="1:10" ht="11.25" customHeight="1" x14ac:dyDescent="0.2">
      <c r="A308" s="38">
        <v>44317</v>
      </c>
      <c r="B308" s="28">
        <v>0</v>
      </c>
      <c r="C308" s="28">
        <v>0</v>
      </c>
      <c r="D308" s="28">
        <v>6073.0524539999997</v>
      </c>
      <c r="E308" s="28">
        <v>6254.1458775945766</v>
      </c>
      <c r="F308" s="28">
        <v>1686.4145764</v>
      </c>
      <c r="G308" s="28">
        <v>1349.2083692081562</v>
      </c>
      <c r="H308" s="29">
        <v>2.9819176594679364E-2</v>
      </c>
      <c r="I308" s="29">
        <v>-0.19995451409799836</v>
      </c>
      <c r="J308" s="29">
        <v>-2.0119008558918905E-2</v>
      </c>
    </row>
    <row r="309" spans="1:10" ht="11.25" customHeight="1" x14ac:dyDescent="0.2">
      <c r="A309" s="38">
        <v>44348</v>
      </c>
      <c r="B309" s="28">
        <v>0</v>
      </c>
      <c r="C309" s="28">
        <v>0</v>
      </c>
      <c r="D309" s="28">
        <v>6701.3914589999995</v>
      </c>
      <c r="E309" s="28">
        <v>6901.2214343459973</v>
      </c>
      <c r="F309" s="28">
        <v>1860.8968594</v>
      </c>
      <c r="G309" s="28">
        <v>1488.8021320921816</v>
      </c>
      <c r="H309" s="29">
        <v>2.9819176594679586E-2</v>
      </c>
      <c r="I309" s="29">
        <v>-0.19995451409799847</v>
      </c>
      <c r="J309" s="29">
        <v>-2.0119008558918794E-2</v>
      </c>
    </row>
    <row r="310" spans="1:10" ht="11.25" customHeight="1" x14ac:dyDescent="0.2">
      <c r="A310" s="38">
        <v>44378</v>
      </c>
      <c r="B310" s="28">
        <v>0</v>
      </c>
      <c r="C310" s="28">
        <v>0</v>
      </c>
      <c r="D310" s="28">
        <v>5731.6994909999994</v>
      </c>
      <c r="E310" s="28">
        <v>5902.6140503097631</v>
      </c>
      <c r="F310" s="28">
        <v>1591.6249106</v>
      </c>
      <c r="G310" s="28">
        <v>1273.3723249747068</v>
      </c>
      <c r="H310" s="29">
        <v>2.9819176594679586E-2</v>
      </c>
      <c r="I310" s="29">
        <v>-0.19995451409799847</v>
      </c>
      <c r="J310" s="29">
        <v>-2.0119008558918683E-2</v>
      </c>
    </row>
    <row r="311" spans="1:10" ht="11.25" customHeight="1" x14ac:dyDescent="0.2">
      <c r="A311" s="38">
        <v>44409</v>
      </c>
      <c r="B311" s="28">
        <v>0</v>
      </c>
      <c r="C311" s="28">
        <v>0</v>
      </c>
      <c r="D311" s="28">
        <v>6359.1472350000004</v>
      </c>
      <c r="E311" s="28">
        <v>6548.7717693920331</v>
      </c>
      <c r="F311" s="28">
        <v>1765.8597010000001</v>
      </c>
      <c r="G311" s="28">
        <v>1412.7680825213083</v>
      </c>
      <c r="H311" s="29">
        <v>2.9819176594679586E-2</v>
      </c>
      <c r="I311" s="29">
        <v>-0.19995451409799836</v>
      </c>
      <c r="J311" s="29">
        <v>-2.0119008558918905E-2</v>
      </c>
    </row>
    <row r="312" spans="1:10" ht="11.25" customHeight="1" x14ac:dyDescent="0.2">
      <c r="A312" s="38">
        <v>44440</v>
      </c>
      <c r="B312" s="28">
        <v>0</v>
      </c>
      <c r="C312" s="28">
        <v>0</v>
      </c>
      <c r="D312" s="28">
        <v>7168.4122229999994</v>
      </c>
      <c r="E312" s="28">
        <v>7382.1683729810957</v>
      </c>
      <c r="F312" s="28">
        <v>1990.5829818</v>
      </c>
      <c r="G312" s="28">
        <v>1592.5569289024361</v>
      </c>
      <c r="H312" s="29">
        <v>2.9819176594679586E-2</v>
      </c>
      <c r="I312" s="29">
        <v>-0.19995451409799847</v>
      </c>
      <c r="J312" s="29">
        <v>-2.0119008558918794E-2</v>
      </c>
    </row>
    <row r="313" spans="1:10" ht="11.25" customHeight="1" x14ac:dyDescent="0.2">
      <c r="A313" s="38">
        <v>44470</v>
      </c>
      <c r="B313" s="28">
        <v>0</v>
      </c>
      <c r="C313" s="28">
        <v>0</v>
      </c>
      <c r="D313" s="28">
        <v>7980.3509939999994</v>
      </c>
      <c r="E313" s="28">
        <v>8218.3184895776121</v>
      </c>
      <c r="F313" s="28">
        <v>2216.0487404</v>
      </c>
      <c r="G313" s="28">
        <v>1772.9397912958366</v>
      </c>
      <c r="H313" s="29">
        <v>2.9819176594679586E-2</v>
      </c>
      <c r="I313" s="29">
        <v>-0.19995451409799847</v>
      </c>
      <c r="J313" s="29">
        <v>-2.0119008558918905E-2</v>
      </c>
    </row>
    <row r="314" spans="1:10" ht="11.25" customHeight="1" x14ac:dyDescent="0.2">
      <c r="A314" s="38">
        <v>44501</v>
      </c>
      <c r="B314" s="28">
        <v>0</v>
      </c>
      <c r="C314" s="28">
        <v>0</v>
      </c>
      <c r="D314" s="28">
        <v>8616.7113479999989</v>
      </c>
      <c r="E314" s="28">
        <v>8873.654585351389</v>
      </c>
      <c r="F314" s="28">
        <v>2392.7584567999997</v>
      </c>
      <c r="G314" s="28">
        <v>1914.3156022166793</v>
      </c>
      <c r="H314" s="29">
        <v>2.9819176594679364E-2</v>
      </c>
      <c r="I314" s="29">
        <v>-0.19995451409799836</v>
      </c>
      <c r="J314" s="29">
        <v>-2.0119008558919016E-2</v>
      </c>
    </row>
    <row r="315" spans="1:10" ht="11.25" customHeight="1" x14ac:dyDescent="0.2">
      <c r="A315" s="38">
        <v>44531</v>
      </c>
      <c r="B315" s="28">
        <v>0</v>
      </c>
      <c r="C315" s="28">
        <v>0</v>
      </c>
      <c r="D315" s="28">
        <v>9829.7175690000004</v>
      </c>
      <c r="E315" s="28">
        <v>10122.831653065834</v>
      </c>
      <c r="F315" s="28">
        <v>2729.5958854</v>
      </c>
      <c r="G315" s="28">
        <v>2183.8008664509475</v>
      </c>
      <c r="H315" s="29">
        <v>2.9819176594679364E-2</v>
      </c>
      <c r="I315" s="29">
        <v>-0.19995451409799836</v>
      </c>
      <c r="J315" s="29">
        <v>-2.0119008558918905E-2</v>
      </c>
    </row>
    <row r="316" spans="1:10" ht="11.25" customHeight="1" x14ac:dyDescent="0.2">
      <c r="A316" s="38">
        <v>44562</v>
      </c>
      <c r="B316" s="28">
        <v>0</v>
      </c>
      <c r="C316" s="28">
        <v>0</v>
      </c>
      <c r="D316" s="28">
        <v>9226.3338719999992</v>
      </c>
      <c r="E316" s="28">
        <v>9501.4555510506398</v>
      </c>
      <c r="F316" s="28">
        <v>2562.0433951999998</v>
      </c>
      <c r="G316" s="28">
        <v>2049.7512530147978</v>
      </c>
      <c r="H316" s="29">
        <v>2.9819176594679364E-2</v>
      </c>
      <c r="I316" s="29">
        <v>-0.19995451409799836</v>
      </c>
      <c r="J316" s="29">
        <v>-2.0119008558918905E-2</v>
      </c>
    </row>
    <row r="317" spans="1:10" ht="11.25" customHeight="1" x14ac:dyDescent="0.2">
      <c r="A317" s="38">
        <v>44593</v>
      </c>
      <c r="B317" s="28">
        <v>0</v>
      </c>
      <c r="C317" s="28">
        <v>0</v>
      </c>
      <c r="D317" s="28">
        <v>9711.1798560000007</v>
      </c>
      <c r="E317" s="28">
        <v>10000.759243068758</v>
      </c>
      <c r="F317" s="28">
        <v>2696.6793696000004</v>
      </c>
      <c r="G317" s="28">
        <v>2157.4661565735355</v>
      </c>
      <c r="H317" s="29">
        <v>2.9819176594679364E-2</v>
      </c>
      <c r="I317" s="29">
        <v>-0.19995451409799847</v>
      </c>
      <c r="J317" s="29">
        <v>-2.0119008558918905E-2</v>
      </c>
    </row>
    <row r="318" spans="1:10" ht="11.25" customHeight="1" x14ac:dyDescent="0.2">
      <c r="A318" s="38">
        <v>44621</v>
      </c>
      <c r="B318" s="28">
        <v>0</v>
      </c>
      <c r="C318" s="28">
        <v>0</v>
      </c>
      <c r="D318" s="28">
        <v>9466.0830809999989</v>
      </c>
      <c r="E318" s="28">
        <v>9748.3538840522451</v>
      </c>
      <c r="F318" s="28">
        <v>2628.6189046</v>
      </c>
      <c r="G318" s="28">
        <v>2103.0146887818942</v>
      </c>
      <c r="H318" s="29">
        <v>2.9819176594679364E-2</v>
      </c>
      <c r="I318" s="29">
        <v>-0.19995451409799836</v>
      </c>
      <c r="J318" s="29">
        <v>-2.0119008558918905E-2</v>
      </c>
    </row>
    <row r="319" spans="1:10" ht="11.25" customHeight="1" x14ac:dyDescent="0.2">
      <c r="A319" s="38">
        <v>44652</v>
      </c>
      <c r="B319" s="28">
        <v>0</v>
      </c>
      <c r="C319" s="28">
        <v>0</v>
      </c>
      <c r="D319" s="28">
        <v>8987.4759239999985</v>
      </c>
      <c r="E319" s="28">
        <v>9255.4750557181851</v>
      </c>
      <c r="F319" s="28">
        <v>2495.7153783999997</v>
      </c>
      <c r="G319" s="28">
        <v>1996.6858225851256</v>
      </c>
      <c r="H319" s="29">
        <v>2.9819176594679586E-2</v>
      </c>
      <c r="I319" s="29">
        <v>-0.19995451409799836</v>
      </c>
      <c r="J319" s="29">
        <v>-2.0119008558918794E-2</v>
      </c>
    </row>
    <row r="320" spans="1:10" ht="11.25" customHeight="1" x14ac:dyDescent="0.2">
      <c r="A320" s="31" t="s">
        <v>22</v>
      </c>
      <c r="B320" s="28">
        <v>0</v>
      </c>
      <c r="C320" s="28">
        <v>0</v>
      </c>
      <c r="D320" s="28">
        <v>7188593.9976200005</v>
      </c>
      <c r="E320" s="28">
        <v>8385704.0996110467</v>
      </c>
      <c r="F320" s="28">
        <v>6965238.3378399983</v>
      </c>
      <c r="G320" s="28">
        <v>5572505.9186350908</v>
      </c>
      <c r="H320" s="29">
        <v>0.16652910185042957</v>
      </c>
      <c r="I320" s="29">
        <v>-0.19995473975938793</v>
      </c>
      <c r="J320" s="29">
        <v>-1.3821155470646884E-2</v>
      </c>
    </row>
    <row r="321" spans="1:10" ht="11.25" customHeight="1" x14ac:dyDescent="0.2">
      <c r="A321" s="32" t="s">
        <v>37</v>
      </c>
      <c r="B321" s="28">
        <v>0</v>
      </c>
      <c r="C321" s="28">
        <v>0</v>
      </c>
      <c r="D321" s="28">
        <v>10493.139769999998</v>
      </c>
      <c r="E321" s="28">
        <v>12409.639143899329</v>
      </c>
      <c r="F321" s="28">
        <v>10927.851450000002</v>
      </c>
      <c r="G321" s="28">
        <v>8742.778223180143</v>
      </c>
      <c r="H321" s="29">
        <v>0.1826430807086572</v>
      </c>
      <c r="I321" s="29">
        <v>-0.19995451409799847</v>
      </c>
      <c r="J321" s="29">
        <v>-1.2537881658332029E-2</v>
      </c>
    </row>
    <row r="322" spans="1:10" ht="11.25" customHeight="1" x14ac:dyDescent="0.2">
      <c r="A322" s="33" t="s">
        <v>24</v>
      </c>
      <c r="B322" s="28">
        <v>0</v>
      </c>
      <c r="C322" s="28">
        <v>0</v>
      </c>
      <c r="D322" s="28">
        <v>10493.139769999998</v>
      </c>
      <c r="E322" s="28">
        <v>12409.639143899329</v>
      </c>
      <c r="F322" s="28">
        <v>10927.851450000002</v>
      </c>
      <c r="G322" s="28">
        <v>8742.778223180143</v>
      </c>
      <c r="H322" s="29">
        <v>0.1826430807086572</v>
      </c>
      <c r="I322" s="29">
        <v>-0.19995451409799847</v>
      </c>
      <c r="J322" s="29">
        <v>-1.2537881658332029E-2</v>
      </c>
    </row>
    <row r="323" spans="1:10" ht="11.25" customHeight="1" x14ac:dyDescent="0.2">
      <c r="A323" s="34" t="s">
        <v>24</v>
      </c>
      <c r="B323" s="28">
        <v>0</v>
      </c>
      <c r="C323" s="28">
        <v>0</v>
      </c>
      <c r="D323" s="28">
        <v>10493.139769999998</v>
      </c>
      <c r="E323" s="28">
        <v>12409.639143899329</v>
      </c>
      <c r="F323" s="28">
        <v>10927.851450000002</v>
      </c>
      <c r="G323" s="28">
        <v>8742.778223180143</v>
      </c>
      <c r="H323" s="29">
        <v>0.1826430807086572</v>
      </c>
      <c r="I323" s="29">
        <v>-0.19995451409799847</v>
      </c>
      <c r="J323" s="29">
        <v>-1.2537881658332029E-2</v>
      </c>
    </row>
    <row r="324" spans="1:10" ht="11.25" customHeight="1" x14ac:dyDescent="0.2">
      <c r="A324" s="35" t="s">
        <v>25</v>
      </c>
      <c r="B324" s="28">
        <v>0</v>
      </c>
      <c r="C324" s="28">
        <v>0</v>
      </c>
      <c r="D324" s="28">
        <v>10493.139769999998</v>
      </c>
      <c r="E324" s="28">
        <v>12409.639143899329</v>
      </c>
      <c r="F324" s="28">
        <v>10927.851450000002</v>
      </c>
      <c r="G324" s="28">
        <v>8742.778223180143</v>
      </c>
      <c r="H324" s="29">
        <v>0.1826430807086572</v>
      </c>
      <c r="I324" s="29">
        <v>-0.19995451409799847</v>
      </c>
      <c r="J324" s="29">
        <v>-1.2537881658332029E-2</v>
      </c>
    </row>
    <row r="325" spans="1:10" ht="11.25" customHeight="1" x14ac:dyDescent="0.2">
      <c r="A325" s="36" t="s">
        <v>25</v>
      </c>
      <c r="B325" s="28">
        <v>0</v>
      </c>
      <c r="C325" s="28">
        <v>0</v>
      </c>
      <c r="D325" s="28">
        <v>10493.139769999998</v>
      </c>
      <c r="E325" s="28">
        <v>12409.639143899329</v>
      </c>
      <c r="F325" s="28">
        <v>10927.851450000002</v>
      </c>
      <c r="G325" s="28">
        <v>8742.778223180143</v>
      </c>
      <c r="H325" s="29">
        <v>0.1826430807086572</v>
      </c>
      <c r="I325" s="29">
        <v>-0.19995451409799847</v>
      </c>
      <c r="J325" s="29">
        <v>-1.2537881658332029E-2</v>
      </c>
    </row>
    <row r="326" spans="1:10" ht="11.25" customHeight="1" x14ac:dyDescent="0.2">
      <c r="A326" s="37" t="s">
        <v>36</v>
      </c>
      <c r="B326" s="28">
        <v>0</v>
      </c>
      <c r="C326" s="28">
        <v>0</v>
      </c>
      <c r="D326" s="28">
        <v>5303.7736000000004</v>
      </c>
      <c r="E326" s="28">
        <v>6657.082317618494</v>
      </c>
      <c r="F326" s="28">
        <v>7864.9988800000019</v>
      </c>
      <c r="G326" s="28">
        <v>6292.3568505682979</v>
      </c>
      <c r="H326" s="29">
        <v>0.25515959384437026</v>
      </c>
      <c r="I326" s="29">
        <v>-0.19995451409799869</v>
      </c>
      <c r="J326" s="29">
        <v>-1.6655562403126156E-2</v>
      </c>
    </row>
    <row r="327" spans="1:10" ht="11.25" customHeight="1" x14ac:dyDescent="0.2">
      <c r="A327" s="38">
        <v>44317</v>
      </c>
      <c r="B327" s="28">
        <v>0</v>
      </c>
      <c r="C327" s="28">
        <v>0</v>
      </c>
      <c r="D327" s="28">
        <v>318.52470000000005</v>
      </c>
      <c r="E327" s="28">
        <v>399.79933308139988</v>
      </c>
      <c r="F327" s="28">
        <v>472.34226000000007</v>
      </c>
      <c r="G327" s="28">
        <v>377.89529291374959</v>
      </c>
      <c r="H327" s="29">
        <v>0.25515959384437004</v>
      </c>
      <c r="I327" s="29">
        <v>-0.19995451409799847</v>
      </c>
      <c r="J327" s="29">
        <v>-1.6655562403126156E-2</v>
      </c>
    </row>
    <row r="328" spans="1:10" ht="11.25" customHeight="1" x14ac:dyDescent="0.2">
      <c r="A328" s="38">
        <v>44348</v>
      </c>
      <c r="B328" s="28">
        <v>0</v>
      </c>
      <c r="C328" s="28">
        <v>0</v>
      </c>
      <c r="D328" s="28">
        <v>329.71035000000001</v>
      </c>
      <c r="E328" s="28">
        <v>413.83910899228516</v>
      </c>
      <c r="F328" s="28">
        <v>488.92953000000006</v>
      </c>
      <c r="G328" s="28">
        <v>391.16586340068727</v>
      </c>
      <c r="H328" s="29">
        <v>0.25515959384437026</v>
      </c>
      <c r="I328" s="29">
        <v>-0.19995451409799847</v>
      </c>
      <c r="J328" s="29">
        <v>-1.6655562403126156E-2</v>
      </c>
    </row>
    <row r="329" spans="1:10" ht="11.25" customHeight="1" x14ac:dyDescent="0.2">
      <c r="A329" s="38">
        <v>44378</v>
      </c>
      <c r="B329" s="28">
        <v>0</v>
      </c>
      <c r="C329" s="28">
        <v>0</v>
      </c>
      <c r="D329" s="28">
        <v>354.21225000000004</v>
      </c>
      <c r="E329" s="28">
        <v>444.59290384470057</v>
      </c>
      <c r="F329" s="28">
        <v>525.26355000000012</v>
      </c>
      <c r="G329" s="28">
        <v>420.23473208636034</v>
      </c>
      <c r="H329" s="29">
        <v>0.25515959384437026</v>
      </c>
      <c r="I329" s="29">
        <v>-0.19995451409799858</v>
      </c>
      <c r="J329" s="29">
        <v>-1.6655562403126045E-2</v>
      </c>
    </row>
    <row r="330" spans="1:10" ht="11.25" customHeight="1" x14ac:dyDescent="0.2">
      <c r="A330" s="38">
        <v>44409</v>
      </c>
      <c r="B330" s="28">
        <v>0</v>
      </c>
      <c r="C330" s="28">
        <v>0</v>
      </c>
      <c r="D330" s="28">
        <v>436.06280000000004</v>
      </c>
      <c r="E330" s="28">
        <v>547.32840693863886</v>
      </c>
      <c r="F330" s="28">
        <v>646.64024000000006</v>
      </c>
      <c r="G330" s="28">
        <v>517.34160501458689</v>
      </c>
      <c r="H330" s="29">
        <v>0.25515959384437026</v>
      </c>
      <c r="I330" s="29">
        <v>-0.19995451409799858</v>
      </c>
      <c r="J330" s="29">
        <v>-1.6655562403126267E-2</v>
      </c>
    </row>
    <row r="331" spans="1:10" ht="11.25" customHeight="1" x14ac:dyDescent="0.2">
      <c r="A331" s="38">
        <v>44440</v>
      </c>
      <c r="B331" s="28">
        <v>0</v>
      </c>
      <c r="C331" s="28">
        <v>0</v>
      </c>
      <c r="D331" s="28">
        <v>483.82375000000008</v>
      </c>
      <c r="E331" s="28">
        <v>607.2760215422602</v>
      </c>
      <c r="F331" s="28">
        <v>717.46525000000008</v>
      </c>
      <c r="G331" s="28">
        <v>574.00483455405106</v>
      </c>
      <c r="H331" s="29">
        <v>0.25515959384437026</v>
      </c>
      <c r="I331" s="29">
        <v>-0.19995451409799847</v>
      </c>
      <c r="J331" s="29">
        <v>-1.6655562403126156E-2</v>
      </c>
    </row>
    <row r="332" spans="1:10" ht="11.25" customHeight="1" x14ac:dyDescent="0.2">
      <c r="A332" s="38">
        <v>44470</v>
      </c>
      <c r="B332" s="28">
        <v>0</v>
      </c>
      <c r="C332" s="28">
        <v>0</v>
      </c>
      <c r="D332" s="28">
        <v>414.22415000000007</v>
      </c>
      <c r="E332" s="28">
        <v>519.91741587452952</v>
      </c>
      <c r="F332" s="28">
        <v>614.25557000000015</v>
      </c>
      <c r="G332" s="28">
        <v>491.43239596866101</v>
      </c>
      <c r="H332" s="29">
        <v>0.25515959384437004</v>
      </c>
      <c r="I332" s="29">
        <v>-0.19995451409799847</v>
      </c>
      <c r="J332" s="29">
        <v>-1.6655562403126156E-2</v>
      </c>
    </row>
    <row r="333" spans="1:10" ht="11.25" customHeight="1" x14ac:dyDescent="0.2">
      <c r="A333" s="38">
        <v>44501</v>
      </c>
      <c r="B333" s="28">
        <v>0</v>
      </c>
      <c r="C333" s="28">
        <v>0</v>
      </c>
      <c r="D333" s="28">
        <v>415.82210000000003</v>
      </c>
      <c r="E333" s="28">
        <v>521.92309814751309</v>
      </c>
      <c r="F333" s="28">
        <v>616.62518000000011</v>
      </c>
      <c r="G333" s="28">
        <v>493.32819175250921</v>
      </c>
      <c r="H333" s="29">
        <v>0.25515959384437004</v>
      </c>
      <c r="I333" s="29">
        <v>-0.19995451409799847</v>
      </c>
      <c r="J333" s="29">
        <v>-1.6655562403126045E-2</v>
      </c>
    </row>
    <row r="334" spans="1:10" ht="11.25" customHeight="1" x14ac:dyDescent="0.2">
      <c r="A334" s="38">
        <v>44531</v>
      </c>
      <c r="B334" s="28">
        <v>0</v>
      </c>
      <c r="C334" s="28">
        <v>0</v>
      </c>
      <c r="D334" s="28">
        <v>441.56685000000004</v>
      </c>
      <c r="E334" s="28">
        <v>554.23686810113793</v>
      </c>
      <c r="F334" s="28">
        <v>654.80223000000012</v>
      </c>
      <c r="G334" s="28">
        <v>523.87156827006424</v>
      </c>
      <c r="H334" s="29">
        <v>0.25515959384437004</v>
      </c>
      <c r="I334" s="29">
        <v>-0.19995451409799847</v>
      </c>
      <c r="J334" s="29">
        <v>-1.6655562403126267E-2</v>
      </c>
    </row>
    <row r="335" spans="1:10" ht="11.25" customHeight="1" x14ac:dyDescent="0.2">
      <c r="A335" s="38">
        <v>44562</v>
      </c>
      <c r="B335" s="28">
        <v>0</v>
      </c>
      <c r="C335" s="28">
        <v>0</v>
      </c>
      <c r="D335" s="28">
        <v>493.589</v>
      </c>
      <c r="E335" s="28">
        <v>619.53296876604884</v>
      </c>
      <c r="F335" s="28">
        <v>731.94619999999998</v>
      </c>
      <c r="G335" s="28">
        <v>585.59025323312358</v>
      </c>
      <c r="H335" s="29">
        <v>0.25515959384437026</v>
      </c>
      <c r="I335" s="29">
        <v>-0.19995451409799847</v>
      </c>
      <c r="J335" s="29">
        <v>-1.6655562403126045E-2</v>
      </c>
    </row>
    <row r="336" spans="1:10" ht="11.25" customHeight="1" x14ac:dyDescent="0.2">
      <c r="A336" s="38">
        <v>44593</v>
      </c>
      <c r="B336" s="28">
        <v>0</v>
      </c>
      <c r="C336" s="28">
        <v>0</v>
      </c>
      <c r="D336" s="28">
        <v>483.46865000000003</v>
      </c>
      <c r="E336" s="28">
        <v>606.83031437048601</v>
      </c>
      <c r="F336" s="28">
        <v>716.93867</v>
      </c>
      <c r="G336" s="28">
        <v>573.58354660208477</v>
      </c>
      <c r="H336" s="29">
        <v>0.25515959384437026</v>
      </c>
      <c r="I336" s="29">
        <v>-0.19995451409799847</v>
      </c>
      <c r="J336" s="29">
        <v>-1.6655562403126045E-2</v>
      </c>
    </row>
    <row r="337" spans="1:10" ht="11.25" customHeight="1" x14ac:dyDescent="0.2">
      <c r="A337" s="38">
        <v>44621</v>
      </c>
      <c r="B337" s="28">
        <v>0</v>
      </c>
      <c r="C337" s="28">
        <v>0</v>
      </c>
      <c r="D337" s="28">
        <v>635.45145000000002</v>
      </c>
      <c r="E337" s="28">
        <v>797.5929838898162</v>
      </c>
      <c r="F337" s="28">
        <v>942.31491000000017</v>
      </c>
      <c r="G337" s="28">
        <v>753.89479004365091</v>
      </c>
      <c r="H337" s="29">
        <v>0.25515959384437026</v>
      </c>
      <c r="I337" s="29">
        <v>-0.19995451409799858</v>
      </c>
      <c r="J337" s="29">
        <v>-1.6655562403126045E-2</v>
      </c>
    </row>
    <row r="338" spans="1:10" ht="11.25" customHeight="1" x14ac:dyDescent="0.2">
      <c r="A338" s="38">
        <v>44652</v>
      </c>
      <c r="B338" s="28">
        <v>0</v>
      </c>
      <c r="C338" s="28">
        <v>0</v>
      </c>
      <c r="D338" s="28">
        <v>497.31755000000004</v>
      </c>
      <c r="E338" s="28">
        <v>624.2128940696773</v>
      </c>
      <c r="F338" s="28">
        <v>737.47529000000009</v>
      </c>
      <c r="G338" s="28">
        <v>590.01377672876959</v>
      </c>
      <c r="H338" s="29">
        <v>0.25515959384437026</v>
      </c>
      <c r="I338" s="29">
        <v>-0.19995451409799847</v>
      </c>
      <c r="J338" s="29">
        <v>-1.6655562403126045E-2</v>
      </c>
    </row>
    <row r="339" spans="1:10" ht="11.25" customHeight="1" x14ac:dyDescent="0.2">
      <c r="A339" s="37" t="s">
        <v>38</v>
      </c>
      <c r="B339" s="28">
        <v>0</v>
      </c>
      <c r="C339" s="28">
        <v>0</v>
      </c>
      <c r="D339" s="28">
        <v>2595.8367699999999</v>
      </c>
      <c r="E339" s="28">
        <v>2929.4322556370225</v>
      </c>
      <c r="F339" s="28">
        <v>1848.03251</v>
      </c>
      <c r="G339" s="28">
        <v>1478.5100674256455</v>
      </c>
      <c r="H339" s="29">
        <v>0.12851173444046049</v>
      </c>
      <c r="I339" s="29">
        <v>-0.19995451409799847</v>
      </c>
      <c r="J339" s="29">
        <v>-8.0846115566504118E-3</v>
      </c>
    </row>
    <row r="340" spans="1:10" ht="11.25" customHeight="1" x14ac:dyDescent="0.2">
      <c r="A340" s="38">
        <v>44317</v>
      </c>
      <c r="B340" s="28">
        <v>0</v>
      </c>
      <c r="C340" s="28">
        <v>0</v>
      </c>
      <c r="D340" s="28">
        <v>66.569400000000002</v>
      </c>
      <c r="E340" s="28">
        <v>75.124349054660797</v>
      </c>
      <c r="F340" s="28">
        <v>47.392200000000003</v>
      </c>
      <c r="G340" s="28">
        <v>37.915915676964836</v>
      </c>
      <c r="H340" s="29">
        <v>0.12851173444046049</v>
      </c>
      <c r="I340" s="29">
        <v>-0.19995451409799858</v>
      </c>
      <c r="J340" s="29">
        <v>-8.0846115566504118E-3</v>
      </c>
    </row>
    <row r="341" spans="1:10" ht="11.25" customHeight="1" x14ac:dyDescent="0.2">
      <c r="A341" s="38">
        <v>44348</v>
      </c>
      <c r="B341" s="28">
        <v>0</v>
      </c>
      <c r="C341" s="28">
        <v>0</v>
      </c>
      <c r="D341" s="28">
        <v>77.664299999999997</v>
      </c>
      <c r="E341" s="28">
        <v>87.645073897104254</v>
      </c>
      <c r="F341" s="28">
        <v>55.290900000000001</v>
      </c>
      <c r="G341" s="28">
        <v>44.235234956458982</v>
      </c>
      <c r="H341" s="29">
        <v>0.12851173444046049</v>
      </c>
      <c r="I341" s="29">
        <v>-0.19995451409799836</v>
      </c>
      <c r="J341" s="29">
        <v>-8.0846115566503007E-3</v>
      </c>
    </row>
    <row r="342" spans="1:10" ht="11.25" customHeight="1" x14ac:dyDescent="0.2">
      <c r="A342" s="38">
        <v>44378</v>
      </c>
      <c r="B342" s="28">
        <v>0</v>
      </c>
      <c r="C342" s="28">
        <v>0</v>
      </c>
      <c r="D342" s="28">
        <v>74.705659999999995</v>
      </c>
      <c r="E342" s="28">
        <v>84.306213939119345</v>
      </c>
      <c r="F342" s="28">
        <v>53.184580000000011</v>
      </c>
      <c r="G342" s="28">
        <v>42.550083148593878</v>
      </c>
      <c r="H342" s="29">
        <v>0.12851173444046071</v>
      </c>
      <c r="I342" s="29">
        <v>-0.19995451409799858</v>
      </c>
      <c r="J342" s="29">
        <v>-8.0846115566504118E-3</v>
      </c>
    </row>
    <row r="343" spans="1:10" ht="11.25" customHeight="1" x14ac:dyDescent="0.2">
      <c r="A343" s="38">
        <v>44409</v>
      </c>
      <c r="B343" s="28">
        <v>0</v>
      </c>
      <c r="C343" s="28">
        <v>0</v>
      </c>
      <c r="D343" s="28">
        <v>234.84205</v>
      </c>
      <c r="E343" s="28">
        <v>265.02200916505336</v>
      </c>
      <c r="F343" s="28">
        <v>167.18915000000001</v>
      </c>
      <c r="G343" s="28">
        <v>133.75892474929265</v>
      </c>
      <c r="H343" s="29">
        <v>0.12851173444046049</v>
      </c>
      <c r="I343" s="29">
        <v>-0.19995451409799836</v>
      </c>
      <c r="J343" s="29">
        <v>-8.0846115566503007E-3</v>
      </c>
    </row>
    <row r="344" spans="1:10" ht="11.25" customHeight="1" x14ac:dyDescent="0.2">
      <c r="A344" s="38">
        <v>44440</v>
      </c>
      <c r="B344" s="28">
        <v>0</v>
      </c>
      <c r="C344" s="28">
        <v>0</v>
      </c>
      <c r="D344" s="28">
        <v>223.00748999999999</v>
      </c>
      <c r="E344" s="28">
        <v>251.66656933311364</v>
      </c>
      <c r="F344" s="28">
        <v>158.76387</v>
      </c>
      <c r="G344" s="28">
        <v>127.01831751783222</v>
      </c>
      <c r="H344" s="29">
        <v>0.12851173444046049</v>
      </c>
      <c r="I344" s="29">
        <v>-0.19995451409799836</v>
      </c>
      <c r="J344" s="29">
        <v>-8.0846115566503007E-3</v>
      </c>
    </row>
    <row r="345" spans="1:10" ht="11.25" customHeight="1" x14ac:dyDescent="0.2">
      <c r="A345" s="38">
        <v>44470</v>
      </c>
      <c r="B345" s="28">
        <v>0</v>
      </c>
      <c r="C345" s="28">
        <v>0</v>
      </c>
      <c r="D345" s="28">
        <v>208.21428999999998</v>
      </c>
      <c r="E345" s="28">
        <v>234.97226954318901</v>
      </c>
      <c r="F345" s="28">
        <v>148.23227</v>
      </c>
      <c r="G345" s="28">
        <v>118.59255847850669</v>
      </c>
      <c r="H345" s="29">
        <v>0.12851173444046049</v>
      </c>
      <c r="I345" s="29">
        <v>-0.19995451409799847</v>
      </c>
      <c r="J345" s="29">
        <v>-8.0846115566504118E-3</v>
      </c>
    </row>
    <row r="346" spans="1:10" ht="11.25" customHeight="1" x14ac:dyDescent="0.2">
      <c r="A346" s="38">
        <v>44501</v>
      </c>
      <c r="B346" s="28">
        <v>0</v>
      </c>
      <c r="C346" s="28">
        <v>0</v>
      </c>
      <c r="D346" s="28">
        <v>179.73738</v>
      </c>
      <c r="E346" s="28">
        <v>202.83574244758415</v>
      </c>
      <c r="F346" s="28">
        <v>127.95894000000001</v>
      </c>
      <c r="G346" s="28">
        <v>102.37297232780507</v>
      </c>
      <c r="H346" s="29">
        <v>0.12851173444046049</v>
      </c>
      <c r="I346" s="29">
        <v>-0.19995451409799847</v>
      </c>
      <c r="J346" s="29">
        <v>-8.0846115566503007E-3</v>
      </c>
    </row>
    <row r="347" spans="1:10" ht="11.25" customHeight="1" x14ac:dyDescent="0.2">
      <c r="A347" s="38">
        <v>44531</v>
      </c>
      <c r="B347" s="28">
        <v>0</v>
      </c>
      <c r="C347" s="28">
        <v>0</v>
      </c>
      <c r="D347" s="28">
        <v>255.18269999999998</v>
      </c>
      <c r="E347" s="28">
        <v>287.9766713761997</v>
      </c>
      <c r="F347" s="28">
        <v>181.67009999999999</v>
      </c>
      <c r="G347" s="28">
        <v>145.34434342836522</v>
      </c>
      <c r="H347" s="29">
        <v>0.12851173444046049</v>
      </c>
      <c r="I347" s="29">
        <v>-0.19995451409799836</v>
      </c>
      <c r="J347" s="29">
        <v>-8.0846115566504118E-3</v>
      </c>
    </row>
    <row r="348" spans="1:10" ht="11.25" customHeight="1" x14ac:dyDescent="0.2">
      <c r="A348" s="38">
        <v>44562</v>
      </c>
      <c r="B348" s="28">
        <v>0</v>
      </c>
      <c r="C348" s="28">
        <v>0</v>
      </c>
      <c r="D348" s="28">
        <v>302.15110999999996</v>
      </c>
      <c r="E348" s="28">
        <v>340.98107320921036</v>
      </c>
      <c r="F348" s="28">
        <v>215.10793000000001</v>
      </c>
      <c r="G348" s="28">
        <v>172.09612837822374</v>
      </c>
      <c r="H348" s="29">
        <v>0.12851173444046071</v>
      </c>
      <c r="I348" s="29">
        <v>-0.19995451409799847</v>
      </c>
      <c r="J348" s="29">
        <v>-8.0846115566503007E-3</v>
      </c>
    </row>
    <row r="349" spans="1:10" ht="11.25" customHeight="1" x14ac:dyDescent="0.2">
      <c r="A349" s="38">
        <v>44593</v>
      </c>
      <c r="B349" s="28">
        <v>0</v>
      </c>
      <c r="C349" s="28">
        <v>0</v>
      </c>
      <c r="D349" s="28">
        <v>288.4674</v>
      </c>
      <c r="E349" s="28">
        <v>325.5388459035301</v>
      </c>
      <c r="F349" s="28">
        <v>205.36620000000002</v>
      </c>
      <c r="G349" s="28">
        <v>164.30230126684765</v>
      </c>
      <c r="H349" s="29">
        <v>0.12851173444046049</v>
      </c>
      <c r="I349" s="29">
        <v>-0.19995451409799847</v>
      </c>
      <c r="J349" s="29">
        <v>-8.0846115566504118E-3</v>
      </c>
    </row>
    <row r="350" spans="1:10" ht="11.25" customHeight="1" x14ac:dyDescent="0.2">
      <c r="A350" s="38">
        <v>44621</v>
      </c>
      <c r="B350" s="28">
        <v>0</v>
      </c>
      <c r="C350" s="28">
        <v>0</v>
      </c>
      <c r="D350" s="28">
        <v>374.26795999999996</v>
      </c>
      <c r="E350" s="28">
        <v>422.36578468509293</v>
      </c>
      <c r="F350" s="28">
        <v>266.44948000000005</v>
      </c>
      <c r="G350" s="28">
        <v>213.17170369493567</v>
      </c>
      <c r="H350" s="29">
        <v>0.12851173444046071</v>
      </c>
      <c r="I350" s="29">
        <v>-0.19995451409799847</v>
      </c>
      <c r="J350" s="29">
        <v>-8.0846115566501897E-3</v>
      </c>
    </row>
    <row r="351" spans="1:10" ht="11.25" customHeight="1" x14ac:dyDescent="0.2">
      <c r="A351" s="38">
        <v>44652</v>
      </c>
      <c r="B351" s="28">
        <v>0</v>
      </c>
      <c r="C351" s="28">
        <v>0</v>
      </c>
      <c r="D351" s="28">
        <v>311.02702999999997</v>
      </c>
      <c r="E351" s="28">
        <v>350.99765308316512</v>
      </c>
      <c r="F351" s="28">
        <v>221.42689000000001</v>
      </c>
      <c r="G351" s="28">
        <v>177.15158380181904</v>
      </c>
      <c r="H351" s="29">
        <v>0.12851173444046049</v>
      </c>
      <c r="I351" s="29">
        <v>-0.19995451409799847</v>
      </c>
      <c r="J351" s="29">
        <v>-8.0846115566504118E-3</v>
      </c>
    </row>
    <row r="352" spans="1:10" ht="11.25" customHeight="1" x14ac:dyDescent="0.2">
      <c r="A352" s="37" t="s">
        <v>35</v>
      </c>
      <c r="B352" s="28">
        <v>0</v>
      </c>
      <c r="C352" s="28">
        <v>0</v>
      </c>
      <c r="D352" s="28">
        <v>2593.5293999999999</v>
      </c>
      <c r="E352" s="28">
        <v>2823.1245706438076</v>
      </c>
      <c r="F352" s="28">
        <v>1214.82006</v>
      </c>
      <c r="G352" s="28">
        <v>971.91130518619866</v>
      </c>
      <c r="H352" s="29">
        <v>8.8526149209570359E-2</v>
      </c>
      <c r="I352" s="29">
        <v>-0.19995451409799847</v>
      </c>
      <c r="J352" s="29">
        <v>-3.4958935123546864E-3</v>
      </c>
    </row>
    <row r="353" spans="1:10" ht="11.25" customHeight="1" x14ac:dyDescent="0.2">
      <c r="A353" s="38">
        <v>44317</v>
      </c>
      <c r="B353" s="28">
        <v>0</v>
      </c>
      <c r="C353" s="28">
        <v>0</v>
      </c>
      <c r="D353" s="28">
        <v>163.00899999999999</v>
      </c>
      <c r="E353" s="28">
        <v>177.43955905650284</v>
      </c>
      <c r="F353" s="28">
        <v>76.354100000000003</v>
      </c>
      <c r="G353" s="28">
        <v>61.086753035110014</v>
      </c>
      <c r="H353" s="29">
        <v>8.8526149209570359E-2</v>
      </c>
      <c r="I353" s="29">
        <v>-0.19995451409799847</v>
      </c>
      <c r="J353" s="29">
        <v>-3.4958935123547974E-3</v>
      </c>
    </row>
    <row r="354" spans="1:10" ht="11.25" customHeight="1" x14ac:dyDescent="0.2">
      <c r="A354" s="38">
        <v>44348</v>
      </c>
      <c r="B354" s="28">
        <v>0</v>
      </c>
      <c r="C354" s="28">
        <v>0</v>
      </c>
      <c r="D354" s="28">
        <v>189.42770000000002</v>
      </c>
      <c r="E354" s="28">
        <v>206.19700483462577</v>
      </c>
      <c r="F354" s="28">
        <v>88.728730000000013</v>
      </c>
      <c r="G354" s="28">
        <v>70.987019906317514</v>
      </c>
      <c r="H354" s="29">
        <v>8.8526149209570582E-2</v>
      </c>
      <c r="I354" s="29">
        <v>-0.19995451409799847</v>
      </c>
      <c r="J354" s="29">
        <v>-3.4958935123545753E-3</v>
      </c>
    </row>
    <row r="355" spans="1:10" ht="11.25" customHeight="1" x14ac:dyDescent="0.2">
      <c r="A355" s="38">
        <v>44378</v>
      </c>
      <c r="B355" s="28">
        <v>0</v>
      </c>
      <c r="C355" s="28">
        <v>0</v>
      </c>
      <c r="D355" s="28">
        <v>204.04230000000001</v>
      </c>
      <c r="E355" s="28">
        <v>222.10537909486393</v>
      </c>
      <c r="F355" s="28">
        <v>95.574269999999999</v>
      </c>
      <c r="G355" s="28">
        <v>76.463763281879096</v>
      </c>
      <c r="H355" s="29">
        <v>8.8526149209570359E-2</v>
      </c>
      <c r="I355" s="29">
        <v>-0.19995451409799836</v>
      </c>
      <c r="J355" s="29">
        <v>-3.4958935123549084E-3</v>
      </c>
    </row>
    <row r="356" spans="1:10" ht="11.25" customHeight="1" x14ac:dyDescent="0.2">
      <c r="A356" s="38">
        <v>44409</v>
      </c>
      <c r="B356" s="28">
        <v>0</v>
      </c>
      <c r="C356" s="28">
        <v>0</v>
      </c>
      <c r="D356" s="28">
        <v>240.5788</v>
      </c>
      <c r="E356" s="28">
        <v>261.87631474545941</v>
      </c>
      <c r="F356" s="28">
        <v>112.68812000000001</v>
      </c>
      <c r="G356" s="28">
        <v>90.15562172078306</v>
      </c>
      <c r="H356" s="29">
        <v>8.8526149209570359E-2</v>
      </c>
      <c r="I356" s="29">
        <v>-0.19995451409799858</v>
      </c>
      <c r="J356" s="29">
        <v>-3.4958935123547974E-3</v>
      </c>
    </row>
    <row r="357" spans="1:10" ht="11.25" customHeight="1" x14ac:dyDescent="0.2">
      <c r="A357" s="38">
        <v>44440</v>
      </c>
      <c r="B357" s="28">
        <v>0</v>
      </c>
      <c r="C357" s="28">
        <v>0</v>
      </c>
      <c r="D357" s="28">
        <v>202.91810000000001</v>
      </c>
      <c r="E357" s="28">
        <v>220.88165799792253</v>
      </c>
      <c r="F357" s="28">
        <v>95.047690000000003</v>
      </c>
      <c r="G357" s="28">
        <v>76.042475329912818</v>
      </c>
      <c r="H357" s="29">
        <v>8.8526149209570359E-2</v>
      </c>
      <c r="I357" s="29">
        <v>-0.19995451409799847</v>
      </c>
      <c r="J357" s="29">
        <v>-3.4958935123547974E-3</v>
      </c>
    </row>
    <row r="358" spans="1:10" ht="11.25" customHeight="1" x14ac:dyDescent="0.2">
      <c r="A358" s="38">
        <v>44470</v>
      </c>
      <c r="B358" s="28">
        <v>0</v>
      </c>
      <c r="C358" s="28">
        <v>0</v>
      </c>
      <c r="D358" s="28">
        <v>205.16650000000001</v>
      </c>
      <c r="E358" s="28">
        <v>223.32910019180534</v>
      </c>
      <c r="F358" s="28">
        <v>96.100850000000008</v>
      </c>
      <c r="G358" s="28">
        <v>76.885051233845374</v>
      </c>
      <c r="H358" s="29">
        <v>8.8526149209570359E-2</v>
      </c>
      <c r="I358" s="29">
        <v>-0.19995451409799847</v>
      </c>
      <c r="J358" s="29">
        <v>-3.4958935123547974E-3</v>
      </c>
    </row>
    <row r="359" spans="1:10" ht="11.25" customHeight="1" x14ac:dyDescent="0.2">
      <c r="A359" s="38">
        <v>44501</v>
      </c>
      <c r="B359" s="28">
        <v>0</v>
      </c>
      <c r="C359" s="28">
        <v>0</v>
      </c>
      <c r="D359" s="28">
        <v>204.04230000000001</v>
      </c>
      <c r="E359" s="28">
        <v>222.10537909486393</v>
      </c>
      <c r="F359" s="28">
        <v>95.574269999999999</v>
      </c>
      <c r="G359" s="28">
        <v>76.463763281879096</v>
      </c>
      <c r="H359" s="29">
        <v>8.8526149209570359E-2</v>
      </c>
      <c r="I359" s="29">
        <v>-0.19995451409799836</v>
      </c>
      <c r="J359" s="29">
        <v>-3.4958935123549084E-3</v>
      </c>
    </row>
    <row r="360" spans="1:10" ht="11.25" customHeight="1" x14ac:dyDescent="0.2">
      <c r="A360" s="38">
        <v>44531</v>
      </c>
      <c r="B360" s="28">
        <v>0</v>
      </c>
      <c r="C360" s="28">
        <v>0</v>
      </c>
      <c r="D360" s="28">
        <v>203.4802</v>
      </c>
      <c r="E360" s="28">
        <v>221.49351854639323</v>
      </c>
      <c r="F360" s="28">
        <v>95.310980000000001</v>
      </c>
      <c r="G360" s="28">
        <v>76.25311930589595</v>
      </c>
      <c r="H360" s="29">
        <v>8.8526149209570359E-2</v>
      </c>
      <c r="I360" s="29">
        <v>-0.19995451409799847</v>
      </c>
      <c r="J360" s="29">
        <v>-3.4958935123547974E-3</v>
      </c>
    </row>
    <row r="361" spans="1:10" ht="11.25" customHeight="1" x14ac:dyDescent="0.2">
      <c r="A361" s="38">
        <v>44562</v>
      </c>
      <c r="B361" s="28">
        <v>0</v>
      </c>
      <c r="C361" s="28">
        <v>0</v>
      </c>
      <c r="D361" s="28">
        <v>226.52630000000002</v>
      </c>
      <c r="E361" s="28">
        <v>246.57980103369192</v>
      </c>
      <c r="F361" s="28">
        <v>106.10587000000001</v>
      </c>
      <c r="G361" s="28">
        <v>84.889522321204623</v>
      </c>
      <c r="H361" s="29">
        <v>8.8526149209570359E-2</v>
      </c>
      <c r="I361" s="29">
        <v>-0.19995451409799836</v>
      </c>
      <c r="J361" s="29">
        <v>-3.4958935123546864E-3</v>
      </c>
    </row>
    <row r="362" spans="1:10" ht="11.25" customHeight="1" x14ac:dyDescent="0.2">
      <c r="A362" s="38">
        <v>44593</v>
      </c>
      <c r="B362" s="28">
        <v>0</v>
      </c>
      <c r="C362" s="28">
        <v>0</v>
      </c>
      <c r="D362" s="28">
        <v>231.58519999999999</v>
      </c>
      <c r="E362" s="28">
        <v>252.08654596992821</v>
      </c>
      <c r="F362" s="28">
        <v>108.47548</v>
      </c>
      <c r="G362" s="28">
        <v>86.785318105052852</v>
      </c>
      <c r="H362" s="29">
        <v>8.8526149209570582E-2</v>
      </c>
      <c r="I362" s="29">
        <v>-0.19995451409799847</v>
      </c>
      <c r="J362" s="29">
        <v>-3.4958935123545753E-3</v>
      </c>
    </row>
    <row r="363" spans="1:10" ht="11.25" customHeight="1" x14ac:dyDescent="0.2">
      <c r="A363" s="38">
        <v>44621</v>
      </c>
      <c r="B363" s="28">
        <v>0</v>
      </c>
      <c r="C363" s="28">
        <v>0</v>
      </c>
      <c r="D363" s="28">
        <v>282.73630000000003</v>
      </c>
      <c r="E363" s="28">
        <v>307.76585588076188</v>
      </c>
      <c r="F363" s="28">
        <v>132.43487000000002</v>
      </c>
      <c r="G363" s="28">
        <v>105.95391991951841</v>
      </c>
      <c r="H363" s="29">
        <v>8.8526149209570359E-2</v>
      </c>
      <c r="I363" s="29">
        <v>-0.19995451409799847</v>
      </c>
      <c r="J363" s="29">
        <v>-3.4958935123549084E-3</v>
      </c>
    </row>
    <row r="364" spans="1:10" ht="11.25" customHeight="1" x14ac:dyDescent="0.2">
      <c r="A364" s="38">
        <v>44652</v>
      </c>
      <c r="B364" s="28">
        <v>0</v>
      </c>
      <c r="C364" s="28">
        <v>0</v>
      </c>
      <c r="D364" s="28">
        <v>240.01670000000001</v>
      </c>
      <c r="E364" s="28">
        <v>261.26445419698871</v>
      </c>
      <c r="F364" s="28">
        <v>112.42483</v>
      </c>
      <c r="G364" s="28">
        <v>89.944977744799928</v>
      </c>
      <c r="H364" s="29">
        <v>8.8526149209570359E-2</v>
      </c>
      <c r="I364" s="29">
        <v>-0.19995451409799836</v>
      </c>
      <c r="J364" s="29">
        <v>-3.4958935123546864E-3</v>
      </c>
    </row>
    <row r="365" spans="1:10" ht="11.25" customHeight="1" x14ac:dyDescent="0.2">
      <c r="A365" s="32" t="s">
        <v>23</v>
      </c>
      <c r="B365" s="28">
        <v>0</v>
      </c>
      <c r="C365" s="28">
        <v>0</v>
      </c>
      <c r="D365" s="28">
        <v>7178100.8578500003</v>
      </c>
      <c r="E365" s="28">
        <v>8373294.4604671476</v>
      </c>
      <c r="F365" s="28">
        <v>6954310.4863899983</v>
      </c>
      <c r="G365" s="28">
        <v>5563763.1404119106</v>
      </c>
      <c r="H365" s="29">
        <v>0.16650554600526113</v>
      </c>
      <c r="I365" s="29">
        <v>-0.19995474011398751</v>
      </c>
      <c r="J365" s="29">
        <v>-1.3823100573743474E-2</v>
      </c>
    </row>
    <row r="366" spans="1:10" ht="11.25" customHeight="1" x14ac:dyDescent="0.2">
      <c r="A366" s="33" t="s">
        <v>24</v>
      </c>
      <c r="B366" s="28">
        <v>0</v>
      </c>
      <c r="C366" s="28">
        <v>0</v>
      </c>
      <c r="D366" s="28">
        <v>7178100.8578500003</v>
      </c>
      <c r="E366" s="28">
        <v>8373294.4604671476</v>
      </c>
      <c r="F366" s="28">
        <v>6954310.4863899983</v>
      </c>
      <c r="G366" s="28">
        <v>5563763.1404119106</v>
      </c>
      <c r="H366" s="29">
        <v>0.16650554600526113</v>
      </c>
      <c r="I366" s="29">
        <v>-0.19995474011398751</v>
      </c>
      <c r="J366" s="29">
        <v>-1.3823100573743474E-2</v>
      </c>
    </row>
    <row r="367" spans="1:10" ht="11.25" customHeight="1" x14ac:dyDescent="0.2">
      <c r="A367" s="34" t="s">
        <v>24</v>
      </c>
      <c r="B367" s="28">
        <v>0</v>
      </c>
      <c r="C367" s="28">
        <v>0</v>
      </c>
      <c r="D367" s="28">
        <v>7019762.0497200005</v>
      </c>
      <c r="E367" s="28">
        <v>8210251.6211125189</v>
      </c>
      <c r="F367" s="28">
        <v>6753016.7345200004</v>
      </c>
      <c r="G367" s="28">
        <v>5402720.5546734016</v>
      </c>
      <c r="H367" s="29">
        <v>0.1695911575008453</v>
      </c>
      <c r="I367" s="29">
        <v>-0.19995451409799858</v>
      </c>
      <c r="J367" s="29">
        <v>-1.1603076688993408E-2</v>
      </c>
    </row>
    <row r="368" spans="1:10" ht="11.25" customHeight="1" x14ac:dyDescent="0.2">
      <c r="A368" s="35" t="s">
        <v>25</v>
      </c>
      <c r="B368" s="28">
        <v>0</v>
      </c>
      <c r="C368" s="28">
        <v>0</v>
      </c>
      <c r="D368" s="28">
        <v>7019762.0497200005</v>
      </c>
      <c r="E368" s="28">
        <v>8210251.6211125189</v>
      </c>
      <c r="F368" s="28">
        <v>6753016.7345200004</v>
      </c>
      <c r="G368" s="28">
        <v>5402720.5546734016</v>
      </c>
      <c r="H368" s="29">
        <v>0.1695911575008453</v>
      </c>
      <c r="I368" s="29">
        <v>-0.19995451409799858</v>
      </c>
      <c r="J368" s="29">
        <v>-1.1603076688993408E-2</v>
      </c>
    </row>
    <row r="369" spans="1:10" ht="11.25" customHeight="1" x14ac:dyDescent="0.2">
      <c r="A369" s="36" t="s">
        <v>25</v>
      </c>
      <c r="B369" s="28">
        <v>0</v>
      </c>
      <c r="C369" s="28">
        <v>0</v>
      </c>
      <c r="D369" s="28">
        <v>7019762.0497200005</v>
      </c>
      <c r="E369" s="28">
        <v>8210251.6211125189</v>
      </c>
      <c r="F369" s="28">
        <v>6753016.7345200004</v>
      </c>
      <c r="G369" s="28">
        <v>5402720.5546734016</v>
      </c>
      <c r="H369" s="29">
        <v>0.1695911575008453</v>
      </c>
      <c r="I369" s="29">
        <v>-0.19995451409799858</v>
      </c>
      <c r="J369" s="29">
        <v>-1.1603076688993408E-2</v>
      </c>
    </row>
    <row r="370" spans="1:10" ht="11.25" customHeight="1" x14ac:dyDescent="0.2">
      <c r="A370" s="37" t="s">
        <v>25</v>
      </c>
      <c r="B370" s="28">
        <v>0</v>
      </c>
      <c r="C370" s="28">
        <v>0</v>
      </c>
      <c r="D370" s="28">
        <v>7019762.0497200005</v>
      </c>
      <c r="E370" s="28">
        <v>8210251.6211125189</v>
      </c>
      <c r="F370" s="28">
        <v>6753016.7345200004</v>
      </c>
      <c r="G370" s="28">
        <v>5402720.5546734016</v>
      </c>
      <c r="H370" s="29">
        <v>0.1695911575008453</v>
      </c>
      <c r="I370" s="29">
        <v>-0.19995451409799858</v>
      </c>
      <c r="J370" s="29">
        <v>-1.1603076688993408E-2</v>
      </c>
    </row>
    <row r="371" spans="1:10" ht="11.25" customHeight="1" x14ac:dyDescent="0.2">
      <c r="A371" s="38">
        <v>44317</v>
      </c>
      <c r="B371" s="28">
        <v>0</v>
      </c>
      <c r="C371" s="28">
        <v>0</v>
      </c>
      <c r="D371" s="28">
        <v>512732.21445000003</v>
      </c>
      <c r="E371" s="28">
        <v>599687.06418654707</v>
      </c>
      <c r="F371" s="28">
        <v>493248.80245000008</v>
      </c>
      <c r="G371" s="28">
        <v>394621.47782669071</v>
      </c>
      <c r="H371" s="29">
        <v>0.16959115750084508</v>
      </c>
      <c r="I371" s="29">
        <v>-0.19995451409799836</v>
      </c>
      <c r="J371" s="29">
        <v>-1.160307668899363E-2</v>
      </c>
    </row>
    <row r="372" spans="1:10" ht="11.25" customHeight="1" x14ac:dyDescent="0.2">
      <c r="A372" s="38">
        <v>44348</v>
      </c>
      <c r="B372" s="28">
        <v>0</v>
      </c>
      <c r="C372" s="28">
        <v>0</v>
      </c>
      <c r="D372" s="28">
        <v>541319.68232999998</v>
      </c>
      <c r="E372" s="28">
        <v>633122.7138343344</v>
      </c>
      <c r="F372" s="28">
        <v>520749.96953</v>
      </c>
      <c r="G372" s="28">
        <v>416623.66240608133</v>
      </c>
      <c r="H372" s="29">
        <v>0.16959115750084508</v>
      </c>
      <c r="I372" s="29">
        <v>-0.19995451409799847</v>
      </c>
      <c r="J372" s="29">
        <v>-1.160307668899363E-2</v>
      </c>
    </row>
    <row r="373" spans="1:10" ht="11.25" customHeight="1" x14ac:dyDescent="0.2">
      <c r="A373" s="38">
        <v>44378</v>
      </c>
      <c r="B373" s="28">
        <v>0</v>
      </c>
      <c r="C373" s="28">
        <v>0</v>
      </c>
      <c r="D373" s="28">
        <v>528327.61803000001</v>
      </c>
      <c r="E373" s="28">
        <v>617927.31031137204</v>
      </c>
      <c r="F373" s="28">
        <v>508251.59323</v>
      </c>
      <c r="G373" s="28">
        <v>406624.39286616188</v>
      </c>
      <c r="H373" s="29">
        <v>0.16959115750084508</v>
      </c>
      <c r="I373" s="29">
        <v>-0.19995451409799825</v>
      </c>
      <c r="J373" s="29">
        <v>-1.1603076688993408E-2</v>
      </c>
    </row>
    <row r="374" spans="1:10" ht="11.25" customHeight="1" x14ac:dyDescent="0.2">
      <c r="A374" s="38">
        <v>44409</v>
      </c>
      <c r="B374" s="28">
        <v>0</v>
      </c>
      <c r="C374" s="28">
        <v>0</v>
      </c>
      <c r="D374" s="28">
        <v>548620.36307999992</v>
      </c>
      <c r="E374" s="28">
        <v>641661.52548327111</v>
      </c>
      <c r="F374" s="28">
        <v>527773.23028000002</v>
      </c>
      <c r="G374" s="28">
        <v>422242.59046543163</v>
      </c>
      <c r="H374" s="29">
        <v>0.1695911575008453</v>
      </c>
      <c r="I374" s="29">
        <v>-0.19995451409799836</v>
      </c>
      <c r="J374" s="29">
        <v>-1.1603076688993297E-2</v>
      </c>
    </row>
    <row r="375" spans="1:10" ht="11.25" customHeight="1" x14ac:dyDescent="0.2">
      <c r="A375" s="38">
        <v>44440</v>
      </c>
      <c r="B375" s="28">
        <v>0</v>
      </c>
      <c r="C375" s="28">
        <v>0</v>
      </c>
      <c r="D375" s="28">
        <v>594251.60201999999</v>
      </c>
      <c r="E375" s="28">
        <v>695031.41905330331</v>
      </c>
      <c r="F375" s="28">
        <v>571670.51882000011</v>
      </c>
      <c r="G375" s="28">
        <v>457362.41800519626</v>
      </c>
      <c r="H375" s="29">
        <v>0.16959115750084508</v>
      </c>
      <c r="I375" s="29">
        <v>-0.19995451409799858</v>
      </c>
      <c r="J375" s="29">
        <v>-1.1603076688993519E-2</v>
      </c>
    </row>
    <row r="376" spans="1:10" ht="11.25" customHeight="1" x14ac:dyDescent="0.2">
      <c r="A376" s="38">
        <v>44470</v>
      </c>
      <c r="B376" s="28">
        <v>0</v>
      </c>
      <c r="C376" s="28">
        <v>0</v>
      </c>
      <c r="D376" s="28">
        <v>612503.98812000011</v>
      </c>
      <c r="E376" s="28">
        <v>716379.2484391547</v>
      </c>
      <c r="F376" s="28">
        <v>589229.32892</v>
      </c>
      <c r="G376" s="28">
        <v>471410.26476351172</v>
      </c>
      <c r="H376" s="29">
        <v>0.16959115750084486</v>
      </c>
      <c r="I376" s="29">
        <v>-0.19995451409799836</v>
      </c>
      <c r="J376" s="29">
        <v>-1.160307668899363E-2</v>
      </c>
    </row>
    <row r="377" spans="1:10" ht="11.25" customHeight="1" x14ac:dyDescent="0.2">
      <c r="A377" s="38">
        <v>44501</v>
      </c>
      <c r="B377" s="28">
        <v>0</v>
      </c>
      <c r="C377" s="28">
        <v>0</v>
      </c>
      <c r="D377" s="28">
        <v>599683.25375999999</v>
      </c>
      <c r="E377" s="28">
        <v>701384.23089903127</v>
      </c>
      <c r="F377" s="28">
        <v>576895.77216000005</v>
      </c>
      <c r="G377" s="28">
        <v>461542.85835255752</v>
      </c>
      <c r="H377" s="29">
        <v>0.16959115750084486</v>
      </c>
      <c r="I377" s="29">
        <v>-0.19995451409799858</v>
      </c>
      <c r="J377" s="29">
        <v>-1.160307668899363E-2</v>
      </c>
    </row>
    <row r="378" spans="1:10" ht="11.25" customHeight="1" x14ac:dyDescent="0.2">
      <c r="A378" s="38">
        <v>44531</v>
      </c>
      <c r="B378" s="28">
        <v>0</v>
      </c>
      <c r="C378" s="28">
        <v>0</v>
      </c>
      <c r="D378" s="28">
        <v>584627.84054999996</v>
      </c>
      <c r="E378" s="28">
        <v>683775.55273609399</v>
      </c>
      <c r="F378" s="28">
        <v>562412.45255000005</v>
      </c>
      <c r="G378" s="28">
        <v>449955.54387770116</v>
      </c>
      <c r="H378" s="29">
        <v>0.16959115750084508</v>
      </c>
      <c r="I378" s="29">
        <v>-0.19995451409799847</v>
      </c>
      <c r="J378" s="29">
        <v>-1.1603076688993519E-2</v>
      </c>
    </row>
    <row r="379" spans="1:10" ht="11.25" customHeight="1" x14ac:dyDescent="0.2">
      <c r="A379" s="38">
        <v>44562</v>
      </c>
      <c r="B379" s="28">
        <v>0</v>
      </c>
      <c r="C379" s="28">
        <v>0</v>
      </c>
      <c r="D379" s="28">
        <v>627644.79261</v>
      </c>
      <c r="E379" s="28">
        <v>734087.79948810779</v>
      </c>
      <c r="F379" s="28">
        <v>603794.79501000012</v>
      </c>
      <c r="G379" s="28">
        <v>483063.30015887495</v>
      </c>
      <c r="H379" s="29">
        <v>0.16959115750084508</v>
      </c>
      <c r="I379" s="29">
        <v>-0.19995451409799847</v>
      </c>
      <c r="J379" s="29">
        <v>-1.1603076688993519E-2</v>
      </c>
    </row>
    <row r="380" spans="1:10" ht="11.25" customHeight="1" x14ac:dyDescent="0.2">
      <c r="A380" s="38">
        <v>44593</v>
      </c>
      <c r="B380" s="28">
        <v>0</v>
      </c>
      <c r="C380" s="28">
        <v>0</v>
      </c>
      <c r="D380" s="28">
        <v>596243.79152999993</v>
      </c>
      <c r="E380" s="28">
        <v>697361.46628826531</v>
      </c>
      <c r="F380" s="28">
        <v>573587.00673000002</v>
      </c>
      <c r="G380" s="28">
        <v>458895.69550637749</v>
      </c>
      <c r="H380" s="29">
        <v>0.1695911575008453</v>
      </c>
      <c r="I380" s="29">
        <v>-0.19995451409799847</v>
      </c>
      <c r="J380" s="29">
        <v>-1.1603076688993408E-2</v>
      </c>
    </row>
    <row r="381" spans="1:10" ht="11.25" customHeight="1" x14ac:dyDescent="0.2">
      <c r="A381" s="38">
        <v>44621</v>
      </c>
      <c r="B381" s="28">
        <v>0</v>
      </c>
      <c r="C381" s="28">
        <v>0</v>
      </c>
      <c r="D381" s="28">
        <v>662105.37420000008</v>
      </c>
      <c r="E381" s="28">
        <v>774392.59099810827</v>
      </c>
      <c r="F381" s="28">
        <v>636945.90220000001</v>
      </c>
      <c r="G381" s="28">
        <v>509585.69381888781</v>
      </c>
      <c r="H381" s="29">
        <v>0.16959115750084508</v>
      </c>
      <c r="I381" s="29">
        <v>-0.19995451409799836</v>
      </c>
      <c r="J381" s="29">
        <v>-1.1603076688993297E-2</v>
      </c>
    </row>
    <row r="382" spans="1:10" ht="11.25" customHeight="1" x14ac:dyDescent="0.2">
      <c r="A382" s="38">
        <v>44652</v>
      </c>
      <c r="B382" s="28">
        <v>0</v>
      </c>
      <c r="C382" s="28">
        <v>0</v>
      </c>
      <c r="D382" s="28">
        <v>611701.52904000005</v>
      </c>
      <c r="E382" s="28">
        <v>715440.6993949305</v>
      </c>
      <c r="F382" s="28">
        <v>588457.36264000006</v>
      </c>
      <c r="G382" s="28">
        <v>470792.65662592917</v>
      </c>
      <c r="H382" s="29">
        <v>0.16959115750084508</v>
      </c>
      <c r="I382" s="29">
        <v>-0.19995451409799847</v>
      </c>
      <c r="J382" s="29">
        <v>-1.1603076688993519E-2</v>
      </c>
    </row>
    <row r="383" spans="1:10" ht="11.25" customHeight="1" x14ac:dyDescent="0.2">
      <c r="A383" s="34" t="s">
        <v>29</v>
      </c>
      <c r="B383" s="28">
        <v>0</v>
      </c>
      <c r="C383" s="28">
        <v>0</v>
      </c>
      <c r="D383" s="28">
        <v>14757.514199999998</v>
      </c>
      <c r="E383" s="28">
        <v>15195.436947824363</v>
      </c>
      <c r="F383" s="28">
        <v>18759.896999999997</v>
      </c>
      <c r="G383" s="28">
        <v>15009.015220726531</v>
      </c>
      <c r="H383" s="29">
        <v>2.967456049097783E-2</v>
      </c>
      <c r="I383" s="29">
        <v>-0.19994149111125004</v>
      </c>
      <c r="J383" s="29">
        <v>-9.8842927088864774E-2</v>
      </c>
    </row>
    <row r="384" spans="1:10" ht="11.25" customHeight="1" x14ac:dyDescent="0.2">
      <c r="A384" s="35" t="s">
        <v>25</v>
      </c>
      <c r="B384" s="28">
        <v>0</v>
      </c>
      <c r="C384" s="28">
        <v>0</v>
      </c>
      <c r="D384" s="28">
        <v>14757.514199999998</v>
      </c>
      <c r="E384" s="28">
        <v>15195.436947824363</v>
      </c>
      <c r="F384" s="28">
        <v>18759.896999999997</v>
      </c>
      <c r="G384" s="28">
        <v>15009.015220726531</v>
      </c>
      <c r="H384" s="29">
        <v>2.967456049097783E-2</v>
      </c>
      <c r="I384" s="29">
        <v>-0.19994149111125004</v>
      </c>
      <c r="J384" s="29">
        <v>-9.8842927088864774E-2</v>
      </c>
    </row>
    <row r="385" spans="1:10" ht="11.25" customHeight="1" x14ac:dyDescent="0.2">
      <c r="A385" s="36" t="s">
        <v>25</v>
      </c>
      <c r="B385" s="28">
        <v>0</v>
      </c>
      <c r="C385" s="28">
        <v>0</v>
      </c>
      <c r="D385" s="28">
        <v>14757.514199999998</v>
      </c>
      <c r="E385" s="28">
        <v>15195.436947824363</v>
      </c>
      <c r="F385" s="28">
        <v>18759.896999999997</v>
      </c>
      <c r="G385" s="28">
        <v>15009.015220726531</v>
      </c>
      <c r="H385" s="29">
        <v>2.967456049097783E-2</v>
      </c>
      <c r="I385" s="29">
        <v>-0.19994149111125004</v>
      </c>
      <c r="J385" s="29">
        <v>-9.8842927088864774E-2</v>
      </c>
    </row>
    <row r="386" spans="1:10" ht="11.25" customHeight="1" x14ac:dyDescent="0.2">
      <c r="A386" s="37" t="s">
        <v>25</v>
      </c>
      <c r="B386" s="28">
        <v>0</v>
      </c>
      <c r="C386" s="28">
        <v>0</v>
      </c>
      <c r="D386" s="28">
        <v>14757.514199999998</v>
      </c>
      <c r="E386" s="28">
        <v>15195.436947824363</v>
      </c>
      <c r="F386" s="28">
        <v>18759.896999999997</v>
      </c>
      <c r="G386" s="28">
        <v>15009.015220726531</v>
      </c>
      <c r="H386" s="29">
        <v>2.967456049097783E-2</v>
      </c>
      <c r="I386" s="29">
        <v>-0.19994149111125004</v>
      </c>
      <c r="J386" s="29">
        <v>-9.8842927088864774E-2</v>
      </c>
    </row>
    <row r="387" spans="1:10" ht="11.25" customHeight="1" x14ac:dyDescent="0.2">
      <c r="A387" s="38">
        <v>44317</v>
      </c>
      <c r="B387" s="28">
        <v>0</v>
      </c>
      <c r="C387" s="28">
        <v>0</v>
      </c>
      <c r="D387" s="28">
        <v>1039.5065999999999</v>
      </c>
      <c r="E387" s="28">
        <v>1070.3535014824706</v>
      </c>
      <c r="F387" s="28">
        <v>1321.431</v>
      </c>
      <c r="G387" s="28">
        <v>1057.2221154593697</v>
      </c>
      <c r="H387" s="29">
        <v>2.967456049097783E-2</v>
      </c>
      <c r="I387" s="29">
        <v>-0.19994149111125015</v>
      </c>
      <c r="J387" s="29">
        <v>-9.8842927088865107E-2</v>
      </c>
    </row>
    <row r="388" spans="1:10" ht="11.25" customHeight="1" x14ac:dyDescent="0.2">
      <c r="A388" s="38">
        <v>44348</v>
      </c>
      <c r="B388" s="28">
        <v>0</v>
      </c>
      <c r="C388" s="28">
        <v>0</v>
      </c>
      <c r="D388" s="28">
        <v>1056.9041999999999</v>
      </c>
      <c r="E388" s="28">
        <v>1088.2673676160684</v>
      </c>
      <c r="F388" s="28">
        <v>1343.547</v>
      </c>
      <c r="G388" s="28">
        <v>1074.9162094419532</v>
      </c>
      <c r="H388" s="29">
        <v>2.967456049097783E-2</v>
      </c>
      <c r="I388" s="29">
        <v>-0.19994149111125015</v>
      </c>
      <c r="J388" s="29">
        <v>-9.8842927088864774E-2</v>
      </c>
    </row>
    <row r="389" spans="1:10" ht="11.25" customHeight="1" x14ac:dyDescent="0.2">
      <c r="A389" s="38">
        <v>44378</v>
      </c>
      <c r="B389" s="28">
        <v>0</v>
      </c>
      <c r="C389" s="28">
        <v>0</v>
      </c>
      <c r="D389" s="28">
        <v>1067.7776999999999</v>
      </c>
      <c r="E389" s="28">
        <v>1099.4635339495671</v>
      </c>
      <c r="F389" s="28">
        <v>1357.3695</v>
      </c>
      <c r="G389" s="28">
        <v>1085.975018181068</v>
      </c>
      <c r="H389" s="29">
        <v>2.967456049097783E-2</v>
      </c>
      <c r="I389" s="29">
        <v>-0.19994149111125015</v>
      </c>
      <c r="J389" s="29">
        <v>-9.8842927088864996E-2</v>
      </c>
    </row>
    <row r="390" spans="1:10" ht="11.25" customHeight="1" x14ac:dyDescent="0.2">
      <c r="A390" s="38">
        <v>44409</v>
      </c>
      <c r="B390" s="28">
        <v>0</v>
      </c>
      <c r="C390" s="28">
        <v>0</v>
      </c>
      <c r="D390" s="28">
        <v>1076.4765</v>
      </c>
      <c r="E390" s="28">
        <v>1108.420467016366</v>
      </c>
      <c r="F390" s="28">
        <v>1368.4275</v>
      </c>
      <c r="G390" s="28">
        <v>1094.8220651723598</v>
      </c>
      <c r="H390" s="29">
        <v>2.967456049097783E-2</v>
      </c>
      <c r="I390" s="29">
        <v>-0.19994149111125015</v>
      </c>
      <c r="J390" s="29">
        <v>-9.8842927088864885E-2</v>
      </c>
    </row>
    <row r="391" spans="1:10" ht="11.25" customHeight="1" x14ac:dyDescent="0.2">
      <c r="A391" s="38">
        <v>44440</v>
      </c>
      <c r="B391" s="28">
        <v>0</v>
      </c>
      <c r="C391" s="28">
        <v>0</v>
      </c>
      <c r="D391" s="28">
        <v>1076.4765</v>
      </c>
      <c r="E391" s="28">
        <v>1108.420467016366</v>
      </c>
      <c r="F391" s="28">
        <v>1368.4275</v>
      </c>
      <c r="G391" s="28">
        <v>1094.8220651723598</v>
      </c>
      <c r="H391" s="29">
        <v>2.967456049097783E-2</v>
      </c>
      <c r="I391" s="29">
        <v>-0.19994149111125015</v>
      </c>
      <c r="J391" s="29">
        <v>-9.8842927088864885E-2</v>
      </c>
    </row>
    <row r="392" spans="1:10" ht="11.25" customHeight="1" x14ac:dyDescent="0.2">
      <c r="A392" s="38">
        <v>44470</v>
      </c>
      <c r="B392" s="28">
        <v>0</v>
      </c>
      <c r="C392" s="28">
        <v>0</v>
      </c>
      <c r="D392" s="28">
        <v>1083.0005999999998</v>
      </c>
      <c r="E392" s="28">
        <v>1115.1381668164652</v>
      </c>
      <c r="F392" s="28">
        <v>1376.721</v>
      </c>
      <c r="G392" s="28">
        <v>1101.4573504158286</v>
      </c>
      <c r="H392" s="29">
        <v>2.967456049097783E-2</v>
      </c>
      <c r="I392" s="29">
        <v>-0.19994149111125015</v>
      </c>
      <c r="J392" s="29">
        <v>-9.8842927088864885E-2</v>
      </c>
    </row>
    <row r="393" spans="1:10" ht="11.25" customHeight="1" x14ac:dyDescent="0.2">
      <c r="A393" s="38">
        <v>44501</v>
      </c>
      <c r="B393" s="28">
        <v>0</v>
      </c>
      <c r="C393" s="28">
        <v>0</v>
      </c>
      <c r="D393" s="28">
        <v>1091.6994</v>
      </c>
      <c r="E393" s="28">
        <v>1124.0950998832641</v>
      </c>
      <c r="F393" s="28">
        <v>1387.7790000000002</v>
      </c>
      <c r="G393" s="28">
        <v>1110.3043974071204</v>
      </c>
      <c r="H393" s="29">
        <v>2.967456049097783E-2</v>
      </c>
      <c r="I393" s="29">
        <v>-0.19994149111125026</v>
      </c>
      <c r="J393" s="29">
        <v>-9.8842927088864885E-2</v>
      </c>
    </row>
    <row r="394" spans="1:10" ht="11.25" customHeight="1" x14ac:dyDescent="0.2">
      <c r="A394" s="38">
        <v>44531</v>
      </c>
      <c r="B394" s="28">
        <v>0</v>
      </c>
      <c r="C394" s="28">
        <v>0</v>
      </c>
      <c r="D394" s="28">
        <v>1117.7957999999999</v>
      </c>
      <c r="E394" s="28">
        <v>1150.9658990836608</v>
      </c>
      <c r="F394" s="28">
        <v>1420.953</v>
      </c>
      <c r="G394" s="28">
        <v>1136.8455383809958</v>
      </c>
      <c r="H394" s="29">
        <v>2.967456049097783E-2</v>
      </c>
      <c r="I394" s="29">
        <v>-0.19994149111125015</v>
      </c>
      <c r="J394" s="29">
        <v>-9.8842927088864885E-2</v>
      </c>
    </row>
    <row r="395" spans="1:10" ht="11.25" customHeight="1" x14ac:dyDescent="0.2">
      <c r="A395" s="38">
        <v>44562</v>
      </c>
      <c r="B395" s="28">
        <v>0</v>
      </c>
      <c r="C395" s="28">
        <v>0</v>
      </c>
      <c r="D395" s="28">
        <v>1139.5427999999999</v>
      </c>
      <c r="E395" s="28">
        <v>1173.3582317506582</v>
      </c>
      <c r="F395" s="28">
        <v>1448.5980000000002</v>
      </c>
      <c r="G395" s="28">
        <v>1158.9631558592253</v>
      </c>
      <c r="H395" s="29">
        <v>2.967456049097783E-2</v>
      </c>
      <c r="I395" s="29">
        <v>-0.19994149111125026</v>
      </c>
      <c r="J395" s="29">
        <v>-9.8842927088864996E-2</v>
      </c>
    </row>
    <row r="396" spans="1:10" ht="11.25" customHeight="1" x14ac:dyDescent="0.2">
      <c r="A396" s="38">
        <v>44593</v>
      </c>
      <c r="B396" s="28">
        <v>0</v>
      </c>
      <c r="C396" s="28">
        <v>0</v>
      </c>
      <c r="D396" s="28">
        <v>1239.579</v>
      </c>
      <c r="E396" s="28">
        <v>1276.3629620188458</v>
      </c>
      <c r="F396" s="28">
        <v>1575.7650000000003</v>
      </c>
      <c r="G396" s="28">
        <v>1260.7041962590811</v>
      </c>
      <c r="H396" s="29">
        <v>2.967456049097783E-2</v>
      </c>
      <c r="I396" s="29">
        <v>-0.19994149111125026</v>
      </c>
      <c r="J396" s="29">
        <v>-9.8842927088864885E-2</v>
      </c>
    </row>
    <row r="397" spans="1:10" ht="11.25" customHeight="1" x14ac:dyDescent="0.2">
      <c r="A397" s="38">
        <v>44621</v>
      </c>
      <c r="B397" s="28">
        <v>0</v>
      </c>
      <c r="C397" s="28">
        <v>0</v>
      </c>
      <c r="D397" s="28">
        <v>1859.3684999999998</v>
      </c>
      <c r="E397" s="28">
        <v>1914.5444430282685</v>
      </c>
      <c r="F397" s="28">
        <v>2363.6475</v>
      </c>
      <c r="G397" s="28">
        <v>1891.0562943886212</v>
      </c>
      <c r="H397" s="29">
        <v>2.967456049097783E-2</v>
      </c>
      <c r="I397" s="29">
        <v>-0.19994149111125026</v>
      </c>
      <c r="J397" s="29">
        <v>-9.8842927088864996E-2</v>
      </c>
    </row>
    <row r="398" spans="1:10" ht="11.25" customHeight="1" x14ac:dyDescent="0.2">
      <c r="A398" s="38">
        <v>44652</v>
      </c>
      <c r="B398" s="28">
        <v>0</v>
      </c>
      <c r="C398" s="28">
        <v>0</v>
      </c>
      <c r="D398" s="28">
        <v>1909.3865999999998</v>
      </c>
      <c r="E398" s="28">
        <v>1966.0468081623621</v>
      </c>
      <c r="F398" s="28">
        <v>2427.2310000000002</v>
      </c>
      <c r="G398" s="28">
        <v>1941.9268145885492</v>
      </c>
      <c r="H398" s="29">
        <v>2.967456049097783E-2</v>
      </c>
      <c r="I398" s="29">
        <v>-0.19994149111125026</v>
      </c>
      <c r="J398" s="29">
        <v>-9.8842927088864996E-2</v>
      </c>
    </row>
    <row r="399" spans="1:10" ht="11.25" customHeight="1" x14ac:dyDescent="0.2">
      <c r="A399" s="34" t="s">
        <v>30</v>
      </c>
      <c r="B399" s="28">
        <v>0</v>
      </c>
      <c r="C399" s="28">
        <v>0</v>
      </c>
      <c r="D399" s="28">
        <v>54892.72482000001</v>
      </c>
      <c r="E399" s="28">
        <v>56525.541154141269</v>
      </c>
      <c r="F399" s="28">
        <v>69788.770860000004</v>
      </c>
      <c r="G399" s="28">
        <v>55832.070539029854</v>
      </c>
      <c r="H399" s="29">
        <v>2.9745587224818237E-2</v>
      </c>
      <c r="I399" s="29">
        <v>-0.19998489941838971</v>
      </c>
      <c r="J399" s="29">
        <v>-9.8842927088865218E-2</v>
      </c>
    </row>
    <row r="400" spans="1:10" ht="11.25" customHeight="1" x14ac:dyDescent="0.2">
      <c r="A400" s="35" t="s">
        <v>25</v>
      </c>
      <c r="B400" s="28">
        <v>0</v>
      </c>
      <c r="C400" s="28">
        <v>0</v>
      </c>
      <c r="D400" s="28">
        <v>54892.72482000001</v>
      </c>
      <c r="E400" s="28">
        <v>56525.541154141269</v>
      </c>
      <c r="F400" s="28">
        <v>69788.770860000004</v>
      </c>
      <c r="G400" s="28">
        <v>55832.070539029854</v>
      </c>
      <c r="H400" s="29">
        <v>2.9745587224818237E-2</v>
      </c>
      <c r="I400" s="29">
        <v>-0.19998489941838971</v>
      </c>
      <c r="J400" s="29">
        <v>-9.8842927088865218E-2</v>
      </c>
    </row>
    <row r="401" spans="1:10" ht="11.25" customHeight="1" x14ac:dyDescent="0.2">
      <c r="A401" s="36" t="s">
        <v>25</v>
      </c>
      <c r="B401" s="28">
        <v>0</v>
      </c>
      <c r="C401" s="28">
        <v>0</v>
      </c>
      <c r="D401" s="28">
        <v>54892.72482000001</v>
      </c>
      <c r="E401" s="28">
        <v>56525.541154141269</v>
      </c>
      <c r="F401" s="28">
        <v>69788.770860000004</v>
      </c>
      <c r="G401" s="28">
        <v>55832.070539029854</v>
      </c>
      <c r="H401" s="29">
        <v>2.9745587224818237E-2</v>
      </c>
      <c r="I401" s="29">
        <v>-0.19998489941838971</v>
      </c>
      <c r="J401" s="29">
        <v>-9.8842927088865218E-2</v>
      </c>
    </row>
    <row r="402" spans="1:10" ht="11.25" customHeight="1" x14ac:dyDescent="0.2">
      <c r="A402" s="37" t="s">
        <v>25</v>
      </c>
      <c r="B402" s="28">
        <v>0</v>
      </c>
      <c r="C402" s="28">
        <v>0</v>
      </c>
      <c r="D402" s="28">
        <v>54892.72482000001</v>
      </c>
      <c r="E402" s="28">
        <v>56525.541154141269</v>
      </c>
      <c r="F402" s="28">
        <v>69788.770860000004</v>
      </c>
      <c r="G402" s="28">
        <v>55832.070539029854</v>
      </c>
      <c r="H402" s="29">
        <v>2.9745587224818237E-2</v>
      </c>
      <c r="I402" s="29">
        <v>-0.19998489941838971</v>
      </c>
      <c r="J402" s="29">
        <v>-9.8842927088865218E-2</v>
      </c>
    </row>
    <row r="403" spans="1:10" ht="11.25" customHeight="1" x14ac:dyDescent="0.2">
      <c r="A403" s="38">
        <v>44317</v>
      </c>
      <c r="B403" s="28">
        <v>0</v>
      </c>
      <c r="C403" s="28">
        <v>0</v>
      </c>
      <c r="D403" s="28">
        <v>3781.4803200000001</v>
      </c>
      <c r="E403" s="28">
        <v>3893.9626726974948</v>
      </c>
      <c r="F403" s="28">
        <v>4807.647359999999</v>
      </c>
      <c r="G403" s="28">
        <v>3846.1904862713131</v>
      </c>
      <c r="H403" s="29">
        <v>2.9745587224818459E-2</v>
      </c>
      <c r="I403" s="29">
        <v>-0.19998489941838959</v>
      </c>
      <c r="J403" s="29">
        <v>-9.8842927088864996E-2</v>
      </c>
    </row>
    <row r="404" spans="1:10" ht="11.25" customHeight="1" x14ac:dyDescent="0.2">
      <c r="A404" s="38">
        <v>44348</v>
      </c>
      <c r="B404" s="28">
        <v>0</v>
      </c>
      <c r="C404" s="28">
        <v>0</v>
      </c>
      <c r="D404" s="28">
        <v>3880.6398000000004</v>
      </c>
      <c r="E404" s="28">
        <v>3996.0717096590024</v>
      </c>
      <c r="F404" s="28">
        <v>4933.7154</v>
      </c>
      <c r="G404" s="28">
        <v>3947.0468219720397</v>
      </c>
      <c r="H404" s="29">
        <v>2.9745587224818459E-2</v>
      </c>
      <c r="I404" s="29">
        <v>-0.19998489941838971</v>
      </c>
      <c r="J404" s="29">
        <v>-9.8842927088864996E-2</v>
      </c>
    </row>
    <row r="405" spans="1:10" ht="11.25" customHeight="1" x14ac:dyDescent="0.2">
      <c r="A405" s="38">
        <v>44378</v>
      </c>
      <c r="B405" s="28">
        <v>0</v>
      </c>
      <c r="C405" s="28">
        <v>0</v>
      </c>
      <c r="D405" s="28">
        <v>3933.0775200000003</v>
      </c>
      <c r="E405" s="28">
        <v>4050.0692204331335</v>
      </c>
      <c r="F405" s="28">
        <v>5000.3829599999999</v>
      </c>
      <c r="G405" s="28">
        <v>4000.3818766909703</v>
      </c>
      <c r="H405" s="29">
        <v>2.9745587224818681E-2</v>
      </c>
      <c r="I405" s="29">
        <v>-0.19998489941838971</v>
      </c>
      <c r="J405" s="29">
        <v>-9.8842927088864885E-2</v>
      </c>
    </row>
    <row r="406" spans="1:10" ht="11.25" customHeight="1" x14ac:dyDescent="0.2">
      <c r="A406" s="38">
        <v>44409</v>
      </c>
      <c r="B406" s="28">
        <v>0</v>
      </c>
      <c r="C406" s="28">
        <v>0</v>
      </c>
      <c r="D406" s="28">
        <v>3907.3557000000001</v>
      </c>
      <c r="E406" s="28">
        <v>4023.5822897927424</v>
      </c>
      <c r="F406" s="28">
        <v>4967.6810999999998</v>
      </c>
      <c r="G406" s="28">
        <v>3974.2198948738646</v>
      </c>
      <c r="H406" s="29">
        <v>2.9745587224818681E-2</v>
      </c>
      <c r="I406" s="29">
        <v>-0.19998489941838959</v>
      </c>
      <c r="J406" s="29">
        <v>-9.8842927088864885E-2</v>
      </c>
    </row>
    <row r="407" spans="1:10" ht="11.25" customHeight="1" x14ac:dyDescent="0.2">
      <c r="A407" s="38">
        <v>44440</v>
      </c>
      <c r="B407" s="28">
        <v>0</v>
      </c>
      <c r="C407" s="28">
        <v>0</v>
      </c>
      <c r="D407" s="28">
        <v>4006.1424000000006</v>
      </c>
      <c r="E407" s="28">
        <v>4125.3074581942446</v>
      </c>
      <c r="F407" s="28">
        <v>5093.2752</v>
      </c>
      <c r="G407" s="28">
        <v>4074.6970714178215</v>
      </c>
      <c r="H407" s="29">
        <v>2.9745587224818459E-2</v>
      </c>
      <c r="I407" s="29">
        <v>-0.19998489941838971</v>
      </c>
      <c r="J407" s="29">
        <v>-9.8842927088864996E-2</v>
      </c>
    </row>
    <row r="408" spans="1:10" ht="11.25" customHeight="1" x14ac:dyDescent="0.2">
      <c r="A408" s="38">
        <v>44470</v>
      </c>
      <c r="B408" s="28">
        <v>0</v>
      </c>
      <c r="C408" s="28">
        <v>0</v>
      </c>
      <c r="D408" s="28">
        <v>4120.9586400000007</v>
      </c>
      <c r="E408" s="28">
        <v>4243.5389746759902</v>
      </c>
      <c r="F408" s="28">
        <v>5239.2487199999996</v>
      </c>
      <c r="G408" s="28">
        <v>4191.4780917028729</v>
      </c>
      <c r="H408" s="29">
        <v>2.9745587224818459E-2</v>
      </c>
      <c r="I408" s="29">
        <v>-0.19998489941838971</v>
      </c>
      <c r="J408" s="29">
        <v>-9.8842927088864996E-2</v>
      </c>
    </row>
    <row r="409" spans="1:10" ht="11.25" customHeight="1" x14ac:dyDescent="0.2">
      <c r="A409" s="38">
        <v>44501</v>
      </c>
      <c r="B409" s="28">
        <v>0</v>
      </c>
      <c r="C409" s="28">
        <v>0</v>
      </c>
      <c r="D409" s="28">
        <v>4079.2072800000005</v>
      </c>
      <c r="E409" s="28">
        <v>4200.5456959553558</v>
      </c>
      <c r="F409" s="28">
        <v>5186.1674400000002</v>
      </c>
      <c r="G409" s="28">
        <v>4149.012266144673</v>
      </c>
      <c r="H409" s="29">
        <v>2.9745587224818681E-2</v>
      </c>
      <c r="I409" s="29">
        <v>-0.19998489941838959</v>
      </c>
      <c r="J409" s="29">
        <v>-9.8842927088864774E-2</v>
      </c>
    </row>
    <row r="410" spans="1:10" ht="11.25" customHeight="1" x14ac:dyDescent="0.2">
      <c r="A410" s="38">
        <v>44531</v>
      </c>
      <c r="B410" s="28">
        <v>0</v>
      </c>
      <c r="C410" s="28">
        <v>0</v>
      </c>
      <c r="D410" s="28">
        <v>4160.2248</v>
      </c>
      <c r="E410" s="28">
        <v>4283.9731296632526</v>
      </c>
      <c r="F410" s="28">
        <v>5289.1703999999991</v>
      </c>
      <c r="G410" s="28">
        <v>4231.4161895492753</v>
      </c>
      <c r="H410" s="29">
        <v>2.9745587224818459E-2</v>
      </c>
      <c r="I410" s="29">
        <v>-0.19998489941838971</v>
      </c>
      <c r="J410" s="29">
        <v>-9.8842927088864885E-2</v>
      </c>
    </row>
    <row r="411" spans="1:10" ht="11.25" customHeight="1" x14ac:dyDescent="0.2">
      <c r="A411" s="38">
        <v>44562</v>
      </c>
      <c r="B411" s="28">
        <v>0</v>
      </c>
      <c r="C411" s="28">
        <v>0</v>
      </c>
      <c r="D411" s="28">
        <v>4311.8220000000001</v>
      </c>
      <c r="E411" s="28">
        <v>4440.0796773988923</v>
      </c>
      <c r="F411" s="28">
        <v>5481.9059999999999</v>
      </c>
      <c r="G411" s="28">
        <v>4385.6075799689334</v>
      </c>
      <c r="H411" s="29">
        <v>2.9745587224818681E-2</v>
      </c>
      <c r="I411" s="29">
        <v>-0.19998489941838959</v>
      </c>
      <c r="J411" s="29">
        <v>-9.8842927088864663E-2</v>
      </c>
    </row>
    <row r="412" spans="1:10" ht="11.25" customHeight="1" x14ac:dyDescent="0.2">
      <c r="A412" s="38">
        <v>44593</v>
      </c>
      <c r="B412" s="28">
        <v>0</v>
      </c>
      <c r="C412" s="28">
        <v>0</v>
      </c>
      <c r="D412" s="28">
        <v>4691.0635200000006</v>
      </c>
      <c r="E412" s="28">
        <v>4830.6019591113245</v>
      </c>
      <c r="F412" s="28">
        <v>5964.0609599999998</v>
      </c>
      <c r="G412" s="28">
        <v>4771.3388287892558</v>
      </c>
      <c r="H412" s="29">
        <v>2.9745587224818459E-2</v>
      </c>
      <c r="I412" s="29">
        <v>-0.19998489941838959</v>
      </c>
      <c r="J412" s="29">
        <v>-9.8842927088864885E-2</v>
      </c>
    </row>
    <row r="413" spans="1:10" ht="11.25" customHeight="1" x14ac:dyDescent="0.2">
      <c r="A413" s="38">
        <v>44621</v>
      </c>
      <c r="B413" s="28">
        <v>0</v>
      </c>
      <c r="C413" s="28">
        <v>0</v>
      </c>
      <c r="D413" s="28">
        <v>6877.4182200000005</v>
      </c>
      <c r="E413" s="28">
        <v>7081.9910635445667</v>
      </c>
      <c r="F413" s="28">
        <v>8743.7190599999994</v>
      </c>
      <c r="G413" s="28">
        <v>6995.1072832432428</v>
      </c>
      <c r="H413" s="29">
        <v>2.9745587224818459E-2</v>
      </c>
      <c r="I413" s="29">
        <v>-0.19998489941838971</v>
      </c>
      <c r="J413" s="29">
        <v>-9.8842927088864885E-2</v>
      </c>
    </row>
    <row r="414" spans="1:10" ht="11.25" customHeight="1" x14ac:dyDescent="0.2">
      <c r="A414" s="38">
        <v>44652</v>
      </c>
      <c r="B414" s="28">
        <v>0</v>
      </c>
      <c r="C414" s="28">
        <v>0</v>
      </c>
      <c r="D414" s="28">
        <v>7143.3346200000005</v>
      </c>
      <c r="E414" s="28">
        <v>7355.8173030152766</v>
      </c>
      <c r="F414" s="28">
        <v>9081.7962599999992</v>
      </c>
      <c r="G414" s="28">
        <v>7265.5741484055925</v>
      </c>
      <c r="H414" s="29">
        <v>2.9745587224818459E-2</v>
      </c>
      <c r="I414" s="29">
        <v>-0.19998489941838959</v>
      </c>
      <c r="J414" s="29">
        <v>-9.8842927088864885E-2</v>
      </c>
    </row>
    <row r="415" spans="1:10" ht="11.25" customHeight="1" x14ac:dyDescent="0.2">
      <c r="A415" s="34" t="s">
        <v>31</v>
      </c>
      <c r="B415" s="28">
        <v>0</v>
      </c>
      <c r="C415" s="28">
        <v>0</v>
      </c>
      <c r="D415" s="28">
        <v>70934.892800000001</v>
      </c>
      <c r="E415" s="28">
        <v>73040.974123638473</v>
      </c>
      <c r="F415" s="28">
        <v>90175.601920000001</v>
      </c>
      <c r="G415" s="28">
        <v>72144.887713501623</v>
      </c>
      <c r="H415" s="29">
        <v>2.9690343362843263E-2</v>
      </c>
      <c r="I415" s="29">
        <v>-0.19995113780881069</v>
      </c>
      <c r="J415" s="29">
        <v>-9.8842927088864885E-2</v>
      </c>
    </row>
    <row r="416" spans="1:10" ht="11.25" customHeight="1" x14ac:dyDescent="0.2">
      <c r="A416" s="35" t="s">
        <v>25</v>
      </c>
      <c r="B416" s="28">
        <v>0</v>
      </c>
      <c r="C416" s="28">
        <v>0</v>
      </c>
      <c r="D416" s="28">
        <v>70934.892800000001</v>
      </c>
      <c r="E416" s="28">
        <v>73040.974123638473</v>
      </c>
      <c r="F416" s="28">
        <v>90175.601920000001</v>
      </c>
      <c r="G416" s="28">
        <v>72144.887713501623</v>
      </c>
      <c r="H416" s="29">
        <v>2.9690343362843263E-2</v>
      </c>
      <c r="I416" s="29">
        <v>-0.19995113780881069</v>
      </c>
      <c r="J416" s="29">
        <v>-9.8842927088864885E-2</v>
      </c>
    </row>
    <row r="417" spans="1:10" ht="11.25" customHeight="1" x14ac:dyDescent="0.2">
      <c r="A417" s="36" t="s">
        <v>25</v>
      </c>
      <c r="B417" s="28">
        <v>0</v>
      </c>
      <c r="C417" s="28">
        <v>0</v>
      </c>
      <c r="D417" s="28">
        <v>70934.892800000001</v>
      </c>
      <c r="E417" s="28">
        <v>73040.974123638473</v>
      </c>
      <c r="F417" s="28">
        <v>90175.601920000001</v>
      </c>
      <c r="G417" s="28">
        <v>72144.887713501623</v>
      </c>
      <c r="H417" s="29">
        <v>2.9690343362843263E-2</v>
      </c>
      <c r="I417" s="29">
        <v>-0.19995113780881069</v>
      </c>
      <c r="J417" s="29">
        <v>-9.8842927088864885E-2</v>
      </c>
    </row>
    <row r="418" spans="1:10" ht="11.25" customHeight="1" x14ac:dyDescent="0.2">
      <c r="A418" s="37" t="s">
        <v>25</v>
      </c>
      <c r="B418" s="28">
        <v>0</v>
      </c>
      <c r="C418" s="28">
        <v>0</v>
      </c>
      <c r="D418" s="28">
        <v>70934.892800000001</v>
      </c>
      <c r="E418" s="28">
        <v>73040.974123638473</v>
      </c>
      <c r="F418" s="28">
        <v>90175.601920000001</v>
      </c>
      <c r="G418" s="28">
        <v>72144.887713501623</v>
      </c>
      <c r="H418" s="29">
        <v>2.9690343362843263E-2</v>
      </c>
      <c r="I418" s="29">
        <v>-0.19995113780881069</v>
      </c>
      <c r="J418" s="29">
        <v>-9.8842927088864885E-2</v>
      </c>
    </row>
    <row r="419" spans="1:10" ht="11.25" customHeight="1" x14ac:dyDescent="0.2">
      <c r="A419" s="38">
        <v>44317</v>
      </c>
      <c r="B419" s="28">
        <v>0</v>
      </c>
      <c r="C419" s="28">
        <v>0</v>
      </c>
      <c r="D419" s="28">
        <v>3888.1176000000005</v>
      </c>
      <c r="E419" s="28">
        <v>4003.557146579114</v>
      </c>
      <c r="F419" s="28">
        <v>4942.7486400000007</v>
      </c>
      <c r="G419" s="28">
        <v>3954.4404255290483</v>
      </c>
      <c r="H419" s="29">
        <v>2.9690343362843041E-2</v>
      </c>
      <c r="I419" s="29">
        <v>-0.1999511378088108</v>
      </c>
      <c r="J419" s="29">
        <v>-9.8842927088864885E-2</v>
      </c>
    </row>
    <row r="420" spans="1:10" ht="11.25" customHeight="1" x14ac:dyDescent="0.2">
      <c r="A420" s="38">
        <v>44348</v>
      </c>
      <c r="B420" s="28">
        <v>0</v>
      </c>
      <c r="C420" s="28">
        <v>0</v>
      </c>
      <c r="D420" s="28">
        <v>4539.0263999999997</v>
      </c>
      <c r="E420" s="28">
        <v>4673.7916523490094</v>
      </c>
      <c r="F420" s="28">
        <v>5770.2129599999998</v>
      </c>
      <c r="G420" s="28">
        <v>4616.4523132488539</v>
      </c>
      <c r="H420" s="29">
        <v>2.9690343362843041E-2</v>
      </c>
      <c r="I420" s="29">
        <v>-0.1999511378088108</v>
      </c>
      <c r="J420" s="29">
        <v>-9.8842927088864885E-2</v>
      </c>
    </row>
    <row r="421" spans="1:10" ht="11.25" customHeight="1" x14ac:dyDescent="0.2">
      <c r="A421" s="38">
        <v>44378</v>
      </c>
      <c r="B421" s="28">
        <v>0</v>
      </c>
      <c r="C421" s="28">
        <v>0</v>
      </c>
      <c r="D421" s="28">
        <v>4858.8887999999997</v>
      </c>
      <c r="E421" s="28">
        <v>5003.1508768338726</v>
      </c>
      <c r="F421" s="28">
        <v>6176.8363200000003</v>
      </c>
      <c r="G421" s="28">
        <v>4941.7708697572116</v>
      </c>
      <c r="H421" s="29">
        <v>2.9690343362843263E-2</v>
      </c>
      <c r="I421" s="29">
        <v>-0.19995113780881091</v>
      </c>
      <c r="J421" s="29">
        <v>-9.8842927088864885E-2</v>
      </c>
    </row>
    <row r="422" spans="1:10" ht="11.25" customHeight="1" x14ac:dyDescent="0.2">
      <c r="A422" s="38">
        <v>44409</v>
      </c>
      <c r="B422" s="28">
        <v>0</v>
      </c>
      <c r="C422" s="28">
        <v>0</v>
      </c>
      <c r="D422" s="28">
        <v>4370.8936000000003</v>
      </c>
      <c r="E422" s="28">
        <v>4500.6669317864535</v>
      </c>
      <c r="F422" s="28">
        <v>5556.4750400000003</v>
      </c>
      <c r="G422" s="28">
        <v>4445.4515335457427</v>
      </c>
      <c r="H422" s="29">
        <v>2.9690343362843041E-2</v>
      </c>
      <c r="I422" s="29">
        <v>-0.1999511378088108</v>
      </c>
      <c r="J422" s="29">
        <v>-9.8842927088864996E-2</v>
      </c>
    </row>
    <row r="423" spans="1:10" ht="11.25" customHeight="1" x14ac:dyDescent="0.2">
      <c r="A423" s="38">
        <v>44440</v>
      </c>
      <c r="B423" s="28">
        <v>0</v>
      </c>
      <c r="C423" s="28">
        <v>0</v>
      </c>
      <c r="D423" s="28">
        <v>5085.5512000000008</v>
      </c>
      <c r="E423" s="28">
        <v>5236.5429613173192</v>
      </c>
      <c r="F423" s="28">
        <v>6464.9796800000004</v>
      </c>
      <c r="G423" s="28">
        <v>5172.2996370731589</v>
      </c>
      <c r="H423" s="29">
        <v>2.9690343362843041E-2</v>
      </c>
      <c r="I423" s="29">
        <v>-0.1999511378088108</v>
      </c>
      <c r="J423" s="29">
        <v>-9.8842927088864996E-2</v>
      </c>
    </row>
    <row r="424" spans="1:10" ht="11.25" customHeight="1" x14ac:dyDescent="0.2">
      <c r="A424" s="38">
        <v>44470</v>
      </c>
      <c r="B424" s="28">
        <v>0</v>
      </c>
      <c r="C424" s="28">
        <v>0</v>
      </c>
      <c r="D424" s="28">
        <v>5972.4423999999999</v>
      </c>
      <c r="E424" s="28">
        <v>6149.7662655708018</v>
      </c>
      <c r="F424" s="28">
        <v>7592.4353599999995</v>
      </c>
      <c r="G424" s="28">
        <v>6074.3192710281519</v>
      </c>
      <c r="H424" s="29">
        <v>2.9690343362843041E-2</v>
      </c>
      <c r="I424" s="29">
        <v>-0.1999511378088108</v>
      </c>
      <c r="J424" s="29">
        <v>-9.8842927088864996E-2</v>
      </c>
    </row>
    <row r="425" spans="1:10" ht="11.25" customHeight="1" x14ac:dyDescent="0.2">
      <c r="A425" s="38">
        <v>44501</v>
      </c>
      <c r="B425" s="28">
        <v>0</v>
      </c>
      <c r="C425" s="28">
        <v>0</v>
      </c>
      <c r="D425" s="28">
        <v>5491.3440000000001</v>
      </c>
      <c r="E425" s="28">
        <v>5654.3838888834889</v>
      </c>
      <c r="F425" s="28">
        <v>6980.8416000000007</v>
      </c>
      <c r="G425" s="28">
        <v>5585.014379216921</v>
      </c>
      <c r="H425" s="29">
        <v>2.9690343362843263E-2</v>
      </c>
      <c r="I425" s="29">
        <v>-0.1999511378088108</v>
      </c>
      <c r="J425" s="29">
        <v>-9.8842927088864996E-2</v>
      </c>
    </row>
    <row r="426" spans="1:10" ht="11.25" customHeight="1" x14ac:dyDescent="0.2">
      <c r="A426" s="38">
        <v>44531</v>
      </c>
      <c r="B426" s="28">
        <v>0</v>
      </c>
      <c r="C426" s="28">
        <v>0</v>
      </c>
      <c r="D426" s="28">
        <v>5052.7448000000004</v>
      </c>
      <c r="E426" s="28">
        <v>5202.7625280368202</v>
      </c>
      <c r="F426" s="28">
        <v>6423.2747200000003</v>
      </c>
      <c r="G426" s="28">
        <v>5138.9336312774294</v>
      </c>
      <c r="H426" s="29">
        <v>2.9690343362843041E-2</v>
      </c>
      <c r="I426" s="29">
        <v>-0.1999511378088108</v>
      </c>
      <c r="J426" s="29">
        <v>-9.8842927088864996E-2</v>
      </c>
    </row>
    <row r="427" spans="1:10" ht="11.25" customHeight="1" x14ac:dyDescent="0.2">
      <c r="A427" s="38">
        <v>44562</v>
      </c>
      <c r="B427" s="28">
        <v>0</v>
      </c>
      <c r="C427" s="28">
        <v>0</v>
      </c>
      <c r="D427" s="28">
        <v>5774.6720000000005</v>
      </c>
      <c r="E427" s="28">
        <v>5946.1239944877962</v>
      </c>
      <c r="F427" s="28">
        <v>7341.0208000000002</v>
      </c>
      <c r="G427" s="28">
        <v>5873.1753383618543</v>
      </c>
      <c r="H427" s="29">
        <v>2.9690343362843041E-2</v>
      </c>
      <c r="I427" s="29">
        <v>-0.19995113780881069</v>
      </c>
      <c r="J427" s="29">
        <v>-9.8842927088864885E-2</v>
      </c>
    </row>
    <row r="428" spans="1:10" ht="11.25" customHeight="1" x14ac:dyDescent="0.2">
      <c r="A428" s="38">
        <v>44593</v>
      </c>
      <c r="B428" s="28">
        <v>0</v>
      </c>
      <c r="C428" s="28">
        <v>0</v>
      </c>
      <c r="D428" s="28">
        <v>6275.7151999999996</v>
      </c>
      <c r="E428" s="28">
        <v>6462.0433391354136</v>
      </c>
      <c r="F428" s="28">
        <v>7977.9692800000003</v>
      </c>
      <c r="G428" s="28">
        <v>6382.7652450602609</v>
      </c>
      <c r="H428" s="29">
        <v>2.9690343362843263E-2</v>
      </c>
      <c r="I428" s="29">
        <v>-0.1999511378088108</v>
      </c>
      <c r="J428" s="29">
        <v>-9.8842927088864885E-2</v>
      </c>
    </row>
    <row r="429" spans="1:10" ht="11.25" customHeight="1" x14ac:dyDescent="0.2">
      <c r="A429" s="38">
        <v>44621</v>
      </c>
      <c r="B429" s="28">
        <v>0</v>
      </c>
      <c r="C429" s="28">
        <v>0</v>
      </c>
      <c r="D429" s="28">
        <v>9466.3240000000005</v>
      </c>
      <c r="E429" s="28">
        <v>9747.3824099439225</v>
      </c>
      <c r="F429" s="28">
        <v>12034.0136</v>
      </c>
      <c r="G429" s="28">
        <v>9627.7988882732971</v>
      </c>
      <c r="H429" s="29">
        <v>2.9690343362843041E-2</v>
      </c>
      <c r="I429" s="29">
        <v>-0.1999511378088108</v>
      </c>
      <c r="J429" s="29">
        <v>-9.8842927088864885E-2</v>
      </c>
    </row>
    <row r="430" spans="1:10" ht="11.25" customHeight="1" x14ac:dyDescent="0.2">
      <c r="A430" s="38">
        <v>44652</v>
      </c>
      <c r="B430" s="28">
        <v>0</v>
      </c>
      <c r="C430" s="28">
        <v>0</v>
      </c>
      <c r="D430" s="28">
        <v>10159.1728</v>
      </c>
      <c r="E430" s="28">
        <v>10460.802128714457</v>
      </c>
      <c r="F430" s="28">
        <v>12914.793920000002</v>
      </c>
      <c r="G430" s="28">
        <v>10332.466181129688</v>
      </c>
      <c r="H430" s="29">
        <v>2.9690343362843041E-2</v>
      </c>
      <c r="I430" s="29">
        <v>-0.19995113780881091</v>
      </c>
      <c r="J430" s="29">
        <v>-9.8842927088865107E-2</v>
      </c>
    </row>
    <row r="431" spans="1:10" ht="11.25" customHeight="1" x14ac:dyDescent="0.2">
      <c r="A431" s="34" t="s">
        <v>32</v>
      </c>
      <c r="B431" s="28">
        <v>0</v>
      </c>
      <c r="C431" s="28">
        <v>0</v>
      </c>
      <c r="D431" s="28">
        <v>17753.676310000003</v>
      </c>
      <c r="E431" s="28">
        <v>18280.887129025479</v>
      </c>
      <c r="F431" s="28">
        <v>22569.482089999998</v>
      </c>
      <c r="G431" s="28">
        <v>18056.612265250573</v>
      </c>
      <c r="H431" s="29">
        <v>2.9695867482303795E-2</v>
      </c>
      <c r="I431" s="29">
        <v>-0.19995451409799836</v>
      </c>
      <c r="J431" s="29">
        <v>-9.8842927088864885E-2</v>
      </c>
    </row>
    <row r="432" spans="1:10" ht="11.25" customHeight="1" x14ac:dyDescent="0.2">
      <c r="A432" s="35" t="s">
        <v>25</v>
      </c>
      <c r="B432" s="28">
        <v>0</v>
      </c>
      <c r="C432" s="28">
        <v>0</v>
      </c>
      <c r="D432" s="28">
        <v>17753.676310000003</v>
      </c>
      <c r="E432" s="28">
        <v>18280.887129025479</v>
      </c>
      <c r="F432" s="28">
        <v>22569.482089999998</v>
      </c>
      <c r="G432" s="28">
        <v>18056.612265250573</v>
      </c>
      <c r="H432" s="29">
        <v>2.9695867482303795E-2</v>
      </c>
      <c r="I432" s="29">
        <v>-0.19995451409799836</v>
      </c>
      <c r="J432" s="29">
        <v>-9.8842927088864885E-2</v>
      </c>
    </row>
    <row r="433" spans="1:10" ht="11.25" customHeight="1" x14ac:dyDescent="0.2">
      <c r="A433" s="36" t="s">
        <v>25</v>
      </c>
      <c r="B433" s="28">
        <v>0</v>
      </c>
      <c r="C433" s="28">
        <v>0</v>
      </c>
      <c r="D433" s="28">
        <v>17753.676310000003</v>
      </c>
      <c r="E433" s="28">
        <v>18280.887129025479</v>
      </c>
      <c r="F433" s="28">
        <v>22569.482089999998</v>
      </c>
      <c r="G433" s="28">
        <v>18056.612265250573</v>
      </c>
      <c r="H433" s="29">
        <v>2.9695867482303795E-2</v>
      </c>
      <c r="I433" s="29">
        <v>-0.19995451409799836</v>
      </c>
      <c r="J433" s="29">
        <v>-9.8842927088864885E-2</v>
      </c>
    </row>
    <row r="434" spans="1:10" ht="11.25" customHeight="1" x14ac:dyDescent="0.2">
      <c r="A434" s="37" t="s">
        <v>25</v>
      </c>
      <c r="B434" s="28">
        <v>0</v>
      </c>
      <c r="C434" s="28">
        <v>0</v>
      </c>
      <c r="D434" s="28">
        <v>17753.676310000003</v>
      </c>
      <c r="E434" s="28">
        <v>18280.887129025479</v>
      </c>
      <c r="F434" s="28">
        <v>22569.482089999998</v>
      </c>
      <c r="G434" s="28">
        <v>18056.612265250573</v>
      </c>
      <c r="H434" s="29">
        <v>2.9695867482303795E-2</v>
      </c>
      <c r="I434" s="29">
        <v>-0.19995451409799836</v>
      </c>
      <c r="J434" s="29">
        <v>-9.8842927088864885E-2</v>
      </c>
    </row>
    <row r="435" spans="1:10" ht="11.25" customHeight="1" x14ac:dyDescent="0.2">
      <c r="A435" s="38">
        <v>44317</v>
      </c>
      <c r="B435" s="28">
        <v>0</v>
      </c>
      <c r="C435" s="28">
        <v>0</v>
      </c>
      <c r="D435" s="28">
        <v>574.52314000000001</v>
      </c>
      <c r="E435" s="28">
        <v>591.58410303095707</v>
      </c>
      <c r="F435" s="28">
        <v>730.36646000000007</v>
      </c>
      <c r="G435" s="28">
        <v>584.32638937722481</v>
      </c>
      <c r="H435" s="29">
        <v>2.9695867482303795E-2</v>
      </c>
      <c r="I435" s="29">
        <v>-0.19995451409799847</v>
      </c>
      <c r="J435" s="29">
        <v>-9.8842927088864885E-2</v>
      </c>
    </row>
    <row r="436" spans="1:10" ht="11.25" customHeight="1" x14ac:dyDescent="0.2">
      <c r="A436" s="38">
        <v>44348</v>
      </c>
      <c r="B436" s="28">
        <v>0</v>
      </c>
      <c r="C436" s="28">
        <v>0</v>
      </c>
      <c r="D436" s="28">
        <v>793.85263000000009</v>
      </c>
      <c r="E436" s="28">
        <v>817.42677250095835</v>
      </c>
      <c r="F436" s="28">
        <v>1009.1905700000001</v>
      </c>
      <c r="G436" s="28">
        <v>807.39835994336806</v>
      </c>
      <c r="H436" s="29">
        <v>2.9695867482303573E-2</v>
      </c>
      <c r="I436" s="29">
        <v>-0.19995451409799836</v>
      </c>
      <c r="J436" s="29">
        <v>-9.8842927088864996E-2</v>
      </c>
    </row>
    <row r="437" spans="1:10" ht="11.25" customHeight="1" x14ac:dyDescent="0.2">
      <c r="A437" s="38">
        <v>44378</v>
      </c>
      <c r="B437" s="28">
        <v>0</v>
      </c>
      <c r="C437" s="28">
        <v>0</v>
      </c>
      <c r="D437" s="28">
        <v>898.02896000000021</v>
      </c>
      <c r="E437" s="28">
        <v>924.69670899143114</v>
      </c>
      <c r="F437" s="28">
        <v>1141.6254400000003</v>
      </c>
      <c r="G437" s="28">
        <v>913.35227986288646</v>
      </c>
      <c r="H437" s="29">
        <v>2.9695867482303573E-2</v>
      </c>
      <c r="I437" s="29">
        <v>-0.19995451409799847</v>
      </c>
      <c r="J437" s="29">
        <v>-9.8842927088865107E-2</v>
      </c>
    </row>
    <row r="438" spans="1:10" ht="11.25" customHeight="1" x14ac:dyDescent="0.2">
      <c r="A438" s="38">
        <v>44409</v>
      </c>
      <c r="B438" s="28">
        <v>0</v>
      </c>
      <c r="C438" s="28">
        <v>0</v>
      </c>
      <c r="D438" s="28">
        <v>846.04435000000001</v>
      </c>
      <c r="E438" s="28">
        <v>871.16837090175181</v>
      </c>
      <c r="F438" s="28">
        <v>1075.5396500000002</v>
      </c>
      <c r="G438" s="28">
        <v>860.48064189111869</v>
      </c>
      <c r="H438" s="29">
        <v>2.9695867482303795E-2</v>
      </c>
      <c r="I438" s="29">
        <v>-0.19995451409799858</v>
      </c>
      <c r="J438" s="29">
        <v>-9.8842927088865107E-2</v>
      </c>
    </row>
    <row r="439" spans="1:10" ht="11.25" customHeight="1" x14ac:dyDescent="0.2">
      <c r="A439" s="38">
        <v>44440</v>
      </c>
      <c r="B439" s="28">
        <v>0</v>
      </c>
      <c r="C439" s="28">
        <v>0</v>
      </c>
      <c r="D439" s="28">
        <v>1150.9102700000001</v>
      </c>
      <c r="E439" s="28">
        <v>1185.0875488619427</v>
      </c>
      <c r="F439" s="28">
        <v>1463.1025300000001</v>
      </c>
      <c r="G439" s="28">
        <v>1170.548574538298</v>
      </c>
      <c r="H439" s="29">
        <v>2.9695867482303795E-2</v>
      </c>
      <c r="I439" s="29">
        <v>-0.19995451409799836</v>
      </c>
      <c r="J439" s="29">
        <v>-9.8842927088864996E-2</v>
      </c>
    </row>
    <row r="440" spans="1:10" ht="11.25" customHeight="1" x14ac:dyDescent="0.2">
      <c r="A440" s="38">
        <v>44470</v>
      </c>
      <c r="B440" s="28">
        <v>0</v>
      </c>
      <c r="C440" s="28">
        <v>0</v>
      </c>
      <c r="D440" s="28">
        <v>1546.49037</v>
      </c>
      <c r="E440" s="28">
        <v>1592.4147430901789</v>
      </c>
      <c r="F440" s="28">
        <v>1965.9864300000002</v>
      </c>
      <c r="G440" s="28">
        <v>1572.8785686660915</v>
      </c>
      <c r="H440" s="29">
        <v>2.9695867482303795E-2</v>
      </c>
      <c r="I440" s="29">
        <v>-0.19995451409799847</v>
      </c>
      <c r="J440" s="29">
        <v>-9.8842927088864996E-2</v>
      </c>
    </row>
    <row r="441" spans="1:10" ht="11.25" customHeight="1" x14ac:dyDescent="0.2">
      <c r="A441" s="38">
        <v>44501</v>
      </c>
      <c r="B441" s="28">
        <v>0</v>
      </c>
      <c r="C441" s="28">
        <v>0</v>
      </c>
      <c r="D441" s="28">
        <v>1279.73269</v>
      </c>
      <c r="E441" s="28">
        <v>1317.7354623750123</v>
      </c>
      <c r="F441" s="28">
        <v>1626.8689100000001</v>
      </c>
      <c r="G441" s="28">
        <v>1301.5691275998097</v>
      </c>
      <c r="H441" s="29">
        <v>2.9695867482303795E-2</v>
      </c>
      <c r="I441" s="29">
        <v>-0.19995451409799847</v>
      </c>
      <c r="J441" s="29">
        <v>-9.8842927088864774E-2</v>
      </c>
    </row>
    <row r="442" spans="1:10" ht="11.25" customHeight="1" x14ac:dyDescent="0.2">
      <c r="A442" s="38">
        <v>44531</v>
      </c>
      <c r="B442" s="28">
        <v>0</v>
      </c>
      <c r="C442" s="28">
        <v>0</v>
      </c>
      <c r="D442" s="28">
        <v>1035.7571100000002</v>
      </c>
      <c r="E442" s="28">
        <v>1066.514815882414</v>
      </c>
      <c r="F442" s="28">
        <v>1316.7132900000001</v>
      </c>
      <c r="G442" s="28">
        <v>1053.4305238916731</v>
      </c>
      <c r="H442" s="29">
        <v>2.9695867482303573E-2</v>
      </c>
      <c r="I442" s="29">
        <v>-0.19995451409799847</v>
      </c>
      <c r="J442" s="29">
        <v>-9.8842927088864996E-2</v>
      </c>
    </row>
    <row r="443" spans="1:10" ht="11.25" customHeight="1" x14ac:dyDescent="0.2">
      <c r="A443" s="38">
        <v>44562</v>
      </c>
      <c r="B443" s="28">
        <v>0</v>
      </c>
      <c r="C443" s="28">
        <v>0</v>
      </c>
      <c r="D443" s="28">
        <v>1681.1118700000002</v>
      </c>
      <c r="E443" s="28">
        <v>1731.0339453144481</v>
      </c>
      <c r="F443" s="28">
        <v>2137.1249300000004</v>
      </c>
      <c r="G443" s="28">
        <v>1709.7971530551313</v>
      </c>
      <c r="H443" s="29">
        <v>2.9695867482303795E-2</v>
      </c>
      <c r="I443" s="29">
        <v>-0.19995451409799847</v>
      </c>
      <c r="J443" s="29">
        <v>-9.8842927088864996E-2</v>
      </c>
    </row>
    <row r="444" spans="1:10" ht="11.25" customHeight="1" x14ac:dyDescent="0.2">
      <c r="A444" s="38">
        <v>44593</v>
      </c>
      <c r="B444" s="28">
        <v>0</v>
      </c>
      <c r="C444" s="28">
        <v>0</v>
      </c>
      <c r="D444" s="28">
        <v>1687.3251700000001</v>
      </c>
      <c r="E444" s="28">
        <v>1737.4317546478758</v>
      </c>
      <c r="F444" s="28">
        <v>2145.0236300000001</v>
      </c>
      <c r="G444" s="28">
        <v>1716.1164723346253</v>
      </c>
      <c r="H444" s="29">
        <v>2.9695867482303795E-2</v>
      </c>
      <c r="I444" s="29">
        <v>-0.19995451409799847</v>
      </c>
      <c r="J444" s="29">
        <v>-9.8842927088864996E-2</v>
      </c>
    </row>
    <row r="445" spans="1:10" ht="11.25" customHeight="1" x14ac:dyDescent="0.2">
      <c r="A445" s="38">
        <v>44621</v>
      </c>
      <c r="B445" s="28">
        <v>0</v>
      </c>
      <c r="C445" s="28">
        <v>0</v>
      </c>
      <c r="D445" s="28">
        <v>3103.3362400000001</v>
      </c>
      <c r="E445" s="28">
        <v>3195.4925017360711</v>
      </c>
      <c r="F445" s="28">
        <v>3945.1373600000002</v>
      </c>
      <c r="G445" s="28">
        <v>3156.28933613134</v>
      </c>
      <c r="H445" s="29">
        <v>2.9695867482303795E-2</v>
      </c>
      <c r="I445" s="29">
        <v>-0.19995451409799836</v>
      </c>
      <c r="J445" s="29">
        <v>-9.8842927088864885E-2</v>
      </c>
    </row>
    <row r="446" spans="1:10" ht="11.25" customHeight="1" x14ac:dyDescent="0.2">
      <c r="A446" s="38">
        <v>44652</v>
      </c>
      <c r="B446" s="28">
        <v>0</v>
      </c>
      <c r="C446" s="28">
        <v>0</v>
      </c>
      <c r="D446" s="28">
        <v>3156.56351</v>
      </c>
      <c r="E446" s="28">
        <v>3250.3004016924356</v>
      </c>
      <c r="F446" s="28">
        <v>4012.8028900000004</v>
      </c>
      <c r="G446" s="28">
        <v>3210.4248379590063</v>
      </c>
      <c r="H446" s="29">
        <v>2.9695867482303795E-2</v>
      </c>
      <c r="I446" s="29">
        <v>-0.19995451409799847</v>
      </c>
      <c r="J446" s="29">
        <v>-9.8842927088865107E-2</v>
      </c>
    </row>
    <row r="447" spans="1:10" ht="11.25" customHeight="1" x14ac:dyDescent="0.2">
      <c r="A447" s="31" t="s">
        <v>43</v>
      </c>
      <c r="B447" s="28">
        <v>0</v>
      </c>
      <c r="C447" s="28">
        <v>0</v>
      </c>
      <c r="D447" s="28">
        <v>8726261.8969800007</v>
      </c>
      <c r="E447" s="28">
        <v>10901921.815445308</v>
      </c>
      <c r="F447" s="28">
        <v>8394834.7501200009</v>
      </c>
      <c r="G447" s="28">
        <v>7174027.135595547</v>
      </c>
      <c r="H447" s="29">
        <v>0.24932324334870892</v>
      </c>
      <c r="I447" s="29">
        <v>-0.14542366239037652</v>
      </c>
      <c r="J447" s="29">
        <v>5.5770510710982935E-2</v>
      </c>
    </row>
    <row r="448" spans="1:10" ht="11.25" customHeight="1" x14ac:dyDescent="0.2">
      <c r="A448" s="32" t="s">
        <v>37</v>
      </c>
      <c r="B448" s="28">
        <v>0</v>
      </c>
      <c r="C448" s="28">
        <v>0</v>
      </c>
      <c r="D448" s="28">
        <v>1465.4446199999998</v>
      </c>
      <c r="E448" s="28">
        <v>1846.1552467103268</v>
      </c>
      <c r="F448" s="28">
        <v>1497.2454000000005</v>
      </c>
      <c r="G448" s="28">
        <v>1279.5104904348552</v>
      </c>
      <c r="H448" s="29">
        <v>0.25979188944740006</v>
      </c>
      <c r="I448" s="29">
        <v>-0.14542366239037718</v>
      </c>
      <c r="J448" s="29">
        <v>5.5009371903572246E-2</v>
      </c>
    </row>
    <row r="449" spans="1:10" ht="11.25" customHeight="1" x14ac:dyDescent="0.2">
      <c r="A449" s="33" t="s">
        <v>44</v>
      </c>
      <c r="B449" s="28">
        <v>0</v>
      </c>
      <c r="C449" s="28">
        <v>0</v>
      </c>
      <c r="D449" s="28">
        <v>1465.4446199999998</v>
      </c>
      <c r="E449" s="28">
        <v>1846.1552467103268</v>
      </c>
      <c r="F449" s="28">
        <v>1497.2454000000005</v>
      </c>
      <c r="G449" s="28">
        <v>1279.5104904348552</v>
      </c>
      <c r="H449" s="29">
        <v>0.25979188944740006</v>
      </c>
      <c r="I449" s="29">
        <v>-0.14542366239037718</v>
      </c>
      <c r="J449" s="29">
        <v>5.5009371903572246E-2</v>
      </c>
    </row>
    <row r="450" spans="1:10" ht="11.25" customHeight="1" x14ac:dyDescent="0.2">
      <c r="A450" s="34" t="s">
        <v>25</v>
      </c>
      <c r="B450" s="28">
        <v>0</v>
      </c>
      <c r="C450" s="28">
        <v>0</v>
      </c>
      <c r="D450" s="28">
        <v>1465.4446199999998</v>
      </c>
      <c r="E450" s="28">
        <v>1846.1552467103268</v>
      </c>
      <c r="F450" s="28">
        <v>1497.2454000000005</v>
      </c>
      <c r="G450" s="28">
        <v>1279.5104904348552</v>
      </c>
      <c r="H450" s="29">
        <v>0.25979188944740006</v>
      </c>
      <c r="I450" s="29">
        <v>-0.14542366239037718</v>
      </c>
      <c r="J450" s="29">
        <v>5.5009371903572246E-2</v>
      </c>
    </row>
    <row r="451" spans="1:10" ht="11.25" customHeight="1" x14ac:dyDescent="0.2">
      <c r="A451" s="35" t="s">
        <v>25</v>
      </c>
      <c r="B451" s="28">
        <v>0</v>
      </c>
      <c r="C451" s="28">
        <v>0</v>
      </c>
      <c r="D451" s="28">
        <v>1465.4446199999998</v>
      </c>
      <c r="E451" s="28">
        <v>1846.1552467103268</v>
      </c>
      <c r="F451" s="28">
        <v>1497.2454000000005</v>
      </c>
      <c r="G451" s="28">
        <v>1279.5104904348552</v>
      </c>
      <c r="H451" s="29">
        <v>0.25979188944740006</v>
      </c>
      <c r="I451" s="29">
        <v>-0.14542366239037718</v>
      </c>
      <c r="J451" s="29">
        <v>5.5009371903572246E-2</v>
      </c>
    </row>
    <row r="452" spans="1:10" ht="11.25" customHeight="1" x14ac:dyDescent="0.2">
      <c r="A452" s="36" t="s">
        <v>25</v>
      </c>
      <c r="B452" s="28">
        <v>0</v>
      </c>
      <c r="C452" s="28">
        <v>0</v>
      </c>
      <c r="D452" s="28">
        <v>1465.4446199999998</v>
      </c>
      <c r="E452" s="28">
        <v>1846.1552467103268</v>
      </c>
      <c r="F452" s="28">
        <v>1497.2454000000005</v>
      </c>
      <c r="G452" s="28">
        <v>1279.5104904348552</v>
      </c>
      <c r="H452" s="29">
        <v>0.25979188944740006</v>
      </c>
      <c r="I452" s="29">
        <v>-0.14542366239037718</v>
      </c>
      <c r="J452" s="29">
        <v>5.5009371903572246E-2</v>
      </c>
    </row>
    <row r="453" spans="1:10" ht="11.25" customHeight="1" x14ac:dyDescent="0.2">
      <c r="A453" s="37" t="s">
        <v>36</v>
      </c>
      <c r="B453" s="28">
        <v>0</v>
      </c>
      <c r="C453" s="28">
        <v>0</v>
      </c>
      <c r="D453" s="28">
        <v>839.36216000000013</v>
      </c>
      <c r="E453" s="28">
        <v>1114.1079876709825</v>
      </c>
      <c r="F453" s="28">
        <v>1180.7432000000001</v>
      </c>
      <c r="G453" s="28">
        <v>1009.0351995134669</v>
      </c>
      <c r="H453" s="29">
        <v>0.32732691651358503</v>
      </c>
      <c r="I453" s="29">
        <v>-0.14542366239037685</v>
      </c>
      <c r="J453" s="29">
        <v>5.1006164938074861E-2</v>
      </c>
    </row>
    <row r="454" spans="1:10" ht="11.25" customHeight="1" x14ac:dyDescent="0.2">
      <c r="A454" s="38">
        <v>44317</v>
      </c>
      <c r="B454" s="28">
        <v>0</v>
      </c>
      <c r="C454" s="28">
        <v>0</v>
      </c>
      <c r="D454" s="28">
        <v>54.848430000000008</v>
      </c>
      <c r="E454" s="28">
        <v>72.801797467511236</v>
      </c>
      <c r="F454" s="28">
        <v>77.156099999999995</v>
      </c>
      <c r="G454" s="28">
        <v>65.935777362241851</v>
      </c>
      <c r="H454" s="29">
        <v>0.32732691651358525</v>
      </c>
      <c r="I454" s="29">
        <v>-0.14542366239037674</v>
      </c>
      <c r="J454" s="29">
        <v>5.1006164938075305E-2</v>
      </c>
    </row>
    <row r="455" spans="1:10" ht="11.25" customHeight="1" x14ac:dyDescent="0.2">
      <c r="A455" s="38">
        <v>44348</v>
      </c>
      <c r="B455" s="28">
        <v>0</v>
      </c>
      <c r="C455" s="28">
        <v>0</v>
      </c>
      <c r="D455" s="28">
        <v>55.013140000000007</v>
      </c>
      <c r="E455" s="28">
        <v>73.020421483930178</v>
      </c>
      <c r="F455" s="28">
        <v>77.387799999999999</v>
      </c>
      <c r="G455" s="28">
        <v>66.133782699666</v>
      </c>
      <c r="H455" s="29">
        <v>0.32732691651358503</v>
      </c>
      <c r="I455" s="29">
        <v>-0.14542366239037674</v>
      </c>
      <c r="J455" s="29">
        <v>5.1006164938075083E-2</v>
      </c>
    </row>
    <row r="456" spans="1:10" ht="11.25" customHeight="1" x14ac:dyDescent="0.2">
      <c r="A456" s="38">
        <v>44378</v>
      </c>
      <c r="B456" s="28">
        <v>0</v>
      </c>
      <c r="C456" s="28">
        <v>0</v>
      </c>
      <c r="D456" s="28">
        <v>52.7072</v>
      </c>
      <c r="E456" s="28">
        <v>69.959685254064851</v>
      </c>
      <c r="F456" s="28">
        <v>74.143999999999991</v>
      </c>
      <c r="G456" s="28">
        <v>63.361707975727903</v>
      </c>
      <c r="H456" s="29">
        <v>0.32732691651358548</v>
      </c>
      <c r="I456" s="29">
        <v>-0.14542366239037674</v>
      </c>
      <c r="J456" s="29">
        <v>5.1006164938075305E-2</v>
      </c>
    </row>
    <row r="457" spans="1:10" ht="11.25" customHeight="1" x14ac:dyDescent="0.2">
      <c r="A457" s="38">
        <v>44409</v>
      </c>
      <c r="B457" s="28">
        <v>0</v>
      </c>
      <c r="C457" s="28">
        <v>0</v>
      </c>
      <c r="D457" s="28">
        <v>62.589800000000004</v>
      </c>
      <c r="E457" s="28">
        <v>83.077126239202002</v>
      </c>
      <c r="F457" s="28">
        <v>88.045999999999992</v>
      </c>
      <c r="G457" s="28">
        <v>75.242028221176881</v>
      </c>
      <c r="H457" s="29">
        <v>0.32732691651358525</v>
      </c>
      <c r="I457" s="29">
        <v>-0.14542366239037674</v>
      </c>
      <c r="J457" s="29">
        <v>5.1006164938075083E-2</v>
      </c>
    </row>
    <row r="458" spans="1:10" ht="11.25" customHeight="1" x14ac:dyDescent="0.2">
      <c r="A458" s="38">
        <v>44440</v>
      </c>
      <c r="B458" s="28">
        <v>0</v>
      </c>
      <c r="C458" s="28">
        <v>0</v>
      </c>
      <c r="D458" s="28">
        <v>75.272470000000013</v>
      </c>
      <c r="E458" s="28">
        <v>99.911175503461365</v>
      </c>
      <c r="F458" s="28">
        <v>105.8869</v>
      </c>
      <c r="G458" s="28">
        <v>90.488439202836418</v>
      </c>
      <c r="H458" s="29">
        <v>0.32732691651358525</v>
      </c>
      <c r="I458" s="29">
        <v>-0.14542366239037674</v>
      </c>
      <c r="J458" s="29">
        <v>5.1006164938074861E-2</v>
      </c>
    </row>
    <row r="459" spans="1:10" ht="11.25" customHeight="1" x14ac:dyDescent="0.2">
      <c r="A459" s="38">
        <v>44470</v>
      </c>
      <c r="B459" s="28">
        <v>0</v>
      </c>
      <c r="C459" s="28">
        <v>0</v>
      </c>
      <c r="D459" s="28">
        <v>73.790080000000003</v>
      </c>
      <c r="E459" s="28">
        <v>97.94355935569078</v>
      </c>
      <c r="F459" s="28">
        <v>103.80159999999999</v>
      </c>
      <c r="G459" s="28">
        <v>88.706391166019074</v>
      </c>
      <c r="H459" s="29">
        <v>0.32732691651358525</v>
      </c>
      <c r="I459" s="29">
        <v>-0.14542366239037663</v>
      </c>
      <c r="J459" s="29">
        <v>5.1006164938075083E-2</v>
      </c>
    </row>
    <row r="460" spans="1:10" ht="11.25" customHeight="1" x14ac:dyDescent="0.2">
      <c r="A460" s="38">
        <v>44501</v>
      </c>
      <c r="B460" s="28">
        <v>0</v>
      </c>
      <c r="C460" s="28">
        <v>0</v>
      </c>
      <c r="D460" s="28">
        <v>78.566670000000002</v>
      </c>
      <c r="E460" s="28">
        <v>104.28365583184041</v>
      </c>
      <c r="F460" s="28">
        <v>110.52089999999998</v>
      </c>
      <c r="G460" s="28">
        <v>94.448545951319403</v>
      </c>
      <c r="H460" s="29">
        <v>0.32732691651358525</v>
      </c>
      <c r="I460" s="29">
        <v>-0.14542366239037674</v>
      </c>
      <c r="J460" s="29">
        <v>5.1006164938075305E-2</v>
      </c>
    </row>
    <row r="461" spans="1:10" ht="11.25" customHeight="1" x14ac:dyDescent="0.2">
      <c r="A461" s="38">
        <v>44531</v>
      </c>
      <c r="B461" s="28">
        <v>0</v>
      </c>
      <c r="C461" s="28">
        <v>0</v>
      </c>
      <c r="D461" s="28">
        <v>71.154719999999998</v>
      </c>
      <c r="E461" s="28">
        <v>94.445575092987539</v>
      </c>
      <c r="F461" s="28">
        <v>100.09439999999999</v>
      </c>
      <c r="G461" s="28">
        <v>85.538305767232671</v>
      </c>
      <c r="H461" s="29">
        <v>0.32732691651358525</v>
      </c>
      <c r="I461" s="29">
        <v>-0.14542366239037674</v>
      </c>
      <c r="J461" s="29">
        <v>5.1006164938075083E-2</v>
      </c>
    </row>
    <row r="462" spans="1:10" ht="11.25" customHeight="1" x14ac:dyDescent="0.2">
      <c r="A462" s="38">
        <v>44562</v>
      </c>
      <c r="B462" s="28">
        <v>0</v>
      </c>
      <c r="C462" s="28">
        <v>0</v>
      </c>
      <c r="D462" s="28">
        <v>70.001750000000001</v>
      </c>
      <c r="E462" s="28">
        <v>92.915206978054869</v>
      </c>
      <c r="F462" s="28">
        <v>98.472499999999997</v>
      </c>
      <c r="G462" s="28">
        <v>84.152268405263627</v>
      </c>
      <c r="H462" s="29">
        <v>0.32732691651358525</v>
      </c>
      <c r="I462" s="29">
        <v>-0.14542366239037674</v>
      </c>
      <c r="J462" s="29">
        <v>5.1006164938075083E-2</v>
      </c>
    </row>
    <row r="463" spans="1:10" ht="11.25" customHeight="1" x14ac:dyDescent="0.2">
      <c r="A463" s="38">
        <v>44593</v>
      </c>
      <c r="B463" s="28">
        <v>0</v>
      </c>
      <c r="C463" s="28">
        <v>0</v>
      </c>
      <c r="D463" s="28">
        <v>77.084280000000007</v>
      </c>
      <c r="E463" s="28">
        <v>102.31603968406984</v>
      </c>
      <c r="F463" s="28">
        <v>108.43560000000001</v>
      </c>
      <c r="G463" s="28">
        <v>92.66649791450206</v>
      </c>
      <c r="H463" s="29">
        <v>0.32732691651358525</v>
      </c>
      <c r="I463" s="29">
        <v>-0.14542366239037685</v>
      </c>
      <c r="J463" s="29">
        <v>5.1006164938075083E-2</v>
      </c>
    </row>
    <row r="464" spans="1:10" ht="11.25" customHeight="1" x14ac:dyDescent="0.2">
      <c r="A464" s="38">
        <v>44621</v>
      </c>
      <c r="B464" s="28">
        <v>0</v>
      </c>
      <c r="C464" s="28">
        <v>0</v>
      </c>
      <c r="D464" s="28">
        <v>93.390569999999997</v>
      </c>
      <c r="E464" s="28">
        <v>123.95981730954614</v>
      </c>
      <c r="F464" s="28">
        <v>131.37389999999999</v>
      </c>
      <c r="G464" s="28">
        <v>112.26902631949287</v>
      </c>
      <c r="H464" s="29">
        <v>0.32732691651358525</v>
      </c>
      <c r="I464" s="29">
        <v>-0.14542366239037685</v>
      </c>
      <c r="J464" s="29">
        <v>5.1006164938075083E-2</v>
      </c>
    </row>
    <row r="465" spans="1:10" ht="11.25" customHeight="1" x14ac:dyDescent="0.2">
      <c r="A465" s="38">
        <v>44652</v>
      </c>
      <c r="B465" s="28">
        <v>0</v>
      </c>
      <c r="C465" s="28">
        <v>0</v>
      </c>
      <c r="D465" s="28">
        <v>74.943049999999999</v>
      </c>
      <c r="E465" s="28">
        <v>99.473927470623451</v>
      </c>
      <c r="F465" s="28">
        <v>105.4235</v>
      </c>
      <c r="G465" s="28">
        <v>90.092428527988119</v>
      </c>
      <c r="H465" s="29">
        <v>0.32732691651358525</v>
      </c>
      <c r="I465" s="29">
        <v>-0.14542366239037674</v>
      </c>
      <c r="J465" s="29">
        <v>5.1006164938075083E-2</v>
      </c>
    </row>
    <row r="466" spans="1:10" ht="11.25" customHeight="1" x14ac:dyDescent="0.2">
      <c r="A466" s="37" t="s">
        <v>38</v>
      </c>
      <c r="B466" s="28">
        <v>0</v>
      </c>
      <c r="C466" s="28">
        <v>0</v>
      </c>
      <c r="D466" s="28">
        <v>202.42891000000003</v>
      </c>
      <c r="E466" s="28">
        <v>242.19046645608819</v>
      </c>
      <c r="F466" s="28">
        <v>133.6909</v>
      </c>
      <c r="G466" s="28">
        <v>114.24907969373436</v>
      </c>
      <c r="H466" s="29">
        <v>0.19642232157495765</v>
      </c>
      <c r="I466" s="29">
        <v>-0.14542366239037696</v>
      </c>
      <c r="J466" s="29">
        <v>6.04538487327555E-2</v>
      </c>
    </row>
    <row r="467" spans="1:10" ht="11.25" customHeight="1" x14ac:dyDescent="0.2">
      <c r="A467" s="38">
        <v>44317</v>
      </c>
      <c r="B467" s="28">
        <v>0</v>
      </c>
      <c r="C467" s="28">
        <v>0</v>
      </c>
      <c r="D467" s="28">
        <v>12.27905</v>
      </c>
      <c r="E467" s="28">
        <v>14.690929507734987</v>
      </c>
      <c r="F467" s="28">
        <v>8.1095000000000006</v>
      </c>
      <c r="G467" s="28">
        <v>6.9301868098452406</v>
      </c>
      <c r="H467" s="29">
        <v>0.19642232157495787</v>
      </c>
      <c r="I467" s="29">
        <v>-0.14542366239037674</v>
      </c>
      <c r="J467" s="29">
        <v>6.0453848732755722E-2</v>
      </c>
    </row>
    <row r="468" spans="1:10" ht="11.25" customHeight="1" x14ac:dyDescent="0.2">
      <c r="A468" s="38">
        <v>44348</v>
      </c>
      <c r="B468" s="28">
        <v>0</v>
      </c>
      <c r="C468" s="28">
        <v>0</v>
      </c>
      <c r="D468" s="28">
        <v>12.629879999999998</v>
      </c>
      <c r="E468" s="28">
        <v>15.110670350813127</v>
      </c>
      <c r="F468" s="28">
        <v>8.3411999999999988</v>
      </c>
      <c r="G468" s="28">
        <v>7.128192147269389</v>
      </c>
      <c r="H468" s="29">
        <v>0.19642232157495787</v>
      </c>
      <c r="I468" s="29">
        <v>-0.14542366239037674</v>
      </c>
      <c r="J468" s="29">
        <v>6.0453848732755722E-2</v>
      </c>
    </row>
    <row r="469" spans="1:10" ht="11.25" customHeight="1" x14ac:dyDescent="0.2">
      <c r="A469" s="38">
        <v>44378</v>
      </c>
      <c r="B469" s="28">
        <v>0</v>
      </c>
      <c r="C469" s="28">
        <v>0</v>
      </c>
      <c r="D469" s="28">
        <v>11.92822</v>
      </c>
      <c r="E469" s="28">
        <v>14.271188664656846</v>
      </c>
      <c r="F469" s="28">
        <v>7.8778000000000006</v>
      </c>
      <c r="G469" s="28">
        <v>6.7321814724210904</v>
      </c>
      <c r="H469" s="29">
        <v>0.19642232157495809</v>
      </c>
      <c r="I469" s="29">
        <v>-0.14542366239037674</v>
      </c>
      <c r="J469" s="29">
        <v>6.0453848732755944E-2</v>
      </c>
    </row>
    <row r="470" spans="1:10" ht="11.25" customHeight="1" x14ac:dyDescent="0.2">
      <c r="A470" s="38">
        <v>44409</v>
      </c>
      <c r="B470" s="28">
        <v>0</v>
      </c>
      <c r="C470" s="28">
        <v>0</v>
      </c>
      <c r="D470" s="28">
        <v>13.682369999999999</v>
      </c>
      <c r="E470" s="28">
        <v>16.369892880047555</v>
      </c>
      <c r="F470" s="28">
        <v>9.0362999999999989</v>
      </c>
      <c r="G470" s="28">
        <v>7.7222081595418386</v>
      </c>
      <c r="H470" s="29">
        <v>0.19642232157495787</v>
      </c>
      <c r="I470" s="29">
        <v>-0.14542366239037663</v>
      </c>
      <c r="J470" s="29">
        <v>6.0453848732755944E-2</v>
      </c>
    </row>
    <row r="471" spans="1:10" ht="11.25" customHeight="1" x14ac:dyDescent="0.2">
      <c r="A471" s="38">
        <v>44440</v>
      </c>
      <c r="B471" s="28">
        <v>0</v>
      </c>
      <c r="C471" s="28">
        <v>0</v>
      </c>
      <c r="D471" s="28">
        <v>57.536119999999997</v>
      </c>
      <c r="E471" s="28">
        <v>68.837498264815366</v>
      </c>
      <c r="F471" s="28">
        <v>37.998800000000003</v>
      </c>
      <c r="G471" s="28">
        <v>32.472875337560552</v>
      </c>
      <c r="H471" s="29">
        <v>0.19642232157495787</v>
      </c>
      <c r="I471" s="29">
        <v>-0.14542366239037685</v>
      </c>
      <c r="J471" s="29">
        <v>6.0453848732755722E-2</v>
      </c>
    </row>
    <row r="472" spans="1:10" ht="11.25" customHeight="1" x14ac:dyDescent="0.2">
      <c r="A472" s="38">
        <v>44470</v>
      </c>
      <c r="B472" s="28">
        <v>0</v>
      </c>
      <c r="C472" s="28">
        <v>0</v>
      </c>
      <c r="D472" s="28">
        <v>11.226559999999999</v>
      </c>
      <c r="E472" s="28">
        <v>13.431706978500559</v>
      </c>
      <c r="F472" s="28">
        <v>7.4143999999999997</v>
      </c>
      <c r="G472" s="28">
        <v>6.336170797572791</v>
      </c>
      <c r="H472" s="29">
        <v>0.19642232157495787</v>
      </c>
      <c r="I472" s="29">
        <v>-0.14542366239037663</v>
      </c>
      <c r="J472" s="29">
        <v>6.0453848732755722E-2</v>
      </c>
    </row>
    <row r="473" spans="1:10" ht="11.25" customHeight="1" x14ac:dyDescent="0.2">
      <c r="A473" s="38">
        <v>44501</v>
      </c>
      <c r="B473" s="28">
        <v>0</v>
      </c>
      <c r="C473" s="28">
        <v>0</v>
      </c>
      <c r="D473" s="28">
        <v>10.875729999999999</v>
      </c>
      <c r="E473" s="28">
        <v>13.011966135422416</v>
      </c>
      <c r="F473" s="28">
        <v>7.1826999999999996</v>
      </c>
      <c r="G473" s="28">
        <v>6.1381654601486408</v>
      </c>
      <c r="H473" s="29">
        <v>0.19642232157495787</v>
      </c>
      <c r="I473" s="29">
        <v>-0.14542366239037674</v>
      </c>
      <c r="J473" s="29">
        <v>6.0453848732755722E-2</v>
      </c>
    </row>
    <row r="474" spans="1:10" ht="11.25" customHeight="1" x14ac:dyDescent="0.2">
      <c r="A474" s="38">
        <v>44531</v>
      </c>
      <c r="B474" s="28">
        <v>0</v>
      </c>
      <c r="C474" s="28">
        <v>0</v>
      </c>
      <c r="D474" s="28">
        <v>11.92822</v>
      </c>
      <c r="E474" s="28">
        <v>14.271188664656846</v>
      </c>
      <c r="F474" s="28">
        <v>7.8778000000000006</v>
      </c>
      <c r="G474" s="28">
        <v>6.7321814724210904</v>
      </c>
      <c r="H474" s="29">
        <v>0.19642232157495809</v>
      </c>
      <c r="I474" s="29">
        <v>-0.14542366239037674</v>
      </c>
      <c r="J474" s="29">
        <v>6.0453848732755944E-2</v>
      </c>
    </row>
    <row r="475" spans="1:10" ht="11.25" customHeight="1" x14ac:dyDescent="0.2">
      <c r="A475" s="38">
        <v>44562</v>
      </c>
      <c r="B475" s="28">
        <v>0</v>
      </c>
      <c r="C475" s="28">
        <v>0</v>
      </c>
      <c r="D475" s="28">
        <v>12.27905</v>
      </c>
      <c r="E475" s="28">
        <v>14.690929507734987</v>
      </c>
      <c r="F475" s="28">
        <v>8.1095000000000006</v>
      </c>
      <c r="G475" s="28">
        <v>6.9301868098452406</v>
      </c>
      <c r="H475" s="29">
        <v>0.19642232157495787</v>
      </c>
      <c r="I475" s="29">
        <v>-0.14542366239037674</v>
      </c>
      <c r="J475" s="29">
        <v>6.0453848732755722E-2</v>
      </c>
    </row>
    <row r="476" spans="1:10" ht="11.25" customHeight="1" x14ac:dyDescent="0.2">
      <c r="A476" s="38">
        <v>44593</v>
      </c>
      <c r="B476" s="28">
        <v>0</v>
      </c>
      <c r="C476" s="28">
        <v>0</v>
      </c>
      <c r="D476" s="28">
        <v>15.787349999999998</v>
      </c>
      <c r="E476" s="28">
        <v>18.888337938516411</v>
      </c>
      <c r="F476" s="28">
        <v>10.426499999999999</v>
      </c>
      <c r="G476" s="28">
        <v>8.9102401840867369</v>
      </c>
      <c r="H476" s="29">
        <v>0.19642232157495809</v>
      </c>
      <c r="I476" s="29">
        <v>-0.14542366239037663</v>
      </c>
      <c r="J476" s="29">
        <v>6.0453848732755722E-2</v>
      </c>
    </row>
    <row r="477" spans="1:10" ht="11.25" customHeight="1" x14ac:dyDescent="0.2">
      <c r="A477" s="38">
        <v>44621</v>
      </c>
      <c r="B477" s="28">
        <v>0</v>
      </c>
      <c r="C477" s="28">
        <v>0</v>
      </c>
      <c r="D477" s="28">
        <v>15.787349999999998</v>
      </c>
      <c r="E477" s="28">
        <v>18.888337938516411</v>
      </c>
      <c r="F477" s="28">
        <v>10.426499999999999</v>
      </c>
      <c r="G477" s="28">
        <v>8.9102401840867369</v>
      </c>
      <c r="H477" s="29">
        <v>0.19642232157495809</v>
      </c>
      <c r="I477" s="29">
        <v>-0.14542366239037663</v>
      </c>
      <c r="J477" s="29">
        <v>6.0453848732755722E-2</v>
      </c>
    </row>
    <row r="478" spans="1:10" ht="11.25" customHeight="1" x14ac:dyDescent="0.2">
      <c r="A478" s="38">
        <v>44652</v>
      </c>
      <c r="B478" s="28">
        <v>0</v>
      </c>
      <c r="C478" s="28">
        <v>0</v>
      </c>
      <c r="D478" s="28">
        <v>16.48901</v>
      </c>
      <c r="E478" s="28">
        <v>19.727819624672694</v>
      </c>
      <c r="F478" s="28">
        <v>10.889899999999999</v>
      </c>
      <c r="G478" s="28">
        <v>9.3062508589350355</v>
      </c>
      <c r="H478" s="29">
        <v>0.19642232157495765</v>
      </c>
      <c r="I478" s="29">
        <v>-0.14542366239037674</v>
      </c>
      <c r="J478" s="29">
        <v>6.0453848732755722E-2</v>
      </c>
    </row>
    <row r="479" spans="1:10" ht="11.25" customHeight="1" x14ac:dyDescent="0.2">
      <c r="A479" s="37" t="s">
        <v>35</v>
      </c>
      <c r="B479" s="28">
        <v>0</v>
      </c>
      <c r="C479" s="28">
        <v>0</v>
      </c>
      <c r="D479" s="28">
        <v>423.65355</v>
      </c>
      <c r="E479" s="28">
        <v>489.85679258325638</v>
      </c>
      <c r="F479" s="28">
        <v>182.81130000000002</v>
      </c>
      <c r="G479" s="28">
        <v>156.22621122765412</v>
      </c>
      <c r="H479" s="29">
        <v>0.15626740902621106</v>
      </c>
      <c r="I479" s="29">
        <v>-0.14542366239037685</v>
      </c>
      <c r="J479" s="29">
        <v>6.5326380928606875E-2</v>
      </c>
    </row>
    <row r="480" spans="1:10" ht="11.25" customHeight="1" x14ac:dyDescent="0.2">
      <c r="A480" s="38">
        <v>44317</v>
      </c>
      <c r="B480" s="28">
        <v>0</v>
      </c>
      <c r="C480" s="28">
        <v>0</v>
      </c>
      <c r="D480" s="28">
        <v>32.753950000000003</v>
      </c>
      <c r="E480" s="28">
        <v>37.872324901874059</v>
      </c>
      <c r="F480" s="28">
        <v>14.133699999999999</v>
      </c>
      <c r="G480" s="28">
        <v>12.078325582873131</v>
      </c>
      <c r="H480" s="29">
        <v>0.15626740902621084</v>
      </c>
      <c r="I480" s="29">
        <v>-0.14542366239037685</v>
      </c>
      <c r="J480" s="29">
        <v>6.5326380928606653E-2</v>
      </c>
    </row>
    <row r="481" spans="1:10" ht="11.25" customHeight="1" x14ac:dyDescent="0.2">
      <c r="A481" s="38">
        <v>44348</v>
      </c>
      <c r="B481" s="28">
        <v>0</v>
      </c>
      <c r="C481" s="28">
        <v>0</v>
      </c>
      <c r="D481" s="28">
        <v>40.271250000000002</v>
      </c>
      <c r="E481" s="28">
        <v>46.564333895746799</v>
      </c>
      <c r="F481" s="28">
        <v>17.377499999999998</v>
      </c>
      <c r="G481" s="28">
        <v>14.850400306811228</v>
      </c>
      <c r="H481" s="29">
        <v>0.15626740902621084</v>
      </c>
      <c r="I481" s="29">
        <v>-0.14542366239037663</v>
      </c>
      <c r="J481" s="29">
        <v>6.5326380928606875E-2</v>
      </c>
    </row>
    <row r="482" spans="1:10" ht="11.25" customHeight="1" x14ac:dyDescent="0.2">
      <c r="A482" s="38">
        <v>44378</v>
      </c>
      <c r="B482" s="28">
        <v>0</v>
      </c>
      <c r="C482" s="28">
        <v>0</v>
      </c>
      <c r="D482" s="28">
        <v>34.901750000000007</v>
      </c>
      <c r="E482" s="28">
        <v>40.355756042980559</v>
      </c>
      <c r="F482" s="28">
        <v>15.060499999999999</v>
      </c>
      <c r="G482" s="28">
        <v>12.870346932569731</v>
      </c>
      <c r="H482" s="29">
        <v>0.15626740902621084</v>
      </c>
      <c r="I482" s="29">
        <v>-0.14542366239037674</v>
      </c>
      <c r="J482" s="29">
        <v>6.5326380928606875E-2</v>
      </c>
    </row>
    <row r="483" spans="1:10" ht="11.25" customHeight="1" x14ac:dyDescent="0.2">
      <c r="A483" s="38">
        <v>44409</v>
      </c>
      <c r="B483" s="28">
        <v>0</v>
      </c>
      <c r="C483" s="28">
        <v>0</v>
      </c>
      <c r="D483" s="28">
        <v>42.419050000000006</v>
      </c>
      <c r="E483" s="28">
        <v>49.047765036853292</v>
      </c>
      <c r="F483" s="28">
        <v>18.304299999999998</v>
      </c>
      <c r="G483" s="28">
        <v>15.642421656507826</v>
      </c>
      <c r="H483" s="29">
        <v>0.15626740902621084</v>
      </c>
      <c r="I483" s="29">
        <v>-0.14542366239037663</v>
      </c>
      <c r="J483" s="29">
        <v>6.5326380928606653E-2</v>
      </c>
    </row>
    <row r="484" spans="1:10" ht="11.25" customHeight="1" x14ac:dyDescent="0.2">
      <c r="A484" s="38">
        <v>44440</v>
      </c>
      <c r="B484" s="28">
        <v>0</v>
      </c>
      <c r="C484" s="28">
        <v>0</v>
      </c>
      <c r="D484" s="28">
        <v>38.123449999999998</v>
      </c>
      <c r="E484" s="28">
        <v>44.080902754640299</v>
      </c>
      <c r="F484" s="28">
        <v>16.450699999999998</v>
      </c>
      <c r="G484" s="28">
        <v>14.058378957114627</v>
      </c>
      <c r="H484" s="29">
        <v>0.15626740902621084</v>
      </c>
      <c r="I484" s="29">
        <v>-0.14542366239037674</v>
      </c>
      <c r="J484" s="29">
        <v>6.5326380928606875E-2</v>
      </c>
    </row>
    <row r="485" spans="1:10" ht="11.25" customHeight="1" x14ac:dyDescent="0.2">
      <c r="A485" s="38">
        <v>44470</v>
      </c>
      <c r="B485" s="28">
        <v>0</v>
      </c>
      <c r="C485" s="28">
        <v>0</v>
      </c>
      <c r="D485" s="28">
        <v>33.290900000000001</v>
      </c>
      <c r="E485" s="28">
        <v>38.493182687150686</v>
      </c>
      <c r="F485" s="28">
        <v>14.365399999999999</v>
      </c>
      <c r="G485" s="28">
        <v>12.276330920297282</v>
      </c>
      <c r="H485" s="29">
        <v>0.15626740902621084</v>
      </c>
      <c r="I485" s="29">
        <v>-0.14542366239037674</v>
      </c>
      <c r="J485" s="29">
        <v>6.5326380928606875E-2</v>
      </c>
    </row>
    <row r="486" spans="1:10" ht="11.25" customHeight="1" x14ac:dyDescent="0.2">
      <c r="A486" s="38">
        <v>44501</v>
      </c>
      <c r="B486" s="28">
        <v>0</v>
      </c>
      <c r="C486" s="28">
        <v>0</v>
      </c>
      <c r="D486" s="28">
        <v>26.310550000000003</v>
      </c>
      <c r="E486" s="28">
        <v>30.422031478554576</v>
      </c>
      <c r="F486" s="28">
        <v>11.353299999999999</v>
      </c>
      <c r="G486" s="28">
        <v>9.7022615337833358</v>
      </c>
      <c r="H486" s="29">
        <v>0.15626740902621084</v>
      </c>
      <c r="I486" s="29">
        <v>-0.14542366239037663</v>
      </c>
      <c r="J486" s="29">
        <v>6.5326380928606875E-2</v>
      </c>
    </row>
    <row r="487" spans="1:10" ht="11.25" customHeight="1" x14ac:dyDescent="0.2">
      <c r="A487" s="38">
        <v>44531</v>
      </c>
      <c r="B487" s="28">
        <v>0</v>
      </c>
      <c r="C487" s="28">
        <v>0</v>
      </c>
      <c r="D487" s="28">
        <v>26.310550000000003</v>
      </c>
      <c r="E487" s="28">
        <v>30.422031478554576</v>
      </c>
      <c r="F487" s="28">
        <v>11.353299999999999</v>
      </c>
      <c r="G487" s="28">
        <v>9.7022615337833358</v>
      </c>
      <c r="H487" s="29">
        <v>0.15626740902621084</v>
      </c>
      <c r="I487" s="29">
        <v>-0.14542366239037663</v>
      </c>
      <c r="J487" s="29">
        <v>6.5326380928606875E-2</v>
      </c>
    </row>
    <row r="488" spans="1:10" ht="11.25" customHeight="1" x14ac:dyDescent="0.2">
      <c r="A488" s="38">
        <v>44562</v>
      </c>
      <c r="B488" s="28">
        <v>0</v>
      </c>
      <c r="C488" s="28">
        <v>0</v>
      </c>
      <c r="D488" s="28">
        <v>29.532250000000001</v>
      </c>
      <c r="E488" s="28">
        <v>34.147178190214319</v>
      </c>
      <c r="F488" s="28">
        <v>12.743499999999999</v>
      </c>
      <c r="G488" s="28">
        <v>10.890293558328233</v>
      </c>
      <c r="H488" s="29">
        <v>0.15626740902621084</v>
      </c>
      <c r="I488" s="29">
        <v>-0.14542366239037674</v>
      </c>
      <c r="J488" s="29">
        <v>6.5326380928606875E-2</v>
      </c>
    </row>
    <row r="489" spans="1:10" ht="11.25" customHeight="1" x14ac:dyDescent="0.2">
      <c r="A489" s="38">
        <v>44593</v>
      </c>
      <c r="B489" s="28">
        <v>0</v>
      </c>
      <c r="C489" s="28">
        <v>0</v>
      </c>
      <c r="D489" s="28">
        <v>35.438700000000004</v>
      </c>
      <c r="E489" s="28">
        <v>40.976613828257186</v>
      </c>
      <c r="F489" s="28">
        <v>15.292199999999999</v>
      </c>
      <c r="G489" s="28">
        <v>13.068352269993881</v>
      </c>
      <c r="H489" s="29">
        <v>0.15626740902621084</v>
      </c>
      <c r="I489" s="29">
        <v>-0.14542366239037674</v>
      </c>
      <c r="J489" s="29">
        <v>6.5326380928606875E-2</v>
      </c>
    </row>
    <row r="490" spans="1:10" ht="11.25" customHeight="1" x14ac:dyDescent="0.2">
      <c r="A490" s="38">
        <v>44621</v>
      </c>
      <c r="B490" s="28">
        <v>0</v>
      </c>
      <c r="C490" s="28">
        <v>0</v>
      </c>
      <c r="D490" s="28">
        <v>42.956000000000003</v>
      </c>
      <c r="E490" s="28">
        <v>49.668622822129919</v>
      </c>
      <c r="F490" s="28">
        <v>18.535999999999998</v>
      </c>
      <c r="G490" s="28">
        <v>15.840426993931976</v>
      </c>
      <c r="H490" s="29">
        <v>0.15626740902621084</v>
      </c>
      <c r="I490" s="29">
        <v>-0.14542366239037674</v>
      </c>
      <c r="J490" s="29">
        <v>6.5326380928606653E-2</v>
      </c>
    </row>
    <row r="491" spans="1:10" ht="11.25" customHeight="1" x14ac:dyDescent="0.2">
      <c r="A491" s="38">
        <v>44652</v>
      </c>
      <c r="B491" s="28">
        <v>0</v>
      </c>
      <c r="C491" s="28">
        <v>0</v>
      </c>
      <c r="D491" s="28">
        <v>41.345150000000004</v>
      </c>
      <c r="E491" s="28">
        <v>47.806049466300045</v>
      </c>
      <c r="F491" s="28">
        <v>17.840899999999998</v>
      </c>
      <c r="G491" s="28">
        <v>15.246410981659526</v>
      </c>
      <c r="H491" s="29">
        <v>0.15626740902621084</v>
      </c>
      <c r="I491" s="29">
        <v>-0.14542366239037674</v>
      </c>
      <c r="J491" s="29">
        <v>6.5326380928606875E-2</v>
      </c>
    </row>
    <row r="492" spans="1:10" ht="11.25" customHeight="1" x14ac:dyDescent="0.2">
      <c r="A492" s="32" t="s">
        <v>23</v>
      </c>
      <c r="B492" s="28">
        <v>0</v>
      </c>
      <c r="C492" s="28">
        <v>0</v>
      </c>
      <c r="D492" s="28">
        <v>8724796.4523600005</v>
      </c>
      <c r="E492" s="28">
        <v>10900075.660198599</v>
      </c>
      <c r="F492" s="28">
        <v>8393337.5047200006</v>
      </c>
      <c r="G492" s="28">
        <v>7172747.6251051109</v>
      </c>
      <c r="H492" s="29">
        <v>0.24932148500154416</v>
      </c>
      <c r="I492" s="29">
        <v>-0.14542366239037641</v>
      </c>
      <c r="J492" s="29">
        <v>5.5770642443702556E-2</v>
      </c>
    </row>
    <row r="493" spans="1:10" ht="11.25" customHeight="1" x14ac:dyDescent="0.2">
      <c r="A493" s="33" t="s">
        <v>44</v>
      </c>
      <c r="B493" s="28">
        <v>0</v>
      </c>
      <c r="C493" s="28">
        <v>0</v>
      </c>
      <c r="D493" s="28">
        <v>8724796.4523600005</v>
      </c>
      <c r="E493" s="28">
        <v>10900075.660198599</v>
      </c>
      <c r="F493" s="28">
        <v>8393337.5047200006</v>
      </c>
      <c r="G493" s="28">
        <v>7172747.6251051109</v>
      </c>
      <c r="H493" s="29">
        <v>0.24932148500154416</v>
      </c>
      <c r="I493" s="29">
        <v>-0.14542366239037641</v>
      </c>
      <c r="J493" s="29">
        <v>5.5770642443702556E-2</v>
      </c>
    </row>
    <row r="494" spans="1:10" ht="11.25" customHeight="1" x14ac:dyDescent="0.2">
      <c r="A494" s="34" t="s">
        <v>53</v>
      </c>
      <c r="B494" s="28">
        <v>0</v>
      </c>
      <c r="C494" s="28">
        <v>0</v>
      </c>
      <c r="D494" s="28">
        <v>161031.53928</v>
      </c>
      <c r="E494" s="28">
        <v>201180.16178537408</v>
      </c>
      <c r="F494" s="28">
        <v>154913.87856000001</v>
      </c>
      <c r="G494" s="28">
        <v>132385.73498470671</v>
      </c>
      <c r="H494" s="29">
        <v>0.24932148500154372</v>
      </c>
      <c r="I494" s="29">
        <v>-0.14542366239037718</v>
      </c>
      <c r="J494" s="29">
        <v>5.5770642443702112E-2</v>
      </c>
    </row>
    <row r="495" spans="1:10" ht="11.25" customHeight="1" x14ac:dyDescent="0.2">
      <c r="A495" s="35" t="s">
        <v>54</v>
      </c>
      <c r="B495" s="28">
        <v>0</v>
      </c>
      <c r="C495" s="28">
        <v>0</v>
      </c>
      <c r="D495" s="28">
        <v>138904.69795</v>
      </c>
      <c r="E495" s="28">
        <v>173536.62351658495</v>
      </c>
      <c r="F495" s="28">
        <v>133627.64589999997</v>
      </c>
      <c r="G495" s="28">
        <v>114195.0242366176</v>
      </c>
      <c r="H495" s="29">
        <v>0.24932148500154372</v>
      </c>
      <c r="I495" s="29">
        <v>-0.14542366239037685</v>
      </c>
      <c r="J495" s="29">
        <v>5.5770642443702112E-2</v>
      </c>
    </row>
    <row r="496" spans="1:10" ht="11.25" customHeight="1" x14ac:dyDescent="0.2">
      <c r="A496" s="36" t="s">
        <v>25</v>
      </c>
      <c r="B496" s="28">
        <v>0</v>
      </c>
      <c r="C496" s="28">
        <v>0</v>
      </c>
      <c r="D496" s="28">
        <v>138904.69795</v>
      </c>
      <c r="E496" s="28">
        <v>173536.62351658495</v>
      </c>
      <c r="F496" s="28">
        <v>133627.64589999997</v>
      </c>
      <c r="G496" s="28">
        <v>114195.0242366176</v>
      </c>
      <c r="H496" s="29">
        <v>0.24932148500154372</v>
      </c>
      <c r="I496" s="29">
        <v>-0.14542366239037685</v>
      </c>
      <c r="J496" s="29">
        <v>5.5770642443702112E-2</v>
      </c>
    </row>
    <row r="497" spans="1:10" ht="11.25" customHeight="1" x14ac:dyDescent="0.2">
      <c r="A497" s="37" t="s">
        <v>25</v>
      </c>
      <c r="B497" s="28">
        <v>0</v>
      </c>
      <c r="C497" s="28">
        <v>0</v>
      </c>
      <c r="D497" s="28">
        <v>138904.69795</v>
      </c>
      <c r="E497" s="28">
        <v>173536.62351658495</v>
      </c>
      <c r="F497" s="28">
        <v>133627.64589999997</v>
      </c>
      <c r="G497" s="28">
        <v>114195.0242366176</v>
      </c>
      <c r="H497" s="29">
        <v>0.24932148500154372</v>
      </c>
      <c r="I497" s="29">
        <v>-0.14542366239037685</v>
      </c>
      <c r="J497" s="29">
        <v>5.5770642443702112E-2</v>
      </c>
    </row>
    <row r="498" spans="1:10" ht="11.25" customHeight="1" x14ac:dyDescent="0.2">
      <c r="A498" s="38">
        <v>44317</v>
      </c>
      <c r="B498" s="28">
        <v>0</v>
      </c>
      <c r="C498" s="28">
        <v>0</v>
      </c>
      <c r="D498" s="28">
        <v>13386.9247</v>
      </c>
      <c r="E498" s="28">
        <v>16724.57264580785</v>
      </c>
      <c r="F498" s="28">
        <v>12878.349399999999</v>
      </c>
      <c r="G498" s="28">
        <v>11005.53266470909</v>
      </c>
      <c r="H498" s="29">
        <v>0.24932148500154416</v>
      </c>
      <c r="I498" s="29">
        <v>-0.14542366239037663</v>
      </c>
      <c r="J498" s="29">
        <v>5.5770642443702556E-2</v>
      </c>
    </row>
    <row r="499" spans="1:10" ht="11.25" customHeight="1" x14ac:dyDescent="0.2">
      <c r="A499" s="38">
        <v>44348</v>
      </c>
      <c r="B499" s="28">
        <v>0</v>
      </c>
      <c r="C499" s="28">
        <v>0</v>
      </c>
      <c r="D499" s="28">
        <v>13041.0641</v>
      </c>
      <c r="E499" s="28">
        <v>16292.481567412326</v>
      </c>
      <c r="F499" s="28">
        <v>12545.628199999999</v>
      </c>
      <c r="G499" s="28">
        <v>10721.197000168009</v>
      </c>
      <c r="H499" s="29">
        <v>0.24932148500154416</v>
      </c>
      <c r="I499" s="29">
        <v>-0.14542366239037674</v>
      </c>
      <c r="J499" s="29">
        <v>5.5770642443702334E-2</v>
      </c>
    </row>
    <row r="500" spans="1:10" ht="11.25" customHeight="1" x14ac:dyDescent="0.2">
      <c r="A500" s="38">
        <v>44378</v>
      </c>
      <c r="B500" s="28">
        <v>0</v>
      </c>
      <c r="C500" s="28">
        <v>0</v>
      </c>
      <c r="D500" s="28">
        <v>10896.77655</v>
      </c>
      <c r="E500" s="28">
        <v>13613.577061176004</v>
      </c>
      <c r="F500" s="28">
        <v>10482.803099999999</v>
      </c>
      <c r="G500" s="28">
        <v>8958.3554810808055</v>
      </c>
      <c r="H500" s="29">
        <v>0.24932148500154416</v>
      </c>
      <c r="I500" s="29">
        <v>-0.14542366239037663</v>
      </c>
      <c r="J500" s="29">
        <v>5.5770642443702556E-2</v>
      </c>
    </row>
    <row r="501" spans="1:10" ht="11.25" customHeight="1" x14ac:dyDescent="0.2">
      <c r="A501" s="38">
        <v>44409</v>
      </c>
      <c r="B501" s="28">
        <v>0</v>
      </c>
      <c r="C501" s="28">
        <v>0</v>
      </c>
      <c r="D501" s="28">
        <v>14300.468749999998</v>
      </c>
      <c r="E501" s="28">
        <v>17865.882854968175</v>
      </c>
      <c r="F501" s="28">
        <v>13757.1875</v>
      </c>
      <c r="G501" s="28">
        <v>11756.566909558887</v>
      </c>
      <c r="H501" s="29">
        <v>0.24932148500154416</v>
      </c>
      <c r="I501" s="29">
        <v>-0.14542366239037685</v>
      </c>
      <c r="J501" s="29">
        <v>5.5770642443702334E-2</v>
      </c>
    </row>
    <row r="502" spans="1:10" ht="11.25" customHeight="1" x14ac:dyDescent="0.2">
      <c r="A502" s="38">
        <v>44440</v>
      </c>
      <c r="B502" s="28">
        <v>0</v>
      </c>
      <c r="C502" s="28">
        <v>0</v>
      </c>
      <c r="D502" s="28">
        <v>22267.305050000003</v>
      </c>
      <c r="E502" s="28">
        <v>27819.022612048382</v>
      </c>
      <c r="F502" s="28">
        <v>21421.360099999998</v>
      </c>
      <c r="G502" s="28">
        <v>18306.187460874913</v>
      </c>
      <c r="H502" s="29">
        <v>0.24932148500154394</v>
      </c>
      <c r="I502" s="29">
        <v>-0.14542366239037663</v>
      </c>
      <c r="J502" s="29">
        <v>5.5770642443702334E-2</v>
      </c>
    </row>
    <row r="503" spans="1:10" ht="11.25" customHeight="1" x14ac:dyDescent="0.2">
      <c r="A503" s="38">
        <v>44470</v>
      </c>
      <c r="B503" s="28">
        <v>0</v>
      </c>
      <c r="C503" s="28">
        <v>0</v>
      </c>
      <c r="D503" s="28">
        <v>17872.996800000001</v>
      </c>
      <c r="E503" s="28">
        <v>22329.118903603849</v>
      </c>
      <c r="F503" s="28">
        <v>17193.993599999998</v>
      </c>
      <c r="G503" s="28">
        <v>14693.580079571302</v>
      </c>
      <c r="H503" s="29">
        <v>0.24932148500154416</v>
      </c>
      <c r="I503" s="29">
        <v>-0.14542366239037663</v>
      </c>
      <c r="J503" s="29">
        <v>5.5770642443702778E-2</v>
      </c>
    </row>
    <row r="504" spans="1:10" ht="11.25" customHeight="1" x14ac:dyDescent="0.2">
      <c r="A504" s="38">
        <v>44501</v>
      </c>
      <c r="B504" s="28">
        <v>0</v>
      </c>
      <c r="C504" s="28">
        <v>0</v>
      </c>
      <c r="D504" s="28">
        <v>6902.7609999999995</v>
      </c>
      <c r="E504" s="28">
        <v>8623.7676231307414</v>
      </c>
      <c r="F504" s="28">
        <v>6640.521999999999</v>
      </c>
      <c r="G504" s="28">
        <v>5674.8329705761298</v>
      </c>
      <c r="H504" s="29">
        <v>0.24932148500154394</v>
      </c>
      <c r="I504" s="29">
        <v>-0.14542366239037674</v>
      </c>
      <c r="J504" s="29">
        <v>5.5770642443702334E-2</v>
      </c>
    </row>
    <row r="505" spans="1:10" ht="11.25" customHeight="1" x14ac:dyDescent="0.2">
      <c r="A505" s="38">
        <v>44531</v>
      </c>
      <c r="B505" s="28">
        <v>0</v>
      </c>
      <c r="C505" s="28">
        <v>0</v>
      </c>
      <c r="D505" s="28">
        <v>7408.5460000000003</v>
      </c>
      <c r="E505" s="28">
        <v>9255.6556904222489</v>
      </c>
      <c r="F505" s="28">
        <v>7127.0919999999996</v>
      </c>
      <c r="G505" s="28">
        <v>6090.6441791668449</v>
      </c>
      <c r="H505" s="29">
        <v>0.24932148500154394</v>
      </c>
      <c r="I505" s="29">
        <v>-0.14542366239037674</v>
      </c>
      <c r="J505" s="29">
        <v>5.5770642443702334E-2</v>
      </c>
    </row>
    <row r="506" spans="1:10" ht="11.25" customHeight="1" x14ac:dyDescent="0.2">
      <c r="A506" s="38">
        <v>44562</v>
      </c>
      <c r="B506" s="28">
        <v>0</v>
      </c>
      <c r="C506" s="28">
        <v>0</v>
      </c>
      <c r="D506" s="28">
        <v>7157.8211499999998</v>
      </c>
      <c r="E506" s="28">
        <v>8942.4197484934593</v>
      </c>
      <c r="F506" s="28">
        <v>6885.8922999999995</v>
      </c>
      <c r="G506" s="28">
        <v>5884.5206229083051</v>
      </c>
      <c r="H506" s="29">
        <v>0.24932148500154394</v>
      </c>
      <c r="I506" s="29">
        <v>-0.14542366239037674</v>
      </c>
      <c r="J506" s="29">
        <v>5.5770642443702556E-2</v>
      </c>
    </row>
    <row r="507" spans="1:10" ht="11.25" customHeight="1" x14ac:dyDescent="0.2">
      <c r="A507" s="38">
        <v>44593</v>
      </c>
      <c r="B507" s="28">
        <v>0</v>
      </c>
      <c r="C507" s="28">
        <v>0</v>
      </c>
      <c r="D507" s="28">
        <v>6985.8542500000003</v>
      </c>
      <c r="E507" s="28">
        <v>8727.5778056143481</v>
      </c>
      <c r="F507" s="28">
        <v>6720.4584999999997</v>
      </c>
      <c r="G507" s="28">
        <v>5743.1448119874622</v>
      </c>
      <c r="H507" s="29">
        <v>0.24932148500154394</v>
      </c>
      <c r="I507" s="29">
        <v>-0.14542366239037674</v>
      </c>
      <c r="J507" s="29">
        <v>5.5770642443702334E-2</v>
      </c>
    </row>
    <row r="508" spans="1:10" ht="11.25" customHeight="1" x14ac:dyDescent="0.2">
      <c r="A508" s="38">
        <v>44621</v>
      </c>
      <c r="B508" s="28">
        <v>0</v>
      </c>
      <c r="C508" s="28">
        <v>0</v>
      </c>
      <c r="D508" s="28">
        <v>8772.9612500000003</v>
      </c>
      <c r="E508" s="28">
        <v>10960.248976711002</v>
      </c>
      <c r="F508" s="28">
        <v>8439.6725000000006</v>
      </c>
      <c r="G508" s="28">
        <v>7212.3444156746527</v>
      </c>
      <c r="H508" s="29">
        <v>0.24932148500154394</v>
      </c>
      <c r="I508" s="29">
        <v>-0.14542366239037685</v>
      </c>
      <c r="J508" s="29">
        <v>5.5770642443702334E-2</v>
      </c>
    </row>
    <row r="509" spans="1:10" ht="11.25" customHeight="1" x14ac:dyDescent="0.2">
      <c r="A509" s="38">
        <v>44652</v>
      </c>
      <c r="B509" s="28">
        <v>0</v>
      </c>
      <c r="C509" s="28">
        <v>0</v>
      </c>
      <c r="D509" s="28">
        <v>9911.218350000001</v>
      </c>
      <c r="E509" s="28">
        <v>12382.298027196553</v>
      </c>
      <c r="F509" s="28">
        <v>9534.6867000000002</v>
      </c>
      <c r="G509" s="28">
        <v>8148.1176403411846</v>
      </c>
      <c r="H509" s="29">
        <v>0.24932148500154394</v>
      </c>
      <c r="I509" s="29">
        <v>-0.14542366239037674</v>
      </c>
      <c r="J509" s="29">
        <v>5.5770642443702334E-2</v>
      </c>
    </row>
    <row r="510" spans="1:10" ht="11.25" customHeight="1" x14ac:dyDescent="0.2">
      <c r="A510" s="35" t="s">
        <v>55</v>
      </c>
      <c r="B510" s="28">
        <v>0</v>
      </c>
      <c r="C510" s="28">
        <v>0</v>
      </c>
      <c r="D510" s="28">
        <v>22126.841329999996</v>
      </c>
      <c r="E510" s="28">
        <v>27643.53826878914</v>
      </c>
      <c r="F510" s="28">
        <v>21286.232659999998</v>
      </c>
      <c r="G510" s="28">
        <v>18190.71074808915</v>
      </c>
      <c r="H510" s="29">
        <v>0.24932148500154416</v>
      </c>
      <c r="I510" s="29">
        <v>-0.14542366239037663</v>
      </c>
      <c r="J510" s="29">
        <v>5.5770642443702556E-2</v>
      </c>
    </row>
    <row r="511" spans="1:10" ht="11.25" customHeight="1" x14ac:dyDescent="0.2">
      <c r="A511" s="36" t="s">
        <v>25</v>
      </c>
      <c r="B511" s="28">
        <v>0</v>
      </c>
      <c r="C511" s="28">
        <v>0</v>
      </c>
      <c r="D511" s="28">
        <v>22126.841329999996</v>
      </c>
      <c r="E511" s="28">
        <v>27643.53826878914</v>
      </c>
      <c r="F511" s="28">
        <v>21286.232659999998</v>
      </c>
      <c r="G511" s="28">
        <v>18190.71074808915</v>
      </c>
      <c r="H511" s="29">
        <v>0.24932148500154416</v>
      </c>
      <c r="I511" s="29">
        <v>-0.14542366239037663</v>
      </c>
      <c r="J511" s="29">
        <v>5.5770642443702556E-2</v>
      </c>
    </row>
    <row r="512" spans="1:10" ht="11.25" customHeight="1" x14ac:dyDescent="0.2">
      <c r="A512" s="37" t="s">
        <v>25</v>
      </c>
      <c r="B512" s="28">
        <v>0</v>
      </c>
      <c r="C512" s="28">
        <v>0</v>
      </c>
      <c r="D512" s="28">
        <v>22126.841329999996</v>
      </c>
      <c r="E512" s="28">
        <v>27643.53826878914</v>
      </c>
      <c r="F512" s="28">
        <v>21286.232659999998</v>
      </c>
      <c r="G512" s="28">
        <v>18190.71074808915</v>
      </c>
      <c r="H512" s="29">
        <v>0.24932148500154416</v>
      </c>
      <c r="I512" s="29">
        <v>-0.14542366239037663</v>
      </c>
      <c r="J512" s="29">
        <v>5.5770642443702556E-2</v>
      </c>
    </row>
    <row r="513" spans="1:10" ht="11.25" customHeight="1" x14ac:dyDescent="0.2">
      <c r="A513" s="38">
        <v>44317</v>
      </c>
      <c r="B513" s="28">
        <v>0</v>
      </c>
      <c r="C513" s="28">
        <v>0</v>
      </c>
      <c r="D513" s="28">
        <v>2760.5263600000003</v>
      </c>
      <c r="E513" s="28">
        <v>3448.7848914611072</v>
      </c>
      <c r="F513" s="28">
        <v>2655.65272</v>
      </c>
      <c r="G513" s="28">
        <v>2269.4579754206343</v>
      </c>
      <c r="H513" s="29">
        <v>0.24932148500154394</v>
      </c>
      <c r="I513" s="29">
        <v>-0.14542366239037674</v>
      </c>
      <c r="J513" s="29">
        <v>5.5770642443702334E-2</v>
      </c>
    </row>
    <row r="514" spans="1:10" ht="11.25" customHeight="1" x14ac:dyDescent="0.2">
      <c r="A514" s="38">
        <v>44348</v>
      </c>
      <c r="B514" s="28">
        <v>0</v>
      </c>
      <c r="C514" s="28">
        <v>0</v>
      </c>
      <c r="D514" s="28">
        <v>2612.4517799999999</v>
      </c>
      <c r="E514" s="28">
        <v>3263.7921372845271</v>
      </c>
      <c r="F514" s="28">
        <v>2513.2035599999999</v>
      </c>
      <c r="G514" s="28">
        <v>2147.7242939722669</v>
      </c>
      <c r="H514" s="29">
        <v>0.24932148500154416</v>
      </c>
      <c r="I514" s="29">
        <v>-0.14542366239037674</v>
      </c>
      <c r="J514" s="29">
        <v>5.5770642443702556E-2</v>
      </c>
    </row>
    <row r="515" spans="1:10" ht="11.25" customHeight="1" x14ac:dyDescent="0.2">
      <c r="A515" s="38">
        <v>44378</v>
      </c>
      <c r="B515" s="28">
        <v>0</v>
      </c>
      <c r="C515" s="28">
        <v>0</v>
      </c>
      <c r="D515" s="28">
        <v>2269.96308</v>
      </c>
      <c r="E515" s="28">
        <v>2835.9136460042787</v>
      </c>
      <c r="F515" s="28">
        <v>2183.7261599999997</v>
      </c>
      <c r="G515" s="28">
        <v>1866.160704155126</v>
      </c>
      <c r="H515" s="29">
        <v>0.24932148500154394</v>
      </c>
      <c r="I515" s="29">
        <v>-0.14542366239037674</v>
      </c>
      <c r="J515" s="29">
        <v>5.5770642443702334E-2</v>
      </c>
    </row>
    <row r="516" spans="1:10" ht="11.25" customHeight="1" x14ac:dyDescent="0.2">
      <c r="A516" s="38">
        <v>44409</v>
      </c>
      <c r="B516" s="28">
        <v>0</v>
      </c>
      <c r="C516" s="28">
        <v>0</v>
      </c>
      <c r="D516" s="28">
        <v>3185.14491</v>
      </c>
      <c r="E516" s="28">
        <v>3979.2699689063093</v>
      </c>
      <c r="F516" s="28">
        <v>3064.1398199999999</v>
      </c>
      <c r="G516" s="28">
        <v>2618.5413852994102</v>
      </c>
      <c r="H516" s="29">
        <v>0.24932148500154394</v>
      </c>
      <c r="I516" s="29">
        <v>-0.14542366239037674</v>
      </c>
      <c r="J516" s="29">
        <v>5.5770642443702556E-2</v>
      </c>
    </row>
    <row r="517" spans="1:10" ht="11.25" customHeight="1" x14ac:dyDescent="0.2">
      <c r="A517" s="38">
        <v>44440</v>
      </c>
      <c r="B517" s="28">
        <v>0</v>
      </c>
      <c r="C517" s="28">
        <v>0</v>
      </c>
      <c r="D517" s="28">
        <v>4497.7292399999997</v>
      </c>
      <c r="E517" s="28">
        <v>5619.1097732516664</v>
      </c>
      <c r="F517" s="28">
        <v>4326.8584799999999</v>
      </c>
      <c r="G517" s="28">
        <v>3697.6308731935414</v>
      </c>
      <c r="H517" s="29">
        <v>0.24932148500154416</v>
      </c>
      <c r="I517" s="29">
        <v>-0.14542366239037674</v>
      </c>
      <c r="J517" s="29">
        <v>5.5770642443702556E-2</v>
      </c>
    </row>
    <row r="518" spans="1:10" ht="11.25" customHeight="1" x14ac:dyDescent="0.2">
      <c r="A518" s="38">
        <v>44470</v>
      </c>
      <c r="B518" s="28">
        <v>0</v>
      </c>
      <c r="C518" s="28">
        <v>0</v>
      </c>
      <c r="D518" s="28">
        <v>3026.2320799999998</v>
      </c>
      <c r="E518" s="28">
        <v>3780.7367561449114</v>
      </c>
      <c r="F518" s="28">
        <v>2911.2641599999997</v>
      </c>
      <c r="G518" s="28">
        <v>2487.8974636669564</v>
      </c>
      <c r="H518" s="29">
        <v>0.24932148500154416</v>
      </c>
      <c r="I518" s="29">
        <v>-0.14542366239037663</v>
      </c>
      <c r="J518" s="29">
        <v>5.5770642443702556E-2</v>
      </c>
    </row>
    <row r="519" spans="1:10" ht="11.25" customHeight="1" x14ac:dyDescent="0.2">
      <c r="A519" s="38">
        <v>44501</v>
      </c>
      <c r="B519" s="28">
        <v>0</v>
      </c>
      <c r="C519" s="28">
        <v>0</v>
      </c>
      <c r="D519" s="28">
        <v>477.55737999999997</v>
      </c>
      <c r="E519" s="28">
        <v>596.6226951550467</v>
      </c>
      <c r="F519" s="28">
        <v>459.41475999999994</v>
      </c>
      <c r="G519" s="28">
        <v>392.60498304460401</v>
      </c>
      <c r="H519" s="29">
        <v>0.24932148500154416</v>
      </c>
      <c r="I519" s="29">
        <v>-0.14542366239037674</v>
      </c>
      <c r="J519" s="29">
        <v>5.5770642443702556E-2</v>
      </c>
    </row>
    <row r="520" spans="1:10" ht="11.25" customHeight="1" x14ac:dyDescent="0.2">
      <c r="A520" s="38">
        <v>44531</v>
      </c>
      <c r="B520" s="28">
        <v>0</v>
      </c>
      <c r="C520" s="28">
        <v>0</v>
      </c>
      <c r="D520" s="28">
        <v>459.44545999999997</v>
      </c>
      <c r="E520" s="28">
        <v>573.99508436441749</v>
      </c>
      <c r="F520" s="28">
        <v>441.99091999999996</v>
      </c>
      <c r="G520" s="28">
        <v>377.71498167030796</v>
      </c>
      <c r="H520" s="29">
        <v>0.24932148500154416</v>
      </c>
      <c r="I520" s="29">
        <v>-0.14542366239037674</v>
      </c>
      <c r="J520" s="29">
        <v>5.5770642443702556E-2</v>
      </c>
    </row>
    <row r="521" spans="1:10" ht="11.25" customHeight="1" x14ac:dyDescent="0.2">
      <c r="A521" s="38">
        <v>44562</v>
      </c>
      <c r="B521" s="28">
        <v>0</v>
      </c>
      <c r="C521" s="28">
        <v>0</v>
      </c>
      <c r="D521" s="28">
        <v>499.81192000000004</v>
      </c>
      <c r="E521" s="28">
        <v>624.42577011587298</v>
      </c>
      <c r="F521" s="28">
        <v>480.82384000000002</v>
      </c>
      <c r="G521" s="28">
        <v>410.90067622259551</v>
      </c>
      <c r="H521" s="29">
        <v>0.24932148500154394</v>
      </c>
      <c r="I521" s="29">
        <v>-0.14542366239037674</v>
      </c>
      <c r="J521" s="29">
        <v>5.5770642443702334E-2</v>
      </c>
    </row>
    <row r="522" spans="1:10" ht="11.25" customHeight="1" x14ac:dyDescent="0.2">
      <c r="A522" s="38">
        <v>44593</v>
      </c>
      <c r="B522" s="28">
        <v>0</v>
      </c>
      <c r="C522" s="28">
        <v>0</v>
      </c>
      <c r="D522" s="28">
        <v>543.16491999999994</v>
      </c>
      <c r="E522" s="28">
        <v>678.58760445514486</v>
      </c>
      <c r="F522" s="28">
        <v>522.52983999999992</v>
      </c>
      <c r="G522" s="28">
        <v>446.54163695894238</v>
      </c>
      <c r="H522" s="29">
        <v>0.24932148500154416</v>
      </c>
      <c r="I522" s="29">
        <v>-0.14542366239037674</v>
      </c>
      <c r="J522" s="29">
        <v>5.5770642443702334E-2</v>
      </c>
    </row>
    <row r="523" spans="1:10" ht="11.25" customHeight="1" x14ac:dyDescent="0.2">
      <c r="A523" s="38">
        <v>44621</v>
      </c>
      <c r="B523" s="28">
        <v>0</v>
      </c>
      <c r="C523" s="28">
        <v>0</v>
      </c>
      <c r="D523" s="28">
        <v>899.71925999999996</v>
      </c>
      <c r="E523" s="28">
        <v>1124.0386019876903</v>
      </c>
      <c r="F523" s="28">
        <v>865.53851999999995</v>
      </c>
      <c r="G523" s="28">
        <v>739.66873848165358</v>
      </c>
      <c r="H523" s="29">
        <v>0.24932148500154416</v>
      </c>
      <c r="I523" s="29">
        <v>-0.14542366239037674</v>
      </c>
      <c r="J523" s="29">
        <v>5.5770642443702334E-2</v>
      </c>
    </row>
    <row r="524" spans="1:10" ht="11.25" customHeight="1" x14ac:dyDescent="0.2">
      <c r="A524" s="38">
        <v>44652</v>
      </c>
      <c r="B524" s="28">
        <v>0</v>
      </c>
      <c r="C524" s="28">
        <v>0</v>
      </c>
      <c r="D524" s="28">
        <v>895.09494000000007</v>
      </c>
      <c r="E524" s="28">
        <v>1118.261339658168</v>
      </c>
      <c r="F524" s="28">
        <v>861.08987999999999</v>
      </c>
      <c r="G524" s="28">
        <v>735.86703600311</v>
      </c>
      <c r="H524" s="29">
        <v>0.24932148500154394</v>
      </c>
      <c r="I524" s="29">
        <v>-0.14542366239037674</v>
      </c>
      <c r="J524" s="29">
        <v>5.5770642443702556E-2</v>
      </c>
    </row>
    <row r="525" spans="1:10" ht="11.25" customHeight="1" x14ac:dyDescent="0.2">
      <c r="A525" s="34" t="s">
        <v>56</v>
      </c>
      <c r="B525" s="28">
        <v>0</v>
      </c>
      <c r="C525" s="28">
        <v>0</v>
      </c>
      <c r="D525" s="28">
        <v>11437.19578</v>
      </c>
      <c r="E525" s="28">
        <v>14288.73441612299</v>
      </c>
      <c r="F525" s="28">
        <v>11002.691559999997</v>
      </c>
      <c r="G525" s="28">
        <v>9402.6398571931095</v>
      </c>
      <c r="H525" s="29">
        <v>0.24932148500154372</v>
      </c>
      <c r="I525" s="29">
        <v>-0.14542366239037685</v>
      </c>
      <c r="J525" s="29">
        <v>5.5770642443702334E-2</v>
      </c>
    </row>
    <row r="526" spans="1:10" ht="11.25" customHeight="1" x14ac:dyDescent="0.2">
      <c r="A526" s="35" t="s">
        <v>54</v>
      </c>
      <c r="B526" s="28">
        <v>0</v>
      </c>
      <c r="C526" s="28">
        <v>0</v>
      </c>
      <c r="D526" s="28">
        <v>8832.4511999999995</v>
      </c>
      <c r="E526" s="28">
        <v>11034.57104938767</v>
      </c>
      <c r="F526" s="28">
        <v>8496.902399999999</v>
      </c>
      <c r="G526" s="28">
        <v>7261.2517340184177</v>
      </c>
      <c r="H526" s="29">
        <v>0.24932148500154416</v>
      </c>
      <c r="I526" s="29">
        <v>-0.14542366239037674</v>
      </c>
      <c r="J526" s="29">
        <v>5.5770642443702556E-2</v>
      </c>
    </row>
    <row r="527" spans="1:10" ht="11.25" customHeight="1" x14ac:dyDescent="0.2">
      <c r="A527" s="36" t="s">
        <v>25</v>
      </c>
      <c r="B527" s="28">
        <v>0</v>
      </c>
      <c r="C527" s="28">
        <v>0</v>
      </c>
      <c r="D527" s="28">
        <v>8832.4511999999995</v>
      </c>
      <c r="E527" s="28">
        <v>11034.57104938767</v>
      </c>
      <c r="F527" s="28">
        <v>8496.902399999999</v>
      </c>
      <c r="G527" s="28">
        <v>7261.2517340184177</v>
      </c>
      <c r="H527" s="29">
        <v>0.24932148500154416</v>
      </c>
      <c r="I527" s="29">
        <v>-0.14542366239037674</v>
      </c>
      <c r="J527" s="29">
        <v>5.5770642443702556E-2</v>
      </c>
    </row>
    <row r="528" spans="1:10" ht="11.25" customHeight="1" x14ac:dyDescent="0.2">
      <c r="A528" s="37" t="s">
        <v>25</v>
      </c>
      <c r="B528" s="28">
        <v>0</v>
      </c>
      <c r="C528" s="28">
        <v>0</v>
      </c>
      <c r="D528" s="28">
        <v>8832.4511999999995</v>
      </c>
      <c r="E528" s="28">
        <v>11034.57104938767</v>
      </c>
      <c r="F528" s="28">
        <v>8496.902399999999</v>
      </c>
      <c r="G528" s="28">
        <v>7261.2517340184177</v>
      </c>
      <c r="H528" s="29">
        <v>0.24932148500154416</v>
      </c>
      <c r="I528" s="29">
        <v>-0.14542366239037674</v>
      </c>
      <c r="J528" s="29">
        <v>5.5770642443702556E-2</v>
      </c>
    </row>
    <row r="529" spans="1:10" ht="11.25" customHeight="1" x14ac:dyDescent="0.2">
      <c r="A529" s="38">
        <v>44317</v>
      </c>
      <c r="B529" s="28">
        <v>0</v>
      </c>
      <c r="C529" s="28">
        <v>0</v>
      </c>
      <c r="D529" s="28">
        <v>151.97635</v>
      </c>
      <c r="E529" s="28">
        <v>189.86731926711442</v>
      </c>
      <c r="F529" s="28">
        <v>146.20269999999999</v>
      </c>
      <c r="G529" s="28">
        <v>124.94136791463846</v>
      </c>
      <c r="H529" s="29">
        <v>0.24932148500154416</v>
      </c>
      <c r="I529" s="29">
        <v>-0.14542366239037674</v>
      </c>
      <c r="J529" s="29">
        <v>5.5770642443702556E-2</v>
      </c>
    </row>
    <row r="530" spans="1:10" ht="11.25" customHeight="1" x14ac:dyDescent="0.2">
      <c r="A530" s="38">
        <v>44348</v>
      </c>
      <c r="B530" s="28">
        <v>0</v>
      </c>
      <c r="C530" s="28">
        <v>0</v>
      </c>
      <c r="D530" s="28">
        <v>894.51689999999996</v>
      </c>
      <c r="E530" s="28">
        <v>1117.5391818669777</v>
      </c>
      <c r="F530" s="28">
        <v>860.53379999999993</v>
      </c>
      <c r="G530" s="28">
        <v>735.391823193292</v>
      </c>
      <c r="H530" s="29">
        <v>0.24932148500154416</v>
      </c>
      <c r="I530" s="29">
        <v>-0.14542366239037674</v>
      </c>
      <c r="J530" s="29">
        <v>5.5770642443702778E-2</v>
      </c>
    </row>
    <row r="531" spans="1:10" ht="11.25" customHeight="1" x14ac:dyDescent="0.2">
      <c r="A531" s="38">
        <v>44378</v>
      </c>
      <c r="B531" s="28">
        <v>0</v>
      </c>
      <c r="C531" s="28">
        <v>0</v>
      </c>
      <c r="D531" s="28">
        <v>868.02340000000004</v>
      </c>
      <c r="E531" s="28">
        <v>1084.4402831040893</v>
      </c>
      <c r="F531" s="28">
        <v>835.04679999999996</v>
      </c>
      <c r="G531" s="28">
        <v>713.61123607663558</v>
      </c>
      <c r="H531" s="29">
        <v>0.24932148500154394</v>
      </c>
      <c r="I531" s="29">
        <v>-0.14542366239037663</v>
      </c>
      <c r="J531" s="29">
        <v>5.5770642443702334E-2</v>
      </c>
    </row>
    <row r="532" spans="1:10" ht="11.25" customHeight="1" x14ac:dyDescent="0.2">
      <c r="A532" s="38">
        <v>44409</v>
      </c>
      <c r="B532" s="28">
        <v>0</v>
      </c>
      <c r="C532" s="28">
        <v>0</v>
      </c>
      <c r="D532" s="28">
        <v>986.0399000000001</v>
      </c>
      <c r="E532" s="28">
        <v>1231.8808321387742</v>
      </c>
      <c r="F532" s="28">
        <v>948.57979999999998</v>
      </c>
      <c r="G532" s="28">
        <v>810.63385141446895</v>
      </c>
      <c r="H532" s="29">
        <v>0.24932148500154416</v>
      </c>
      <c r="I532" s="29">
        <v>-0.14542366239037663</v>
      </c>
      <c r="J532" s="29">
        <v>5.5770642443702556E-2</v>
      </c>
    </row>
    <row r="533" spans="1:10" ht="11.25" customHeight="1" x14ac:dyDescent="0.2">
      <c r="A533" s="38">
        <v>44440</v>
      </c>
      <c r="B533" s="28">
        <v>0</v>
      </c>
      <c r="C533" s="28">
        <v>0</v>
      </c>
      <c r="D533" s="28">
        <v>945.57709999999997</v>
      </c>
      <c r="E533" s="28">
        <v>1181.3297867554536</v>
      </c>
      <c r="F533" s="28">
        <v>909.65419999999995</v>
      </c>
      <c r="G533" s="28">
        <v>777.36895472721176</v>
      </c>
      <c r="H533" s="29">
        <v>0.24932148500154416</v>
      </c>
      <c r="I533" s="29">
        <v>-0.14542366239037674</v>
      </c>
      <c r="J533" s="29">
        <v>5.5770642443702556E-2</v>
      </c>
    </row>
    <row r="534" spans="1:10" ht="11.25" customHeight="1" x14ac:dyDescent="0.2">
      <c r="A534" s="38">
        <v>44470</v>
      </c>
      <c r="B534" s="28">
        <v>0</v>
      </c>
      <c r="C534" s="28">
        <v>0</v>
      </c>
      <c r="D534" s="28">
        <v>408.9633</v>
      </c>
      <c r="E534" s="28">
        <v>510.92663726713192</v>
      </c>
      <c r="F534" s="28">
        <v>393.42659999999995</v>
      </c>
      <c r="G534" s="28">
        <v>336.21306294620621</v>
      </c>
      <c r="H534" s="29">
        <v>0.24932148500154394</v>
      </c>
      <c r="I534" s="29">
        <v>-0.14542366239037663</v>
      </c>
      <c r="J534" s="29">
        <v>5.5770642443702556E-2</v>
      </c>
    </row>
    <row r="535" spans="1:10" ht="11.25" customHeight="1" x14ac:dyDescent="0.2">
      <c r="A535" s="38">
        <v>44501</v>
      </c>
      <c r="B535" s="28">
        <v>0</v>
      </c>
      <c r="C535" s="28">
        <v>0</v>
      </c>
      <c r="D535" s="28">
        <v>893.79434999999989</v>
      </c>
      <c r="E535" s="28">
        <v>1116.6364846279898</v>
      </c>
      <c r="F535" s="28">
        <v>859.8386999999999</v>
      </c>
      <c r="G535" s="28">
        <v>734.79780718101949</v>
      </c>
      <c r="H535" s="29">
        <v>0.24932148500154416</v>
      </c>
      <c r="I535" s="29">
        <v>-0.14542366239037674</v>
      </c>
      <c r="J535" s="29">
        <v>5.5770642443702334E-2</v>
      </c>
    </row>
    <row r="536" spans="1:10" ht="11.25" customHeight="1" x14ac:dyDescent="0.2">
      <c r="A536" s="38">
        <v>44531</v>
      </c>
      <c r="B536" s="28">
        <v>0</v>
      </c>
      <c r="C536" s="28">
        <v>0</v>
      </c>
      <c r="D536" s="28">
        <v>799.14030000000002</v>
      </c>
      <c r="E536" s="28">
        <v>998.38314632057939</v>
      </c>
      <c r="F536" s="28">
        <v>768.78059999999994</v>
      </c>
      <c r="G536" s="28">
        <v>656.98170957332877</v>
      </c>
      <c r="H536" s="29">
        <v>0.24932148500154394</v>
      </c>
      <c r="I536" s="29">
        <v>-0.14542366239037663</v>
      </c>
      <c r="J536" s="29">
        <v>5.5770642443702334E-2</v>
      </c>
    </row>
    <row r="537" spans="1:10" ht="11.25" customHeight="1" x14ac:dyDescent="0.2">
      <c r="A537" s="38">
        <v>44562</v>
      </c>
      <c r="B537" s="28">
        <v>0</v>
      </c>
      <c r="C537" s="28">
        <v>0</v>
      </c>
      <c r="D537" s="28">
        <v>789.98799999999994</v>
      </c>
      <c r="E537" s="28">
        <v>986.9489812933997</v>
      </c>
      <c r="F537" s="28">
        <v>759.97599999999989</v>
      </c>
      <c r="G537" s="28">
        <v>649.45750675121099</v>
      </c>
      <c r="H537" s="29">
        <v>0.24932148500154394</v>
      </c>
      <c r="I537" s="29">
        <v>-0.14542366239037674</v>
      </c>
      <c r="J537" s="29">
        <v>5.5770642443702556E-2</v>
      </c>
    </row>
    <row r="538" spans="1:10" ht="11.25" customHeight="1" x14ac:dyDescent="0.2">
      <c r="A538" s="38">
        <v>44593</v>
      </c>
      <c r="B538" s="28">
        <v>0</v>
      </c>
      <c r="C538" s="28">
        <v>0</v>
      </c>
      <c r="D538" s="28">
        <v>708.58069999999998</v>
      </c>
      <c r="E538" s="28">
        <v>885.24509236743359</v>
      </c>
      <c r="F538" s="28">
        <v>681.66139999999996</v>
      </c>
      <c r="G538" s="28">
        <v>582.53170270184842</v>
      </c>
      <c r="H538" s="29">
        <v>0.24932148500154416</v>
      </c>
      <c r="I538" s="29">
        <v>-0.14542366239037674</v>
      </c>
      <c r="J538" s="29">
        <v>5.5770642443702334E-2</v>
      </c>
    </row>
    <row r="539" spans="1:10" ht="11.25" customHeight="1" x14ac:dyDescent="0.2">
      <c r="A539" s="38">
        <v>44621</v>
      </c>
      <c r="B539" s="28">
        <v>0</v>
      </c>
      <c r="C539" s="28">
        <v>0</v>
      </c>
      <c r="D539" s="28">
        <v>713.15684999999996</v>
      </c>
      <c r="E539" s="28">
        <v>890.96217488102332</v>
      </c>
      <c r="F539" s="28">
        <v>686.06369999999993</v>
      </c>
      <c r="G539" s="28">
        <v>586.2938041129072</v>
      </c>
      <c r="H539" s="29">
        <v>0.24932148500154394</v>
      </c>
      <c r="I539" s="29">
        <v>-0.14542366239037674</v>
      </c>
      <c r="J539" s="29">
        <v>5.5770642443702334E-2</v>
      </c>
    </row>
    <row r="540" spans="1:10" ht="11.25" customHeight="1" x14ac:dyDescent="0.2">
      <c r="A540" s="38">
        <v>44652</v>
      </c>
      <c r="B540" s="28">
        <v>0</v>
      </c>
      <c r="C540" s="28">
        <v>0</v>
      </c>
      <c r="D540" s="28">
        <v>672.69405000000006</v>
      </c>
      <c r="E540" s="28">
        <v>840.41112949770297</v>
      </c>
      <c r="F540" s="28">
        <v>647.13810000000001</v>
      </c>
      <c r="G540" s="28">
        <v>553.02890742565012</v>
      </c>
      <c r="H540" s="29">
        <v>0.24932148500154394</v>
      </c>
      <c r="I540" s="29">
        <v>-0.14542366239037674</v>
      </c>
      <c r="J540" s="29">
        <v>5.5770642443702334E-2</v>
      </c>
    </row>
    <row r="541" spans="1:10" ht="11.25" customHeight="1" x14ac:dyDescent="0.2">
      <c r="A541" s="35" t="s">
        <v>55</v>
      </c>
      <c r="B541" s="28">
        <v>0</v>
      </c>
      <c r="C541" s="28">
        <v>0</v>
      </c>
      <c r="D541" s="28">
        <v>2604.7445800000005</v>
      </c>
      <c r="E541" s="28">
        <v>3254.1633667353235</v>
      </c>
      <c r="F541" s="28">
        <v>2505.7891599999998</v>
      </c>
      <c r="G541" s="28">
        <v>2141.3881231746941</v>
      </c>
      <c r="H541" s="29">
        <v>0.24932148500154394</v>
      </c>
      <c r="I541" s="29">
        <v>-0.14542366239037674</v>
      </c>
      <c r="J541" s="29">
        <v>5.5770642443702334E-2</v>
      </c>
    </row>
    <row r="542" spans="1:10" ht="11.25" customHeight="1" x14ac:dyDescent="0.2">
      <c r="A542" s="36" t="s">
        <v>25</v>
      </c>
      <c r="B542" s="28">
        <v>0</v>
      </c>
      <c r="C542" s="28">
        <v>0</v>
      </c>
      <c r="D542" s="28">
        <v>2604.7445800000005</v>
      </c>
      <c r="E542" s="28">
        <v>3254.1633667353235</v>
      </c>
      <c r="F542" s="28">
        <v>2505.7891599999998</v>
      </c>
      <c r="G542" s="28">
        <v>2141.3881231746941</v>
      </c>
      <c r="H542" s="29">
        <v>0.24932148500154394</v>
      </c>
      <c r="I542" s="29">
        <v>-0.14542366239037674</v>
      </c>
      <c r="J542" s="29">
        <v>5.5770642443702334E-2</v>
      </c>
    </row>
    <row r="543" spans="1:10" ht="11.25" customHeight="1" x14ac:dyDescent="0.2">
      <c r="A543" s="37" t="s">
        <v>25</v>
      </c>
      <c r="B543" s="28">
        <v>0</v>
      </c>
      <c r="C543" s="28">
        <v>0</v>
      </c>
      <c r="D543" s="28">
        <v>2604.7445800000005</v>
      </c>
      <c r="E543" s="28">
        <v>3254.1633667353235</v>
      </c>
      <c r="F543" s="28">
        <v>2505.7891599999998</v>
      </c>
      <c r="G543" s="28">
        <v>2141.3881231746941</v>
      </c>
      <c r="H543" s="29">
        <v>0.24932148500154394</v>
      </c>
      <c r="I543" s="29">
        <v>-0.14542366239037674</v>
      </c>
      <c r="J543" s="29">
        <v>5.5770642443702334E-2</v>
      </c>
    </row>
    <row r="544" spans="1:10" ht="11.25" customHeight="1" x14ac:dyDescent="0.2">
      <c r="A544" s="38">
        <v>44317</v>
      </c>
      <c r="B544" s="28">
        <v>0</v>
      </c>
      <c r="C544" s="28">
        <v>0</v>
      </c>
      <c r="D544" s="28">
        <v>175.04978</v>
      </c>
      <c r="E544" s="28">
        <v>218.69345109879359</v>
      </c>
      <c r="F544" s="28">
        <v>168.39955999999998</v>
      </c>
      <c r="G544" s="28">
        <v>143.91027923987201</v>
      </c>
      <c r="H544" s="29">
        <v>0.24932148500154416</v>
      </c>
      <c r="I544" s="29">
        <v>-0.14542366239037663</v>
      </c>
      <c r="J544" s="29">
        <v>5.5770642443702556E-2</v>
      </c>
    </row>
    <row r="545" spans="1:10" ht="11.25" customHeight="1" x14ac:dyDescent="0.2">
      <c r="A545" s="38">
        <v>44348</v>
      </c>
      <c r="B545" s="28">
        <v>0</v>
      </c>
      <c r="C545" s="28">
        <v>0</v>
      </c>
      <c r="D545" s="28">
        <v>292.87360000000001</v>
      </c>
      <c r="E545" s="28">
        <v>365.8932808697482</v>
      </c>
      <c r="F545" s="28">
        <v>281.74719999999996</v>
      </c>
      <c r="G545" s="28">
        <v>240.77449030776603</v>
      </c>
      <c r="H545" s="29">
        <v>0.24932148500154394</v>
      </c>
      <c r="I545" s="29">
        <v>-0.14542366239037674</v>
      </c>
      <c r="J545" s="29">
        <v>5.5770642443702556E-2</v>
      </c>
    </row>
    <row r="546" spans="1:10" ht="11.25" customHeight="1" x14ac:dyDescent="0.2">
      <c r="A546" s="38">
        <v>44378</v>
      </c>
      <c r="B546" s="28">
        <v>0</v>
      </c>
      <c r="C546" s="28">
        <v>0</v>
      </c>
      <c r="D546" s="28">
        <v>227.16972000000001</v>
      </c>
      <c r="E546" s="28">
        <v>283.80801193778495</v>
      </c>
      <c r="F546" s="28">
        <v>218.53943999999998</v>
      </c>
      <c r="G546" s="28">
        <v>186.75863425845802</v>
      </c>
      <c r="H546" s="29">
        <v>0.24932148500154394</v>
      </c>
      <c r="I546" s="29">
        <v>-0.14542366239037663</v>
      </c>
      <c r="J546" s="29">
        <v>5.5770642443702556E-2</v>
      </c>
    </row>
    <row r="547" spans="1:10" ht="11.25" customHeight="1" x14ac:dyDescent="0.2">
      <c r="A547" s="38">
        <v>44409</v>
      </c>
      <c r="B547" s="28">
        <v>0</v>
      </c>
      <c r="C547" s="28">
        <v>0</v>
      </c>
      <c r="D547" s="28">
        <v>275.5324</v>
      </c>
      <c r="E547" s="28">
        <v>344.22854713403939</v>
      </c>
      <c r="F547" s="28">
        <v>265.06479999999999</v>
      </c>
      <c r="G547" s="28">
        <v>226.51810601322725</v>
      </c>
      <c r="H547" s="29">
        <v>0.24932148500154394</v>
      </c>
      <c r="I547" s="29">
        <v>-0.14542366239037674</v>
      </c>
      <c r="J547" s="29">
        <v>5.5770642443702556E-2</v>
      </c>
    </row>
    <row r="548" spans="1:10" ht="11.25" customHeight="1" x14ac:dyDescent="0.2">
      <c r="A548" s="38">
        <v>44440</v>
      </c>
      <c r="B548" s="28">
        <v>0</v>
      </c>
      <c r="C548" s="28">
        <v>0</v>
      </c>
      <c r="D548" s="28">
        <v>250.77301999999997</v>
      </c>
      <c r="E548" s="28">
        <v>313.29612174472186</v>
      </c>
      <c r="F548" s="28">
        <v>241.24603999999997</v>
      </c>
      <c r="G548" s="28">
        <v>206.16315732602465</v>
      </c>
      <c r="H548" s="29">
        <v>0.24932148500154394</v>
      </c>
      <c r="I548" s="29">
        <v>-0.14542366239037674</v>
      </c>
      <c r="J548" s="29">
        <v>5.5770642443702556E-2</v>
      </c>
    </row>
    <row r="549" spans="1:10" ht="11.25" customHeight="1" x14ac:dyDescent="0.2">
      <c r="A549" s="38">
        <v>44470</v>
      </c>
      <c r="B549" s="28">
        <v>0</v>
      </c>
      <c r="C549" s="28">
        <v>0</v>
      </c>
      <c r="D549" s="28">
        <v>251.92910000000001</v>
      </c>
      <c r="E549" s="28">
        <v>314.74043732710248</v>
      </c>
      <c r="F549" s="28">
        <v>242.35820000000001</v>
      </c>
      <c r="G549" s="28">
        <v>207.1135829456606</v>
      </c>
      <c r="H549" s="29">
        <v>0.24932148500154394</v>
      </c>
      <c r="I549" s="29">
        <v>-0.14542366239037674</v>
      </c>
      <c r="J549" s="29">
        <v>5.5770642443702556E-2</v>
      </c>
    </row>
    <row r="550" spans="1:10" ht="11.25" customHeight="1" x14ac:dyDescent="0.2">
      <c r="A550" s="38">
        <v>44501</v>
      </c>
      <c r="B550" s="28">
        <v>0</v>
      </c>
      <c r="C550" s="28">
        <v>0</v>
      </c>
      <c r="D550" s="28">
        <v>223.50880000000001</v>
      </c>
      <c r="E550" s="28">
        <v>279.23434592691314</v>
      </c>
      <c r="F550" s="28">
        <v>215.01759999999999</v>
      </c>
      <c r="G550" s="28">
        <v>183.74895312961092</v>
      </c>
      <c r="H550" s="29">
        <v>0.24932148500154416</v>
      </c>
      <c r="I550" s="29">
        <v>-0.14542366239037674</v>
      </c>
      <c r="J550" s="29">
        <v>5.5770642443702556E-2</v>
      </c>
    </row>
    <row r="551" spans="1:10" ht="11.25" customHeight="1" x14ac:dyDescent="0.2">
      <c r="A551" s="38">
        <v>44531</v>
      </c>
      <c r="B551" s="28">
        <v>0</v>
      </c>
      <c r="C551" s="28">
        <v>0</v>
      </c>
      <c r="D551" s="28">
        <v>207.80537999999999</v>
      </c>
      <c r="E551" s="28">
        <v>259.61572593291015</v>
      </c>
      <c r="F551" s="28">
        <v>199.91075999999998</v>
      </c>
      <c r="G551" s="28">
        <v>170.83900512955637</v>
      </c>
      <c r="H551" s="29">
        <v>0.24932148500154416</v>
      </c>
      <c r="I551" s="29">
        <v>-0.14542366239037663</v>
      </c>
      <c r="J551" s="29">
        <v>5.5770642443702334E-2</v>
      </c>
    </row>
    <row r="552" spans="1:10" ht="11.25" customHeight="1" x14ac:dyDescent="0.2">
      <c r="A552" s="38">
        <v>44562</v>
      </c>
      <c r="B552" s="28">
        <v>0</v>
      </c>
      <c r="C552" s="28">
        <v>0</v>
      </c>
      <c r="D552" s="28">
        <v>189.78980000000001</v>
      </c>
      <c r="E552" s="28">
        <v>237.10847477414606</v>
      </c>
      <c r="F552" s="28">
        <v>182.5796</v>
      </c>
      <c r="G552" s="28">
        <v>156.02820589022997</v>
      </c>
      <c r="H552" s="29">
        <v>0.24932148500154394</v>
      </c>
      <c r="I552" s="29">
        <v>-0.14542366239037674</v>
      </c>
      <c r="J552" s="29">
        <v>5.5770642443702556E-2</v>
      </c>
    </row>
    <row r="553" spans="1:10" ht="11.25" customHeight="1" x14ac:dyDescent="0.2">
      <c r="A553" s="38">
        <v>44593</v>
      </c>
      <c r="B553" s="28">
        <v>0</v>
      </c>
      <c r="C553" s="28">
        <v>0</v>
      </c>
      <c r="D553" s="28">
        <v>173.21931999999998</v>
      </c>
      <c r="E553" s="28">
        <v>216.40661809335765</v>
      </c>
      <c r="F553" s="28">
        <v>166.63863999999998</v>
      </c>
      <c r="G553" s="28">
        <v>142.40543867544847</v>
      </c>
      <c r="H553" s="29">
        <v>0.24932148500154416</v>
      </c>
      <c r="I553" s="29">
        <v>-0.14542366239037663</v>
      </c>
      <c r="J553" s="29">
        <v>5.5770642443702556E-2</v>
      </c>
    </row>
    <row r="554" spans="1:10" ht="11.25" customHeight="1" x14ac:dyDescent="0.2">
      <c r="A554" s="38">
        <v>44621</v>
      </c>
      <c r="B554" s="28">
        <v>0</v>
      </c>
      <c r="C554" s="28">
        <v>0</v>
      </c>
      <c r="D554" s="28">
        <v>171.00349999999997</v>
      </c>
      <c r="E554" s="28">
        <v>213.63834656046154</v>
      </c>
      <c r="F554" s="28">
        <v>164.50699999999998</v>
      </c>
      <c r="G554" s="28">
        <v>140.58378957114627</v>
      </c>
      <c r="H554" s="29">
        <v>0.24932148500154416</v>
      </c>
      <c r="I554" s="29">
        <v>-0.14542366239037674</v>
      </c>
      <c r="J554" s="29">
        <v>5.5770642443702556E-2</v>
      </c>
    </row>
    <row r="555" spans="1:10" ht="11.25" customHeight="1" x14ac:dyDescent="0.2">
      <c r="A555" s="38">
        <v>44652</v>
      </c>
      <c r="B555" s="28">
        <v>0</v>
      </c>
      <c r="C555" s="28">
        <v>0</v>
      </c>
      <c r="D555" s="28">
        <v>166.09016</v>
      </c>
      <c r="E555" s="28">
        <v>207.50000533534404</v>
      </c>
      <c r="F555" s="28">
        <v>159.78031999999999</v>
      </c>
      <c r="G555" s="28">
        <v>136.54448068769364</v>
      </c>
      <c r="H555" s="29">
        <v>0.24932148500154394</v>
      </c>
      <c r="I555" s="29">
        <v>-0.14542366239037674</v>
      </c>
      <c r="J555" s="29">
        <v>5.5770642443702556E-2</v>
      </c>
    </row>
    <row r="556" spans="1:10" ht="11.25" customHeight="1" x14ac:dyDescent="0.2">
      <c r="A556" s="34" t="s">
        <v>25</v>
      </c>
      <c r="B556" s="28">
        <v>0</v>
      </c>
      <c r="C556" s="28">
        <v>0</v>
      </c>
      <c r="D556" s="28">
        <v>8552327.7172999997</v>
      </c>
      <c r="E556" s="28">
        <v>10684606.7639971</v>
      </c>
      <c r="F556" s="28">
        <v>8227420.9346000012</v>
      </c>
      <c r="G556" s="28">
        <v>7030959.2502632122</v>
      </c>
      <c r="H556" s="29">
        <v>0.24932148500154416</v>
      </c>
      <c r="I556" s="29">
        <v>-0.14542366239037674</v>
      </c>
      <c r="J556" s="29">
        <v>5.5770642443702778E-2</v>
      </c>
    </row>
    <row r="557" spans="1:10" ht="11.25" customHeight="1" x14ac:dyDescent="0.2">
      <c r="A557" s="35" t="s">
        <v>25</v>
      </c>
      <c r="B557" s="28">
        <v>0</v>
      </c>
      <c r="C557" s="28">
        <v>0</v>
      </c>
      <c r="D557" s="28">
        <v>8552327.7172999997</v>
      </c>
      <c r="E557" s="28">
        <v>10684606.7639971</v>
      </c>
      <c r="F557" s="28">
        <v>8227420.9346000012</v>
      </c>
      <c r="G557" s="28">
        <v>7030959.2502632122</v>
      </c>
      <c r="H557" s="29">
        <v>0.24932148500154416</v>
      </c>
      <c r="I557" s="29">
        <v>-0.14542366239037674</v>
      </c>
      <c r="J557" s="29">
        <v>5.5770642443702778E-2</v>
      </c>
    </row>
    <row r="558" spans="1:10" ht="11.25" customHeight="1" x14ac:dyDescent="0.2">
      <c r="A558" s="36" t="s">
        <v>25</v>
      </c>
      <c r="B558" s="28">
        <v>0</v>
      </c>
      <c r="C558" s="28">
        <v>0</v>
      </c>
      <c r="D558" s="28">
        <v>8552327.7172999997</v>
      </c>
      <c r="E558" s="28">
        <v>10684606.7639971</v>
      </c>
      <c r="F558" s="28">
        <v>8227420.9346000012</v>
      </c>
      <c r="G558" s="28">
        <v>7030959.2502632122</v>
      </c>
      <c r="H558" s="29">
        <v>0.24932148500154416</v>
      </c>
      <c r="I558" s="29">
        <v>-0.14542366239037674</v>
      </c>
      <c r="J558" s="29">
        <v>5.5770642443702778E-2</v>
      </c>
    </row>
    <row r="559" spans="1:10" ht="11.25" customHeight="1" x14ac:dyDescent="0.2">
      <c r="A559" s="37" t="s">
        <v>25</v>
      </c>
      <c r="B559" s="28">
        <v>0</v>
      </c>
      <c r="C559" s="28">
        <v>0</v>
      </c>
      <c r="D559" s="28">
        <v>8552327.7172999997</v>
      </c>
      <c r="E559" s="28">
        <v>10684606.7639971</v>
      </c>
      <c r="F559" s="28">
        <v>8227420.9346000012</v>
      </c>
      <c r="G559" s="28">
        <v>7030959.2502632122</v>
      </c>
      <c r="H559" s="29">
        <v>0.24932148500154416</v>
      </c>
      <c r="I559" s="29">
        <v>-0.14542366239037674</v>
      </c>
      <c r="J559" s="29">
        <v>5.5770642443702778E-2</v>
      </c>
    </row>
    <row r="560" spans="1:10" ht="11.25" customHeight="1" x14ac:dyDescent="0.2">
      <c r="A560" s="38">
        <v>44317</v>
      </c>
      <c r="B560" s="28">
        <v>0</v>
      </c>
      <c r="C560" s="28">
        <v>0</v>
      </c>
      <c r="D560" s="28">
        <v>759982.66614999995</v>
      </c>
      <c r="E560" s="28">
        <v>949462.67304995062</v>
      </c>
      <c r="F560" s="28">
        <v>731110.58229999989</v>
      </c>
      <c r="G560" s="28">
        <v>624789.80380957294</v>
      </c>
      <c r="H560" s="29">
        <v>0.24932148500154416</v>
      </c>
      <c r="I560" s="29">
        <v>-0.14542366239037674</v>
      </c>
      <c r="J560" s="29">
        <v>5.5770642443702334E-2</v>
      </c>
    </row>
    <row r="561" spans="1:10" ht="11.25" customHeight="1" x14ac:dyDescent="0.2">
      <c r="A561" s="38">
        <v>44348</v>
      </c>
      <c r="B561" s="28">
        <v>0</v>
      </c>
      <c r="C561" s="28">
        <v>0</v>
      </c>
      <c r="D561" s="28">
        <v>701771.62965000002</v>
      </c>
      <c r="E561" s="28">
        <v>876738.37448629166</v>
      </c>
      <c r="F561" s="28">
        <v>675111.00929999992</v>
      </c>
      <c r="G561" s="28">
        <v>576933.8938075304</v>
      </c>
      <c r="H561" s="29">
        <v>0.24932148500154416</v>
      </c>
      <c r="I561" s="29">
        <v>-0.14542366239037652</v>
      </c>
      <c r="J561" s="29">
        <v>5.5770642443702556E-2</v>
      </c>
    </row>
    <row r="562" spans="1:10" ht="11.25" customHeight="1" x14ac:dyDescent="0.2">
      <c r="A562" s="38">
        <v>44378</v>
      </c>
      <c r="B562" s="28">
        <v>0</v>
      </c>
      <c r="C562" s="28">
        <v>0</v>
      </c>
      <c r="D562" s="28">
        <v>661069.18390000006</v>
      </c>
      <c r="E562" s="28">
        <v>825887.93451870687</v>
      </c>
      <c r="F562" s="28">
        <v>635954.86779999989</v>
      </c>
      <c r="G562" s="28">
        <v>543471.98180953611</v>
      </c>
      <c r="H562" s="29">
        <v>0.24932148500154394</v>
      </c>
      <c r="I562" s="29">
        <v>-0.14542366239037663</v>
      </c>
      <c r="J562" s="29">
        <v>5.5770642443702556E-2</v>
      </c>
    </row>
    <row r="563" spans="1:10" ht="11.25" customHeight="1" x14ac:dyDescent="0.2">
      <c r="A563" s="38">
        <v>44409</v>
      </c>
      <c r="B563" s="28">
        <v>0</v>
      </c>
      <c r="C563" s="28">
        <v>0</v>
      </c>
      <c r="D563" s="28">
        <v>690629.90865</v>
      </c>
      <c r="E563" s="28">
        <v>862818.78306109877</v>
      </c>
      <c r="F563" s="28">
        <v>664392.5673</v>
      </c>
      <c r="G563" s="28">
        <v>567774.16689828911</v>
      </c>
      <c r="H563" s="29">
        <v>0.24932148500154416</v>
      </c>
      <c r="I563" s="29">
        <v>-0.14542366239037674</v>
      </c>
      <c r="J563" s="29">
        <v>5.5770642443702556E-2</v>
      </c>
    </row>
    <row r="564" spans="1:10" ht="11.25" customHeight="1" x14ac:dyDescent="0.2">
      <c r="A564" s="38">
        <v>44440</v>
      </c>
      <c r="B564" s="28">
        <v>0</v>
      </c>
      <c r="C564" s="28">
        <v>0</v>
      </c>
      <c r="D564" s="28">
        <v>804176.71434999991</v>
      </c>
      <c r="E564" s="28">
        <v>1004675.2469754046</v>
      </c>
      <c r="F564" s="28">
        <v>773625.67869999993</v>
      </c>
      <c r="G564" s="28">
        <v>661122.19918420503</v>
      </c>
      <c r="H564" s="29">
        <v>0.24932148500154416</v>
      </c>
      <c r="I564" s="29">
        <v>-0.14542366239037674</v>
      </c>
      <c r="J564" s="29">
        <v>5.5770642443702556E-2</v>
      </c>
    </row>
    <row r="565" spans="1:10" ht="11.25" customHeight="1" x14ac:dyDescent="0.2">
      <c r="A565" s="38">
        <v>44470</v>
      </c>
      <c r="B565" s="28">
        <v>0</v>
      </c>
      <c r="C565" s="28">
        <v>0</v>
      </c>
      <c r="D565" s="28">
        <v>787376.7043000001</v>
      </c>
      <c r="E565" s="28">
        <v>983686.63347169769</v>
      </c>
      <c r="F565" s="28">
        <v>757463.90859999997</v>
      </c>
      <c r="G565" s="28">
        <v>647310.73288285837</v>
      </c>
      <c r="H565" s="29">
        <v>0.24932148500154394</v>
      </c>
      <c r="I565" s="29">
        <v>-0.14542366239037674</v>
      </c>
      <c r="J565" s="29">
        <v>5.5770642443702334E-2</v>
      </c>
    </row>
    <row r="566" spans="1:10" ht="11.25" customHeight="1" x14ac:dyDescent="0.2">
      <c r="A566" s="38">
        <v>44501</v>
      </c>
      <c r="B566" s="28">
        <v>0</v>
      </c>
      <c r="C566" s="28">
        <v>0</v>
      </c>
      <c r="D566" s="28">
        <v>678559.47005</v>
      </c>
      <c r="E566" s="28">
        <v>847738.92478472681</v>
      </c>
      <c r="F566" s="28">
        <v>652780.69009999989</v>
      </c>
      <c r="G566" s="28">
        <v>557850.93140794034</v>
      </c>
      <c r="H566" s="29">
        <v>0.24932148500154416</v>
      </c>
      <c r="I566" s="29">
        <v>-0.14542366239037674</v>
      </c>
      <c r="J566" s="29">
        <v>5.5770642443702334E-2</v>
      </c>
    </row>
    <row r="567" spans="1:10" ht="11.25" customHeight="1" x14ac:dyDescent="0.2">
      <c r="A567" s="38">
        <v>44531</v>
      </c>
      <c r="B567" s="28">
        <v>0</v>
      </c>
      <c r="C567" s="28">
        <v>0</v>
      </c>
      <c r="D567" s="28">
        <v>675862.67259999993</v>
      </c>
      <c r="E567" s="28">
        <v>844369.75778974441</v>
      </c>
      <c r="F567" s="28">
        <v>650186.34519999998</v>
      </c>
      <c r="G567" s="28">
        <v>555633.86564480222</v>
      </c>
      <c r="H567" s="29">
        <v>0.24932148500154416</v>
      </c>
      <c r="I567" s="29">
        <v>-0.14542366239037674</v>
      </c>
      <c r="J567" s="29">
        <v>5.5770642443702334E-2</v>
      </c>
    </row>
    <row r="568" spans="1:10" ht="11.25" customHeight="1" x14ac:dyDescent="0.2">
      <c r="A568" s="38">
        <v>44562</v>
      </c>
      <c r="B568" s="28">
        <v>0</v>
      </c>
      <c r="C568" s="28">
        <v>0</v>
      </c>
      <c r="D568" s="28">
        <v>662333.88725000003</v>
      </c>
      <c r="E568" s="28">
        <v>827467.95558601525</v>
      </c>
      <c r="F568" s="28">
        <v>637171.52450000006</v>
      </c>
      <c r="G568" s="28">
        <v>544511.70783635043</v>
      </c>
      <c r="H568" s="29">
        <v>0.24932148500154394</v>
      </c>
      <c r="I568" s="29">
        <v>-0.14542366239037663</v>
      </c>
      <c r="J568" s="29">
        <v>5.5770642443702556E-2</v>
      </c>
    </row>
    <row r="569" spans="1:10" ht="11.25" customHeight="1" x14ac:dyDescent="0.2">
      <c r="A569" s="38">
        <v>44593</v>
      </c>
      <c r="B569" s="28">
        <v>0</v>
      </c>
      <c r="C569" s="28">
        <v>0</v>
      </c>
      <c r="D569" s="28">
        <v>671516.05265000009</v>
      </c>
      <c r="E569" s="28">
        <v>838939.43209907319</v>
      </c>
      <c r="F569" s="28">
        <v>646004.85529999994</v>
      </c>
      <c r="G569" s="28">
        <v>552060.46332030871</v>
      </c>
      <c r="H569" s="29">
        <v>0.24932148500154416</v>
      </c>
      <c r="I569" s="29">
        <v>-0.14542366239037652</v>
      </c>
      <c r="J569" s="29">
        <v>5.5770642443702778E-2</v>
      </c>
    </row>
    <row r="570" spans="1:10" ht="11.25" customHeight="1" x14ac:dyDescent="0.2">
      <c r="A570" s="38">
        <v>44621</v>
      </c>
      <c r="B570" s="28">
        <v>0</v>
      </c>
      <c r="C570" s="28">
        <v>0</v>
      </c>
      <c r="D570" s="28">
        <v>768387.12690000003</v>
      </c>
      <c r="E570" s="28">
        <v>959962.54643477779</v>
      </c>
      <c r="F570" s="28">
        <v>739195.75379999983</v>
      </c>
      <c r="G570" s="28">
        <v>631699.20005898876</v>
      </c>
      <c r="H570" s="29">
        <v>0.24932148500154394</v>
      </c>
      <c r="I570" s="29">
        <v>-0.14542366239037652</v>
      </c>
      <c r="J570" s="29">
        <v>5.5770642443702556E-2</v>
      </c>
    </row>
    <row r="571" spans="1:10" ht="11.25" customHeight="1" x14ac:dyDescent="0.2">
      <c r="A571" s="38">
        <v>44652</v>
      </c>
      <c r="B571" s="28">
        <v>0</v>
      </c>
      <c r="C571" s="28">
        <v>0</v>
      </c>
      <c r="D571" s="28">
        <v>690661.70085000002</v>
      </c>
      <c r="E571" s="28">
        <v>862858.50173961418</v>
      </c>
      <c r="F571" s="28">
        <v>664423.15170000005</v>
      </c>
      <c r="G571" s="28">
        <v>567800.30360282911</v>
      </c>
      <c r="H571" s="29">
        <v>0.24932148500154394</v>
      </c>
      <c r="I571" s="29">
        <v>-0.14542366239037685</v>
      </c>
      <c r="J571" s="29">
        <v>5.5770642443702556E-2</v>
      </c>
    </row>
    <row r="572" spans="1:10" ht="11.25" customHeight="1" x14ac:dyDescent="0.2">
      <c r="A572" s="31" t="s">
        <v>39</v>
      </c>
      <c r="B572" s="28">
        <v>0</v>
      </c>
      <c r="C572" s="28">
        <v>0</v>
      </c>
      <c r="D572" s="28">
        <v>4644550.3958290024</v>
      </c>
      <c r="E572" s="28">
        <v>5432360.3486809991</v>
      </c>
      <c r="F572" s="28">
        <v>4468885.4390889993</v>
      </c>
      <c r="G572" s="28">
        <v>3575311.6225563386</v>
      </c>
      <c r="H572" s="29">
        <v>0.1696202830653939</v>
      </c>
      <c r="I572" s="29">
        <v>-0.19995451409799847</v>
      </c>
      <c r="J572" s="29">
        <v>-1.1605267826150234E-2</v>
      </c>
    </row>
    <row r="573" spans="1:10" ht="11.25" customHeight="1" x14ac:dyDescent="0.2">
      <c r="A573" s="32" t="s">
        <v>37</v>
      </c>
      <c r="B573" s="28">
        <v>0</v>
      </c>
      <c r="C573" s="28">
        <v>0</v>
      </c>
      <c r="D573" s="28">
        <v>4889.3396500000126</v>
      </c>
      <c r="E573" s="28">
        <v>5853.8035730092652</v>
      </c>
      <c r="F573" s="28">
        <v>5527.7735500000008</v>
      </c>
      <c r="G573" s="28">
        <v>4422.4702757659852</v>
      </c>
      <c r="H573" s="29">
        <v>0.19725852406454258</v>
      </c>
      <c r="I573" s="29">
        <v>-0.19995451409799792</v>
      </c>
      <c r="J573" s="29">
        <v>-1.3519998153112445E-2</v>
      </c>
    </row>
    <row r="574" spans="1:10" ht="11.25" customHeight="1" x14ac:dyDescent="0.2">
      <c r="A574" s="33" t="s">
        <v>42</v>
      </c>
      <c r="B574" s="28">
        <v>0</v>
      </c>
      <c r="C574" s="28">
        <v>0</v>
      </c>
      <c r="D574" s="28">
        <v>4889.3396500000126</v>
      </c>
      <c r="E574" s="28">
        <v>5853.8035730092652</v>
      </c>
      <c r="F574" s="28">
        <v>5527.7735500000008</v>
      </c>
      <c r="G574" s="28">
        <v>4422.4702757659852</v>
      </c>
      <c r="H574" s="29">
        <v>0.19725852406454258</v>
      </c>
      <c r="I574" s="29">
        <v>-0.19995451409799792</v>
      </c>
      <c r="J574" s="29">
        <v>-1.3519998153112445E-2</v>
      </c>
    </row>
    <row r="575" spans="1:10" ht="11.25" customHeight="1" x14ac:dyDescent="0.2">
      <c r="A575" s="34" t="s">
        <v>25</v>
      </c>
      <c r="B575" s="28">
        <v>0</v>
      </c>
      <c r="C575" s="28">
        <v>0</v>
      </c>
      <c r="D575" s="28">
        <v>4889.3396500000126</v>
      </c>
      <c r="E575" s="28">
        <v>5853.8035730092652</v>
      </c>
      <c r="F575" s="28">
        <v>5527.7735500000008</v>
      </c>
      <c r="G575" s="28">
        <v>4422.4702757659852</v>
      </c>
      <c r="H575" s="29">
        <v>0.19725852406454258</v>
      </c>
      <c r="I575" s="29">
        <v>-0.19995451409799792</v>
      </c>
      <c r="J575" s="29">
        <v>-1.3519998153112445E-2</v>
      </c>
    </row>
    <row r="576" spans="1:10" ht="11.25" customHeight="1" x14ac:dyDescent="0.2">
      <c r="A576" s="35" t="s">
        <v>25</v>
      </c>
      <c r="B576" s="28">
        <v>0</v>
      </c>
      <c r="C576" s="28">
        <v>0</v>
      </c>
      <c r="D576" s="28">
        <v>4889.3396500000126</v>
      </c>
      <c r="E576" s="28">
        <v>5853.8035730092652</v>
      </c>
      <c r="F576" s="28">
        <v>5527.7735500000008</v>
      </c>
      <c r="G576" s="28">
        <v>4422.4702757659852</v>
      </c>
      <c r="H576" s="29">
        <v>0.19725852406454258</v>
      </c>
      <c r="I576" s="29">
        <v>-0.19995451409799792</v>
      </c>
      <c r="J576" s="29">
        <v>-1.3519998153112445E-2</v>
      </c>
    </row>
    <row r="577" spans="1:10" ht="11.25" customHeight="1" x14ac:dyDescent="0.2">
      <c r="A577" s="36" t="s">
        <v>25</v>
      </c>
      <c r="B577" s="28">
        <v>0</v>
      </c>
      <c r="C577" s="28">
        <v>0</v>
      </c>
      <c r="D577" s="28">
        <v>4889.3396500000126</v>
      </c>
      <c r="E577" s="28">
        <v>5853.8035730092652</v>
      </c>
      <c r="F577" s="28">
        <v>5527.7735500000008</v>
      </c>
      <c r="G577" s="28">
        <v>4422.4702757659852</v>
      </c>
      <c r="H577" s="29">
        <v>0.19725852406454258</v>
      </c>
      <c r="I577" s="29">
        <v>-0.19995451409799792</v>
      </c>
      <c r="J577" s="29">
        <v>-1.3519998153112445E-2</v>
      </c>
    </row>
    <row r="578" spans="1:10" ht="11.25" customHeight="1" x14ac:dyDescent="0.2">
      <c r="A578" s="37" t="s">
        <v>36</v>
      </c>
      <c r="B578" s="28">
        <v>0</v>
      </c>
      <c r="C578" s="28">
        <v>0</v>
      </c>
      <c r="D578" s="28">
        <v>3803.9448000000002</v>
      </c>
      <c r="E578" s="28">
        <v>4667.8347850846276</v>
      </c>
      <c r="F578" s="28">
        <v>4991.9784000000009</v>
      </c>
      <c r="G578" s="28">
        <v>3993.8097846402966</v>
      </c>
      <c r="H578" s="29">
        <v>0.22710371220019465</v>
      </c>
      <c r="I578" s="29">
        <v>-0.19995451409799847</v>
      </c>
      <c r="J578" s="29">
        <v>-1.5266007583499275E-2</v>
      </c>
    </row>
    <row r="579" spans="1:10" ht="11.25" customHeight="1" x14ac:dyDescent="0.2">
      <c r="A579" s="38">
        <v>44317</v>
      </c>
      <c r="B579" s="28">
        <v>0</v>
      </c>
      <c r="C579" s="28">
        <v>0</v>
      </c>
      <c r="D579" s="28">
        <v>345.88612000000001</v>
      </c>
      <c r="E579" s="28">
        <v>424.43814185052207</v>
      </c>
      <c r="F579" s="28">
        <v>453.91196000000002</v>
      </c>
      <c r="G579" s="28">
        <v>363.15021459492993</v>
      </c>
      <c r="H579" s="29">
        <v>0.22710371220019487</v>
      </c>
      <c r="I579" s="29">
        <v>-0.19995451409799836</v>
      </c>
      <c r="J579" s="29">
        <v>-1.5266007583499053E-2</v>
      </c>
    </row>
    <row r="580" spans="1:10" ht="11.25" customHeight="1" x14ac:dyDescent="0.2">
      <c r="A580" s="38">
        <v>44348</v>
      </c>
      <c r="B580" s="28">
        <v>0</v>
      </c>
      <c r="C580" s="28">
        <v>0</v>
      </c>
      <c r="D580" s="28">
        <v>310.37460999999996</v>
      </c>
      <c r="E580" s="28">
        <v>380.86183610368772</v>
      </c>
      <c r="F580" s="28">
        <v>407.30963000000003</v>
      </c>
      <c r="G580" s="28">
        <v>325.86623084591446</v>
      </c>
      <c r="H580" s="29">
        <v>0.2271037122001951</v>
      </c>
      <c r="I580" s="29">
        <v>-0.19995451409799847</v>
      </c>
      <c r="J580" s="29">
        <v>-1.5266007583499164E-2</v>
      </c>
    </row>
    <row r="581" spans="1:10" ht="11.25" customHeight="1" x14ac:dyDescent="0.2">
      <c r="A581" s="38">
        <v>44378</v>
      </c>
      <c r="B581" s="28">
        <v>0</v>
      </c>
      <c r="C581" s="28">
        <v>0</v>
      </c>
      <c r="D581" s="28">
        <v>321.60989000000001</v>
      </c>
      <c r="E581" s="28">
        <v>394.64868989929636</v>
      </c>
      <c r="F581" s="28">
        <v>422.05387000000002</v>
      </c>
      <c r="G581" s="28">
        <v>337.66229350097024</v>
      </c>
      <c r="H581" s="29">
        <v>0.22710371220019487</v>
      </c>
      <c r="I581" s="29">
        <v>-0.19995451409799836</v>
      </c>
      <c r="J581" s="29">
        <v>-1.5266007583498942E-2</v>
      </c>
    </row>
    <row r="582" spans="1:10" ht="11.25" customHeight="1" x14ac:dyDescent="0.2">
      <c r="A582" s="38">
        <v>44409</v>
      </c>
      <c r="B582" s="28">
        <v>0</v>
      </c>
      <c r="C582" s="28">
        <v>0</v>
      </c>
      <c r="D582" s="28">
        <v>276.46813999999995</v>
      </c>
      <c r="E582" s="28">
        <v>339.25508089908317</v>
      </c>
      <c r="F582" s="28">
        <v>362.81362000000001</v>
      </c>
      <c r="G582" s="28">
        <v>290.26739890476415</v>
      </c>
      <c r="H582" s="29">
        <v>0.2271037122001951</v>
      </c>
      <c r="I582" s="29">
        <v>-0.19995451409799847</v>
      </c>
      <c r="J582" s="29">
        <v>-1.5266007583499053E-2</v>
      </c>
    </row>
    <row r="583" spans="1:10" ht="11.25" customHeight="1" x14ac:dyDescent="0.2">
      <c r="A583" s="38">
        <v>44440</v>
      </c>
      <c r="B583" s="28">
        <v>0</v>
      </c>
      <c r="C583" s="28">
        <v>0</v>
      </c>
      <c r="D583" s="28">
        <v>306.16138000000001</v>
      </c>
      <c r="E583" s="28">
        <v>375.6917659303345</v>
      </c>
      <c r="F583" s="28">
        <v>401.78054000000003</v>
      </c>
      <c r="G583" s="28">
        <v>321.44270735026862</v>
      </c>
      <c r="H583" s="29">
        <v>0.22710371220019487</v>
      </c>
      <c r="I583" s="29">
        <v>-0.19995451409799836</v>
      </c>
      <c r="J583" s="29">
        <v>-1.5266007583499164E-2</v>
      </c>
    </row>
    <row r="584" spans="1:10" ht="11.25" customHeight="1" x14ac:dyDescent="0.2">
      <c r="A584" s="38">
        <v>44470</v>
      </c>
      <c r="B584" s="28">
        <v>0</v>
      </c>
      <c r="C584" s="28">
        <v>0</v>
      </c>
      <c r="D584" s="28">
        <v>307.76641999999998</v>
      </c>
      <c r="E584" s="28">
        <v>377.66131647256429</v>
      </c>
      <c r="F584" s="28">
        <v>403.88686000000001</v>
      </c>
      <c r="G584" s="28">
        <v>323.12785915813373</v>
      </c>
      <c r="H584" s="29">
        <v>0.22710371220019487</v>
      </c>
      <c r="I584" s="29">
        <v>-0.19995451409799836</v>
      </c>
      <c r="J584" s="29">
        <v>-1.5266007583498942E-2</v>
      </c>
    </row>
    <row r="585" spans="1:10" ht="11.25" customHeight="1" x14ac:dyDescent="0.2">
      <c r="A585" s="38">
        <v>44501</v>
      </c>
      <c r="B585" s="28">
        <v>0</v>
      </c>
      <c r="C585" s="28">
        <v>0</v>
      </c>
      <c r="D585" s="28">
        <v>330.43761000000001</v>
      </c>
      <c r="E585" s="28">
        <v>405.48121788156027</v>
      </c>
      <c r="F585" s="28">
        <v>433.63863000000003</v>
      </c>
      <c r="G585" s="28">
        <v>346.93062844422832</v>
      </c>
      <c r="H585" s="29">
        <v>0.22710371220019487</v>
      </c>
      <c r="I585" s="29">
        <v>-0.19995451409799836</v>
      </c>
      <c r="J585" s="29">
        <v>-1.5266007583499164E-2</v>
      </c>
    </row>
    <row r="586" spans="1:10" ht="11.25" customHeight="1" x14ac:dyDescent="0.2">
      <c r="A586" s="38">
        <v>44531</v>
      </c>
      <c r="B586" s="28">
        <v>0</v>
      </c>
      <c r="C586" s="28">
        <v>0</v>
      </c>
      <c r="D586" s="28">
        <v>289.30845999999997</v>
      </c>
      <c r="E586" s="28">
        <v>355.0114852369216</v>
      </c>
      <c r="F586" s="28">
        <v>379.66417999999999</v>
      </c>
      <c r="G586" s="28">
        <v>303.74861336768498</v>
      </c>
      <c r="H586" s="29">
        <v>0.2271037122001951</v>
      </c>
      <c r="I586" s="29">
        <v>-0.19995451409799847</v>
      </c>
      <c r="J586" s="29">
        <v>-1.5266007583499053E-2</v>
      </c>
    </row>
    <row r="587" spans="1:10" ht="11.25" customHeight="1" x14ac:dyDescent="0.2">
      <c r="A587" s="38">
        <v>44562</v>
      </c>
      <c r="B587" s="28">
        <v>0</v>
      </c>
      <c r="C587" s="28">
        <v>0</v>
      </c>
      <c r="D587" s="28">
        <v>275.46499</v>
      </c>
      <c r="E587" s="28">
        <v>338.02411181018959</v>
      </c>
      <c r="F587" s="28">
        <v>361.49717000000004</v>
      </c>
      <c r="G587" s="28">
        <v>289.21417902484848</v>
      </c>
      <c r="H587" s="29">
        <v>0.2271037122001951</v>
      </c>
      <c r="I587" s="29">
        <v>-0.19995451409799847</v>
      </c>
      <c r="J587" s="29">
        <v>-1.5266007583499164E-2</v>
      </c>
    </row>
    <row r="588" spans="1:10" ht="11.25" customHeight="1" x14ac:dyDescent="0.2">
      <c r="A588" s="38">
        <v>44593</v>
      </c>
      <c r="B588" s="28">
        <v>0</v>
      </c>
      <c r="C588" s="28">
        <v>0</v>
      </c>
      <c r="D588" s="28">
        <v>359.93022000000002</v>
      </c>
      <c r="E588" s="28">
        <v>441.67170909503284</v>
      </c>
      <c r="F588" s="28">
        <v>472.34226000000007</v>
      </c>
      <c r="G588" s="28">
        <v>377.89529291374959</v>
      </c>
      <c r="H588" s="29">
        <v>0.22710371220019487</v>
      </c>
      <c r="I588" s="29">
        <v>-0.19995451409799847</v>
      </c>
      <c r="J588" s="29">
        <v>-1.5266007583499164E-2</v>
      </c>
    </row>
    <row r="589" spans="1:10" ht="11.25" customHeight="1" x14ac:dyDescent="0.2">
      <c r="A589" s="38">
        <v>44621</v>
      </c>
      <c r="B589" s="28">
        <v>0</v>
      </c>
      <c r="C589" s="28">
        <v>0</v>
      </c>
      <c r="D589" s="28">
        <v>415.70535999999998</v>
      </c>
      <c r="E589" s="28">
        <v>510.11359043751844</v>
      </c>
      <c r="F589" s="28">
        <v>545.53688000000011</v>
      </c>
      <c r="G589" s="28">
        <v>436.45431823706195</v>
      </c>
      <c r="H589" s="29">
        <v>0.2271037122001951</v>
      </c>
      <c r="I589" s="29">
        <v>-0.19995451409799858</v>
      </c>
      <c r="J589" s="29">
        <v>-1.5266007583499053E-2</v>
      </c>
    </row>
    <row r="590" spans="1:10" ht="11.25" customHeight="1" x14ac:dyDescent="0.2">
      <c r="A590" s="38">
        <v>44652</v>
      </c>
      <c r="B590" s="28">
        <v>0</v>
      </c>
      <c r="C590" s="28">
        <v>0</v>
      </c>
      <c r="D590" s="28">
        <v>264.83159999999998</v>
      </c>
      <c r="E590" s="28">
        <v>324.97583946791713</v>
      </c>
      <c r="F590" s="28">
        <v>347.54280000000006</v>
      </c>
      <c r="G590" s="28">
        <v>278.05004829774219</v>
      </c>
      <c r="H590" s="29">
        <v>0.22710371220019487</v>
      </c>
      <c r="I590" s="29">
        <v>-0.19995451409799847</v>
      </c>
      <c r="J590" s="29">
        <v>-1.5266007583499164E-2</v>
      </c>
    </row>
    <row r="591" spans="1:10" ht="11.25" customHeight="1" x14ac:dyDescent="0.2">
      <c r="A591" s="37" t="s">
        <v>38</v>
      </c>
      <c r="B591" s="28">
        <v>0</v>
      </c>
      <c r="C591" s="28">
        <v>0</v>
      </c>
      <c r="D591" s="28">
        <v>540.03150000000005</v>
      </c>
      <c r="E591" s="28">
        <v>599.47548687626045</v>
      </c>
      <c r="F591" s="28">
        <v>323.84670000000006</v>
      </c>
      <c r="G591" s="28">
        <v>259.09209045925974</v>
      </c>
      <c r="H591" s="29">
        <v>0.11007503613448555</v>
      </c>
      <c r="I591" s="29">
        <v>-0.19995451409799858</v>
      </c>
      <c r="J591" s="29">
        <v>-6.1474206253613328E-3</v>
      </c>
    </row>
    <row r="592" spans="1:10" ht="11.25" customHeight="1" x14ac:dyDescent="0.2">
      <c r="A592" s="38">
        <v>44317</v>
      </c>
      <c r="B592" s="28">
        <v>0</v>
      </c>
      <c r="C592" s="28">
        <v>0</v>
      </c>
      <c r="D592" s="28">
        <v>44.783099999999997</v>
      </c>
      <c r="E592" s="28">
        <v>49.712601350714273</v>
      </c>
      <c r="F592" s="28">
        <v>26.85558</v>
      </c>
      <c r="G592" s="28">
        <v>21.485685550280074</v>
      </c>
      <c r="H592" s="29">
        <v>0.11007503613448555</v>
      </c>
      <c r="I592" s="29">
        <v>-0.19995451409799847</v>
      </c>
      <c r="J592" s="29">
        <v>-6.1474206253611108E-3</v>
      </c>
    </row>
    <row r="593" spans="1:10" ht="11.25" customHeight="1" x14ac:dyDescent="0.2">
      <c r="A593" s="38">
        <v>44348</v>
      </c>
      <c r="B593" s="28">
        <v>0</v>
      </c>
      <c r="C593" s="28">
        <v>0</v>
      </c>
      <c r="D593" s="28">
        <v>36.44115</v>
      </c>
      <c r="E593" s="28">
        <v>40.452410903032209</v>
      </c>
      <c r="F593" s="28">
        <v>21.853070000000002</v>
      </c>
      <c r="G593" s="28">
        <v>17.483450006600457</v>
      </c>
      <c r="H593" s="29">
        <v>0.11007503613448555</v>
      </c>
      <c r="I593" s="29">
        <v>-0.19995451409799836</v>
      </c>
      <c r="J593" s="29">
        <v>-6.1474206253611108E-3</v>
      </c>
    </row>
    <row r="594" spans="1:10" ht="11.25" customHeight="1" x14ac:dyDescent="0.2">
      <c r="A594" s="38">
        <v>44378</v>
      </c>
      <c r="B594" s="28">
        <v>0</v>
      </c>
      <c r="C594" s="28">
        <v>0</v>
      </c>
      <c r="D594" s="28">
        <v>44.344050000000003</v>
      </c>
      <c r="E594" s="28">
        <v>49.22522290609944</v>
      </c>
      <c r="F594" s="28">
        <v>26.592290000000006</v>
      </c>
      <c r="G594" s="28">
        <v>21.275041574296939</v>
      </c>
      <c r="H594" s="29">
        <v>0.11007503613448555</v>
      </c>
      <c r="I594" s="29">
        <v>-0.19995451409799858</v>
      </c>
      <c r="J594" s="29">
        <v>-6.1474206253609998E-3</v>
      </c>
    </row>
    <row r="595" spans="1:10" ht="11.25" customHeight="1" x14ac:dyDescent="0.2">
      <c r="A595" s="38">
        <v>44409</v>
      </c>
      <c r="B595" s="28">
        <v>0</v>
      </c>
      <c r="C595" s="28">
        <v>0</v>
      </c>
      <c r="D595" s="28">
        <v>31.172549999999998</v>
      </c>
      <c r="E595" s="28">
        <v>34.603869567654051</v>
      </c>
      <c r="F595" s="28">
        <v>18.69359</v>
      </c>
      <c r="G595" s="28">
        <v>14.955722294802797</v>
      </c>
      <c r="H595" s="29">
        <v>0.11007503613448555</v>
      </c>
      <c r="I595" s="29">
        <v>-0.19995451409799847</v>
      </c>
      <c r="J595" s="29">
        <v>-6.1474206253613328E-3</v>
      </c>
    </row>
    <row r="596" spans="1:10" ht="11.25" customHeight="1" x14ac:dyDescent="0.2">
      <c r="A596" s="38">
        <v>44440</v>
      </c>
      <c r="B596" s="28">
        <v>0</v>
      </c>
      <c r="C596" s="28">
        <v>0</v>
      </c>
      <c r="D596" s="28">
        <v>47.417400000000001</v>
      </c>
      <c r="E596" s="28">
        <v>52.636872018403352</v>
      </c>
      <c r="F596" s="28">
        <v>28.435320000000001</v>
      </c>
      <c r="G596" s="28">
        <v>22.749549406178904</v>
      </c>
      <c r="H596" s="29">
        <v>0.11007503613448555</v>
      </c>
      <c r="I596" s="29">
        <v>-0.19995451409799847</v>
      </c>
      <c r="J596" s="29">
        <v>-6.1474206253612218E-3</v>
      </c>
    </row>
    <row r="597" spans="1:10" ht="11.25" customHeight="1" x14ac:dyDescent="0.2">
      <c r="A597" s="38">
        <v>44470</v>
      </c>
      <c r="B597" s="28">
        <v>0</v>
      </c>
      <c r="C597" s="28">
        <v>0</v>
      </c>
      <c r="D597" s="28">
        <v>42.148800000000001</v>
      </c>
      <c r="E597" s="28">
        <v>46.788330683025208</v>
      </c>
      <c r="F597" s="28">
        <v>25.275840000000002</v>
      </c>
      <c r="G597" s="28">
        <v>20.221821694381248</v>
      </c>
      <c r="H597" s="29">
        <v>0.11007503613448555</v>
      </c>
      <c r="I597" s="29">
        <v>-0.19995451409799847</v>
      </c>
      <c r="J597" s="29">
        <v>-6.1474206253612218E-3</v>
      </c>
    </row>
    <row r="598" spans="1:10" ht="11.25" customHeight="1" x14ac:dyDescent="0.2">
      <c r="A598" s="38">
        <v>44501</v>
      </c>
      <c r="B598" s="28">
        <v>0</v>
      </c>
      <c r="C598" s="28">
        <v>0</v>
      </c>
      <c r="D598" s="28">
        <v>50.051700000000004</v>
      </c>
      <c r="E598" s="28">
        <v>55.561142686092431</v>
      </c>
      <c r="F598" s="28">
        <v>30.015060000000002</v>
      </c>
      <c r="G598" s="28">
        <v>24.013413262077734</v>
      </c>
      <c r="H598" s="29">
        <v>0.11007503613448555</v>
      </c>
      <c r="I598" s="29">
        <v>-0.19995451409799836</v>
      </c>
      <c r="J598" s="29">
        <v>-6.1474206253609998E-3</v>
      </c>
    </row>
    <row r="599" spans="1:10" ht="11.25" customHeight="1" x14ac:dyDescent="0.2">
      <c r="A599" s="38">
        <v>44531</v>
      </c>
      <c r="B599" s="28">
        <v>0</v>
      </c>
      <c r="C599" s="28">
        <v>0</v>
      </c>
      <c r="D599" s="28">
        <v>40.831650000000003</v>
      </c>
      <c r="E599" s="28">
        <v>45.326195349180665</v>
      </c>
      <c r="F599" s="28">
        <v>24.485970000000002</v>
      </c>
      <c r="G599" s="28">
        <v>19.589889766431835</v>
      </c>
      <c r="H599" s="29">
        <v>0.11007503613448533</v>
      </c>
      <c r="I599" s="29">
        <v>-0.19995451409799847</v>
      </c>
      <c r="J599" s="29">
        <v>-6.1474206253611108E-3</v>
      </c>
    </row>
    <row r="600" spans="1:10" ht="11.25" customHeight="1" x14ac:dyDescent="0.2">
      <c r="A600" s="38">
        <v>44562</v>
      </c>
      <c r="B600" s="28">
        <v>0</v>
      </c>
      <c r="C600" s="28">
        <v>0</v>
      </c>
      <c r="D600" s="28">
        <v>38.636400000000002</v>
      </c>
      <c r="E600" s="28">
        <v>42.889303126106434</v>
      </c>
      <c r="F600" s="28">
        <v>23.169520000000002</v>
      </c>
      <c r="G600" s="28">
        <v>18.536669886516144</v>
      </c>
      <c r="H600" s="29">
        <v>0.11007503613448533</v>
      </c>
      <c r="I600" s="29">
        <v>-0.19995451409799847</v>
      </c>
      <c r="J600" s="29">
        <v>-6.1474206253612218E-3</v>
      </c>
    </row>
    <row r="601" spans="1:10" ht="11.25" customHeight="1" x14ac:dyDescent="0.2">
      <c r="A601" s="38">
        <v>44593</v>
      </c>
      <c r="B601" s="28">
        <v>0</v>
      </c>
      <c r="C601" s="28">
        <v>0</v>
      </c>
      <c r="D601" s="28">
        <v>57.954600000000006</v>
      </c>
      <c r="E601" s="28">
        <v>64.333954689159654</v>
      </c>
      <c r="F601" s="28">
        <v>34.754280000000001</v>
      </c>
      <c r="G601" s="28">
        <v>27.805004829774219</v>
      </c>
      <c r="H601" s="29">
        <v>0.11007503613448533</v>
      </c>
      <c r="I601" s="29">
        <v>-0.19995451409799836</v>
      </c>
      <c r="J601" s="29">
        <v>-6.1474206253612218E-3</v>
      </c>
    </row>
    <row r="602" spans="1:10" ht="11.25" customHeight="1" x14ac:dyDescent="0.2">
      <c r="A602" s="38">
        <v>44621</v>
      </c>
      <c r="B602" s="28">
        <v>0</v>
      </c>
      <c r="C602" s="28">
        <v>0</v>
      </c>
      <c r="D602" s="28">
        <v>65.857500000000002</v>
      </c>
      <c r="E602" s="28">
        <v>73.106766692226884</v>
      </c>
      <c r="F602" s="28">
        <v>39.493500000000004</v>
      </c>
      <c r="G602" s="28">
        <v>31.596596397470698</v>
      </c>
      <c r="H602" s="29">
        <v>0.11007503613448555</v>
      </c>
      <c r="I602" s="29">
        <v>-0.19995451409799858</v>
      </c>
      <c r="J602" s="29">
        <v>-6.1474206253611108E-3</v>
      </c>
    </row>
    <row r="603" spans="1:10" ht="11.25" customHeight="1" x14ac:dyDescent="0.2">
      <c r="A603" s="38">
        <v>44652</v>
      </c>
      <c r="B603" s="28">
        <v>0</v>
      </c>
      <c r="C603" s="28">
        <v>0</v>
      </c>
      <c r="D603" s="28">
        <v>40.392600000000002</v>
      </c>
      <c r="E603" s="28">
        <v>44.838816904565817</v>
      </c>
      <c r="F603" s="28">
        <v>24.22268</v>
      </c>
      <c r="G603" s="28">
        <v>19.379245790448696</v>
      </c>
      <c r="H603" s="29">
        <v>0.11007503613448533</v>
      </c>
      <c r="I603" s="29">
        <v>-0.19995451409799847</v>
      </c>
      <c r="J603" s="29">
        <v>-6.1474206253612218E-3</v>
      </c>
    </row>
    <row r="604" spans="1:10" ht="11.25" customHeight="1" x14ac:dyDescent="0.2">
      <c r="A604" s="37" t="s">
        <v>35</v>
      </c>
      <c r="B604" s="28">
        <v>0</v>
      </c>
      <c r="C604" s="28">
        <v>0</v>
      </c>
      <c r="D604" s="28">
        <v>545.36335000001145</v>
      </c>
      <c r="E604" s="28">
        <v>586.49330104837577</v>
      </c>
      <c r="F604" s="28">
        <v>211.94845000000055</v>
      </c>
      <c r="G604" s="28">
        <v>169.56840066642854</v>
      </c>
      <c r="H604" s="29">
        <v>7.5417519436121294E-2</v>
      </c>
      <c r="I604" s="29">
        <v>-0.19995451409798137</v>
      </c>
      <c r="J604" s="29">
        <v>-1.6507048816571945E-3</v>
      </c>
    </row>
    <row r="605" spans="1:10" ht="11.25" customHeight="1" x14ac:dyDescent="0.2">
      <c r="A605" s="38">
        <v>44317</v>
      </c>
      <c r="B605" s="28">
        <v>0</v>
      </c>
      <c r="C605" s="28">
        <v>0</v>
      </c>
      <c r="D605" s="28">
        <v>40.648200000000003</v>
      </c>
      <c r="E605" s="28">
        <v>43.713786413543517</v>
      </c>
      <c r="F605" s="28">
        <v>15.797400000000001</v>
      </c>
      <c r="G605" s="28">
        <v>12.63863855898828</v>
      </c>
      <c r="H605" s="29">
        <v>7.5417519436125513E-2</v>
      </c>
      <c r="I605" s="29">
        <v>-0.19995451409799847</v>
      </c>
      <c r="J605" s="29">
        <v>-1.650704881659748E-3</v>
      </c>
    </row>
    <row r="606" spans="1:10" ht="11.25" customHeight="1" x14ac:dyDescent="0.2">
      <c r="A606" s="38">
        <v>44348</v>
      </c>
      <c r="B606" s="28">
        <v>0</v>
      </c>
      <c r="C606" s="28">
        <v>0</v>
      </c>
      <c r="D606" s="28">
        <v>96.878209999999996</v>
      </c>
      <c r="E606" s="28">
        <v>104.18452428561204</v>
      </c>
      <c r="F606" s="28">
        <v>37.650469999999999</v>
      </c>
      <c r="G606" s="28">
        <v>30.122088565588733</v>
      </c>
      <c r="H606" s="29">
        <v>7.5417519436125513E-2</v>
      </c>
      <c r="I606" s="29">
        <v>-0.19995451409799836</v>
      </c>
      <c r="J606" s="29">
        <v>-1.650704881659637E-3</v>
      </c>
    </row>
    <row r="607" spans="1:10" ht="11.25" customHeight="1" x14ac:dyDescent="0.2">
      <c r="A607" s="38">
        <v>44378</v>
      </c>
      <c r="B607" s="28">
        <v>0</v>
      </c>
      <c r="C607" s="28">
        <v>0</v>
      </c>
      <c r="D607" s="28">
        <v>28.453740000000003</v>
      </c>
      <c r="E607" s="28">
        <v>30.599650489480464</v>
      </c>
      <c r="F607" s="28">
        <v>11.058180000000002</v>
      </c>
      <c r="G607" s="28">
        <v>8.8470469912917959</v>
      </c>
      <c r="H607" s="29">
        <v>7.5417519436125513E-2</v>
      </c>
      <c r="I607" s="29">
        <v>-0.19995451409799858</v>
      </c>
      <c r="J607" s="29">
        <v>-1.650704881659637E-3</v>
      </c>
    </row>
    <row r="608" spans="1:10" ht="11.25" customHeight="1" x14ac:dyDescent="0.2">
      <c r="A608" s="38">
        <v>44409</v>
      </c>
      <c r="B608" s="28">
        <v>0</v>
      </c>
      <c r="C608" s="28">
        <v>0</v>
      </c>
      <c r="D608" s="28">
        <v>31.163620000000002</v>
      </c>
      <c r="E608" s="28">
        <v>33.513902917050032</v>
      </c>
      <c r="F608" s="28">
        <v>12.11134</v>
      </c>
      <c r="G608" s="28">
        <v>9.6896228952243479</v>
      </c>
      <c r="H608" s="29">
        <v>7.5417519436125513E-2</v>
      </c>
      <c r="I608" s="29">
        <v>-0.19995451409799847</v>
      </c>
      <c r="J608" s="29">
        <v>-1.650704881659526E-3</v>
      </c>
    </row>
    <row r="609" spans="1:10" ht="11.25" customHeight="1" x14ac:dyDescent="0.2">
      <c r="A609" s="38">
        <v>44440</v>
      </c>
      <c r="B609" s="28">
        <v>0</v>
      </c>
      <c r="C609" s="28">
        <v>0</v>
      </c>
      <c r="D609" s="28">
        <v>30.486150000011548</v>
      </c>
      <c r="E609" s="28">
        <v>32.785339810157893</v>
      </c>
      <c r="F609" s="28">
        <v>11.848050000000512</v>
      </c>
      <c r="G609" s="28">
        <v>9.4789789192436729</v>
      </c>
      <c r="H609" s="29">
        <v>7.5417519435726499E-2</v>
      </c>
      <c r="I609" s="29">
        <v>-0.19995451409782516</v>
      </c>
      <c r="J609" s="29">
        <v>-1.6507048818797943E-3</v>
      </c>
    </row>
    <row r="610" spans="1:10" ht="11.25" customHeight="1" x14ac:dyDescent="0.2">
      <c r="A610" s="38">
        <v>44470</v>
      </c>
      <c r="B610" s="28">
        <v>0</v>
      </c>
      <c r="C610" s="28">
        <v>0</v>
      </c>
      <c r="D610" s="28">
        <v>41.325670000000002</v>
      </c>
      <c r="E610" s="28">
        <v>44.442349520435904</v>
      </c>
      <c r="F610" s="28">
        <v>16.060690000000001</v>
      </c>
      <c r="G610" s="28">
        <v>12.849282534971419</v>
      </c>
      <c r="H610" s="29">
        <v>7.5417519436125291E-2</v>
      </c>
      <c r="I610" s="29">
        <v>-0.19995451409799836</v>
      </c>
      <c r="J610" s="29">
        <v>-1.650704881659748E-3</v>
      </c>
    </row>
    <row r="611" spans="1:10" ht="11.25" customHeight="1" x14ac:dyDescent="0.2">
      <c r="A611" s="38">
        <v>44501</v>
      </c>
      <c r="B611" s="28">
        <v>0</v>
      </c>
      <c r="C611" s="28">
        <v>0</v>
      </c>
      <c r="D611" s="28">
        <v>44.035550000000001</v>
      </c>
      <c r="E611" s="28">
        <v>47.356601948005476</v>
      </c>
      <c r="F611" s="28">
        <v>17.113850000000003</v>
      </c>
      <c r="G611" s="28">
        <v>13.691858438903971</v>
      </c>
      <c r="H611" s="29">
        <v>7.5417519436125513E-2</v>
      </c>
      <c r="I611" s="29">
        <v>-0.19995451409799847</v>
      </c>
      <c r="J611" s="29">
        <v>-1.650704881659526E-3</v>
      </c>
    </row>
    <row r="612" spans="1:10" ht="11.25" customHeight="1" x14ac:dyDescent="0.2">
      <c r="A612" s="38">
        <v>44531</v>
      </c>
      <c r="B612" s="28">
        <v>0</v>
      </c>
      <c r="C612" s="28">
        <v>0</v>
      </c>
      <c r="D612" s="28">
        <v>43.358080000000001</v>
      </c>
      <c r="E612" s="28">
        <v>46.628038841113089</v>
      </c>
      <c r="F612" s="28">
        <v>16.850560000000002</v>
      </c>
      <c r="G612" s="28">
        <v>13.481214462920832</v>
      </c>
      <c r="H612" s="29">
        <v>7.5417519436125513E-2</v>
      </c>
      <c r="I612" s="29">
        <v>-0.19995451409799847</v>
      </c>
      <c r="J612" s="29">
        <v>-1.650704881659526E-3</v>
      </c>
    </row>
    <row r="613" spans="1:10" ht="11.25" customHeight="1" x14ac:dyDescent="0.2">
      <c r="A613" s="38">
        <v>44562</v>
      </c>
      <c r="B613" s="28">
        <v>0</v>
      </c>
      <c r="C613" s="28">
        <v>0</v>
      </c>
      <c r="D613" s="28">
        <v>39.970729999999996</v>
      </c>
      <c r="E613" s="28">
        <v>42.985223306651122</v>
      </c>
      <c r="F613" s="28">
        <v>15.53411</v>
      </c>
      <c r="G613" s="28">
        <v>12.427994583005141</v>
      </c>
      <c r="H613" s="29">
        <v>7.5417519436125513E-2</v>
      </c>
      <c r="I613" s="29">
        <v>-0.19995451409799847</v>
      </c>
      <c r="J613" s="29">
        <v>-1.650704881659526E-3</v>
      </c>
    </row>
    <row r="614" spans="1:10" ht="11.25" customHeight="1" x14ac:dyDescent="0.2">
      <c r="A614" s="38">
        <v>44593</v>
      </c>
      <c r="B614" s="28">
        <v>0</v>
      </c>
      <c r="C614" s="28">
        <v>0</v>
      </c>
      <c r="D614" s="28">
        <v>48.777839999999998</v>
      </c>
      <c r="E614" s="28">
        <v>52.456543696252218</v>
      </c>
      <c r="F614" s="28">
        <v>18.956880000000002</v>
      </c>
      <c r="G614" s="28">
        <v>15.166366270785936</v>
      </c>
      <c r="H614" s="29">
        <v>7.5417519436125513E-2</v>
      </c>
      <c r="I614" s="29">
        <v>-0.19995451409799847</v>
      </c>
      <c r="J614" s="29">
        <v>-1.650704881659526E-3</v>
      </c>
    </row>
    <row r="615" spans="1:10" ht="11.25" customHeight="1" x14ac:dyDescent="0.2">
      <c r="A615" s="38">
        <v>44621</v>
      </c>
      <c r="B615" s="28">
        <v>0</v>
      </c>
      <c r="C615" s="28">
        <v>0</v>
      </c>
      <c r="D615" s="28">
        <v>64.359650000000002</v>
      </c>
      <c r="E615" s="28">
        <v>69.213495154777235</v>
      </c>
      <c r="F615" s="28">
        <v>25.012550000000001</v>
      </c>
      <c r="G615" s="28">
        <v>20.011177718398113</v>
      </c>
      <c r="H615" s="29">
        <v>7.5417519436125513E-2</v>
      </c>
      <c r="I615" s="29">
        <v>-0.19995451409799836</v>
      </c>
      <c r="J615" s="29">
        <v>-1.650704881659526E-3</v>
      </c>
    </row>
    <row r="616" spans="1:10" ht="11.25" customHeight="1" x14ac:dyDescent="0.2">
      <c r="A616" s="38">
        <v>44652</v>
      </c>
      <c r="B616" s="28">
        <v>0</v>
      </c>
      <c r="C616" s="28">
        <v>0</v>
      </c>
      <c r="D616" s="28">
        <v>35.905909999999999</v>
      </c>
      <c r="E616" s="28">
        <v>38.613844665296774</v>
      </c>
      <c r="F616" s="28">
        <v>13.954370000000001</v>
      </c>
      <c r="G616" s="28">
        <v>11.164130727106315</v>
      </c>
      <c r="H616" s="29">
        <v>7.5417519436125513E-2</v>
      </c>
      <c r="I616" s="29">
        <v>-0.19995451409799836</v>
      </c>
      <c r="J616" s="29">
        <v>-1.650704881659526E-3</v>
      </c>
    </row>
    <row r="617" spans="1:10" ht="11.25" customHeight="1" x14ac:dyDescent="0.2">
      <c r="A617" s="32" t="s">
        <v>23</v>
      </c>
      <c r="B617" s="28">
        <v>0</v>
      </c>
      <c r="C617" s="28">
        <v>0</v>
      </c>
      <c r="D617" s="28">
        <v>4639661.056179001</v>
      </c>
      <c r="E617" s="28">
        <v>5426506.5451079905</v>
      </c>
      <c r="F617" s="28">
        <v>4463357.6655389993</v>
      </c>
      <c r="G617" s="28">
        <v>3570889.1522805728</v>
      </c>
      <c r="H617" s="29">
        <v>0.16959115750084552</v>
      </c>
      <c r="I617" s="29">
        <v>-0.19995451409799847</v>
      </c>
      <c r="J617" s="29">
        <v>-1.1603076688993186E-2</v>
      </c>
    </row>
    <row r="618" spans="1:10" ht="11.25" customHeight="1" x14ac:dyDescent="0.2">
      <c r="A618" s="33" t="s">
        <v>42</v>
      </c>
      <c r="B618" s="28">
        <v>0</v>
      </c>
      <c r="C618" s="28">
        <v>0</v>
      </c>
      <c r="D618" s="28">
        <v>3654421.3665899998</v>
      </c>
      <c r="E618" s="28">
        <v>4274178.9161458183</v>
      </c>
      <c r="F618" s="28">
        <v>3515556.2921900004</v>
      </c>
      <c r="G618" s="28">
        <v>2812604.9420009875</v>
      </c>
      <c r="H618" s="29">
        <v>0.16959115750084508</v>
      </c>
      <c r="I618" s="29">
        <v>-0.19995451409799869</v>
      </c>
      <c r="J618" s="29">
        <v>-1.1603076688993519E-2</v>
      </c>
    </row>
    <row r="619" spans="1:10" ht="11.25" customHeight="1" x14ac:dyDescent="0.2">
      <c r="A619" s="34" t="s">
        <v>25</v>
      </c>
      <c r="B619" s="28">
        <v>0</v>
      </c>
      <c r="C619" s="28">
        <v>0</v>
      </c>
      <c r="D619" s="28">
        <v>3654421.3665899998</v>
      </c>
      <c r="E619" s="28">
        <v>4274178.9161458183</v>
      </c>
      <c r="F619" s="28">
        <v>3515556.2921900004</v>
      </c>
      <c r="G619" s="28">
        <v>2812604.9420009875</v>
      </c>
      <c r="H619" s="29">
        <v>0.16959115750084508</v>
      </c>
      <c r="I619" s="29">
        <v>-0.19995451409799869</v>
      </c>
      <c r="J619" s="29">
        <v>-1.1603076688993519E-2</v>
      </c>
    </row>
    <row r="620" spans="1:10" ht="11.25" customHeight="1" x14ac:dyDescent="0.2">
      <c r="A620" s="35" t="s">
        <v>25</v>
      </c>
      <c r="B620" s="28">
        <v>0</v>
      </c>
      <c r="C620" s="28">
        <v>0</v>
      </c>
      <c r="D620" s="28">
        <v>3654421.3665899998</v>
      </c>
      <c r="E620" s="28">
        <v>4274178.9161458183</v>
      </c>
      <c r="F620" s="28">
        <v>3515556.2921900004</v>
      </c>
      <c r="G620" s="28">
        <v>2812604.9420009875</v>
      </c>
      <c r="H620" s="29">
        <v>0.16959115750084508</v>
      </c>
      <c r="I620" s="29">
        <v>-0.19995451409799869</v>
      </c>
      <c r="J620" s="29">
        <v>-1.1603076688993519E-2</v>
      </c>
    </row>
    <row r="621" spans="1:10" ht="11.25" customHeight="1" x14ac:dyDescent="0.2">
      <c r="A621" s="36" t="s">
        <v>25</v>
      </c>
      <c r="B621" s="28">
        <v>0</v>
      </c>
      <c r="C621" s="28">
        <v>0</v>
      </c>
      <c r="D621" s="28">
        <v>3654421.3665899998</v>
      </c>
      <c r="E621" s="28">
        <v>4274178.9161458183</v>
      </c>
      <c r="F621" s="28">
        <v>3515556.2921900004</v>
      </c>
      <c r="G621" s="28">
        <v>2812604.9420009875</v>
      </c>
      <c r="H621" s="29">
        <v>0.16959115750084508</v>
      </c>
      <c r="I621" s="29">
        <v>-0.19995451409799869</v>
      </c>
      <c r="J621" s="29">
        <v>-1.1603076688993519E-2</v>
      </c>
    </row>
    <row r="622" spans="1:10" ht="11.25" customHeight="1" x14ac:dyDescent="0.2">
      <c r="A622" s="37" t="s">
        <v>25</v>
      </c>
      <c r="B622" s="28">
        <v>0</v>
      </c>
      <c r="C622" s="28">
        <v>0</v>
      </c>
      <c r="D622" s="28">
        <v>3654421.3665899998</v>
      </c>
      <c r="E622" s="28">
        <v>4274178.9161458183</v>
      </c>
      <c r="F622" s="28">
        <v>3515556.2921900004</v>
      </c>
      <c r="G622" s="28">
        <v>2812604.9420009875</v>
      </c>
      <c r="H622" s="29">
        <v>0.16959115750084508</v>
      </c>
      <c r="I622" s="29">
        <v>-0.19995451409799869</v>
      </c>
      <c r="J622" s="29">
        <v>-1.1603076688993519E-2</v>
      </c>
    </row>
    <row r="623" spans="1:10" ht="11.25" customHeight="1" x14ac:dyDescent="0.2">
      <c r="A623" s="38">
        <v>44317</v>
      </c>
      <c r="B623" s="28">
        <v>0</v>
      </c>
      <c r="C623" s="28">
        <v>0</v>
      </c>
      <c r="D623" s="28">
        <v>257465.6568</v>
      </c>
      <c r="E623" s="28">
        <v>301129.55555342732</v>
      </c>
      <c r="F623" s="28">
        <v>247682.16880000001</v>
      </c>
      <c r="G623" s="28">
        <v>198157.00108685758</v>
      </c>
      <c r="H623" s="29">
        <v>0.16959115750084508</v>
      </c>
      <c r="I623" s="29">
        <v>-0.19995451409799847</v>
      </c>
      <c r="J623" s="29">
        <v>-1.1603076688993408E-2</v>
      </c>
    </row>
    <row r="624" spans="1:10" ht="11.25" customHeight="1" x14ac:dyDescent="0.2">
      <c r="A624" s="38">
        <v>44348</v>
      </c>
      <c r="B624" s="28">
        <v>0</v>
      </c>
      <c r="C624" s="28">
        <v>0</v>
      </c>
      <c r="D624" s="28">
        <v>263435.38308</v>
      </c>
      <c r="E624" s="28">
        <v>308111.69462321576</v>
      </c>
      <c r="F624" s="28">
        <v>253425.05028000002</v>
      </c>
      <c r="G624" s="28">
        <v>202751.56749100177</v>
      </c>
      <c r="H624" s="29">
        <v>0.16959115750084508</v>
      </c>
      <c r="I624" s="29">
        <v>-0.19995451409799858</v>
      </c>
      <c r="J624" s="29">
        <v>-1.1603076688993519E-2</v>
      </c>
    </row>
    <row r="625" spans="1:10" ht="11.25" customHeight="1" x14ac:dyDescent="0.2">
      <c r="A625" s="38">
        <v>44378</v>
      </c>
      <c r="B625" s="28">
        <v>0</v>
      </c>
      <c r="C625" s="28">
        <v>0</v>
      </c>
      <c r="D625" s="28">
        <v>252928.42397999999</v>
      </c>
      <c r="E625" s="28">
        <v>295822.84816763271</v>
      </c>
      <c r="F625" s="28">
        <v>243317.34718000001</v>
      </c>
      <c r="G625" s="28">
        <v>194664.94525300909</v>
      </c>
      <c r="H625" s="29">
        <v>0.16959115750084508</v>
      </c>
      <c r="I625" s="29">
        <v>-0.19995451409799858</v>
      </c>
      <c r="J625" s="29">
        <v>-1.1603076688993519E-2</v>
      </c>
    </row>
    <row r="626" spans="1:10" ht="11.25" customHeight="1" x14ac:dyDescent="0.2">
      <c r="A626" s="38">
        <v>44409</v>
      </c>
      <c r="B626" s="28">
        <v>0</v>
      </c>
      <c r="C626" s="28">
        <v>0</v>
      </c>
      <c r="D626" s="28">
        <v>271622.54574000003</v>
      </c>
      <c r="E626" s="28">
        <v>317687.32767537283</v>
      </c>
      <c r="F626" s="28">
        <v>261301.10734000002</v>
      </c>
      <c r="G626" s="28">
        <v>209052.77138856141</v>
      </c>
      <c r="H626" s="29">
        <v>0.16959115750084486</v>
      </c>
      <c r="I626" s="29">
        <v>-0.19995451409799836</v>
      </c>
      <c r="J626" s="29">
        <v>-1.1603076688993408E-2</v>
      </c>
    </row>
    <row r="627" spans="1:10" ht="11.25" customHeight="1" x14ac:dyDescent="0.2">
      <c r="A627" s="38">
        <v>44440</v>
      </c>
      <c r="B627" s="28">
        <v>0</v>
      </c>
      <c r="C627" s="28">
        <v>0</v>
      </c>
      <c r="D627" s="28">
        <v>310570.82225999999</v>
      </c>
      <c r="E627" s="28">
        <v>363240.88749306259</v>
      </c>
      <c r="F627" s="28">
        <v>298769.38066000002</v>
      </c>
      <c r="G627" s="28">
        <v>239029.09432276976</v>
      </c>
      <c r="H627" s="29">
        <v>0.16959115750084508</v>
      </c>
      <c r="I627" s="29">
        <v>-0.19995451409799858</v>
      </c>
      <c r="J627" s="29">
        <v>-1.1603076688993741E-2</v>
      </c>
    </row>
    <row r="628" spans="1:10" ht="11.25" customHeight="1" x14ac:dyDescent="0.2">
      <c r="A628" s="38">
        <v>44470</v>
      </c>
      <c r="B628" s="28">
        <v>0</v>
      </c>
      <c r="C628" s="28">
        <v>0</v>
      </c>
      <c r="D628" s="28">
        <v>326866.87224000006</v>
      </c>
      <c r="E628" s="28">
        <v>382300.60345186247</v>
      </c>
      <c r="F628" s="28">
        <v>314446.19384000002</v>
      </c>
      <c r="G628" s="28">
        <v>251571.25794075779</v>
      </c>
      <c r="H628" s="29">
        <v>0.16959115750084486</v>
      </c>
      <c r="I628" s="29">
        <v>-0.19995451409799847</v>
      </c>
      <c r="J628" s="29">
        <v>-1.1603076688993408E-2</v>
      </c>
    </row>
    <row r="629" spans="1:10" ht="11.25" customHeight="1" x14ac:dyDescent="0.2">
      <c r="A629" s="38">
        <v>44501</v>
      </c>
      <c r="B629" s="28">
        <v>0</v>
      </c>
      <c r="C629" s="28">
        <v>0</v>
      </c>
      <c r="D629" s="28">
        <v>317784.19589999999</v>
      </c>
      <c r="E629" s="28">
        <v>371677.58551815629</v>
      </c>
      <c r="F629" s="28">
        <v>305708.65190000006</v>
      </c>
      <c r="G629" s="28">
        <v>244580.82695378136</v>
      </c>
      <c r="H629" s="29">
        <v>0.16959115750084508</v>
      </c>
      <c r="I629" s="29">
        <v>-0.19995451409799858</v>
      </c>
      <c r="J629" s="29">
        <v>-1.1603076688993519E-2</v>
      </c>
    </row>
    <row r="630" spans="1:10" ht="11.25" customHeight="1" x14ac:dyDescent="0.2">
      <c r="A630" s="38">
        <v>44531</v>
      </c>
      <c r="B630" s="28">
        <v>0</v>
      </c>
      <c r="C630" s="28">
        <v>0</v>
      </c>
      <c r="D630" s="28">
        <v>312723.39411000005</v>
      </c>
      <c r="E630" s="28">
        <v>365758.5164947079</v>
      </c>
      <c r="F630" s="28">
        <v>300840.15651000006</v>
      </c>
      <c r="G630" s="28">
        <v>240685.80919387718</v>
      </c>
      <c r="H630" s="29">
        <v>0.16959115750084508</v>
      </c>
      <c r="I630" s="29">
        <v>-0.19995451409799847</v>
      </c>
      <c r="J630" s="29">
        <v>-1.160307668899363E-2</v>
      </c>
    </row>
    <row r="631" spans="1:10" ht="11.25" customHeight="1" x14ac:dyDescent="0.2">
      <c r="A631" s="38">
        <v>44562</v>
      </c>
      <c r="B631" s="28">
        <v>0</v>
      </c>
      <c r="C631" s="28">
        <v>0</v>
      </c>
      <c r="D631" s="28">
        <v>310368.01796999999</v>
      </c>
      <c r="E631" s="28">
        <v>363003.68938877532</v>
      </c>
      <c r="F631" s="28">
        <v>298574.28276999999</v>
      </c>
      <c r="G631" s="28">
        <v>238873.00713656627</v>
      </c>
      <c r="H631" s="29">
        <v>0.16959115750084486</v>
      </c>
      <c r="I631" s="29">
        <v>-0.19995451409799836</v>
      </c>
      <c r="J631" s="29">
        <v>-1.1603076688993519E-2</v>
      </c>
    </row>
    <row r="632" spans="1:10" ht="11.25" customHeight="1" x14ac:dyDescent="0.2">
      <c r="A632" s="38">
        <v>44593</v>
      </c>
      <c r="B632" s="28">
        <v>0</v>
      </c>
      <c r="C632" s="28">
        <v>0</v>
      </c>
      <c r="D632" s="28">
        <v>326198.52125999995</v>
      </c>
      <c r="E632" s="28">
        <v>381518.90605554741</v>
      </c>
      <c r="F632" s="28">
        <v>313803.23966000002</v>
      </c>
      <c r="G632" s="28">
        <v>251056.86535140694</v>
      </c>
      <c r="H632" s="29">
        <v>0.1695911575008453</v>
      </c>
      <c r="I632" s="29">
        <v>-0.19995451409799847</v>
      </c>
      <c r="J632" s="29">
        <v>-1.1603076688993519E-2</v>
      </c>
    </row>
    <row r="633" spans="1:10" ht="11.25" customHeight="1" x14ac:dyDescent="0.2">
      <c r="A633" s="38">
        <v>44621</v>
      </c>
      <c r="B633" s="28">
        <v>0</v>
      </c>
      <c r="C633" s="28">
        <v>0</v>
      </c>
      <c r="D633" s="28">
        <v>360528.82640999998</v>
      </c>
      <c r="E633" s="28">
        <v>421671.32739329315</v>
      </c>
      <c r="F633" s="28">
        <v>346829.02081000002</v>
      </c>
      <c r="G633" s="28">
        <v>277478.99247885187</v>
      </c>
      <c r="H633" s="29">
        <v>0.16959115750084508</v>
      </c>
      <c r="I633" s="29">
        <v>-0.19995451409799847</v>
      </c>
      <c r="J633" s="29">
        <v>-1.1603076688993408E-2</v>
      </c>
    </row>
    <row r="634" spans="1:10" ht="11.25" customHeight="1" x14ac:dyDescent="0.2">
      <c r="A634" s="38">
        <v>44652</v>
      </c>
      <c r="B634" s="28">
        <v>0</v>
      </c>
      <c r="C634" s="28">
        <v>0</v>
      </c>
      <c r="D634" s="28">
        <v>343928.70684</v>
      </c>
      <c r="E634" s="28">
        <v>402255.97433076444</v>
      </c>
      <c r="F634" s="28">
        <v>330859.69244000001</v>
      </c>
      <c r="G634" s="28">
        <v>264702.80340354663</v>
      </c>
      <c r="H634" s="29">
        <v>0.16959115750084508</v>
      </c>
      <c r="I634" s="29">
        <v>-0.19995451409799836</v>
      </c>
      <c r="J634" s="29">
        <v>-1.1603076688993408E-2</v>
      </c>
    </row>
    <row r="635" spans="1:10" ht="11.25" customHeight="1" x14ac:dyDescent="0.2">
      <c r="A635" s="33" t="s">
        <v>52</v>
      </c>
      <c r="B635" s="28">
        <v>0</v>
      </c>
      <c r="C635" s="28">
        <v>0</v>
      </c>
      <c r="D635" s="28">
        <v>46387.718099999998</v>
      </c>
      <c r="E635" s="28">
        <v>54254.664906401908</v>
      </c>
      <c r="F635" s="28">
        <v>44625.022100000009</v>
      </c>
      <c r="G635" s="28">
        <v>35702.047489382065</v>
      </c>
      <c r="H635" s="29">
        <v>0.1695911575008453</v>
      </c>
      <c r="I635" s="29">
        <v>-0.19995451409799847</v>
      </c>
      <c r="J635" s="29">
        <v>-1.1603076688993297E-2</v>
      </c>
    </row>
    <row r="636" spans="1:10" ht="11.25" customHeight="1" x14ac:dyDescent="0.2">
      <c r="A636" s="34" t="s">
        <v>25</v>
      </c>
      <c r="B636" s="28">
        <v>0</v>
      </c>
      <c r="C636" s="28">
        <v>0</v>
      </c>
      <c r="D636" s="28">
        <v>46387.718099999998</v>
      </c>
      <c r="E636" s="28">
        <v>54254.664906401908</v>
      </c>
      <c r="F636" s="28">
        <v>44625.022100000009</v>
      </c>
      <c r="G636" s="28">
        <v>35702.047489382065</v>
      </c>
      <c r="H636" s="29">
        <v>0.1695911575008453</v>
      </c>
      <c r="I636" s="29">
        <v>-0.19995451409799847</v>
      </c>
      <c r="J636" s="29">
        <v>-1.1603076688993297E-2</v>
      </c>
    </row>
    <row r="637" spans="1:10" ht="11.25" customHeight="1" x14ac:dyDescent="0.2">
      <c r="A637" s="35" t="s">
        <v>25</v>
      </c>
      <c r="B637" s="28">
        <v>0</v>
      </c>
      <c r="C637" s="28">
        <v>0</v>
      </c>
      <c r="D637" s="28">
        <v>46387.718099999998</v>
      </c>
      <c r="E637" s="28">
        <v>54254.664906401908</v>
      </c>
      <c r="F637" s="28">
        <v>44625.022100000009</v>
      </c>
      <c r="G637" s="28">
        <v>35702.047489382065</v>
      </c>
      <c r="H637" s="29">
        <v>0.1695911575008453</v>
      </c>
      <c r="I637" s="29">
        <v>-0.19995451409799847</v>
      </c>
      <c r="J637" s="29">
        <v>-1.1603076688993297E-2</v>
      </c>
    </row>
    <row r="638" spans="1:10" ht="11.25" customHeight="1" x14ac:dyDescent="0.2">
      <c r="A638" s="36" t="s">
        <v>25</v>
      </c>
      <c r="B638" s="28">
        <v>0</v>
      </c>
      <c r="C638" s="28">
        <v>0</v>
      </c>
      <c r="D638" s="28">
        <v>46387.718099999998</v>
      </c>
      <c r="E638" s="28">
        <v>54254.664906401908</v>
      </c>
      <c r="F638" s="28">
        <v>44625.022100000009</v>
      </c>
      <c r="G638" s="28">
        <v>35702.047489382065</v>
      </c>
      <c r="H638" s="29">
        <v>0.1695911575008453</v>
      </c>
      <c r="I638" s="29">
        <v>-0.19995451409799847</v>
      </c>
      <c r="J638" s="29">
        <v>-1.1603076688993297E-2</v>
      </c>
    </row>
    <row r="639" spans="1:10" ht="11.25" customHeight="1" x14ac:dyDescent="0.2">
      <c r="A639" s="37" t="s">
        <v>25</v>
      </c>
      <c r="B639" s="28">
        <v>0</v>
      </c>
      <c r="C639" s="28">
        <v>0</v>
      </c>
      <c r="D639" s="28">
        <v>46387.718099999998</v>
      </c>
      <c r="E639" s="28">
        <v>54254.664906401908</v>
      </c>
      <c r="F639" s="28">
        <v>44625.022100000009</v>
      </c>
      <c r="G639" s="28">
        <v>35702.047489382065</v>
      </c>
      <c r="H639" s="29">
        <v>0.1695911575008453</v>
      </c>
      <c r="I639" s="29">
        <v>-0.19995451409799847</v>
      </c>
      <c r="J639" s="29">
        <v>-1.1603076688993297E-2</v>
      </c>
    </row>
    <row r="640" spans="1:10" ht="11.25" customHeight="1" x14ac:dyDescent="0.2">
      <c r="A640" s="38">
        <v>44317</v>
      </c>
      <c r="B640" s="28">
        <v>0</v>
      </c>
      <c r="C640" s="28">
        <v>0</v>
      </c>
      <c r="D640" s="28">
        <v>3971.78928</v>
      </c>
      <c r="E640" s="28">
        <v>4645.3696213446483</v>
      </c>
      <c r="F640" s="28">
        <v>3820.8644800000006</v>
      </c>
      <c r="G640" s="28">
        <v>3056.8653794672987</v>
      </c>
      <c r="H640" s="29">
        <v>0.16959115750084508</v>
      </c>
      <c r="I640" s="29">
        <v>-0.19995451409799858</v>
      </c>
      <c r="J640" s="29">
        <v>-1.160307668899363E-2</v>
      </c>
    </row>
    <row r="641" spans="1:10" ht="11.25" customHeight="1" x14ac:dyDescent="0.2">
      <c r="A641" s="38">
        <v>44348</v>
      </c>
      <c r="B641" s="28">
        <v>0</v>
      </c>
      <c r="C641" s="28">
        <v>0</v>
      </c>
      <c r="D641" s="28">
        <v>4109.4553500000002</v>
      </c>
      <c r="E641" s="28">
        <v>4806.3826395045407</v>
      </c>
      <c r="F641" s="28">
        <v>3953.2993500000002</v>
      </c>
      <c r="G641" s="28">
        <v>3162.8192993868174</v>
      </c>
      <c r="H641" s="29">
        <v>0.16959115750084508</v>
      </c>
      <c r="I641" s="29">
        <v>-0.19995451409799836</v>
      </c>
      <c r="J641" s="29">
        <v>-1.1603076688993519E-2</v>
      </c>
    </row>
    <row r="642" spans="1:10" ht="11.25" customHeight="1" x14ac:dyDescent="0.2">
      <c r="A642" s="38">
        <v>44378</v>
      </c>
      <c r="B642" s="28">
        <v>0</v>
      </c>
      <c r="C642" s="28">
        <v>0</v>
      </c>
      <c r="D642" s="28">
        <v>3359.2710599999996</v>
      </c>
      <c r="E642" s="28">
        <v>3928.9737274244908</v>
      </c>
      <c r="F642" s="28">
        <v>3231.6214599999998</v>
      </c>
      <c r="G642" s="28">
        <v>2585.4441612170358</v>
      </c>
      <c r="H642" s="29">
        <v>0.1695911575008453</v>
      </c>
      <c r="I642" s="29">
        <v>-0.19995451409799836</v>
      </c>
      <c r="J642" s="29">
        <v>-1.1603076688993408E-2</v>
      </c>
    </row>
    <row r="643" spans="1:10" ht="11.25" customHeight="1" x14ac:dyDescent="0.2">
      <c r="A643" s="38">
        <v>44409</v>
      </c>
      <c r="B643" s="28">
        <v>0</v>
      </c>
      <c r="C643" s="28">
        <v>0</v>
      </c>
      <c r="D643" s="28">
        <v>3254.1741000000002</v>
      </c>
      <c r="E643" s="28">
        <v>3806.0532523282709</v>
      </c>
      <c r="F643" s="28">
        <v>3130.5181000000002</v>
      </c>
      <c r="G643" s="28">
        <v>2504.5568744395109</v>
      </c>
      <c r="H643" s="29">
        <v>0.16959115750084508</v>
      </c>
      <c r="I643" s="29">
        <v>-0.19995451409799847</v>
      </c>
      <c r="J643" s="29">
        <v>-1.1603076688993408E-2</v>
      </c>
    </row>
    <row r="644" spans="1:10" ht="11.25" customHeight="1" x14ac:dyDescent="0.2">
      <c r="A644" s="38">
        <v>44440</v>
      </c>
      <c r="B644" s="28">
        <v>0</v>
      </c>
      <c r="C644" s="28">
        <v>0</v>
      </c>
      <c r="D644" s="28">
        <v>4433.2306200000003</v>
      </c>
      <c r="E644" s="28">
        <v>5185.067332313989</v>
      </c>
      <c r="F644" s="28">
        <v>4264.77142</v>
      </c>
      <c r="G644" s="28">
        <v>3412.0111229748695</v>
      </c>
      <c r="H644" s="29">
        <v>0.16959115750084508</v>
      </c>
      <c r="I644" s="29">
        <v>-0.19995451409799836</v>
      </c>
      <c r="J644" s="29">
        <v>-1.1603076688993408E-2</v>
      </c>
    </row>
    <row r="645" spans="1:10" ht="11.25" customHeight="1" x14ac:dyDescent="0.2">
      <c r="A645" s="38">
        <v>44470</v>
      </c>
      <c r="B645" s="28">
        <v>0</v>
      </c>
      <c r="C645" s="28">
        <v>0</v>
      </c>
      <c r="D645" s="28">
        <v>3426.3251100000002</v>
      </c>
      <c r="E645" s="28">
        <v>4007.3995513791106</v>
      </c>
      <c r="F645" s="28">
        <v>3296.1275100000003</v>
      </c>
      <c r="G645" s="28">
        <v>2637.0519353329046</v>
      </c>
      <c r="H645" s="29">
        <v>0.16959115750084508</v>
      </c>
      <c r="I645" s="29">
        <v>-0.19995451409799847</v>
      </c>
      <c r="J645" s="29">
        <v>-1.1603076688993408E-2</v>
      </c>
    </row>
    <row r="646" spans="1:10" ht="11.25" customHeight="1" x14ac:dyDescent="0.2">
      <c r="A646" s="38">
        <v>44501</v>
      </c>
      <c r="B646" s="28">
        <v>0</v>
      </c>
      <c r="C646" s="28">
        <v>0</v>
      </c>
      <c r="D646" s="28">
        <v>3739.4264699999999</v>
      </c>
      <c r="E646" s="28">
        <v>4373.6001334365992</v>
      </c>
      <c r="F646" s="28">
        <v>3597.3312700000001</v>
      </c>
      <c r="G646" s="28">
        <v>2878.0286438576145</v>
      </c>
      <c r="H646" s="29">
        <v>0.16959115750084508</v>
      </c>
      <c r="I646" s="29">
        <v>-0.19995451409799847</v>
      </c>
      <c r="J646" s="29">
        <v>-1.1603076688993408E-2</v>
      </c>
    </row>
    <row r="647" spans="1:10" ht="11.25" customHeight="1" x14ac:dyDescent="0.2">
      <c r="A647" s="38">
        <v>44531</v>
      </c>
      <c r="B647" s="28">
        <v>0</v>
      </c>
      <c r="C647" s="28">
        <v>0</v>
      </c>
      <c r="D647" s="28">
        <v>4096.5919199999998</v>
      </c>
      <c r="E647" s="28">
        <v>4791.3376855214092</v>
      </c>
      <c r="F647" s="28">
        <v>3940.9247200000004</v>
      </c>
      <c r="G647" s="28">
        <v>3152.9190325156096</v>
      </c>
      <c r="H647" s="29">
        <v>0.16959115750084508</v>
      </c>
      <c r="I647" s="29">
        <v>-0.19995451409799847</v>
      </c>
      <c r="J647" s="29">
        <v>-1.1603076688993408E-2</v>
      </c>
    </row>
    <row r="648" spans="1:10" ht="11.25" customHeight="1" x14ac:dyDescent="0.2">
      <c r="A648" s="38">
        <v>44562</v>
      </c>
      <c r="B648" s="28">
        <v>0</v>
      </c>
      <c r="C648" s="28">
        <v>0</v>
      </c>
      <c r="D648" s="28">
        <v>3661.1511300000002</v>
      </c>
      <c r="E648" s="28">
        <v>4282.049987922227</v>
      </c>
      <c r="F648" s="28">
        <v>3522.0303300000005</v>
      </c>
      <c r="G648" s="28">
        <v>2817.7844667264371</v>
      </c>
      <c r="H648" s="29">
        <v>0.16959115750084508</v>
      </c>
      <c r="I648" s="29">
        <v>-0.19995451409799847</v>
      </c>
      <c r="J648" s="29">
        <v>-1.1603076688993519E-2</v>
      </c>
    </row>
    <row r="649" spans="1:10" ht="11.25" customHeight="1" x14ac:dyDescent="0.2">
      <c r="A649" s="38">
        <v>44593</v>
      </c>
      <c r="B649" s="28">
        <v>0</v>
      </c>
      <c r="C649" s="28">
        <v>0</v>
      </c>
      <c r="D649" s="28">
        <v>3794.7118500000001</v>
      </c>
      <c r="E649" s="28">
        <v>4438.2614250236738</v>
      </c>
      <c r="F649" s="28">
        <v>3650.5158500000002</v>
      </c>
      <c r="G649" s="28">
        <v>2920.5787270062083</v>
      </c>
      <c r="H649" s="29">
        <v>0.1695911575008453</v>
      </c>
      <c r="I649" s="29">
        <v>-0.19995451409799847</v>
      </c>
      <c r="J649" s="29">
        <v>-1.1603076688993408E-2</v>
      </c>
    </row>
    <row r="650" spans="1:10" ht="11.25" customHeight="1" x14ac:dyDescent="0.2">
      <c r="A650" s="38">
        <v>44621</v>
      </c>
      <c r="B650" s="28">
        <v>0</v>
      </c>
      <c r="C650" s="28">
        <v>0</v>
      </c>
      <c r="D650" s="28">
        <v>4660.6670100000001</v>
      </c>
      <c r="E650" s="28">
        <v>5451.0749229519033</v>
      </c>
      <c r="F650" s="28">
        <v>4483.5654100000002</v>
      </c>
      <c r="G650" s="28">
        <v>3587.056267016857</v>
      </c>
      <c r="H650" s="29">
        <v>0.16959115750084508</v>
      </c>
      <c r="I650" s="29">
        <v>-0.19995451409799847</v>
      </c>
      <c r="J650" s="29">
        <v>-1.1603076688993408E-2</v>
      </c>
    </row>
    <row r="651" spans="1:10" ht="11.25" customHeight="1" x14ac:dyDescent="0.2">
      <c r="A651" s="38">
        <v>44652</v>
      </c>
      <c r="B651" s="28">
        <v>0</v>
      </c>
      <c r="C651" s="28">
        <v>0</v>
      </c>
      <c r="D651" s="28">
        <v>3880.9241999999999</v>
      </c>
      <c r="E651" s="28">
        <v>4539.0946272510409</v>
      </c>
      <c r="F651" s="28">
        <v>3733.4522000000002</v>
      </c>
      <c r="G651" s="28">
        <v>2986.9315794408967</v>
      </c>
      <c r="H651" s="29">
        <v>0.16959115750084508</v>
      </c>
      <c r="I651" s="29">
        <v>-0.19995451409799847</v>
      </c>
      <c r="J651" s="29">
        <v>-1.1603076688993519E-2</v>
      </c>
    </row>
    <row r="652" spans="1:10" ht="11.25" customHeight="1" x14ac:dyDescent="0.2">
      <c r="A652" s="33" t="s">
        <v>40</v>
      </c>
      <c r="B652" s="28">
        <v>0</v>
      </c>
      <c r="C652" s="28">
        <v>0</v>
      </c>
      <c r="D652" s="28">
        <v>339407.89541999996</v>
      </c>
      <c r="E652" s="28">
        <v>396968.47326920356</v>
      </c>
      <c r="F652" s="28">
        <v>326510.66822000005</v>
      </c>
      <c r="G652" s="28">
        <v>261223.38620825717</v>
      </c>
      <c r="H652" s="29">
        <v>0.16959115750084552</v>
      </c>
      <c r="I652" s="29">
        <v>-0.19995451409799836</v>
      </c>
      <c r="J652" s="29">
        <v>-1.1603076688993297E-2</v>
      </c>
    </row>
    <row r="653" spans="1:10" ht="11.25" customHeight="1" x14ac:dyDescent="0.2">
      <c r="A653" s="34" t="s">
        <v>25</v>
      </c>
      <c r="B653" s="28">
        <v>0</v>
      </c>
      <c r="C653" s="28">
        <v>0</v>
      </c>
      <c r="D653" s="28">
        <v>339407.89541999996</v>
      </c>
      <c r="E653" s="28">
        <v>396968.47326920356</v>
      </c>
      <c r="F653" s="28">
        <v>326510.66822000005</v>
      </c>
      <c r="G653" s="28">
        <v>261223.38620825717</v>
      </c>
      <c r="H653" s="29">
        <v>0.16959115750084552</v>
      </c>
      <c r="I653" s="29">
        <v>-0.19995451409799836</v>
      </c>
      <c r="J653" s="29">
        <v>-1.1603076688993297E-2</v>
      </c>
    </row>
    <row r="654" spans="1:10" ht="11.25" customHeight="1" x14ac:dyDescent="0.2">
      <c r="A654" s="35" t="s">
        <v>25</v>
      </c>
      <c r="B654" s="28">
        <v>0</v>
      </c>
      <c r="C654" s="28">
        <v>0</v>
      </c>
      <c r="D654" s="28">
        <v>339407.89541999996</v>
      </c>
      <c r="E654" s="28">
        <v>396968.47326920356</v>
      </c>
      <c r="F654" s="28">
        <v>326510.66822000005</v>
      </c>
      <c r="G654" s="28">
        <v>261223.38620825717</v>
      </c>
      <c r="H654" s="29">
        <v>0.16959115750084552</v>
      </c>
      <c r="I654" s="29">
        <v>-0.19995451409799836</v>
      </c>
      <c r="J654" s="29">
        <v>-1.1603076688993297E-2</v>
      </c>
    </row>
    <row r="655" spans="1:10" ht="11.25" customHeight="1" x14ac:dyDescent="0.2">
      <c r="A655" s="36" t="s">
        <v>25</v>
      </c>
      <c r="B655" s="28">
        <v>0</v>
      </c>
      <c r="C655" s="28">
        <v>0</v>
      </c>
      <c r="D655" s="28">
        <v>339407.89541999996</v>
      </c>
      <c r="E655" s="28">
        <v>396968.47326920356</v>
      </c>
      <c r="F655" s="28">
        <v>326510.66822000005</v>
      </c>
      <c r="G655" s="28">
        <v>261223.38620825717</v>
      </c>
      <c r="H655" s="29">
        <v>0.16959115750084552</v>
      </c>
      <c r="I655" s="29">
        <v>-0.19995451409799836</v>
      </c>
      <c r="J655" s="29">
        <v>-1.1603076688993297E-2</v>
      </c>
    </row>
    <row r="656" spans="1:10" ht="11.25" customHeight="1" x14ac:dyDescent="0.2">
      <c r="A656" s="37" t="s">
        <v>25</v>
      </c>
      <c r="B656" s="28">
        <v>0</v>
      </c>
      <c r="C656" s="28">
        <v>0</v>
      </c>
      <c r="D656" s="28">
        <v>339407.89541999996</v>
      </c>
      <c r="E656" s="28">
        <v>396968.47326920356</v>
      </c>
      <c r="F656" s="28">
        <v>326510.66822000005</v>
      </c>
      <c r="G656" s="28">
        <v>261223.38620825717</v>
      </c>
      <c r="H656" s="29">
        <v>0.16959115750084552</v>
      </c>
      <c r="I656" s="29">
        <v>-0.19995451409799836</v>
      </c>
      <c r="J656" s="29">
        <v>-1.1603076688993297E-2</v>
      </c>
    </row>
    <row r="657" spans="1:10" ht="11.25" customHeight="1" x14ac:dyDescent="0.2">
      <c r="A657" s="38">
        <v>44317</v>
      </c>
      <c r="B657" s="28">
        <v>0</v>
      </c>
      <c r="C657" s="28">
        <v>0</v>
      </c>
      <c r="D657" s="28">
        <v>24064.19325</v>
      </c>
      <c r="E657" s="28">
        <v>28145.267637591525</v>
      </c>
      <c r="F657" s="28">
        <v>23149.773250000006</v>
      </c>
      <c r="G657" s="28">
        <v>18520.871588317412</v>
      </c>
      <c r="H657" s="29">
        <v>0.16959115750084508</v>
      </c>
      <c r="I657" s="29">
        <v>-0.19995451409799847</v>
      </c>
      <c r="J657" s="29">
        <v>-1.160307668899363E-2</v>
      </c>
    </row>
    <row r="658" spans="1:10" ht="11.25" customHeight="1" x14ac:dyDescent="0.2">
      <c r="A658" s="38">
        <v>44348</v>
      </c>
      <c r="B658" s="28">
        <v>0</v>
      </c>
      <c r="C658" s="28">
        <v>0</v>
      </c>
      <c r="D658" s="28">
        <v>23396.937029999997</v>
      </c>
      <c r="E658" s="28">
        <v>27364.850662892088</v>
      </c>
      <c r="F658" s="28">
        <v>22507.872230000004</v>
      </c>
      <c r="G658" s="28">
        <v>18007.321574870519</v>
      </c>
      <c r="H658" s="29">
        <v>0.1695911575008453</v>
      </c>
      <c r="I658" s="29">
        <v>-0.19995451409799858</v>
      </c>
      <c r="J658" s="29">
        <v>-1.1603076688993408E-2</v>
      </c>
    </row>
    <row r="659" spans="1:10" ht="11.25" customHeight="1" x14ac:dyDescent="0.2">
      <c r="A659" s="38">
        <v>44378</v>
      </c>
      <c r="B659" s="28">
        <v>0</v>
      </c>
      <c r="C659" s="28">
        <v>0</v>
      </c>
      <c r="D659" s="28">
        <v>22972.717529999998</v>
      </c>
      <c r="E659" s="28">
        <v>26868.687286852659</v>
      </c>
      <c r="F659" s="28">
        <v>22099.772730000004</v>
      </c>
      <c r="G659" s="28">
        <v>17680.823412096655</v>
      </c>
      <c r="H659" s="29">
        <v>0.1695911575008453</v>
      </c>
      <c r="I659" s="29">
        <v>-0.19995451409799847</v>
      </c>
      <c r="J659" s="29">
        <v>-1.1603076688993519E-2</v>
      </c>
    </row>
    <row r="660" spans="1:10" ht="11.25" customHeight="1" x14ac:dyDescent="0.2">
      <c r="A660" s="38">
        <v>44409</v>
      </c>
      <c r="B660" s="28">
        <v>0</v>
      </c>
      <c r="C660" s="28">
        <v>0</v>
      </c>
      <c r="D660" s="28">
        <v>24625.805129999997</v>
      </c>
      <c r="E660" s="28">
        <v>28802.12392638695</v>
      </c>
      <c r="F660" s="28">
        <v>23690.044330000001</v>
      </c>
      <c r="G660" s="28">
        <v>18953.113027034808</v>
      </c>
      <c r="H660" s="29">
        <v>0.1695911575008453</v>
      </c>
      <c r="I660" s="29">
        <v>-0.19995451409799847</v>
      </c>
      <c r="J660" s="29">
        <v>-1.1603076688993408E-2</v>
      </c>
    </row>
    <row r="661" spans="1:10" ht="11.25" customHeight="1" x14ac:dyDescent="0.2">
      <c r="A661" s="38">
        <v>44440</v>
      </c>
      <c r="B661" s="28">
        <v>0</v>
      </c>
      <c r="C661" s="28">
        <v>0</v>
      </c>
      <c r="D661" s="28">
        <v>26914.94829</v>
      </c>
      <c r="E661" s="28">
        <v>31479.485524576492</v>
      </c>
      <c r="F661" s="28">
        <v>25892.201890000004</v>
      </c>
      <c r="G661" s="28">
        <v>20714.939242157776</v>
      </c>
      <c r="H661" s="29">
        <v>0.16959115750084508</v>
      </c>
      <c r="I661" s="29">
        <v>-0.19995451409799847</v>
      </c>
      <c r="J661" s="29">
        <v>-1.1603076688993408E-2</v>
      </c>
    </row>
    <row r="662" spans="1:10" ht="11.25" customHeight="1" x14ac:dyDescent="0.2">
      <c r="A662" s="38">
        <v>44470</v>
      </c>
      <c r="B662" s="28">
        <v>0</v>
      </c>
      <c r="C662" s="28">
        <v>0</v>
      </c>
      <c r="D662" s="28">
        <v>29874.358260000001</v>
      </c>
      <c r="E662" s="28">
        <v>34940.785256908333</v>
      </c>
      <c r="F662" s="28">
        <v>28739.156660000004</v>
      </c>
      <c r="G662" s="28">
        <v>22992.632554463446</v>
      </c>
      <c r="H662" s="29">
        <v>0.16959115750084508</v>
      </c>
      <c r="I662" s="29">
        <v>-0.19995451409799847</v>
      </c>
      <c r="J662" s="29">
        <v>-1.1603076688993408E-2</v>
      </c>
    </row>
    <row r="663" spans="1:10" ht="11.25" customHeight="1" x14ac:dyDescent="0.2">
      <c r="A663" s="38">
        <v>44501</v>
      </c>
      <c r="B663" s="28">
        <v>0</v>
      </c>
      <c r="C663" s="28">
        <v>0</v>
      </c>
      <c r="D663" s="28">
        <v>30400.664130000001</v>
      </c>
      <c r="E663" s="28">
        <v>35556.34794860112</v>
      </c>
      <c r="F663" s="28">
        <v>29245.463330000002</v>
      </c>
      <c r="G663" s="28">
        <v>23397.700920279021</v>
      </c>
      <c r="H663" s="29">
        <v>0.16959115750084508</v>
      </c>
      <c r="I663" s="29">
        <v>-0.19995451409799836</v>
      </c>
      <c r="J663" s="29">
        <v>-1.1603076688993519E-2</v>
      </c>
    </row>
    <row r="664" spans="1:10" ht="11.25" customHeight="1" x14ac:dyDescent="0.2">
      <c r="A664" s="38">
        <v>44531</v>
      </c>
      <c r="B664" s="28">
        <v>0</v>
      </c>
      <c r="C664" s="28">
        <v>0</v>
      </c>
      <c r="D664" s="28">
        <v>31220.365679999999</v>
      </c>
      <c r="E664" s="28">
        <v>36515.063633270853</v>
      </c>
      <c r="F664" s="28">
        <v>30034.016880000003</v>
      </c>
      <c r="G664" s="28">
        <v>24028.579628348518</v>
      </c>
      <c r="H664" s="29">
        <v>0.16959115750084486</v>
      </c>
      <c r="I664" s="29">
        <v>-0.19995451409799847</v>
      </c>
      <c r="J664" s="29">
        <v>-1.1603076688993519E-2</v>
      </c>
    </row>
    <row r="665" spans="1:10" ht="11.25" customHeight="1" x14ac:dyDescent="0.2">
      <c r="A665" s="38">
        <v>44562</v>
      </c>
      <c r="B665" s="28">
        <v>0</v>
      </c>
      <c r="C665" s="28">
        <v>0</v>
      </c>
      <c r="D665" s="28">
        <v>28116.994770000001</v>
      </c>
      <c r="E665" s="28">
        <v>32885.388458489506</v>
      </c>
      <c r="F665" s="28">
        <v>27048.571570000004</v>
      </c>
      <c r="G665" s="28">
        <v>21640.087584675719</v>
      </c>
      <c r="H665" s="29">
        <v>0.16959115750084508</v>
      </c>
      <c r="I665" s="29">
        <v>-0.19995451409799836</v>
      </c>
      <c r="J665" s="29">
        <v>-1.1603076688993519E-2</v>
      </c>
    </row>
    <row r="666" spans="1:10" ht="11.25" customHeight="1" x14ac:dyDescent="0.2">
      <c r="A666" s="38">
        <v>44593</v>
      </c>
      <c r="B666" s="28">
        <v>0</v>
      </c>
      <c r="C666" s="28">
        <v>0</v>
      </c>
      <c r="D666" s="28">
        <v>32482.623960000001</v>
      </c>
      <c r="E666" s="28">
        <v>37991.389756041084</v>
      </c>
      <c r="F666" s="28">
        <v>31248.310360000003</v>
      </c>
      <c r="G666" s="28">
        <v>25000.069645582749</v>
      </c>
      <c r="H666" s="29">
        <v>0.16959115750084508</v>
      </c>
      <c r="I666" s="29">
        <v>-0.19995451409799847</v>
      </c>
      <c r="J666" s="29">
        <v>-1.1603076688993519E-2</v>
      </c>
    </row>
    <row r="667" spans="1:10" ht="11.25" customHeight="1" x14ac:dyDescent="0.2">
      <c r="A667" s="38">
        <v>44621</v>
      </c>
      <c r="B667" s="28">
        <v>0</v>
      </c>
      <c r="C667" s="28">
        <v>0</v>
      </c>
      <c r="D667" s="28">
        <v>32476.329090000003</v>
      </c>
      <c r="E667" s="28">
        <v>37984.027331751466</v>
      </c>
      <c r="F667" s="28">
        <v>31242.254690000002</v>
      </c>
      <c r="G667" s="28">
        <v>24995.224834135141</v>
      </c>
      <c r="H667" s="29">
        <v>0.16959115750084486</v>
      </c>
      <c r="I667" s="29">
        <v>-0.19995451409799836</v>
      </c>
      <c r="J667" s="29">
        <v>-1.1603076688993519E-2</v>
      </c>
    </row>
    <row r="668" spans="1:10" ht="11.25" customHeight="1" x14ac:dyDescent="0.2">
      <c r="A668" s="38">
        <v>44652</v>
      </c>
      <c r="B668" s="28">
        <v>0</v>
      </c>
      <c r="C668" s="28">
        <v>0</v>
      </c>
      <c r="D668" s="28">
        <v>32861.958299999998</v>
      </c>
      <c r="E668" s="28">
        <v>38435.055845841503</v>
      </c>
      <c r="F668" s="28">
        <v>31613.230299999999</v>
      </c>
      <c r="G668" s="28">
        <v>25292.02219629538</v>
      </c>
      <c r="H668" s="29">
        <v>0.16959115750084508</v>
      </c>
      <c r="I668" s="29">
        <v>-0.19995451409799836</v>
      </c>
      <c r="J668" s="29">
        <v>-1.1603076688993408E-2</v>
      </c>
    </row>
    <row r="669" spans="1:10" ht="11.25" customHeight="1" x14ac:dyDescent="0.2">
      <c r="A669" s="33" t="s">
        <v>45</v>
      </c>
      <c r="B669" s="28">
        <v>0</v>
      </c>
      <c r="C669" s="28">
        <v>0</v>
      </c>
      <c r="D669" s="28">
        <v>349452.31842000003</v>
      </c>
      <c r="E669" s="28">
        <v>408716.34159220179</v>
      </c>
      <c r="F669" s="28">
        <v>336173.41122000007</v>
      </c>
      <c r="G669" s="28">
        <v>268954.0201268383</v>
      </c>
      <c r="H669" s="29">
        <v>0.16959115750084575</v>
      </c>
      <c r="I669" s="29">
        <v>-0.19995451409799858</v>
      </c>
      <c r="J669" s="29">
        <v>-1.1603076688993186E-2</v>
      </c>
    </row>
    <row r="670" spans="1:10" ht="11.25" customHeight="1" x14ac:dyDescent="0.2">
      <c r="A670" s="34" t="s">
        <v>25</v>
      </c>
      <c r="B670" s="28">
        <v>0</v>
      </c>
      <c r="C670" s="28">
        <v>0</v>
      </c>
      <c r="D670" s="28">
        <v>349452.31842000003</v>
      </c>
      <c r="E670" s="28">
        <v>408716.34159220179</v>
      </c>
      <c r="F670" s="28">
        <v>336173.41122000007</v>
      </c>
      <c r="G670" s="28">
        <v>268954.0201268383</v>
      </c>
      <c r="H670" s="29">
        <v>0.16959115750084575</v>
      </c>
      <c r="I670" s="29">
        <v>-0.19995451409799858</v>
      </c>
      <c r="J670" s="29">
        <v>-1.1603076688993186E-2</v>
      </c>
    </row>
    <row r="671" spans="1:10" ht="11.25" customHeight="1" x14ac:dyDescent="0.2">
      <c r="A671" s="35" t="s">
        <v>25</v>
      </c>
      <c r="B671" s="28">
        <v>0</v>
      </c>
      <c r="C671" s="28">
        <v>0</v>
      </c>
      <c r="D671" s="28">
        <v>349452.31842000003</v>
      </c>
      <c r="E671" s="28">
        <v>408716.34159220179</v>
      </c>
      <c r="F671" s="28">
        <v>336173.41122000007</v>
      </c>
      <c r="G671" s="28">
        <v>268954.0201268383</v>
      </c>
      <c r="H671" s="29">
        <v>0.16959115750084575</v>
      </c>
      <c r="I671" s="29">
        <v>-0.19995451409799858</v>
      </c>
      <c r="J671" s="29">
        <v>-1.1603076688993186E-2</v>
      </c>
    </row>
    <row r="672" spans="1:10" ht="11.25" customHeight="1" x14ac:dyDescent="0.2">
      <c r="A672" s="36" t="s">
        <v>25</v>
      </c>
      <c r="B672" s="28">
        <v>0</v>
      </c>
      <c r="C672" s="28">
        <v>0</v>
      </c>
      <c r="D672" s="28">
        <v>349452.31842000003</v>
      </c>
      <c r="E672" s="28">
        <v>408716.34159220179</v>
      </c>
      <c r="F672" s="28">
        <v>336173.41122000007</v>
      </c>
      <c r="G672" s="28">
        <v>268954.0201268383</v>
      </c>
      <c r="H672" s="29">
        <v>0.16959115750084575</v>
      </c>
      <c r="I672" s="29">
        <v>-0.19995451409799858</v>
      </c>
      <c r="J672" s="29">
        <v>-1.1603076688993186E-2</v>
      </c>
    </row>
    <row r="673" spans="1:10" ht="11.25" customHeight="1" x14ac:dyDescent="0.2">
      <c r="A673" s="37" t="s">
        <v>25</v>
      </c>
      <c r="B673" s="28">
        <v>0</v>
      </c>
      <c r="C673" s="28">
        <v>0</v>
      </c>
      <c r="D673" s="28">
        <v>349452.31842000003</v>
      </c>
      <c r="E673" s="28">
        <v>408716.34159220179</v>
      </c>
      <c r="F673" s="28">
        <v>336173.41122000007</v>
      </c>
      <c r="G673" s="28">
        <v>268954.0201268383</v>
      </c>
      <c r="H673" s="29">
        <v>0.16959115750084575</v>
      </c>
      <c r="I673" s="29">
        <v>-0.19995451409799858</v>
      </c>
      <c r="J673" s="29">
        <v>-1.1603076688993186E-2</v>
      </c>
    </row>
    <row r="674" spans="1:10" ht="11.25" customHeight="1" x14ac:dyDescent="0.2">
      <c r="A674" s="38">
        <v>44317</v>
      </c>
      <c r="B674" s="28">
        <v>0</v>
      </c>
      <c r="C674" s="28">
        <v>0</v>
      </c>
      <c r="D674" s="28">
        <v>21191.543010000001</v>
      </c>
      <c r="E674" s="28">
        <v>24785.441318294845</v>
      </c>
      <c r="F674" s="28">
        <v>20386.281410000003</v>
      </c>
      <c r="G674" s="28">
        <v>16309.952416398393</v>
      </c>
      <c r="H674" s="29">
        <v>0.16959115750084508</v>
      </c>
      <c r="I674" s="29">
        <v>-0.19995451409799847</v>
      </c>
      <c r="J674" s="29">
        <v>-1.1603076688993519E-2</v>
      </c>
    </row>
    <row r="675" spans="1:10" ht="11.25" customHeight="1" x14ac:dyDescent="0.2">
      <c r="A675" s="38">
        <v>44348</v>
      </c>
      <c r="B675" s="28">
        <v>0</v>
      </c>
      <c r="C675" s="28">
        <v>0</v>
      </c>
      <c r="D675" s="28">
        <v>23625.741869999998</v>
      </c>
      <c r="E675" s="28">
        <v>27632.458780549478</v>
      </c>
      <c r="F675" s="28">
        <v>22727.982670000001</v>
      </c>
      <c r="G675" s="28">
        <v>18183.41993879242</v>
      </c>
      <c r="H675" s="29">
        <v>0.16959115750084508</v>
      </c>
      <c r="I675" s="29">
        <v>-0.19995451409799847</v>
      </c>
      <c r="J675" s="29">
        <v>-1.1603076688993408E-2</v>
      </c>
    </row>
    <row r="676" spans="1:10" ht="11.25" customHeight="1" x14ac:dyDescent="0.2">
      <c r="A676" s="38">
        <v>44378</v>
      </c>
      <c r="B676" s="28">
        <v>0</v>
      </c>
      <c r="C676" s="28">
        <v>0</v>
      </c>
      <c r="D676" s="28">
        <v>23203.438200000001</v>
      </c>
      <c r="E676" s="28">
        <v>27138.536142337325</v>
      </c>
      <c r="F676" s="28">
        <v>22321.726200000001</v>
      </c>
      <c r="G676" s="28">
        <v>17858.396283850441</v>
      </c>
      <c r="H676" s="29">
        <v>0.16959115750084508</v>
      </c>
      <c r="I676" s="29">
        <v>-0.19995451409799836</v>
      </c>
      <c r="J676" s="29">
        <v>-1.1603076688993519E-2</v>
      </c>
    </row>
    <row r="677" spans="1:10" ht="11.25" customHeight="1" x14ac:dyDescent="0.2">
      <c r="A677" s="38">
        <v>44409</v>
      </c>
      <c r="B677" s="28">
        <v>0</v>
      </c>
      <c r="C677" s="28">
        <v>0</v>
      </c>
      <c r="D677" s="28">
        <v>25987.960259999996</v>
      </c>
      <c r="E677" s="28">
        <v>30395.288521579361</v>
      </c>
      <c r="F677" s="28">
        <v>25000.43866</v>
      </c>
      <c r="G677" s="28">
        <v>20001.488095502886</v>
      </c>
      <c r="H677" s="29">
        <v>0.16959115750084508</v>
      </c>
      <c r="I677" s="29">
        <v>-0.19995451409799836</v>
      </c>
      <c r="J677" s="29">
        <v>-1.1603076688993408E-2</v>
      </c>
    </row>
    <row r="678" spans="1:10" ht="11.25" customHeight="1" x14ac:dyDescent="0.2">
      <c r="A678" s="38">
        <v>44440</v>
      </c>
      <c r="B678" s="28">
        <v>0</v>
      </c>
      <c r="C678" s="28">
        <v>0</v>
      </c>
      <c r="D678" s="28">
        <v>31383.758609999997</v>
      </c>
      <c r="E678" s="28">
        <v>36706.16655939701</v>
      </c>
      <c r="F678" s="28">
        <v>30191.201010000001</v>
      </c>
      <c r="G678" s="28">
        <v>24154.334082010453</v>
      </c>
      <c r="H678" s="29">
        <v>0.16959115750084508</v>
      </c>
      <c r="I678" s="29">
        <v>-0.19995451409799836</v>
      </c>
      <c r="J678" s="29">
        <v>-1.1603076688993408E-2</v>
      </c>
    </row>
    <row r="679" spans="1:10" ht="11.25" customHeight="1" x14ac:dyDescent="0.2">
      <c r="A679" s="38">
        <v>44470</v>
      </c>
      <c r="B679" s="28">
        <v>0</v>
      </c>
      <c r="C679" s="28">
        <v>0</v>
      </c>
      <c r="D679" s="28">
        <v>30173.50143</v>
      </c>
      <c r="E679" s="28">
        <v>35290.660463367109</v>
      </c>
      <c r="F679" s="28">
        <v>29026.932630000003</v>
      </c>
      <c r="G679" s="28">
        <v>23222.866420213017</v>
      </c>
      <c r="H679" s="29">
        <v>0.1695911575008453</v>
      </c>
      <c r="I679" s="29">
        <v>-0.19995451409799847</v>
      </c>
      <c r="J679" s="29">
        <v>-1.1603076688993408E-2</v>
      </c>
    </row>
    <row r="680" spans="1:10" ht="11.25" customHeight="1" x14ac:dyDescent="0.2">
      <c r="A680" s="38">
        <v>44501</v>
      </c>
      <c r="B680" s="28">
        <v>0</v>
      </c>
      <c r="C680" s="28">
        <v>0</v>
      </c>
      <c r="D680" s="28">
        <v>32684.607179999999</v>
      </c>
      <c r="E680" s="28">
        <v>38227.627544116629</v>
      </c>
      <c r="F680" s="28">
        <v>31442.61838</v>
      </c>
      <c r="G680" s="28">
        <v>25155.524899858305</v>
      </c>
      <c r="H680" s="29">
        <v>0.16959115750084508</v>
      </c>
      <c r="I680" s="29">
        <v>-0.19995451409799847</v>
      </c>
      <c r="J680" s="29">
        <v>-1.1603076688993519E-2</v>
      </c>
    </row>
    <row r="681" spans="1:10" ht="11.25" customHeight="1" x14ac:dyDescent="0.2">
      <c r="A681" s="38">
        <v>44531</v>
      </c>
      <c r="B681" s="28">
        <v>0</v>
      </c>
      <c r="C681" s="28">
        <v>0</v>
      </c>
      <c r="D681" s="28">
        <v>32921.349030000005</v>
      </c>
      <c r="E681" s="28">
        <v>38504.51871848703</v>
      </c>
      <c r="F681" s="28">
        <v>31670.364230000003</v>
      </c>
      <c r="G681" s="28">
        <v>25337.731939083722</v>
      </c>
      <c r="H681" s="29">
        <v>0.16959115750084508</v>
      </c>
      <c r="I681" s="29">
        <v>-0.19995451409799847</v>
      </c>
      <c r="J681" s="29">
        <v>-1.1603076688993408E-2</v>
      </c>
    </row>
    <row r="682" spans="1:10" ht="11.25" customHeight="1" x14ac:dyDescent="0.2">
      <c r="A682" s="38">
        <v>44562</v>
      </c>
      <c r="B682" s="28">
        <v>0</v>
      </c>
      <c r="C682" s="28">
        <v>0</v>
      </c>
      <c r="D682" s="28">
        <v>25545.40353</v>
      </c>
      <c r="E682" s="28">
        <v>29877.678083478877</v>
      </c>
      <c r="F682" s="28">
        <v>24574.69873</v>
      </c>
      <c r="G682" s="28">
        <v>19660.876786338151</v>
      </c>
      <c r="H682" s="29">
        <v>0.1695911575008453</v>
      </c>
      <c r="I682" s="29">
        <v>-0.19995451409799847</v>
      </c>
      <c r="J682" s="29">
        <v>-1.1603076688993297E-2</v>
      </c>
    </row>
    <row r="683" spans="1:10" ht="11.25" customHeight="1" x14ac:dyDescent="0.2">
      <c r="A683" s="38">
        <v>44593</v>
      </c>
      <c r="B683" s="28">
        <v>0</v>
      </c>
      <c r="C683" s="28">
        <v>0</v>
      </c>
      <c r="D683" s="28">
        <v>28137.521520000002</v>
      </c>
      <c r="E683" s="28">
        <v>32909.396363781743</v>
      </c>
      <c r="F683" s="28">
        <v>27068.318320000002</v>
      </c>
      <c r="G683" s="28">
        <v>21655.885882874452</v>
      </c>
      <c r="H683" s="29">
        <v>0.16959115750084508</v>
      </c>
      <c r="I683" s="29">
        <v>-0.19995451409799847</v>
      </c>
      <c r="J683" s="29">
        <v>-1.1603076688993408E-2</v>
      </c>
    </row>
    <row r="684" spans="1:10" ht="11.25" customHeight="1" x14ac:dyDescent="0.2">
      <c r="A684" s="38">
        <v>44621</v>
      </c>
      <c r="B684" s="28">
        <v>0</v>
      </c>
      <c r="C684" s="28">
        <v>0</v>
      </c>
      <c r="D684" s="28">
        <v>37914.823080000002</v>
      </c>
      <c r="E684" s="28">
        <v>44344.84181257696</v>
      </c>
      <c r="F684" s="28">
        <v>36474.090280000004</v>
      </c>
      <c r="G684" s="28">
        <v>29180.931280896075</v>
      </c>
      <c r="H684" s="29">
        <v>0.16959115750084508</v>
      </c>
      <c r="I684" s="29">
        <v>-0.19995451409799847</v>
      </c>
      <c r="J684" s="29">
        <v>-1.1603076688993519E-2</v>
      </c>
    </row>
    <row r="685" spans="1:10" ht="11.25" customHeight="1" x14ac:dyDescent="0.2">
      <c r="A685" s="38">
        <v>44652</v>
      </c>
      <c r="B685" s="28">
        <v>0</v>
      </c>
      <c r="C685" s="28">
        <v>0</v>
      </c>
      <c r="D685" s="28">
        <v>36682.670700000002</v>
      </c>
      <c r="E685" s="28">
        <v>42903.727284235334</v>
      </c>
      <c r="F685" s="28">
        <v>35288.758700000006</v>
      </c>
      <c r="G685" s="28">
        <v>28232.612101019986</v>
      </c>
      <c r="H685" s="29">
        <v>0.16959115750084508</v>
      </c>
      <c r="I685" s="29">
        <v>-0.19995451409799858</v>
      </c>
      <c r="J685" s="29">
        <v>-1.1603076688993519E-2</v>
      </c>
    </row>
    <row r="686" spans="1:10" ht="11.25" customHeight="1" x14ac:dyDescent="0.2">
      <c r="A686" s="33" t="s">
        <v>50</v>
      </c>
      <c r="B686" s="28">
        <v>0</v>
      </c>
      <c r="C686" s="28">
        <v>0</v>
      </c>
      <c r="D686" s="28">
        <v>249991.75764899998</v>
      </c>
      <c r="E686" s="28">
        <v>292388.14919436461</v>
      </c>
      <c r="F686" s="28">
        <v>240492.27180900003</v>
      </c>
      <c r="G686" s="28">
        <v>192404.75645510762</v>
      </c>
      <c r="H686" s="29">
        <v>0.16959115750084508</v>
      </c>
      <c r="I686" s="29">
        <v>-0.19995451409799858</v>
      </c>
      <c r="J686" s="29">
        <v>-1.1603076688993519E-2</v>
      </c>
    </row>
    <row r="687" spans="1:10" ht="11.25" customHeight="1" x14ac:dyDescent="0.2">
      <c r="A687" s="34" t="s">
        <v>51</v>
      </c>
      <c r="B687" s="28">
        <v>0</v>
      </c>
      <c r="C687" s="28">
        <v>0</v>
      </c>
      <c r="D687" s="28">
        <v>249991.75764899998</v>
      </c>
      <c r="E687" s="28">
        <v>292388.14919436461</v>
      </c>
      <c r="F687" s="28">
        <v>240492.27180900003</v>
      </c>
      <c r="G687" s="28">
        <v>192404.75645510762</v>
      </c>
      <c r="H687" s="29">
        <v>0.16959115750084508</v>
      </c>
      <c r="I687" s="29">
        <v>-0.19995451409799858</v>
      </c>
      <c r="J687" s="29">
        <v>-1.1603076688993519E-2</v>
      </c>
    </row>
    <row r="688" spans="1:10" ht="11.25" customHeight="1" x14ac:dyDescent="0.2">
      <c r="A688" s="35" t="s">
        <v>25</v>
      </c>
      <c r="B688" s="28">
        <v>0</v>
      </c>
      <c r="C688" s="28">
        <v>0</v>
      </c>
      <c r="D688" s="28">
        <v>249991.75764899998</v>
      </c>
      <c r="E688" s="28">
        <v>292388.14919436461</v>
      </c>
      <c r="F688" s="28">
        <v>240492.27180900003</v>
      </c>
      <c r="G688" s="28">
        <v>192404.75645510762</v>
      </c>
      <c r="H688" s="29">
        <v>0.16959115750084508</v>
      </c>
      <c r="I688" s="29">
        <v>-0.19995451409799858</v>
      </c>
      <c r="J688" s="29">
        <v>-1.1603076688993519E-2</v>
      </c>
    </row>
    <row r="689" spans="1:10" ht="11.25" customHeight="1" x14ac:dyDescent="0.2">
      <c r="A689" s="36" t="s">
        <v>25</v>
      </c>
      <c r="B689" s="28">
        <v>0</v>
      </c>
      <c r="C689" s="28">
        <v>0</v>
      </c>
      <c r="D689" s="28">
        <v>249991.75764899998</v>
      </c>
      <c r="E689" s="28">
        <v>292388.14919436461</v>
      </c>
      <c r="F689" s="28">
        <v>240492.27180900003</v>
      </c>
      <c r="G689" s="28">
        <v>192404.75645510762</v>
      </c>
      <c r="H689" s="29">
        <v>0.16959115750084508</v>
      </c>
      <c r="I689" s="29">
        <v>-0.19995451409799858</v>
      </c>
      <c r="J689" s="29">
        <v>-1.1603076688993519E-2</v>
      </c>
    </row>
    <row r="690" spans="1:10" ht="11.25" customHeight="1" x14ac:dyDescent="0.2">
      <c r="A690" s="37" t="s">
        <v>25</v>
      </c>
      <c r="B690" s="28">
        <v>0</v>
      </c>
      <c r="C690" s="28">
        <v>0</v>
      </c>
      <c r="D690" s="28">
        <v>249991.75764899998</v>
      </c>
      <c r="E690" s="28">
        <v>292388.14919436461</v>
      </c>
      <c r="F690" s="28">
        <v>240492.27180900003</v>
      </c>
      <c r="G690" s="28">
        <v>192404.75645510762</v>
      </c>
      <c r="H690" s="29">
        <v>0.16959115750084508</v>
      </c>
      <c r="I690" s="29">
        <v>-0.19995451409799858</v>
      </c>
      <c r="J690" s="29">
        <v>-1.1603076688993519E-2</v>
      </c>
    </row>
    <row r="691" spans="1:10" ht="11.25" customHeight="1" x14ac:dyDescent="0.2">
      <c r="A691" s="38">
        <v>44317</v>
      </c>
      <c r="B691" s="28">
        <v>0</v>
      </c>
      <c r="C691" s="28">
        <v>0</v>
      </c>
      <c r="D691" s="28">
        <v>20794.506400799997</v>
      </c>
      <c r="E691" s="28">
        <v>24321.070810970403</v>
      </c>
      <c r="F691" s="28">
        <v>20004.331872800001</v>
      </c>
      <c r="G691" s="28">
        <v>16004.375413319174</v>
      </c>
      <c r="H691" s="29">
        <v>0.16959115750084508</v>
      </c>
      <c r="I691" s="29">
        <v>-0.19995451409799847</v>
      </c>
      <c r="J691" s="29">
        <v>-1.1603076688993519E-2</v>
      </c>
    </row>
    <row r="692" spans="1:10" ht="11.25" customHeight="1" x14ac:dyDescent="0.2">
      <c r="A692" s="38">
        <v>44348</v>
      </c>
      <c r="B692" s="28">
        <v>0</v>
      </c>
      <c r="C692" s="28">
        <v>0</v>
      </c>
      <c r="D692" s="28">
        <v>19703.687536799996</v>
      </c>
      <c r="E692" s="28">
        <v>23045.258713200885</v>
      </c>
      <c r="F692" s="28">
        <v>18954.963248799999</v>
      </c>
      <c r="G692" s="28">
        <v>15164.832782640777</v>
      </c>
      <c r="H692" s="29">
        <v>0.16959115750084508</v>
      </c>
      <c r="I692" s="29">
        <v>-0.19995451409799847</v>
      </c>
      <c r="J692" s="29">
        <v>-1.1603076688993408E-2</v>
      </c>
    </row>
    <row r="693" spans="1:10" ht="11.25" customHeight="1" x14ac:dyDescent="0.2">
      <c r="A693" s="38">
        <v>44378</v>
      </c>
      <c r="B693" s="28">
        <v>0</v>
      </c>
      <c r="C693" s="28">
        <v>0</v>
      </c>
      <c r="D693" s="28">
        <v>19108.625264999999</v>
      </c>
      <c r="E693" s="28">
        <v>22349.279141941242</v>
      </c>
      <c r="F693" s="28">
        <v>18382.512865000001</v>
      </c>
      <c r="G693" s="28">
        <v>14706.846437178721</v>
      </c>
      <c r="H693" s="29">
        <v>0.16959115750084508</v>
      </c>
      <c r="I693" s="29">
        <v>-0.19995451409799836</v>
      </c>
      <c r="J693" s="29">
        <v>-1.1603076688993408E-2</v>
      </c>
    </row>
    <row r="694" spans="1:10" ht="11.25" customHeight="1" x14ac:dyDescent="0.2">
      <c r="A694" s="38">
        <v>44409</v>
      </c>
      <c r="B694" s="28">
        <v>0</v>
      </c>
      <c r="C694" s="28">
        <v>0</v>
      </c>
      <c r="D694" s="28">
        <v>19844.413461</v>
      </c>
      <c r="E694" s="28">
        <v>23209.850509776341</v>
      </c>
      <c r="F694" s="28">
        <v>19090.341701000001</v>
      </c>
      <c r="G694" s="28">
        <v>15273.141702211789</v>
      </c>
      <c r="H694" s="29">
        <v>0.16959115750084508</v>
      </c>
      <c r="I694" s="29">
        <v>-0.19995451409799847</v>
      </c>
      <c r="J694" s="29">
        <v>-1.1603076688993519E-2</v>
      </c>
    </row>
    <row r="695" spans="1:10" ht="11.25" customHeight="1" x14ac:dyDescent="0.2">
      <c r="A695" s="38">
        <v>44440</v>
      </c>
      <c r="B695" s="28">
        <v>0</v>
      </c>
      <c r="C695" s="28">
        <v>0</v>
      </c>
      <c r="D695" s="28">
        <v>23204.341377000001</v>
      </c>
      <c r="E695" s="28">
        <v>27139.592490170184</v>
      </c>
      <c r="F695" s="28">
        <v>22322.595057000002</v>
      </c>
      <c r="G695" s="28">
        <v>17859.091408971184</v>
      </c>
      <c r="H695" s="29">
        <v>0.16959115750084508</v>
      </c>
      <c r="I695" s="29">
        <v>-0.19995451409799847</v>
      </c>
      <c r="J695" s="29">
        <v>-1.1603076688993519E-2</v>
      </c>
    </row>
    <row r="696" spans="1:10" ht="11.25" customHeight="1" x14ac:dyDescent="0.2">
      <c r="A696" s="38">
        <v>44470</v>
      </c>
      <c r="B696" s="28">
        <v>0</v>
      </c>
      <c r="C696" s="28">
        <v>0</v>
      </c>
      <c r="D696" s="28">
        <v>17200.206790199998</v>
      </c>
      <c r="E696" s="28">
        <v>20117.209769003912</v>
      </c>
      <c r="F696" s="28">
        <v>16546.612758200001</v>
      </c>
      <c r="G696" s="28">
        <v>13238.042844166377</v>
      </c>
      <c r="H696" s="29">
        <v>0.16959115750084508</v>
      </c>
      <c r="I696" s="29">
        <v>-0.19995451409799847</v>
      </c>
      <c r="J696" s="29">
        <v>-1.1603076688993519E-2</v>
      </c>
    </row>
    <row r="697" spans="1:10" ht="11.25" customHeight="1" x14ac:dyDescent="0.2">
      <c r="A697" s="38">
        <v>44501</v>
      </c>
      <c r="B697" s="28">
        <v>0</v>
      </c>
      <c r="C697" s="28">
        <v>0</v>
      </c>
      <c r="D697" s="28">
        <v>16115.305103999999</v>
      </c>
      <c r="E697" s="28">
        <v>18848.318350066638</v>
      </c>
      <c r="F697" s="28">
        <v>15502.936464</v>
      </c>
      <c r="G697" s="28">
        <v>12403.054336248739</v>
      </c>
      <c r="H697" s="29">
        <v>0.1695911575008453</v>
      </c>
      <c r="I697" s="29">
        <v>-0.19995451409799836</v>
      </c>
      <c r="J697" s="29">
        <v>-1.1603076688993297E-2</v>
      </c>
    </row>
    <row r="698" spans="1:10" ht="11.25" customHeight="1" x14ac:dyDescent="0.2">
      <c r="A698" s="38">
        <v>44531</v>
      </c>
      <c r="B698" s="28">
        <v>0</v>
      </c>
      <c r="C698" s="28">
        <v>0</v>
      </c>
      <c r="D698" s="28">
        <v>27246.2883516</v>
      </c>
      <c r="E698" s="28">
        <v>31867.01793074964</v>
      </c>
      <c r="F698" s="28">
        <v>26210.951295600004</v>
      </c>
      <c r="G698" s="28">
        <v>20969.953265242002</v>
      </c>
      <c r="H698" s="29">
        <v>0.1695911575008453</v>
      </c>
      <c r="I698" s="29">
        <v>-0.19995451409799847</v>
      </c>
      <c r="J698" s="29">
        <v>-1.1603076688993408E-2</v>
      </c>
    </row>
    <row r="699" spans="1:10" ht="11.25" customHeight="1" x14ac:dyDescent="0.2">
      <c r="A699" s="38">
        <v>44562</v>
      </c>
      <c r="B699" s="28">
        <v>0</v>
      </c>
      <c r="C699" s="28">
        <v>0</v>
      </c>
      <c r="D699" s="28">
        <v>21284.860352399999</v>
      </c>
      <c r="E699" s="28">
        <v>24894.584456807363</v>
      </c>
      <c r="F699" s="28">
        <v>20476.052768400001</v>
      </c>
      <c r="G699" s="28">
        <v>16381.773586449603</v>
      </c>
      <c r="H699" s="29">
        <v>0.16959115750084508</v>
      </c>
      <c r="I699" s="29">
        <v>-0.19995451409799847</v>
      </c>
      <c r="J699" s="29">
        <v>-1.1603076688993519E-2</v>
      </c>
    </row>
    <row r="700" spans="1:10" ht="11.25" customHeight="1" x14ac:dyDescent="0.2">
      <c r="A700" s="38">
        <v>44593</v>
      </c>
      <c r="B700" s="28">
        <v>0</v>
      </c>
      <c r="C700" s="28">
        <v>0</v>
      </c>
      <c r="D700" s="28">
        <v>19603.867320000001</v>
      </c>
      <c r="E700" s="28">
        <v>22928.509870291789</v>
      </c>
      <c r="F700" s="28">
        <v>18858.936120000002</v>
      </c>
      <c r="G700" s="28">
        <v>15088.006711720209</v>
      </c>
      <c r="H700" s="29">
        <v>0.16959115750084508</v>
      </c>
      <c r="I700" s="29">
        <v>-0.19995451409799847</v>
      </c>
      <c r="J700" s="29">
        <v>-1.1603076688993408E-2</v>
      </c>
    </row>
    <row r="701" spans="1:10" ht="11.25" customHeight="1" x14ac:dyDescent="0.2">
      <c r="A701" s="38">
        <v>44621</v>
      </c>
      <c r="B701" s="28">
        <v>0</v>
      </c>
      <c r="C701" s="28">
        <v>0</v>
      </c>
      <c r="D701" s="28">
        <v>21706.523587799998</v>
      </c>
      <c r="E701" s="28">
        <v>25387.758048374399</v>
      </c>
      <c r="F701" s="28">
        <v>20881.693139800002</v>
      </c>
      <c r="G701" s="28">
        <v>16706.304334487784</v>
      </c>
      <c r="H701" s="29">
        <v>0.16959115750084508</v>
      </c>
      <c r="I701" s="29">
        <v>-0.19995451409799847</v>
      </c>
      <c r="J701" s="29">
        <v>-1.1603076688993408E-2</v>
      </c>
    </row>
    <row r="702" spans="1:10" ht="11.25" customHeight="1" x14ac:dyDescent="0.2">
      <c r="A702" s="38">
        <v>44652</v>
      </c>
      <c r="B702" s="28">
        <v>0</v>
      </c>
      <c r="C702" s="28">
        <v>0</v>
      </c>
      <c r="D702" s="28">
        <v>24179.132102399995</v>
      </c>
      <c r="E702" s="28">
        <v>28279.699103011855</v>
      </c>
      <c r="F702" s="28">
        <v>23260.344518399997</v>
      </c>
      <c r="G702" s="28">
        <v>18609.333632471284</v>
      </c>
      <c r="H702" s="29">
        <v>0.1695911575008453</v>
      </c>
      <c r="I702" s="29">
        <v>-0.19995451409799847</v>
      </c>
      <c r="J702" s="29">
        <v>-1.1603076688993408E-2</v>
      </c>
    </row>
    <row r="703" spans="1:10" ht="11.25" customHeight="1" x14ac:dyDescent="0.2">
      <c r="A703" s="31" t="s">
        <v>46</v>
      </c>
      <c r="B703" s="28">
        <v>0</v>
      </c>
      <c r="C703" s="28">
        <v>0</v>
      </c>
      <c r="D703" s="28">
        <v>613649.09687999974</v>
      </c>
      <c r="E703" s="28">
        <v>717714.0239523222</v>
      </c>
      <c r="F703" s="28">
        <v>590331.07175999973</v>
      </c>
      <c r="G703" s="28">
        <v>472288.6080145663</v>
      </c>
      <c r="H703" s="29">
        <v>0.16958376961919086</v>
      </c>
      <c r="I703" s="29">
        <v>-0.19995976731074694</v>
      </c>
      <c r="J703" s="29">
        <v>-1.1609440950260619E-2</v>
      </c>
    </row>
    <row r="704" spans="1:10" ht="11.25" customHeight="1" x14ac:dyDescent="0.2">
      <c r="A704" s="32" t="s">
        <v>23</v>
      </c>
      <c r="B704" s="28">
        <v>0</v>
      </c>
      <c r="C704" s="28">
        <v>0</v>
      </c>
      <c r="D704" s="28">
        <v>613649.09687999974</v>
      </c>
      <c r="E704" s="28">
        <v>717714.0239523222</v>
      </c>
      <c r="F704" s="28">
        <v>590331.07175999973</v>
      </c>
      <c r="G704" s="28">
        <v>472288.6080145663</v>
      </c>
      <c r="H704" s="29">
        <v>0.16958376961919086</v>
      </c>
      <c r="I704" s="29">
        <v>-0.19995976731074694</v>
      </c>
      <c r="J704" s="29">
        <v>-1.1609440950260619E-2</v>
      </c>
    </row>
    <row r="705" spans="1:10" ht="11.25" customHeight="1" x14ac:dyDescent="0.2">
      <c r="A705" s="33" t="s">
        <v>47</v>
      </c>
      <c r="B705" s="28">
        <v>0</v>
      </c>
      <c r="C705" s="28">
        <v>0</v>
      </c>
      <c r="D705" s="28">
        <v>613649.09687999974</v>
      </c>
      <c r="E705" s="28">
        <v>717714.0239523222</v>
      </c>
      <c r="F705" s="28">
        <v>590331.07175999973</v>
      </c>
      <c r="G705" s="28">
        <v>472288.6080145663</v>
      </c>
      <c r="H705" s="29">
        <v>0.16958376961919086</v>
      </c>
      <c r="I705" s="29">
        <v>-0.19995976731074694</v>
      </c>
      <c r="J705" s="29">
        <v>-1.1609440950260619E-2</v>
      </c>
    </row>
    <row r="706" spans="1:10" ht="11.25" customHeight="1" x14ac:dyDescent="0.2">
      <c r="A706" s="34" t="s">
        <v>48</v>
      </c>
      <c r="B706" s="28">
        <v>0</v>
      </c>
      <c r="C706" s="28">
        <v>0</v>
      </c>
      <c r="D706" s="28">
        <v>558315.16787999996</v>
      </c>
      <c r="E706" s="28">
        <v>652998.3144465856</v>
      </c>
      <c r="F706" s="28">
        <v>537099.71075999993</v>
      </c>
      <c r="G706" s="28">
        <v>429702.71539005532</v>
      </c>
      <c r="H706" s="29">
        <v>0.16958727259033757</v>
      </c>
      <c r="I706" s="29">
        <v>-0.19995727649522854</v>
      </c>
      <c r="J706" s="29">
        <v>-1.1606423329892701E-2</v>
      </c>
    </row>
    <row r="707" spans="1:10" ht="11.25" customHeight="1" x14ac:dyDescent="0.2">
      <c r="A707" s="35" t="s">
        <v>25</v>
      </c>
      <c r="B707" s="28">
        <v>0</v>
      </c>
      <c r="C707" s="28">
        <v>0</v>
      </c>
      <c r="D707" s="28">
        <v>558315.16787999996</v>
      </c>
      <c r="E707" s="28">
        <v>652998.3144465856</v>
      </c>
      <c r="F707" s="28">
        <v>537099.71075999993</v>
      </c>
      <c r="G707" s="28">
        <v>429702.71539005532</v>
      </c>
      <c r="H707" s="29">
        <v>0.16958727259033757</v>
      </c>
      <c r="I707" s="29">
        <v>-0.19995727649522854</v>
      </c>
      <c r="J707" s="29">
        <v>-1.1606423329892701E-2</v>
      </c>
    </row>
    <row r="708" spans="1:10" ht="11.25" customHeight="1" x14ac:dyDescent="0.2">
      <c r="A708" s="36" t="s">
        <v>25</v>
      </c>
      <c r="B708" s="28">
        <v>0</v>
      </c>
      <c r="C708" s="28">
        <v>0</v>
      </c>
      <c r="D708" s="28">
        <v>558315.16787999996</v>
      </c>
      <c r="E708" s="28">
        <v>652998.3144465856</v>
      </c>
      <c r="F708" s="28">
        <v>537099.71075999993</v>
      </c>
      <c r="G708" s="28">
        <v>429702.71539005532</v>
      </c>
      <c r="H708" s="29">
        <v>0.16958727259033757</v>
      </c>
      <c r="I708" s="29">
        <v>-0.19995727649522854</v>
      </c>
      <c r="J708" s="29">
        <v>-1.1606423329892701E-2</v>
      </c>
    </row>
    <row r="709" spans="1:10" ht="11.25" customHeight="1" x14ac:dyDescent="0.2">
      <c r="A709" s="37" t="s">
        <v>25</v>
      </c>
      <c r="B709" s="28">
        <v>0</v>
      </c>
      <c r="C709" s="28">
        <v>0</v>
      </c>
      <c r="D709" s="28">
        <v>558315.16787999996</v>
      </c>
      <c r="E709" s="28">
        <v>652998.3144465856</v>
      </c>
      <c r="F709" s="28">
        <v>537099.71075999993</v>
      </c>
      <c r="G709" s="28">
        <v>429702.71539005532</v>
      </c>
      <c r="H709" s="29">
        <v>0.16958727259033757</v>
      </c>
      <c r="I709" s="29">
        <v>-0.19995727649522854</v>
      </c>
      <c r="J709" s="29">
        <v>-1.1606423329892701E-2</v>
      </c>
    </row>
    <row r="710" spans="1:10" ht="11.25" customHeight="1" x14ac:dyDescent="0.2">
      <c r="A710" s="38">
        <v>44317</v>
      </c>
      <c r="B710" s="28">
        <v>0</v>
      </c>
      <c r="C710" s="28">
        <v>0</v>
      </c>
      <c r="D710" s="28">
        <v>47444.948579999997</v>
      </c>
      <c r="E710" s="28">
        <v>55491.008007870994</v>
      </c>
      <c r="F710" s="28">
        <v>45642.08466</v>
      </c>
      <c r="G710" s="28">
        <v>36515.61771782174</v>
      </c>
      <c r="H710" s="29">
        <v>0.16958727259033735</v>
      </c>
      <c r="I710" s="29">
        <v>-0.19995727649522876</v>
      </c>
      <c r="J710" s="29">
        <v>-1.1606423329892923E-2</v>
      </c>
    </row>
    <row r="711" spans="1:10" ht="11.25" customHeight="1" x14ac:dyDescent="0.2">
      <c r="A711" s="38">
        <v>44348</v>
      </c>
      <c r="B711" s="28">
        <v>0</v>
      </c>
      <c r="C711" s="28">
        <v>0</v>
      </c>
      <c r="D711" s="28">
        <v>47248.205870000005</v>
      </c>
      <c r="E711" s="28">
        <v>55260.900238280068</v>
      </c>
      <c r="F711" s="28">
        <v>45452.817990000003</v>
      </c>
      <c r="G711" s="28">
        <v>36364.196295686263</v>
      </c>
      <c r="H711" s="29">
        <v>0.16958727259033735</v>
      </c>
      <c r="I711" s="29">
        <v>-0.19995727649522876</v>
      </c>
      <c r="J711" s="29">
        <v>-1.1606423329893034E-2</v>
      </c>
    </row>
    <row r="712" spans="1:10" ht="11.25" customHeight="1" x14ac:dyDescent="0.2">
      <c r="A712" s="38">
        <v>44378</v>
      </c>
      <c r="B712" s="28">
        <v>0</v>
      </c>
      <c r="C712" s="28">
        <v>0</v>
      </c>
      <c r="D712" s="28">
        <v>47955.395810000002</v>
      </c>
      <c r="E712" s="28">
        <v>56088.020591407992</v>
      </c>
      <c r="F712" s="28">
        <v>46133.135370000004</v>
      </c>
      <c r="G712" s="28">
        <v>36908.479265229093</v>
      </c>
      <c r="H712" s="29">
        <v>0.16958727259033735</v>
      </c>
      <c r="I712" s="29">
        <v>-0.19995727649522888</v>
      </c>
      <c r="J712" s="29">
        <v>-1.1606423329892923E-2</v>
      </c>
    </row>
    <row r="713" spans="1:10" ht="11.25" customHeight="1" x14ac:dyDescent="0.2">
      <c r="A713" s="38">
        <v>44409</v>
      </c>
      <c r="B713" s="28">
        <v>0</v>
      </c>
      <c r="C713" s="28">
        <v>0</v>
      </c>
      <c r="D713" s="28">
        <v>48079.281999999999</v>
      </c>
      <c r="E713" s="28">
        <v>56232.916302481695</v>
      </c>
      <c r="F713" s="28">
        <v>46252.313999999998</v>
      </c>
      <c r="G713" s="28">
        <v>37003.827260957856</v>
      </c>
      <c r="H713" s="29">
        <v>0.16958727259033735</v>
      </c>
      <c r="I713" s="29">
        <v>-0.19995727649522876</v>
      </c>
      <c r="J713" s="29">
        <v>-1.1606423329892923E-2</v>
      </c>
    </row>
    <row r="714" spans="1:10" ht="11.25" customHeight="1" x14ac:dyDescent="0.2">
      <c r="A714" s="38">
        <v>44440</v>
      </c>
      <c r="B714" s="28">
        <v>0</v>
      </c>
      <c r="C714" s="28">
        <v>0</v>
      </c>
      <c r="D714" s="28">
        <v>46698.470309999997</v>
      </c>
      <c r="E714" s="28">
        <v>54617.936524013741</v>
      </c>
      <c r="F714" s="28">
        <v>44923.971869999994</v>
      </c>
      <c r="G714" s="28">
        <v>35941.096805526526</v>
      </c>
      <c r="H714" s="29">
        <v>0.16958727259033735</v>
      </c>
      <c r="I714" s="29">
        <v>-0.19995727649522876</v>
      </c>
      <c r="J714" s="29">
        <v>-1.1606423329892923E-2</v>
      </c>
    </row>
    <row r="715" spans="1:10" ht="11.25" customHeight="1" x14ac:dyDescent="0.2">
      <c r="A715" s="38">
        <v>44470</v>
      </c>
      <c r="B715" s="28">
        <v>0</v>
      </c>
      <c r="C715" s="28">
        <v>0</v>
      </c>
      <c r="D715" s="28">
        <v>46933.29711</v>
      </c>
      <c r="E715" s="28">
        <v>54892.586960556859</v>
      </c>
      <c r="F715" s="28">
        <v>45149.875469999999</v>
      </c>
      <c r="G715" s="28">
        <v>36121.829336920062</v>
      </c>
      <c r="H715" s="29">
        <v>0.16958727259033735</v>
      </c>
      <c r="I715" s="29">
        <v>-0.19995727649522876</v>
      </c>
      <c r="J715" s="29">
        <v>-1.1606423329893145E-2</v>
      </c>
    </row>
    <row r="716" spans="1:10" ht="11.25" customHeight="1" x14ac:dyDescent="0.2">
      <c r="A716" s="38">
        <v>44501</v>
      </c>
      <c r="B716" s="28">
        <v>0</v>
      </c>
      <c r="C716" s="28">
        <v>0</v>
      </c>
      <c r="D716" s="28">
        <v>45555.947610000003</v>
      </c>
      <c r="E716" s="28">
        <v>53281.656515448194</v>
      </c>
      <c r="F716" s="28">
        <v>43824.863969999999</v>
      </c>
      <c r="G716" s="28">
        <v>35061.763527784919</v>
      </c>
      <c r="H716" s="29">
        <v>0.16958727259033712</v>
      </c>
      <c r="I716" s="29">
        <v>-0.19995727649522876</v>
      </c>
      <c r="J716" s="29">
        <v>-1.1606423329893145E-2</v>
      </c>
    </row>
    <row r="717" spans="1:10" ht="11.25" customHeight="1" x14ac:dyDescent="0.2">
      <c r="A717" s="38">
        <v>44531</v>
      </c>
      <c r="B717" s="28">
        <v>0</v>
      </c>
      <c r="C717" s="28">
        <v>0</v>
      </c>
      <c r="D717" s="28">
        <v>46539.811690000002</v>
      </c>
      <c r="E717" s="28">
        <v>54432.371421374999</v>
      </c>
      <c r="F717" s="28">
        <v>44771.342130000005</v>
      </c>
      <c r="G717" s="28">
        <v>35818.986492649106</v>
      </c>
      <c r="H717" s="29">
        <v>0.16958727259033735</v>
      </c>
      <c r="I717" s="29">
        <v>-0.19995727649522888</v>
      </c>
      <c r="J717" s="29">
        <v>-1.1606423329893034E-2</v>
      </c>
    </row>
    <row r="718" spans="1:10" ht="11.25" customHeight="1" x14ac:dyDescent="0.2">
      <c r="A718" s="38">
        <v>44562</v>
      </c>
      <c r="B718" s="28">
        <v>0</v>
      </c>
      <c r="C718" s="28">
        <v>0</v>
      </c>
      <c r="D718" s="28">
        <v>45701.510119999999</v>
      </c>
      <c r="E718" s="28">
        <v>53451.904574510496</v>
      </c>
      <c r="F718" s="28">
        <v>43964.895239999998</v>
      </c>
      <c r="G718" s="28">
        <v>35173.794526411548</v>
      </c>
      <c r="H718" s="29">
        <v>0.16958727259033735</v>
      </c>
      <c r="I718" s="29">
        <v>-0.19995727649522888</v>
      </c>
      <c r="J718" s="29">
        <v>-1.1606423329893256E-2</v>
      </c>
    </row>
    <row r="719" spans="1:10" ht="11.25" customHeight="1" x14ac:dyDescent="0.2">
      <c r="A719" s="38">
        <v>44593</v>
      </c>
      <c r="B719" s="28">
        <v>0</v>
      </c>
      <c r="C719" s="28">
        <v>0</v>
      </c>
      <c r="D719" s="28">
        <v>42140.271380000006</v>
      </c>
      <c r="E719" s="28">
        <v>49286.725069550856</v>
      </c>
      <c r="F719" s="28">
        <v>40538.980260000004</v>
      </c>
      <c r="G719" s="28">
        <v>32432.916175316561</v>
      </c>
      <c r="H719" s="29">
        <v>0.16958727259033735</v>
      </c>
      <c r="I719" s="29">
        <v>-0.19995727649522876</v>
      </c>
      <c r="J719" s="29">
        <v>-1.1606423329893034E-2</v>
      </c>
    </row>
    <row r="720" spans="1:10" ht="11.25" customHeight="1" x14ac:dyDescent="0.2">
      <c r="A720" s="38">
        <v>44621</v>
      </c>
      <c r="B720" s="28">
        <v>0</v>
      </c>
      <c r="C720" s="28">
        <v>0</v>
      </c>
      <c r="D720" s="28">
        <v>47465.119599999998</v>
      </c>
      <c r="E720" s="28">
        <v>55514.599776138159</v>
      </c>
      <c r="F720" s="28">
        <v>45661.489199999996</v>
      </c>
      <c r="G720" s="28">
        <v>36531.142178851696</v>
      </c>
      <c r="H720" s="29">
        <v>0.16958727259033735</v>
      </c>
      <c r="I720" s="29">
        <v>-0.19995727649522876</v>
      </c>
      <c r="J720" s="29">
        <v>-1.1606423329893034E-2</v>
      </c>
    </row>
    <row r="721" spans="1:10" ht="11.25" customHeight="1" x14ac:dyDescent="0.2">
      <c r="A721" s="38">
        <v>44652</v>
      </c>
      <c r="B721" s="28">
        <v>0</v>
      </c>
      <c r="C721" s="28">
        <v>0</v>
      </c>
      <c r="D721" s="28">
        <v>46552.907800000001</v>
      </c>
      <c r="E721" s="28">
        <v>54447.68846495144</v>
      </c>
      <c r="F721" s="28">
        <v>44783.940600000002</v>
      </c>
      <c r="G721" s="28">
        <v>35829.065806899896</v>
      </c>
      <c r="H721" s="29">
        <v>0.16958727259033735</v>
      </c>
      <c r="I721" s="29">
        <v>-0.19995727649522888</v>
      </c>
      <c r="J721" s="29">
        <v>-1.1606423329893145E-2</v>
      </c>
    </row>
    <row r="722" spans="1:10" ht="11.25" customHeight="1" x14ac:dyDescent="0.2">
      <c r="A722" s="34" t="s">
        <v>49</v>
      </c>
      <c r="B722" s="28">
        <v>0</v>
      </c>
      <c r="C722" s="28">
        <v>0</v>
      </c>
      <c r="D722" s="28">
        <v>55333.929000000004</v>
      </c>
      <c r="E722" s="28">
        <v>64715.709505736442</v>
      </c>
      <c r="F722" s="28">
        <v>53231.361000000004</v>
      </c>
      <c r="G722" s="28">
        <v>42585.892624510998</v>
      </c>
      <c r="H722" s="29">
        <v>0.1695484249046626</v>
      </c>
      <c r="I722" s="29">
        <v>-0.19998489941838993</v>
      </c>
      <c r="J722" s="29">
        <v>-1.1639888492469108E-2</v>
      </c>
    </row>
    <row r="723" spans="1:10" ht="11.25" customHeight="1" x14ac:dyDescent="0.2">
      <c r="A723" s="35" t="s">
        <v>25</v>
      </c>
      <c r="B723" s="28">
        <v>0</v>
      </c>
      <c r="C723" s="28">
        <v>0</v>
      </c>
      <c r="D723" s="28">
        <v>55333.929000000004</v>
      </c>
      <c r="E723" s="28">
        <v>64715.709505736442</v>
      </c>
      <c r="F723" s="28">
        <v>53231.361000000004</v>
      </c>
      <c r="G723" s="28">
        <v>42585.892624510998</v>
      </c>
      <c r="H723" s="29">
        <v>0.1695484249046626</v>
      </c>
      <c r="I723" s="29">
        <v>-0.19998489941838993</v>
      </c>
      <c r="J723" s="29">
        <v>-1.1639888492469108E-2</v>
      </c>
    </row>
    <row r="724" spans="1:10" ht="11.25" customHeight="1" x14ac:dyDescent="0.2">
      <c r="A724" s="36" t="s">
        <v>25</v>
      </c>
      <c r="B724" s="28">
        <v>0</v>
      </c>
      <c r="C724" s="28">
        <v>0</v>
      </c>
      <c r="D724" s="28">
        <v>55333.929000000004</v>
      </c>
      <c r="E724" s="28">
        <v>64715.709505736442</v>
      </c>
      <c r="F724" s="28">
        <v>53231.361000000004</v>
      </c>
      <c r="G724" s="28">
        <v>42585.892624510998</v>
      </c>
      <c r="H724" s="29">
        <v>0.1695484249046626</v>
      </c>
      <c r="I724" s="29">
        <v>-0.19998489941838993</v>
      </c>
      <c r="J724" s="29">
        <v>-1.1639888492469108E-2</v>
      </c>
    </row>
    <row r="725" spans="1:10" ht="11.25" customHeight="1" x14ac:dyDescent="0.2">
      <c r="A725" s="37" t="s">
        <v>25</v>
      </c>
      <c r="B725" s="28">
        <v>0</v>
      </c>
      <c r="C725" s="28">
        <v>0</v>
      </c>
      <c r="D725" s="28">
        <v>55333.929000000004</v>
      </c>
      <c r="E725" s="28">
        <v>64715.709505736442</v>
      </c>
      <c r="F725" s="28">
        <v>53231.361000000004</v>
      </c>
      <c r="G725" s="28">
        <v>42585.892624510998</v>
      </c>
      <c r="H725" s="29">
        <v>0.1695484249046626</v>
      </c>
      <c r="I725" s="29">
        <v>-0.19998489941838993</v>
      </c>
      <c r="J725" s="29">
        <v>-1.1639888492469108E-2</v>
      </c>
    </row>
    <row r="726" spans="1:10" ht="11.25" customHeight="1" x14ac:dyDescent="0.2">
      <c r="A726" s="38">
        <v>44317</v>
      </c>
      <c r="B726" s="28">
        <v>0</v>
      </c>
      <c r="C726" s="28">
        <v>0</v>
      </c>
      <c r="D726" s="28">
        <v>4699.6479599999993</v>
      </c>
      <c r="E726" s="28">
        <v>5496.465869224412</v>
      </c>
      <c r="F726" s="28">
        <v>4521.0716399999992</v>
      </c>
      <c r="G726" s="28">
        <v>3616.9255828112655</v>
      </c>
      <c r="H726" s="29">
        <v>0.16954842490466304</v>
      </c>
      <c r="I726" s="29">
        <v>-0.19998489941838959</v>
      </c>
      <c r="J726" s="29">
        <v>-1.1639888492468775E-2</v>
      </c>
    </row>
    <row r="727" spans="1:10" ht="11.25" customHeight="1" x14ac:dyDescent="0.2">
      <c r="A727" s="38">
        <v>44348</v>
      </c>
      <c r="B727" s="28">
        <v>0</v>
      </c>
      <c r="C727" s="28">
        <v>0</v>
      </c>
      <c r="D727" s="28">
        <v>4547.9086799999995</v>
      </c>
      <c r="E727" s="28">
        <v>5318.9994333042441</v>
      </c>
      <c r="F727" s="28">
        <v>4375.0981199999997</v>
      </c>
      <c r="G727" s="28">
        <v>3500.144562526214</v>
      </c>
      <c r="H727" s="29">
        <v>0.16954842490466282</v>
      </c>
      <c r="I727" s="29">
        <v>-0.19998489941838971</v>
      </c>
      <c r="J727" s="29">
        <v>-1.1639888492468775E-2</v>
      </c>
    </row>
    <row r="728" spans="1:10" ht="11.25" customHeight="1" x14ac:dyDescent="0.2">
      <c r="A728" s="38">
        <v>44378</v>
      </c>
      <c r="B728" s="28">
        <v>0</v>
      </c>
      <c r="C728" s="28">
        <v>0</v>
      </c>
      <c r="D728" s="28">
        <v>4699.6479599999993</v>
      </c>
      <c r="E728" s="28">
        <v>5496.465869224412</v>
      </c>
      <c r="F728" s="28">
        <v>4521.0716399999992</v>
      </c>
      <c r="G728" s="28">
        <v>3616.9255828112655</v>
      </c>
      <c r="H728" s="29">
        <v>0.16954842490466304</v>
      </c>
      <c r="I728" s="29">
        <v>-0.19998489941838959</v>
      </c>
      <c r="J728" s="29">
        <v>-1.1639888492468775E-2</v>
      </c>
    </row>
    <row r="729" spans="1:10" ht="11.25" customHeight="1" x14ac:dyDescent="0.2">
      <c r="A729" s="38">
        <v>44409</v>
      </c>
      <c r="B729" s="28">
        <v>0</v>
      </c>
      <c r="C729" s="28">
        <v>0</v>
      </c>
      <c r="D729" s="28">
        <v>4699.6479599999993</v>
      </c>
      <c r="E729" s="28">
        <v>5496.465869224412</v>
      </c>
      <c r="F729" s="28">
        <v>4521.0716399999992</v>
      </c>
      <c r="G729" s="28">
        <v>3616.9255828112655</v>
      </c>
      <c r="H729" s="29">
        <v>0.16954842490466304</v>
      </c>
      <c r="I729" s="29">
        <v>-0.19998489941838959</v>
      </c>
      <c r="J729" s="29">
        <v>-1.1639888492468775E-2</v>
      </c>
    </row>
    <row r="730" spans="1:10" ht="11.25" customHeight="1" x14ac:dyDescent="0.2">
      <c r="A730" s="38">
        <v>44440</v>
      </c>
      <c r="B730" s="28">
        <v>0</v>
      </c>
      <c r="C730" s="28">
        <v>0</v>
      </c>
      <c r="D730" s="28">
        <v>4547.9086799999995</v>
      </c>
      <c r="E730" s="28">
        <v>5318.9994333042441</v>
      </c>
      <c r="F730" s="28">
        <v>4375.0981199999997</v>
      </c>
      <c r="G730" s="28">
        <v>3500.144562526214</v>
      </c>
      <c r="H730" s="29">
        <v>0.16954842490466282</v>
      </c>
      <c r="I730" s="29">
        <v>-0.19998489941838971</v>
      </c>
      <c r="J730" s="29">
        <v>-1.1639888492468775E-2</v>
      </c>
    </row>
    <row r="731" spans="1:10" ht="11.25" customHeight="1" x14ac:dyDescent="0.2">
      <c r="A731" s="38">
        <v>44470</v>
      </c>
      <c r="B731" s="28">
        <v>0</v>
      </c>
      <c r="C731" s="28">
        <v>0</v>
      </c>
      <c r="D731" s="28">
        <v>4699.6479599999993</v>
      </c>
      <c r="E731" s="28">
        <v>5496.465869224412</v>
      </c>
      <c r="F731" s="28">
        <v>4521.0716399999992</v>
      </c>
      <c r="G731" s="28">
        <v>3616.9255828112655</v>
      </c>
      <c r="H731" s="29">
        <v>0.16954842490466304</v>
      </c>
      <c r="I731" s="29">
        <v>-0.19998489941838959</v>
      </c>
      <c r="J731" s="29">
        <v>-1.1639888492468775E-2</v>
      </c>
    </row>
    <row r="732" spans="1:10" ht="11.25" customHeight="1" x14ac:dyDescent="0.2">
      <c r="A732" s="38">
        <v>44501</v>
      </c>
      <c r="B732" s="28">
        <v>0</v>
      </c>
      <c r="C732" s="28">
        <v>0</v>
      </c>
      <c r="D732" s="28">
        <v>4547.9086799999995</v>
      </c>
      <c r="E732" s="28">
        <v>5318.9994333042441</v>
      </c>
      <c r="F732" s="28">
        <v>4375.0981199999997</v>
      </c>
      <c r="G732" s="28">
        <v>3500.144562526214</v>
      </c>
      <c r="H732" s="29">
        <v>0.16954842490466282</v>
      </c>
      <c r="I732" s="29">
        <v>-0.19998489941838971</v>
      </c>
      <c r="J732" s="29">
        <v>-1.1639888492468775E-2</v>
      </c>
    </row>
    <row r="733" spans="1:10" ht="11.25" customHeight="1" x14ac:dyDescent="0.2">
      <c r="A733" s="38">
        <v>44531</v>
      </c>
      <c r="B733" s="28">
        <v>0</v>
      </c>
      <c r="C733" s="28">
        <v>0</v>
      </c>
      <c r="D733" s="28">
        <v>4699.6479599999993</v>
      </c>
      <c r="E733" s="28">
        <v>5496.465869224412</v>
      </c>
      <c r="F733" s="28">
        <v>4521.0716399999992</v>
      </c>
      <c r="G733" s="28">
        <v>3616.9255828112655</v>
      </c>
      <c r="H733" s="29">
        <v>0.16954842490466304</v>
      </c>
      <c r="I733" s="29">
        <v>-0.19998489941838959</v>
      </c>
      <c r="J733" s="29">
        <v>-1.1639888492468775E-2</v>
      </c>
    </row>
    <row r="734" spans="1:10" ht="11.25" customHeight="1" x14ac:dyDescent="0.2">
      <c r="A734" s="38">
        <v>44562</v>
      </c>
      <c r="B734" s="28">
        <v>0</v>
      </c>
      <c r="C734" s="28">
        <v>0</v>
      </c>
      <c r="D734" s="28">
        <v>4699.6479599999993</v>
      </c>
      <c r="E734" s="28">
        <v>5496.465869224412</v>
      </c>
      <c r="F734" s="28">
        <v>4521.0716399999992</v>
      </c>
      <c r="G734" s="28">
        <v>3616.9255828112655</v>
      </c>
      <c r="H734" s="29">
        <v>0.16954842490466304</v>
      </c>
      <c r="I734" s="29">
        <v>-0.19998489941838959</v>
      </c>
      <c r="J734" s="29">
        <v>-1.1639888492468775E-2</v>
      </c>
    </row>
    <row r="735" spans="1:10" ht="11.25" customHeight="1" x14ac:dyDescent="0.2">
      <c r="A735" s="38">
        <v>44593</v>
      </c>
      <c r="B735" s="28">
        <v>0</v>
      </c>
      <c r="C735" s="28">
        <v>0</v>
      </c>
      <c r="D735" s="28">
        <v>4244.7585600000002</v>
      </c>
      <c r="E735" s="28">
        <v>4964.4506879485853</v>
      </c>
      <c r="F735" s="28">
        <v>4083.4670399999995</v>
      </c>
      <c r="G735" s="28">
        <v>3266.8352947272901</v>
      </c>
      <c r="H735" s="29">
        <v>0.16954842490466282</v>
      </c>
      <c r="I735" s="29">
        <v>-0.19998489941838971</v>
      </c>
      <c r="J735" s="29">
        <v>-1.1639888492468775E-2</v>
      </c>
    </row>
    <row r="736" spans="1:10" ht="11.25" customHeight="1" x14ac:dyDescent="0.2">
      <c r="A736" s="38">
        <v>44621</v>
      </c>
      <c r="B736" s="28">
        <v>0</v>
      </c>
      <c r="C736" s="28">
        <v>0</v>
      </c>
      <c r="D736" s="28">
        <v>4699.6479599999993</v>
      </c>
      <c r="E736" s="28">
        <v>5496.465869224412</v>
      </c>
      <c r="F736" s="28">
        <v>4521.0716399999992</v>
      </c>
      <c r="G736" s="28">
        <v>3616.9255828112655</v>
      </c>
      <c r="H736" s="29">
        <v>0.16954842490466304</v>
      </c>
      <c r="I736" s="29">
        <v>-0.19998489941838959</v>
      </c>
      <c r="J736" s="29">
        <v>-1.1639888492468775E-2</v>
      </c>
    </row>
    <row r="737" spans="1:10" ht="11.25" customHeight="1" x14ac:dyDescent="0.2">
      <c r="A737" s="38">
        <v>44652</v>
      </c>
      <c r="B737" s="28">
        <v>0</v>
      </c>
      <c r="C737" s="28">
        <v>0</v>
      </c>
      <c r="D737" s="28">
        <v>4547.9086799999995</v>
      </c>
      <c r="E737" s="28">
        <v>5318.9994333042441</v>
      </c>
      <c r="F737" s="28">
        <v>4375.0981199999997</v>
      </c>
      <c r="G737" s="28">
        <v>3500.144562526214</v>
      </c>
      <c r="H737" s="29">
        <v>0.16954842490466282</v>
      </c>
      <c r="I737" s="29">
        <v>-0.19998489941838971</v>
      </c>
      <c r="J737" s="29">
        <v>-1.1639888492468775E-2</v>
      </c>
    </row>
    <row r="738" spans="1:10" ht="11.25" customHeight="1" x14ac:dyDescent="0.2">
      <c r="A738" s="30" t="s">
        <v>58</v>
      </c>
      <c r="B738" s="28">
        <v>1123815.42</v>
      </c>
      <c r="C738" s="28">
        <v>970253.018956905</v>
      </c>
      <c r="D738" s="28">
        <v>3768298.9471799997</v>
      </c>
      <c r="E738" s="28">
        <v>5075977.0234593088</v>
      </c>
      <c r="F738" s="28">
        <v>0</v>
      </c>
      <c r="G738" s="28">
        <v>0</v>
      </c>
      <c r="H738" s="29">
        <v>0.23591346984422423</v>
      </c>
      <c r="I738" s="29">
        <v>0</v>
      </c>
      <c r="J738" s="29">
        <v>0.23591346984422423</v>
      </c>
    </row>
    <row r="739" spans="1:10" ht="11.25" customHeight="1" x14ac:dyDescent="0.2">
      <c r="A739" s="31" t="s">
        <v>33</v>
      </c>
      <c r="B739" s="28">
        <v>1123815.42</v>
      </c>
      <c r="C739" s="28">
        <v>970253.018956905</v>
      </c>
      <c r="D739" s="28">
        <v>3768298.9471799997</v>
      </c>
      <c r="E739" s="28">
        <v>5075977.0234593088</v>
      </c>
      <c r="F739" s="28">
        <v>0</v>
      </c>
      <c r="G739" s="28">
        <v>0</v>
      </c>
      <c r="H739" s="29">
        <v>0.23591346984422423</v>
      </c>
      <c r="I739" s="29">
        <v>0</v>
      </c>
      <c r="J739" s="29">
        <v>0.23591346984422423</v>
      </c>
    </row>
    <row r="740" spans="1:10" ht="11.25" customHeight="1" x14ac:dyDescent="0.2">
      <c r="A740" s="32" t="s">
        <v>34</v>
      </c>
      <c r="B740" s="28">
        <v>1123815.42</v>
      </c>
      <c r="C740" s="28">
        <v>970253.018956905</v>
      </c>
      <c r="D740" s="28">
        <v>3768298.9471799997</v>
      </c>
      <c r="E740" s="28">
        <v>5075977.0234593088</v>
      </c>
      <c r="F740" s="28">
        <v>0</v>
      </c>
      <c r="G740" s="28">
        <v>0</v>
      </c>
      <c r="H740" s="29">
        <v>0.23591346984422423</v>
      </c>
      <c r="I740" s="29">
        <v>0</v>
      </c>
      <c r="J740" s="29">
        <v>0.23591346984422423</v>
      </c>
    </row>
    <row r="741" spans="1:10" ht="11.25" customHeight="1" x14ac:dyDescent="0.2">
      <c r="A741" s="33" t="s">
        <v>40</v>
      </c>
      <c r="B741" s="28">
        <v>1123815.42</v>
      </c>
      <c r="C741" s="28">
        <v>970253.018956905</v>
      </c>
      <c r="D741" s="28">
        <v>3768298.9471799997</v>
      </c>
      <c r="E741" s="28">
        <v>5075977.0234593088</v>
      </c>
      <c r="F741" s="28">
        <v>0</v>
      </c>
      <c r="G741" s="28">
        <v>0</v>
      </c>
      <c r="H741" s="29">
        <v>0.23591346984422423</v>
      </c>
      <c r="I741" s="29">
        <v>0</v>
      </c>
      <c r="J741" s="29">
        <v>0.23591346984422423</v>
      </c>
    </row>
    <row r="742" spans="1:10" ht="11.25" customHeight="1" x14ac:dyDescent="0.2">
      <c r="A742" s="34" t="s">
        <v>25</v>
      </c>
      <c r="B742" s="28">
        <v>1123815.42</v>
      </c>
      <c r="C742" s="28">
        <v>970253.018956905</v>
      </c>
      <c r="D742" s="28">
        <v>3768298.9471799997</v>
      </c>
      <c r="E742" s="28">
        <v>5075977.0234593088</v>
      </c>
      <c r="F742" s="28">
        <v>0</v>
      </c>
      <c r="G742" s="28">
        <v>0</v>
      </c>
      <c r="H742" s="29">
        <v>0.23591346984422423</v>
      </c>
      <c r="I742" s="29">
        <v>0</v>
      </c>
      <c r="J742" s="29">
        <v>0.23591346984422423</v>
      </c>
    </row>
    <row r="743" spans="1:10" ht="11.25" customHeight="1" x14ac:dyDescent="0.2">
      <c r="A743" s="35" t="s">
        <v>57</v>
      </c>
      <c r="B743" s="28">
        <v>1123815.42</v>
      </c>
      <c r="C743" s="28">
        <v>970253.018956905</v>
      </c>
      <c r="D743" s="28">
        <v>3768298.9471799997</v>
      </c>
      <c r="E743" s="28">
        <v>5075977.0234593088</v>
      </c>
      <c r="F743" s="28">
        <v>0</v>
      </c>
      <c r="G743" s="28">
        <v>0</v>
      </c>
      <c r="H743" s="29">
        <v>0.23591346984422423</v>
      </c>
      <c r="I743" s="29">
        <v>0</v>
      </c>
      <c r="J743" s="29">
        <v>0.23591346984422423</v>
      </c>
    </row>
    <row r="744" spans="1:10" ht="11.25" customHeight="1" x14ac:dyDescent="0.2">
      <c r="A744" s="36" t="s">
        <v>25</v>
      </c>
      <c r="B744" s="28">
        <v>1123815.42</v>
      </c>
      <c r="C744" s="28">
        <v>970253.018956905</v>
      </c>
      <c r="D744" s="28">
        <v>3768298.9471799997</v>
      </c>
      <c r="E744" s="28">
        <v>5075977.0234593088</v>
      </c>
      <c r="F744" s="28">
        <v>0</v>
      </c>
      <c r="G744" s="28">
        <v>0</v>
      </c>
      <c r="H744" s="29">
        <v>0.23591346984422423</v>
      </c>
      <c r="I744" s="29">
        <v>0</v>
      </c>
      <c r="J744" s="29">
        <v>0.23591346984422423</v>
      </c>
    </row>
    <row r="745" spans="1:10" ht="11.25" customHeight="1" x14ac:dyDescent="0.2">
      <c r="A745" s="37" t="s">
        <v>36</v>
      </c>
      <c r="B745" s="28">
        <v>0</v>
      </c>
      <c r="C745" s="28">
        <v>0</v>
      </c>
      <c r="D745" s="28">
        <v>2392442.2747800001</v>
      </c>
      <c r="E745" s="28">
        <v>3659093.4379760441</v>
      </c>
      <c r="F745" s="28">
        <v>0</v>
      </c>
      <c r="G745" s="28">
        <v>0</v>
      </c>
      <c r="H745" s="29">
        <v>0.52943854760822617</v>
      </c>
      <c r="I745" s="29">
        <v>0</v>
      </c>
      <c r="J745" s="29">
        <v>0.52943854760822617</v>
      </c>
    </row>
    <row r="746" spans="1:10" ht="11.25" customHeight="1" x14ac:dyDescent="0.2">
      <c r="A746" s="38">
        <v>44317</v>
      </c>
      <c r="B746" s="28">
        <v>0</v>
      </c>
      <c r="C746" s="28">
        <v>0</v>
      </c>
      <c r="D746" s="28">
        <v>158399.27055000002</v>
      </c>
      <c r="E746" s="28">
        <v>242261.95029219452</v>
      </c>
      <c r="F746" s="28">
        <v>0</v>
      </c>
      <c r="G746" s="28">
        <v>0</v>
      </c>
      <c r="H746" s="29">
        <v>0.5294385476082264</v>
      </c>
      <c r="I746" s="29">
        <v>0</v>
      </c>
      <c r="J746" s="29">
        <v>0.5294385476082264</v>
      </c>
    </row>
    <row r="747" spans="1:10" ht="11.25" customHeight="1" x14ac:dyDescent="0.2">
      <c r="A747" s="38">
        <v>44348</v>
      </c>
      <c r="B747" s="28">
        <v>0</v>
      </c>
      <c r="C747" s="28">
        <v>0</v>
      </c>
      <c r="D747" s="28">
        <v>182195.03340000001</v>
      </c>
      <c r="E747" s="28">
        <v>278656.10726472829</v>
      </c>
      <c r="F747" s="28">
        <v>0</v>
      </c>
      <c r="G747" s="28">
        <v>0</v>
      </c>
      <c r="H747" s="29">
        <v>0.52943854760822617</v>
      </c>
      <c r="I747" s="29">
        <v>0</v>
      </c>
      <c r="J747" s="29">
        <v>0.52943854760822617</v>
      </c>
    </row>
    <row r="748" spans="1:10" ht="11.25" customHeight="1" x14ac:dyDescent="0.2">
      <c r="A748" s="38">
        <v>44378</v>
      </c>
      <c r="B748" s="28">
        <v>0</v>
      </c>
      <c r="C748" s="28">
        <v>0</v>
      </c>
      <c r="D748" s="28">
        <v>201600.83115000001</v>
      </c>
      <c r="E748" s="28">
        <v>308336.08239066729</v>
      </c>
      <c r="F748" s="28">
        <v>0</v>
      </c>
      <c r="G748" s="28">
        <v>0</v>
      </c>
      <c r="H748" s="29">
        <v>0.5294385476082264</v>
      </c>
      <c r="I748" s="29">
        <v>0</v>
      </c>
      <c r="J748" s="29">
        <v>0.5294385476082264</v>
      </c>
    </row>
    <row r="749" spans="1:10" ht="11.25" customHeight="1" x14ac:dyDescent="0.2">
      <c r="A749" s="38">
        <v>44409</v>
      </c>
      <c r="B749" s="28">
        <v>0</v>
      </c>
      <c r="C749" s="28">
        <v>0</v>
      </c>
      <c r="D749" s="28">
        <v>208355.57748000001</v>
      </c>
      <c r="E749" s="28">
        <v>318667.05180708447</v>
      </c>
      <c r="F749" s="28">
        <v>0</v>
      </c>
      <c r="G749" s="28">
        <v>0</v>
      </c>
      <c r="H749" s="29">
        <v>0.52943854760822617</v>
      </c>
      <c r="I749" s="29">
        <v>0</v>
      </c>
      <c r="J749" s="29">
        <v>0.52943854760822617</v>
      </c>
    </row>
    <row r="750" spans="1:10" ht="11.25" customHeight="1" x14ac:dyDescent="0.2">
      <c r="A750" s="38">
        <v>44440</v>
      </c>
      <c r="B750" s="28">
        <v>0</v>
      </c>
      <c r="C750" s="28">
        <v>0</v>
      </c>
      <c r="D750" s="28">
        <v>208787.16005999999</v>
      </c>
      <c r="E750" s="28">
        <v>319327.1308414127</v>
      </c>
      <c r="F750" s="28">
        <v>0</v>
      </c>
      <c r="G750" s="28">
        <v>0</v>
      </c>
      <c r="H750" s="29">
        <v>0.5294385476082264</v>
      </c>
      <c r="I750" s="29">
        <v>0</v>
      </c>
      <c r="J750" s="29">
        <v>0.5294385476082264</v>
      </c>
    </row>
    <row r="751" spans="1:10" ht="11.25" customHeight="1" x14ac:dyDescent="0.2">
      <c r="A751" s="38">
        <v>44470</v>
      </c>
      <c r="B751" s="28">
        <v>0</v>
      </c>
      <c r="C751" s="28">
        <v>0</v>
      </c>
      <c r="D751" s="28">
        <v>209506.37688</v>
      </c>
      <c r="E751" s="28">
        <v>320427.12877000892</v>
      </c>
      <c r="F751" s="28">
        <v>0</v>
      </c>
      <c r="G751" s="28">
        <v>0</v>
      </c>
      <c r="H751" s="29">
        <v>0.5294385476082264</v>
      </c>
      <c r="I751" s="29">
        <v>0</v>
      </c>
      <c r="J751" s="29">
        <v>0.5294385476082264</v>
      </c>
    </row>
    <row r="752" spans="1:10" ht="11.25" customHeight="1" x14ac:dyDescent="0.2">
      <c r="A752" s="38">
        <v>44501</v>
      </c>
      <c r="B752" s="28">
        <v>0</v>
      </c>
      <c r="C752" s="28">
        <v>0</v>
      </c>
      <c r="D752" s="28">
        <v>218118.54230999999</v>
      </c>
      <c r="E752" s="28">
        <v>333598.90655702987</v>
      </c>
      <c r="F752" s="28">
        <v>0</v>
      </c>
      <c r="G752" s="28">
        <v>0</v>
      </c>
      <c r="H752" s="29">
        <v>0.5294385476082264</v>
      </c>
      <c r="I752" s="29">
        <v>0</v>
      </c>
      <c r="J752" s="29">
        <v>0.5294385476082264</v>
      </c>
    </row>
    <row r="753" spans="1:10" ht="11.25" customHeight="1" x14ac:dyDescent="0.2">
      <c r="A753" s="38">
        <v>44531</v>
      </c>
      <c r="B753" s="28">
        <v>0</v>
      </c>
      <c r="C753" s="28">
        <v>0</v>
      </c>
      <c r="D753" s="28">
        <v>211143.14955</v>
      </c>
      <c r="E753" s="28">
        <v>322930.47198517853</v>
      </c>
      <c r="F753" s="28">
        <v>0</v>
      </c>
      <c r="G753" s="28">
        <v>0</v>
      </c>
      <c r="H753" s="29">
        <v>0.5294385476082264</v>
      </c>
      <c r="I753" s="29">
        <v>0</v>
      </c>
      <c r="J753" s="29">
        <v>0.5294385476082264</v>
      </c>
    </row>
    <row r="754" spans="1:10" ht="11.25" customHeight="1" x14ac:dyDescent="0.2">
      <c r="A754" s="38">
        <v>44562</v>
      </c>
      <c r="B754" s="28">
        <v>0</v>
      </c>
      <c r="C754" s="28">
        <v>0</v>
      </c>
      <c r="D754" s="28">
        <v>105703.22124</v>
      </c>
      <c r="E754" s="28">
        <v>161666.58117081664</v>
      </c>
      <c r="F754" s="28">
        <v>0</v>
      </c>
      <c r="G754" s="28">
        <v>0</v>
      </c>
      <c r="H754" s="29">
        <v>0.52943854760822662</v>
      </c>
      <c r="I754" s="29">
        <v>0</v>
      </c>
      <c r="J754" s="29">
        <v>0.52943854760822662</v>
      </c>
    </row>
    <row r="755" spans="1:10" ht="11.25" customHeight="1" x14ac:dyDescent="0.2">
      <c r="A755" s="38">
        <v>44593</v>
      </c>
      <c r="B755" s="28">
        <v>0</v>
      </c>
      <c r="C755" s="28">
        <v>0</v>
      </c>
      <c r="D755" s="28">
        <v>199787.30514000001</v>
      </c>
      <c r="E755" s="28">
        <v>305562.40580388316</v>
      </c>
      <c r="F755" s="28">
        <v>0</v>
      </c>
      <c r="G755" s="28">
        <v>0</v>
      </c>
      <c r="H755" s="29">
        <v>0.5294385476082264</v>
      </c>
      <c r="I755" s="29">
        <v>0</v>
      </c>
      <c r="J755" s="29">
        <v>0.5294385476082264</v>
      </c>
    </row>
    <row r="756" spans="1:10" ht="11.25" customHeight="1" x14ac:dyDescent="0.2">
      <c r="A756" s="38">
        <v>44621</v>
      </c>
      <c r="B756" s="28">
        <v>0</v>
      </c>
      <c r="C756" s="28">
        <v>0</v>
      </c>
      <c r="D756" s="28">
        <v>244422.90351</v>
      </c>
      <c r="E756" s="28">
        <v>373829.81054652005</v>
      </c>
      <c r="F756" s="28">
        <v>0</v>
      </c>
      <c r="G756" s="28">
        <v>0</v>
      </c>
      <c r="H756" s="29">
        <v>0.5294385476082264</v>
      </c>
      <c r="I756" s="29">
        <v>0</v>
      </c>
      <c r="J756" s="29">
        <v>0.5294385476082264</v>
      </c>
    </row>
    <row r="757" spans="1:10" ht="11.25" customHeight="1" x14ac:dyDescent="0.2">
      <c r="A757" s="38">
        <v>44652</v>
      </c>
      <c r="B757" s="28">
        <v>0</v>
      </c>
      <c r="C757" s="28">
        <v>0</v>
      </c>
      <c r="D757" s="28">
        <v>244422.90351</v>
      </c>
      <c r="E757" s="28">
        <v>373829.81054652005</v>
      </c>
      <c r="F757" s="28">
        <v>0</v>
      </c>
      <c r="G757" s="28">
        <v>0</v>
      </c>
      <c r="H757" s="29">
        <v>0.5294385476082264</v>
      </c>
      <c r="I757" s="29">
        <v>0</v>
      </c>
      <c r="J757" s="29">
        <v>0.5294385476082264</v>
      </c>
    </row>
    <row r="758" spans="1:10" ht="11.25" customHeight="1" x14ac:dyDescent="0.2">
      <c r="A758" s="37" t="s">
        <v>25</v>
      </c>
      <c r="B758" s="28">
        <v>1123815.42</v>
      </c>
      <c r="C758" s="28">
        <v>970253.018956905</v>
      </c>
      <c r="D758" s="28">
        <v>0</v>
      </c>
      <c r="E758" s="28">
        <v>0</v>
      </c>
      <c r="F758" s="28">
        <v>0</v>
      </c>
      <c r="G758" s="28">
        <v>0</v>
      </c>
      <c r="H758" s="29">
        <v>-0.13664379248604275</v>
      </c>
      <c r="I758" s="29">
        <v>0</v>
      </c>
      <c r="J758" s="29">
        <v>-0.13664379248604275</v>
      </c>
    </row>
    <row r="759" spans="1:10" ht="11.25" customHeight="1" x14ac:dyDescent="0.2">
      <c r="A759" s="38">
        <v>44317</v>
      </c>
      <c r="B759" s="28">
        <v>71967</v>
      </c>
      <c r="C759" s="28">
        <v>62133.156186156964</v>
      </c>
      <c r="D759" s="28">
        <v>0</v>
      </c>
      <c r="E759" s="28">
        <v>0</v>
      </c>
      <c r="F759" s="28">
        <v>0</v>
      </c>
      <c r="G759" s="28">
        <v>0</v>
      </c>
      <c r="H759" s="29">
        <v>-0.13664379248604275</v>
      </c>
      <c r="I759" s="29">
        <v>0</v>
      </c>
      <c r="J759" s="29">
        <v>-0.13664379248604275</v>
      </c>
    </row>
    <row r="760" spans="1:10" ht="11.25" customHeight="1" x14ac:dyDescent="0.2">
      <c r="A760" s="38">
        <v>44348</v>
      </c>
      <c r="B760" s="28">
        <v>82882.8</v>
      </c>
      <c r="C760" s="28">
        <v>71557.379876137813</v>
      </c>
      <c r="D760" s="28">
        <v>0</v>
      </c>
      <c r="E760" s="28">
        <v>0</v>
      </c>
      <c r="F760" s="28">
        <v>0</v>
      </c>
      <c r="G760" s="28">
        <v>0</v>
      </c>
      <c r="H760" s="29">
        <v>-0.13664379248604286</v>
      </c>
      <c r="I760" s="29">
        <v>0</v>
      </c>
      <c r="J760" s="29">
        <v>-0.13664379248604286</v>
      </c>
    </row>
    <row r="761" spans="1:10" ht="11.25" customHeight="1" x14ac:dyDescent="0.2">
      <c r="A761" s="38">
        <v>44378</v>
      </c>
      <c r="B761" s="28">
        <v>92253</v>
      </c>
      <c r="C761" s="28">
        <v>79647.200211785093</v>
      </c>
      <c r="D761" s="28">
        <v>0</v>
      </c>
      <c r="E761" s="28">
        <v>0</v>
      </c>
      <c r="F761" s="28">
        <v>0</v>
      </c>
      <c r="G761" s="28">
        <v>0</v>
      </c>
      <c r="H761" s="29">
        <v>-0.13664379248604275</v>
      </c>
      <c r="I761" s="29">
        <v>0</v>
      </c>
      <c r="J761" s="29">
        <v>-0.13664379248604275</v>
      </c>
    </row>
    <row r="762" spans="1:10" ht="11.25" customHeight="1" x14ac:dyDescent="0.2">
      <c r="A762" s="38">
        <v>44409</v>
      </c>
      <c r="B762" s="28">
        <v>92253</v>
      </c>
      <c r="C762" s="28">
        <v>79647.200211785093</v>
      </c>
      <c r="D762" s="28">
        <v>0</v>
      </c>
      <c r="E762" s="28">
        <v>0</v>
      </c>
      <c r="F762" s="28">
        <v>0</v>
      </c>
      <c r="G762" s="28">
        <v>0</v>
      </c>
      <c r="H762" s="29">
        <v>-0.13664379248604275</v>
      </c>
      <c r="I762" s="29">
        <v>0</v>
      </c>
      <c r="J762" s="29">
        <v>-0.13664379248604275</v>
      </c>
    </row>
    <row r="763" spans="1:10" ht="11.25" customHeight="1" x14ac:dyDescent="0.2">
      <c r="A763" s="38">
        <v>44440</v>
      </c>
      <c r="B763" s="28">
        <v>94020.78</v>
      </c>
      <c r="C763" s="28">
        <v>81173.424048304121</v>
      </c>
      <c r="D763" s="28">
        <v>0</v>
      </c>
      <c r="E763" s="28">
        <v>0</v>
      </c>
      <c r="F763" s="28">
        <v>0</v>
      </c>
      <c r="G763" s="28">
        <v>0</v>
      </c>
      <c r="H763" s="29">
        <v>-0.13664379248604275</v>
      </c>
      <c r="I763" s="29">
        <v>0</v>
      </c>
      <c r="J763" s="29">
        <v>-0.13664379248604275</v>
      </c>
    </row>
    <row r="764" spans="1:10" ht="11.25" customHeight="1" x14ac:dyDescent="0.2">
      <c r="A764" s="38">
        <v>44470</v>
      </c>
      <c r="B764" s="28">
        <v>94542.42</v>
      </c>
      <c r="C764" s="28">
        <v>81623.7851803917</v>
      </c>
      <c r="D764" s="28">
        <v>0</v>
      </c>
      <c r="E764" s="28">
        <v>0</v>
      </c>
      <c r="F764" s="28">
        <v>0</v>
      </c>
      <c r="G764" s="28">
        <v>0</v>
      </c>
      <c r="H764" s="29">
        <v>-0.13664379248604275</v>
      </c>
      <c r="I764" s="29">
        <v>0</v>
      </c>
      <c r="J764" s="29">
        <v>-0.13664379248604275</v>
      </c>
    </row>
    <row r="765" spans="1:10" ht="11.25" customHeight="1" x14ac:dyDescent="0.2">
      <c r="A765" s="38">
        <v>44501</v>
      </c>
      <c r="B765" s="28">
        <v>99855.42</v>
      </c>
      <c r="C765" s="28">
        <v>86210.796710913361</v>
      </c>
      <c r="D765" s="28">
        <v>0</v>
      </c>
      <c r="E765" s="28">
        <v>0</v>
      </c>
      <c r="F765" s="28">
        <v>0</v>
      </c>
      <c r="G765" s="28">
        <v>0</v>
      </c>
      <c r="H765" s="29">
        <v>-0.13664379248604275</v>
      </c>
      <c r="I765" s="29">
        <v>0</v>
      </c>
      <c r="J765" s="29">
        <v>-0.13664379248604275</v>
      </c>
    </row>
    <row r="766" spans="1:10" ht="11.25" customHeight="1" x14ac:dyDescent="0.2">
      <c r="A766" s="38">
        <v>44531</v>
      </c>
      <c r="B766" s="28">
        <v>100174.2</v>
      </c>
      <c r="C766" s="28">
        <v>86486.017402744663</v>
      </c>
      <c r="D766" s="28">
        <v>0</v>
      </c>
      <c r="E766" s="28">
        <v>0</v>
      </c>
      <c r="F766" s="28">
        <v>0</v>
      </c>
      <c r="G766" s="28">
        <v>0</v>
      </c>
      <c r="H766" s="29">
        <v>-0.13664379248604264</v>
      </c>
      <c r="I766" s="29">
        <v>0</v>
      </c>
      <c r="J766" s="29">
        <v>-0.13664379248604264</v>
      </c>
    </row>
    <row r="767" spans="1:10" ht="11.25" customHeight="1" x14ac:dyDescent="0.2">
      <c r="A767" s="38">
        <v>44562</v>
      </c>
      <c r="B767" s="28">
        <v>98744.52</v>
      </c>
      <c r="C767" s="28">
        <v>85251.694299986106</v>
      </c>
      <c r="D767" s="28">
        <v>0</v>
      </c>
      <c r="E767" s="28">
        <v>0</v>
      </c>
      <c r="F767" s="28">
        <v>0</v>
      </c>
      <c r="G767" s="28">
        <v>0</v>
      </c>
      <c r="H767" s="29">
        <v>-0.13664379248604275</v>
      </c>
      <c r="I767" s="29">
        <v>0</v>
      </c>
      <c r="J767" s="29">
        <v>-0.13664379248604275</v>
      </c>
    </row>
    <row r="768" spans="1:10" ht="11.25" customHeight="1" x14ac:dyDescent="0.2">
      <c r="A768" s="38">
        <v>44593</v>
      </c>
      <c r="B768" s="28">
        <v>97875.12</v>
      </c>
      <c r="C768" s="28">
        <v>84501.092413173465</v>
      </c>
      <c r="D768" s="28">
        <v>0</v>
      </c>
      <c r="E768" s="28">
        <v>0</v>
      </c>
      <c r="F768" s="28">
        <v>0</v>
      </c>
      <c r="G768" s="28">
        <v>0</v>
      </c>
      <c r="H768" s="29">
        <v>-0.13664379248604275</v>
      </c>
      <c r="I768" s="29">
        <v>0</v>
      </c>
      <c r="J768" s="29">
        <v>-0.13664379248604275</v>
      </c>
    </row>
    <row r="769" spans="1:10" ht="11.25" customHeight="1" x14ac:dyDescent="0.2">
      <c r="A769" s="38">
        <v>44621</v>
      </c>
      <c r="B769" s="28">
        <v>99623.58</v>
      </c>
      <c r="C769" s="28">
        <v>86010.636207763324</v>
      </c>
      <c r="D769" s="28">
        <v>0</v>
      </c>
      <c r="E769" s="28">
        <v>0</v>
      </c>
      <c r="F769" s="28">
        <v>0</v>
      </c>
      <c r="G769" s="28">
        <v>0</v>
      </c>
      <c r="H769" s="29">
        <v>-0.13664379248604275</v>
      </c>
      <c r="I769" s="29">
        <v>0</v>
      </c>
      <c r="J769" s="29">
        <v>-0.13664379248604275</v>
      </c>
    </row>
    <row r="770" spans="1:10" ht="11.25" customHeight="1" x14ac:dyDescent="0.2">
      <c r="A770" s="38">
        <v>44652</v>
      </c>
      <c r="B770" s="28">
        <v>99623.58</v>
      </c>
      <c r="C770" s="28">
        <v>86010.636207763324</v>
      </c>
      <c r="D770" s="28">
        <v>0</v>
      </c>
      <c r="E770" s="28">
        <v>0</v>
      </c>
      <c r="F770" s="28">
        <v>0</v>
      </c>
      <c r="G770" s="28">
        <v>0</v>
      </c>
      <c r="H770" s="29">
        <v>-0.13664379248604275</v>
      </c>
      <c r="I770" s="29">
        <v>0</v>
      </c>
      <c r="J770" s="29">
        <v>-0.13664379248604275</v>
      </c>
    </row>
    <row r="771" spans="1:10" ht="11.25" customHeight="1" x14ac:dyDescent="0.2">
      <c r="A771" s="37" t="s">
        <v>35</v>
      </c>
      <c r="B771" s="28">
        <v>0</v>
      </c>
      <c r="C771" s="28">
        <v>0</v>
      </c>
      <c r="D771" s="28">
        <v>1375856.6724</v>
      </c>
      <c r="E771" s="28">
        <v>1416883.5854832637</v>
      </c>
      <c r="F771" s="28">
        <v>0</v>
      </c>
      <c r="G771" s="28">
        <v>0</v>
      </c>
      <c r="H771" s="29">
        <v>2.9819176594679586E-2</v>
      </c>
      <c r="I771" s="29">
        <v>0</v>
      </c>
      <c r="J771" s="29">
        <v>2.9819176594679586E-2</v>
      </c>
    </row>
    <row r="772" spans="1:10" ht="11.25" customHeight="1" x14ac:dyDescent="0.2">
      <c r="A772" s="38">
        <v>44317</v>
      </c>
      <c r="B772" s="28">
        <v>0</v>
      </c>
      <c r="C772" s="28">
        <v>0</v>
      </c>
      <c r="D772" s="28">
        <v>78354.641925000004</v>
      </c>
      <c r="E772" s="28">
        <v>80691.112829574457</v>
      </c>
      <c r="F772" s="28">
        <v>0</v>
      </c>
      <c r="G772" s="28">
        <v>0</v>
      </c>
      <c r="H772" s="29">
        <v>2.9819176594679586E-2</v>
      </c>
      <c r="I772" s="29">
        <v>0</v>
      </c>
      <c r="J772" s="29">
        <v>2.9819176594679586E-2</v>
      </c>
    </row>
    <row r="773" spans="1:10" ht="11.25" customHeight="1" x14ac:dyDescent="0.2">
      <c r="A773" s="38">
        <v>44348</v>
      </c>
      <c r="B773" s="28">
        <v>0</v>
      </c>
      <c r="C773" s="28">
        <v>0</v>
      </c>
      <c r="D773" s="28">
        <v>95641.312724999996</v>
      </c>
      <c r="E773" s="28">
        <v>98493.257918893738</v>
      </c>
      <c r="F773" s="28">
        <v>0</v>
      </c>
      <c r="G773" s="28">
        <v>0</v>
      </c>
      <c r="H773" s="29">
        <v>2.9819176594679586E-2</v>
      </c>
      <c r="I773" s="29">
        <v>0</v>
      </c>
      <c r="J773" s="29">
        <v>2.9819176594679586E-2</v>
      </c>
    </row>
    <row r="774" spans="1:10" ht="11.25" customHeight="1" x14ac:dyDescent="0.2">
      <c r="A774" s="38">
        <v>44378</v>
      </c>
      <c r="B774" s="28">
        <v>0</v>
      </c>
      <c r="C774" s="28">
        <v>0</v>
      </c>
      <c r="D774" s="28">
        <v>116011.84139999999</v>
      </c>
      <c r="E774" s="28">
        <v>119471.21898578054</v>
      </c>
      <c r="F774" s="28">
        <v>0</v>
      </c>
      <c r="G774" s="28">
        <v>0</v>
      </c>
      <c r="H774" s="29">
        <v>2.9819176594679364E-2</v>
      </c>
      <c r="I774" s="29">
        <v>0</v>
      </c>
      <c r="J774" s="29">
        <v>2.9819176594679364E-2</v>
      </c>
    </row>
    <row r="775" spans="1:10" ht="11.25" customHeight="1" x14ac:dyDescent="0.2">
      <c r="A775" s="38">
        <v>44409</v>
      </c>
      <c r="B775" s="28">
        <v>0</v>
      </c>
      <c r="C775" s="28">
        <v>0</v>
      </c>
      <c r="D775" s="28">
        <v>122839.943625</v>
      </c>
      <c r="E775" s="28">
        <v>126502.92959683435</v>
      </c>
      <c r="F775" s="28">
        <v>0</v>
      </c>
      <c r="G775" s="28">
        <v>0</v>
      </c>
      <c r="H775" s="29">
        <v>2.9819176594679586E-2</v>
      </c>
      <c r="I775" s="29">
        <v>0</v>
      </c>
      <c r="J775" s="29">
        <v>2.9819176594679586E-2</v>
      </c>
    </row>
    <row r="776" spans="1:10" ht="11.25" customHeight="1" x14ac:dyDescent="0.2">
      <c r="A776" s="38">
        <v>44440</v>
      </c>
      <c r="B776" s="28">
        <v>0</v>
      </c>
      <c r="C776" s="28">
        <v>0</v>
      </c>
      <c r="D776" s="28">
        <v>119250.7218</v>
      </c>
      <c r="E776" s="28">
        <v>122806.6801323972</v>
      </c>
      <c r="F776" s="28">
        <v>0</v>
      </c>
      <c r="G776" s="28">
        <v>0</v>
      </c>
      <c r="H776" s="29">
        <v>2.9819176594679586E-2</v>
      </c>
      <c r="I776" s="29">
        <v>0</v>
      </c>
      <c r="J776" s="29">
        <v>2.9819176594679586E-2</v>
      </c>
    </row>
    <row r="777" spans="1:10" ht="11.25" customHeight="1" x14ac:dyDescent="0.2">
      <c r="A777" s="38">
        <v>44470</v>
      </c>
      <c r="B777" s="28">
        <v>0</v>
      </c>
      <c r="C777" s="28">
        <v>0</v>
      </c>
      <c r="D777" s="28">
        <v>116484.02009999999</v>
      </c>
      <c r="E777" s="28">
        <v>119957.47766582009</v>
      </c>
      <c r="F777" s="28">
        <v>0</v>
      </c>
      <c r="G777" s="28">
        <v>0</v>
      </c>
      <c r="H777" s="29">
        <v>2.9819176594679364E-2</v>
      </c>
      <c r="I777" s="29">
        <v>0</v>
      </c>
      <c r="J777" s="29">
        <v>2.9819176594679364E-2</v>
      </c>
    </row>
    <row r="778" spans="1:10" ht="11.25" customHeight="1" x14ac:dyDescent="0.2">
      <c r="A778" s="38">
        <v>44501</v>
      </c>
      <c r="B778" s="28">
        <v>0</v>
      </c>
      <c r="C778" s="28">
        <v>0</v>
      </c>
      <c r="D778" s="28">
        <v>126798.94395</v>
      </c>
      <c r="E778" s="28">
        <v>130579.98405166392</v>
      </c>
      <c r="F778" s="28">
        <v>0</v>
      </c>
      <c r="G778" s="28">
        <v>0</v>
      </c>
      <c r="H778" s="29">
        <v>2.9819176594679586E-2</v>
      </c>
      <c r="I778" s="29">
        <v>0</v>
      </c>
      <c r="J778" s="29">
        <v>2.9819176594679586E-2</v>
      </c>
    </row>
    <row r="779" spans="1:10" ht="11.25" customHeight="1" x14ac:dyDescent="0.2">
      <c r="A779" s="38">
        <v>44531</v>
      </c>
      <c r="B779" s="28">
        <v>0</v>
      </c>
      <c r="C779" s="28">
        <v>0</v>
      </c>
      <c r="D779" s="28">
        <v>119622.870675</v>
      </c>
      <c r="E779" s="28">
        <v>123189.92618042033</v>
      </c>
      <c r="F779" s="28">
        <v>0</v>
      </c>
      <c r="G779" s="28">
        <v>0</v>
      </c>
      <c r="H779" s="29">
        <v>2.9819176594679364E-2</v>
      </c>
      <c r="I779" s="29">
        <v>0</v>
      </c>
      <c r="J779" s="29">
        <v>2.9819176594679364E-2</v>
      </c>
    </row>
    <row r="780" spans="1:10" ht="11.25" customHeight="1" x14ac:dyDescent="0.2">
      <c r="A780" s="38">
        <v>44562</v>
      </c>
      <c r="B780" s="28">
        <v>0</v>
      </c>
      <c r="C780" s="28">
        <v>0</v>
      </c>
      <c r="D780" s="28">
        <v>121545.2448</v>
      </c>
      <c r="E780" s="28">
        <v>125169.62391893475</v>
      </c>
      <c r="F780" s="28">
        <v>0</v>
      </c>
      <c r="G780" s="28">
        <v>0</v>
      </c>
      <c r="H780" s="29">
        <v>2.9819176594679586E-2</v>
      </c>
      <c r="I780" s="29">
        <v>0</v>
      </c>
      <c r="J780" s="29">
        <v>2.9819176594679586E-2</v>
      </c>
    </row>
    <row r="781" spans="1:10" ht="11.25" customHeight="1" x14ac:dyDescent="0.2">
      <c r="A781" s="38">
        <v>44593</v>
      </c>
      <c r="B781" s="28">
        <v>0</v>
      </c>
      <c r="C781" s="28">
        <v>0</v>
      </c>
      <c r="D781" s="28">
        <v>115011.54315</v>
      </c>
      <c r="E781" s="28">
        <v>118441.09266561645</v>
      </c>
      <c r="F781" s="28">
        <v>0</v>
      </c>
      <c r="G781" s="28">
        <v>0</v>
      </c>
      <c r="H781" s="29">
        <v>2.9819176594679586E-2</v>
      </c>
      <c r="I781" s="29">
        <v>0</v>
      </c>
      <c r="J781" s="29">
        <v>2.9819176594679586E-2</v>
      </c>
    </row>
    <row r="782" spans="1:10" ht="11.25" customHeight="1" x14ac:dyDescent="0.2">
      <c r="A782" s="38">
        <v>44621</v>
      </c>
      <c r="B782" s="28">
        <v>0</v>
      </c>
      <c r="C782" s="28">
        <v>0</v>
      </c>
      <c r="D782" s="28">
        <v>122147.79412499999</v>
      </c>
      <c r="E782" s="28">
        <v>125790.14076866391</v>
      </c>
      <c r="F782" s="28">
        <v>0</v>
      </c>
      <c r="G782" s="28">
        <v>0</v>
      </c>
      <c r="H782" s="29">
        <v>2.9819176594679586E-2</v>
      </c>
      <c r="I782" s="29">
        <v>0</v>
      </c>
      <c r="J782" s="29">
        <v>2.9819176594679586E-2</v>
      </c>
    </row>
    <row r="783" spans="1:10" ht="11.25" customHeight="1" x14ac:dyDescent="0.2">
      <c r="A783" s="38">
        <v>44652</v>
      </c>
      <c r="B783" s="28">
        <v>0</v>
      </c>
      <c r="C783" s="28">
        <v>0</v>
      </c>
      <c r="D783" s="28">
        <v>122147.79412499999</v>
      </c>
      <c r="E783" s="28">
        <v>125790.14076866391</v>
      </c>
      <c r="F783" s="28">
        <v>0</v>
      </c>
      <c r="G783" s="28">
        <v>0</v>
      </c>
      <c r="H783" s="29">
        <v>2.9819176594679586E-2</v>
      </c>
      <c r="I783" s="29">
        <v>0</v>
      </c>
      <c r="J783" s="29">
        <v>2.9819176594679586E-2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69795-321B-42B8-8336-CF445E687A91}">
  <dimension ref="A1:G432"/>
  <sheetViews>
    <sheetView showGridLines="0" workbookViewId="0"/>
  </sheetViews>
  <sheetFormatPr defaultRowHeight="11.25" customHeight="1" x14ac:dyDescent="0.2"/>
  <cols>
    <col min="1" max="1" width="34.7109375" style="17" bestFit="1" customWidth="1"/>
    <col min="2" max="2" width="20.42578125" style="28" bestFit="1" customWidth="1"/>
    <col min="3" max="3" width="21.85546875" style="28" bestFit="1" customWidth="1"/>
    <col min="4" max="4" width="20.28515625" style="28" bestFit="1" customWidth="1"/>
    <col min="5" max="5" width="21.7109375" style="28" bestFit="1" customWidth="1"/>
    <col min="6" max="6" width="14.85546875" style="28" bestFit="1" customWidth="1"/>
    <col min="7" max="7" width="14.7109375" style="28" bestFit="1" customWidth="1"/>
    <col min="8" max="16384" width="9.140625" style="17"/>
  </cols>
  <sheetData>
    <row r="1" spans="1:7" ht="11.25" customHeight="1" x14ac:dyDescent="0.2">
      <c r="A1" s="27" t="s">
        <v>792</v>
      </c>
      <c r="B1" s="28" t="s">
        <v>818</v>
      </c>
      <c r="C1" s="28" t="s">
        <v>819</v>
      </c>
      <c r="D1" s="28" t="s">
        <v>820</v>
      </c>
      <c r="E1" s="28" t="s">
        <v>821</v>
      </c>
      <c r="F1" s="28" t="s">
        <v>822</v>
      </c>
      <c r="G1" s="28" t="s">
        <v>823</v>
      </c>
    </row>
    <row r="2" spans="1:7" ht="11.25" customHeight="1" x14ac:dyDescent="0.2">
      <c r="A2" s="30" t="s">
        <v>810</v>
      </c>
      <c r="B2" s="28">
        <v>9096.8220000000001</v>
      </c>
      <c r="C2" s="28">
        <v>61248.824630400035</v>
      </c>
      <c r="D2" s="28">
        <v>7853.7977423495313</v>
      </c>
      <c r="E2" s="28">
        <v>59523.561381424064</v>
      </c>
      <c r="F2" s="28">
        <v>70345.646630400035</v>
      </c>
      <c r="G2" s="28">
        <v>67377.359123773596</v>
      </c>
    </row>
    <row r="3" spans="1:7" ht="11.25" customHeight="1" x14ac:dyDescent="0.2">
      <c r="A3" s="31" t="s">
        <v>33</v>
      </c>
      <c r="B3" s="28">
        <v>9096.8220000000001</v>
      </c>
      <c r="C3" s="28">
        <v>29941.333388400024</v>
      </c>
      <c r="D3" s="28">
        <v>7853.7977423495313</v>
      </c>
      <c r="E3" s="28">
        <v>28579.333361244957</v>
      </c>
      <c r="F3" s="28">
        <v>39038.155388400024</v>
      </c>
      <c r="G3" s="28">
        <v>36433.131103594489</v>
      </c>
    </row>
    <row r="4" spans="1:7" ht="11.25" customHeight="1" x14ac:dyDescent="0.2">
      <c r="A4" s="32" t="s">
        <v>34</v>
      </c>
      <c r="B4" s="28">
        <v>9096.8220000000001</v>
      </c>
      <c r="C4" s="28">
        <v>29941.333388400024</v>
      </c>
      <c r="D4" s="28">
        <v>7853.7977423495313</v>
      </c>
      <c r="E4" s="28">
        <v>28579.333361244957</v>
      </c>
      <c r="F4" s="28">
        <v>39038.155388400024</v>
      </c>
      <c r="G4" s="28">
        <v>36433.131103594489</v>
      </c>
    </row>
    <row r="5" spans="1:7" ht="11.25" customHeight="1" x14ac:dyDescent="0.2">
      <c r="A5" s="33" t="s">
        <v>50</v>
      </c>
      <c r="B5" s="28">
        <v>9096.8220000000001</v>
      </c>
      <c r="C5" s="28">
        <v>29941.333388400024</v>
      </c>
      <c r="D5" s="28">
        <v>7853.7977423495313</v>
      </c>
      <c r="E5" s="28">
        <v>28579.333361244957</v>
      </c>
      <c r="F5" s="28">
        <v>39038.155388400024</v>
      </c>
      <c r="G5" s="28">
        <v>36433.131103594489</v>
      </c>
    </row>
    <row r="6" spans="1:7" ht="11.25" customHeight="1" x14ac:dyDescent="0.2">
      <c r="A6" s="34" t="s">
        <v>51</v>
      </c>
      <c r="B6" s="28">
        <v>9096.8220000000001</v>
      </c>
      <c r="C6" s="28">
        <v>29941.333388400024</v>
      </c>
      <c r="D6" s="28">
        <v>7853.7977423495313</v>
      </c>
      <c r="E6" s="28">
        <v>28579.333361244957</v>
      </c>
      <c r="F6" s="28">
        <v>39038.155388400024</v>
      </c>
      <c r="G6" s="28">
        <v>36433.131103594489</v>
      </c>
    </row>
    <row r="7" spans="1:7" ht="11.25" customHeight="1" x14ac:dyDescent="0.2">
      <c r="A7" s="35" t="s">
        <v>25</v>
      </c>
      <c r="B7" s="28">
        <v>9096.8220000000001</v>
      </c>
      <c r="C7" s="28">
        <v>29941.333388400024</v>
      </c>
      <c r="D7" s="28">
        <v>7853.7977423495313</v>
      </c>
      <c r="E7" s="28">
        <v>28579.333361244957</v>
      </c>
      <c r="F7" s="28">
        <v>39038.155388400024</v>
      </c>
      <c r="G7" s="28">
        <v>36433.131103594489</v>
      </c>
    </row>
    <row r="8" spans="1:7" ht="11.25" customHeight="1" x14ac:dyDescent="0.2">
      <c r="A8" s="36" t="s">
        <v>25</v>
      </c>
      <c r="B8" s="28">
        <v>9096.8220000000001</v>
      </c>
      <c r="C8" s="28">
        <v>29941.333388400024</v>
      </c>
      <c r="D8" s="28">
        <v>7853.7977423495313</v>
      </c>
      <c r="E8" s="28">
        <v>28579.333361244957</v>
      </c>
      <c r="F8" s="28">
        <v>39038.155388400024</v>
      </c>
      <c r="G8" s="28">
        <v>36433.131103594489</v>
      </c>
    </row>
    <row r="9" spans="1:7" ht="11.25" customHeight="1" x14ac:dyDescent="0.2">
      <c r="A9" s="37" t="s">
        <v>36</v>
      </c>
      <c r="B9" s="28">
        <v>0</v>
      </c>
      <c r="C9" s="28">
        <v>22124.201814000022</v>
      </c>
      <c r="D9" s="28">
        <v>0</v>
      </c>
      <c r="E9" s="28">
        <v>20919.474723896492</v>
      </c>
      <c r="F9" s="28">
        <v>22124.201814000022</v>
      </c>
      <c r="G9" s="28">
        <v>20919.474723896492</v>
      </c>
    </row>
    <row r="10" spans="1:7" ht="11.25" customHeight="1" x14ac:dyDescent="0.2">
      <c r="A10" s="38">
        <v>44317</v>
      </c>
      <c r="B10" s="28">
        <v>0</v>
      </c>
      <c r="C10" s="28">
        <v>1452.7381440000011</v>
      </c>
      <c r="D10" s="28">
        <v>0</v>
      </c>
      <c r="E10" s="28">
        <v>1373.6323298505367</v>
      </c>
      <c r="F10" s="28">
        <v>1452.7381440000011</v>
      </c>
      <c r="G10" s="28">
        <v>1373.6323298505367</v>
      </c>
    </row>
    <row r="11" spans="1:7" ht="11.25" customHeight="1" x14ac:dyDescent="0.2">
      <c r="A11" s="38">
        <v>44348</v>
      </c>
      <c r="B11" s="28">
        <v>0</v>
      </c>
      <c r="C11" s="28">
        <v>1686.3295020000032</v>
      </c>
      <c r="D11" s="28">
        <v>0</v>
      </c>
      <c r="E11" s="28">
        <v>1594.5039595022558</v>
      </c>
      <c r="F11" s="28">
        <v>1686.3295020000032</v>
      </c>
      <c r="G11" s="28">
        <v>1594.5039595022558</v>
      </c>
    </row>
    <row r="12" spans="1:7" ht="11.25" customHeight="1" x14ac:dyDescent="0.2">
      <c r="A12" s="38">
        <v>44378</v>
      </c>
      <c r="B12" s="28">
        <v>0</v>
      </c>
      <c r="C12" s="28">
        <v>1720.4495879999993</v>
      </c>
      <c r="D12" s="28">
        <v>0</v>
      </c>
      <c r="E12" s="28">
        <v>1626.7661076536265</v>
      </c>
      <c r="F12" s="28">
        <v>1720.4495879999993</v>
      </c>
      <c r="G12" s="28">
        <v>1626.7661076536265</v>
      </c>
    </row>
    <row r="13" spans="1:7" ht="11.25" customHeight="1" x14ac:dyDescent="0.2">
      <c r="A13" s="38">
        <v>44409</v>
      </c>
      <c r="B13" s="28">
        <v>0</v>
      </c>
      <c r="C13" s="28">
        <v>1618.4642759999997</v>
      </c>
      <c r="D13" s="28">
        <v>0</v>
      </c>
      <c r="E13" s="28">
        <v>1530.334192300068</v>
      </c>
      <c r="F13" s="28">
        <v>1618.4642759999997</v>
      </c>
      <c r="G13" s="28">
        <v>1530.334192300068</v>
      </c>
    </row>
    <row r="14" spans="1:7" ht="11.25" customHeight="1" x14ac:dyDescent="0.2">
      <c r="A14" s="38">
        <v>44440</v>
      </c>
      <c r="B14" s="28">
        <v>0</v>
      </c>
      <c r="C14" s="28">
        <v>1505.704200000001</v>
      </c>
      <c r="D14" s="28">
        <v>0</v>
      </c>
      <c r="E14" s="28">
        <v>1423.7142301618665</v>
      </c>
      <c r="F14" s="28">
        <v>1505.704200000001</v>
      </c>
      <c r="G14" s="28">
        <v>1423.7142301618665</v>
      </c>
    </row>
    <row r="15" spans="1:7" ht="11.25" customHeight="1" x14ac:dyDescent="0.2">
      <c r="A15" s="38">
        <v>44470</v>
      </c>
      <c r="B15" s="28">
        <v>0</v>
      </c>
      <c r="C15" s="28">
        <v>1632.870096000001</v>
      </c>
      <c r="D15" s="28">
        <v>0</v>
      </c>
      <c r="E15" s="28">
        <v>1543.9555735322865</v>
      </c>
      <c r="F15" s="28">
        <v>1632.870096000001</v>
      </c>
      <c r="G15" s="28">
        <v>1543.9555735322865</v>
      </c>
    </row>
    <row r="16" spans="1:7" ht="11.25" customHeight="1" x14ac:dyDescent="0.2">
      <c r="A16" s="38">
        <v>44501</v>
      </c>
      <c r="B16" s="28">
        <v>0</v>
      </c>
      <c r="C16" s="28">
        <v>1830.9007860000033</v>
      </c>
      <c r="D16" s="28">
        <v>0</v>
      </c>
      <c r="E16" s="28">
        <v>1731.2029169094096</v>
      </c>
      <c r="F16" s="28">
        <v>1830.9007860000033</v>
      </c>
      <c r="G16" s="28">
        <v>1731.2029169094096</v>
      </c>
    </row>
    <row r="17" spans="1:7" ht="11.25" customHeight="1" x14ac:dyDescent="0.2">
      <c r="A17" s="38">
        <v>44531</v>
      </c>
      <c r="B17" s="28">
        <v>0</v>
      </c>
      <c r="C17" s="28">
        <v>1913.1126300000039</v>
      </c>
      <c r="D17" s="28">
        <v>0</v>
      </c>
      <c r="E17" s="28">
        <v>1808.9380870647749</v>
      </c>
      <c r="F17" s="28">
        <v>1913.1126300000039</v>
      </c>
      <c r="G17" s="28">
        <v>1808.9380870647749</v>
      </c>
    </row>
    <row r="18" spans="1:7" ht="11.25" customHeight="1" x14ac:dyDescent="0.2">
      <c r="A18" s="38">
        <v>44562</v>
      </c>
      <c r="B18" s="28">
        <v>0</v>
      </c>
      <c r="C18" s="28">
        <v>2090.146344000002</v>
      </c>
      <c r="D18" s="28">
        <v>0</v>
      </c>
      <c r="E18" s="28">
        <v>1976.3318008102788</v>
      </c>
      <c r="F18" s="28">
        <v>2090.146344000002</v>
      </c>
      <c r="G18" s="28">
        <v>1976.3318008102788</v>
      </c>
    </row>
    <row r="19" spans="1:7" ht="11.25" customHeight="1" x14ac:dyDescent="0.2">
      <c r="A19" s="38">
        <v>44593</v>
      </c>
      <c r="B19" s="28">
        <v>0</v>
      </c>
      <c r="C19" s="28">
        <v>2106.0716820000043</v>
      </c>
      <c r="D19" s="28">
        <v>0</v>
      </c>
      <c r="E19" s="28">
        <v>1991.3899578711018</v>
      </c>
      <c r="F19" s="28">
        <v>2106.0716820000043</v>
      </c>
      <c r="G19" s="28">
        <v>1991.3899578711018</v>
      </c>
    </row>
    <row r="20" spans="1:7" ht="11.25" customHeight="1" x14ac:dyDescent="0.2">
      <c r="A20" s="38">
        <v>44621</v>
      </c>
      <c r="B20" s="28">
        <v>0</v>
      </c>
      <c r="C20" s="28">
        <v>2380.3545480000039</v>
      </c>
      <c r="D20" s="28">
        <v>0</v>
      </c>
      <c r="E20" s="28">
        <v>2250.7373246472453</v>
      </c>
      <c r="F20" s="28">
        <v>2380.3545480000039</v>
      </c>
      <c r="G20" s="28">
        <v>2250.7373246472453</v>
      </c>
    </row>
    <row r="21" spans="1:7" ht="11.25" customHeight="1" x14ac:dyDescent="0.2">
      <c r="A21" s="38">
        <v>44652</v>
      </c>
      <c r="B21" s="28">
        <v>0</v>
      </c>
      <c r="C21" s="28">
        <v>2187.0600179999997</v>
      </c>
      <c r="D21" s="28">
        <v>0</v>
      </c>
      <c r="E21" s="28">
        <v>2067.9682435930413</v>
      </c>
      <c r="F21" s="28">
        <v>2187.0600179999997</v>
      </c>
      <c r="G21" s="28">
        <v>2067.9682435930413</v>
      </c>
    </row>
    <row r="22" spans="1:7" ht="11.25" customHeight="1" x14ac:dyDescent="0.2">
      <c r="A22" s="37" t="s">
        <v>25</v>
      </c>
      <c r="B22" s="28">
        <v>9096.8220000000001</v>
      </c>
      <c r="C22" s="28">
        <v>0</v>
      </c>
      <c r="D22" s="28">
        <v>7853.7977423495313</v>
      </c>
      <c r="E22" s="28">
        <v>0</v>
      </c>
      <c r="F22" s="28">
        <v>9096.8220000000001</v>
      </c>
      <c r="G22" s="28">
        <v>7853.7977423495313</v>
      </c>
    </row>
    <row r="23" spans="1:7" ht="11.25" customHeight="1" x14ac:dyDescent="0.2">
      <c r="A23" s="38">
        <v>44317</v>
      </c>
      <c r="B23" s="28">
        <v>750.58199999999988</v>
      </c>
      <c r="C23" s="28">
        <v>0</v>
      </c>
      <c r="D23" s="28">
        <v>648.01962894824101</v>
      </c>
      <c r="E23" s="28">
        <v>0</v>
      </c>
      <c r="F23" s="28">
        <v>750.58199999999988</v>
      </c>
      <c r="G23" s="28">
        <v>648.01962894824101</v>
      </c>
    </row>
    <row r="24" spans="1:7" ht="11.25" customHeight="1" x14ac:dyDescent="0.2">
      <c r="A24" s="38">
        <v>44348</v>
      </c>
      <c r="B24" s="28">
        <v>750.58199999999988</v>
      </c>
      <c r="C24" s="28">
        <v>0</v>
      </c>
      <c r="D24" s="28">
        <v>648.01962894824101</v>
      </c>
      <c r="E24" s="28">
        <v>0</v>
      </c>
      <c r="F24" s="28">
        <v>750.58199999999988</v>
      </c>
      <c r="G24" s="28">
        <v>648.01962894824101</v>
      </c>
    </row>
    <row r="25" spans="1:7" ht="11.25" customHeight="1" x14ac:dyDescent="0.2">
      <c r="A25" s="38">
        <v>44378</v>
      </c>
      <c r="B25" s="28">
        <v>750.58199999999988</v>
      </c>
      <c r="C25" s="28">
        <v>0</v>
      </c>
      <c r="D25" s="28">
        <v>648.01962894824101</v>
      </c>
      <c r="E25" s="28">
        <v>0</v>
      </c>
      <c r="F25" s="28">
        <v>750.58199999999988</v>
      </c>
      <c r="G25" s="28">
        <v>648.01962894824101</v>
      </c>
    </row>
    <row r="26" spans="1:7" ht="11.25" customHeight="1" x14ac:dyDescent="0.2">
      <c r="A26" s="38">
        <v>44409</v>
      </c>
      <c r="B26" s="28">
        <v>750.58199999999988</v>
      </c>
      <c r="C26" s="28">
        <v>0</v>
      </c>
      <c r="D26" s="28">
        <v>648.01962894824101</v>
      </c>
      <c r="E26" s="28">
        <v>0</v>
      </c>
      <c r="F26" s="28">
        <v>750.58199999999988</v>
      </c>
      <c r="G26" s="28">
        <v>648.01962894824101</v>
      </c>
    </row>
    <row r="27" spans="1:7" ht="11.25" customHeight="1" x14ac:dyDescent="0.2">
      <c r="A27" s="38">
        <v>44440</v>
      </c>
      <c r="B27" s="28">
        <v>756.37800000000016</v>
      </c>
      <c r="C27" s="28">
        <v>0</v>
      </c>
      <c r="D27" s="28">
        <v>653.02364152699204</v>
      </c>
      <c r="E27" s="28">
        <v>0</v>
      </c>
      <c r="F27" s="28">
        <v>756.37800000000016</v>
      </c>
      <c r="G27" s="28">
        <v>653.02364152699204</v>
      </c>
    </row>
    <row r="28" spans="1:7" ht="11.25" customHeight="1" x14ac:dyDescent="0.2">
      <c r="A28" s="38">
        <v>44470</v>
      </c>
      <c r="B28" s="28">
        <v>753.48</v>
      </c>
      <c r="C28" s="28">
        <v>0</v>
      </c>
      <c r="D28" s="28">
        <v>650.52163523761647</v>
      </c>
      <c r="E28" s="28">
        <v>0</v>
      </c>
      <c r="F28" s="28">
        <v>753.48</v>
      </c>
      <c r="G28" s="28">
        <v>650.52163523761647</v>
      </c>
    </row>
    <row r="29" spans="1:7" ht="11.25" customHeight="1" x14ac:dyDescent="0.2">
      <c r="A29" s="38">
        <v>44501</v>
      </c>
      <c r="B29" s="28">
        <v>750.58199999999988</v>
      </c>
      <c r="C29" s="28">
        <v>0</v>
      </c>
      <c r="D29" s="28">
        <v>648.01962894824101</v>
      </c>
      <c r="E29" s="28">
        <v>0</v>
      </c>
      <c r="F29" s="28">
        <v>750.58199999999988</v>
      </c>
      <c r="G29" s="28">
        <v>648.01962894824101</v>
      </c>
    </row>
    <row r="30" spans="1:7" ht="11.25" customHeight="1" x14ac:dyDescent="0.2">
      <c r="A30" s="38">
        <v>44531</v>
      </c>
      <c r="B30" s="28">
        <v>750.58199999999988</v>
      </c>
      <c r="C30" s="28">
        <v>0</v>
      </c>
      <c r="D30" s="28">
        <v>648.01962894824101</v>
      </c>
      <c r="E30" s="28">
        <v>0</v>
      </c>
      <c r="F30" s="28">
        <v>750.58199999999988</v>
      </c>
      <c r="G30" s="28">
        <v>648.01962894824101</v>
      </c>
    </row>
    <row r="31" spans="1:7" ht="11.25" customHeight="1" x14ac:dyDescent="0.2">
      <c r="A31" s="38">
        <v>44562</v>
      </c>
      <c r="B31" s="28">
        <v>756.37800000000016</v>
      </c>
      <c r="C31" s="28">
        <v>0</v>
      </c>
      <c r="D31" s="28">
        <v>653.02364152699204</v>
      </c>
      <c r="E31" s="28">
        <v>0</v>
      </c>
      <c r="F31" s="28">
        <v>756.37800000000016</v>
      </c>
      <c r="G31" s="28">
        <v>653.02364152699204</v>
      </c>
    </row>
    <row r="32" spans="1:7" ht="11.25" customHeight="1" x14ac:dyDescent="0.2">
      <c r="A32" s="38">
        <v>44593</v>
      </c>
      <c r="B32" s="28">
        <v>765.07199999999989</v>
      </c>
      <c r="C32" s="28">
        <v>0</v>
      </c>
      <c r="D32" s="28">
        <v>660.52966039511819</v>
      </c>
      <c r="E32" s="28">
        <v>0</v>
      </c>
      <c r="F32" s="28">
        <v>765.07199999999989</v>
      </c>
      <c r="G32" s="28">
        <v>660.52966039511819</v>
      </c>
    </row>
    <row r="33" spans="1:7" ht="11.25" customHeight="1" x14ac:dyDescent="0.2">
      <c r="A33" s="38">
        <v>44621</v>
      </c>
      <c r="B33" s="28">
        <v>779.5619999999999</v>
      </c>
      <c r="C33" s="28">
        <v>0</v>
      </c>
      <c r="D33" s="28">
        <v>673.03969184199548</v>
      </c>
      <c r="E33" s="28">
        <v>0</v>
      </c>
      <c r="F33" s="28">
        <v>779.5619999999999</v>
      </c>
      <c r="G33" s="28">
        <v>673.03969184199548</v>
      </c>
    </row>
    <row r="34" spans="1:7" ht="11.25" customHeight="1" x14ac:dyDescent="0.2">
      <c r="A34" s="38">
        <v>44652</v>
      </c>
      <c r="B34" s="28">
        <v>782.46</v>
      </c>
      <c r="C34" s="28">
        <v>0</v>
      </c>
      <c r="D34" s="28">
        <v>675.54169813137105</v>
      </c>
      <c r="E34" s="28">
        <v>0</v>
      </c>
      <c r="F34" s="28">
        <v>782.46</v>
      </c>
      <c r="G34" s="28">
        <v>675.54169813137105</v>
      </c>
    </row>
    <row r="35" spans="1:7" ht="11.25" customHeight="1" x14ac:dyDescent="0.2">
      <c r="A35" s="37" t="s">
        <v>35</v>
      </c>
      <c r="B35" s="28">
        <v>0</v>
      </c>
      <c r="C35" s="28">
        <v>7817.1315744000058</v>
      </c>
      <c r="D35" s="28">
        <v>0</v>
      </c>
      <c r="E35" s="28">
        <v>7659.8586373484568</v>
      </c>
      <c r="F35" s="28">
        <v>7817.1315744000058</v>
      </c>
      <c r="G35" s="28">
        <v>7659.8586373484568</v>
      </c>
    </row>
    <row r="36" spans="1:7" ht="11.25" customHeight="1" x14ac:dyDescent="0.2">
      <c r="A36" s="38">
        <v>44317</v>
      </c>
      <c r="B36" s="28">
        <v>0</v>
      </c>
      <c r="C36" s="28">
        <v>495.28512960000063</v>
      </c>
      <c r="D36" s="28">
        <v>0</v>
      </c>
      <c r="E36" s="28">
        <v>485.32048383847302</v>
      </c>
      <c r="F36" s="28">
        <v>495.28512960000063</v>
      </c>
      <c r="G36" s="28">
        <v>485.32048383847302</v>
      </c>
    </row>
    <row r="37" spans="1:7" ht="11.25" customHeight="1" x14ac:dyDescent="0.2">
      <c r="A37" s="38">
        <v>44348</v>
      </c>
      <c r="B37" s="28">
        <v>0</v>
      </c>
      <c r="C37" s="28">
        <v>546.5290416000006</v>
      </c>
      <c r="D37" s="28">
        <v>0</v>
      </c>
      <c r="E37" s="28">
        <v>535.53341913435247</v>
      </c>
      <c r="F37" s="28">
        <v>546.5290416000006</v>
      </c>
      <c r="G37" s="28">
        <v>535.53341913435247</v>
      </c>
    </row>
    <row r="38" spans="1:7" ht="11.25" customHeight="1" x14ac:dyDescent="0.2">
      <c r="A38" s="38">
        <v>44378</v>
      </c>
      <c r="B38" s="28">
        <v>0</v>
      </c>
      <c r="C38" s="28">
        <v>467.44623840000008</v>
      </c>
      <c r="D38" s="28">
        <v>0</v>
      </c>
      <c r="E38" s="28">
        <v>458.04168352879611</v>
      </c>
      <c r="F38" s="28">
        <v>467.44623840000008</v>
      </c>
      <c r="G38" s="28">
        <v>458.04168352879611</v>
      </c>
    </row>
    <row r="39" spans="1:7" ht="11.25" customHeight="1" x14ac:dyDescent="0.2">
      <c r="A39" s="38">
        <v>44409</v>
      </c>
      <c r="B39" s="28">
        <v>0</v>
      </c>
      <c r="C39" s="28">
        <v>518.61746399999959</v>
      </c>
      <c r="D39" s="28">
        <v>0</v>
      </c>
      <c r="E39" s="28">
        <v>508.18339480297885</v>
      </c>
      <c r="F39" s="28">
        <v>518.61746399999959</v>
      </c>
      <c r="G39" s="28">
        <v>508.18339480297885</v>
      </c>
    </row>
    <row r="40" spans="1:7" ht="11.25" customHeight="1" x14ac:dyDescent="0.2">
      <c r="A40" s="38">
        <v>44440</v>
      </c>
      <c r="B40" s="28">
        <v>0</v>
      </c>
      <c r="C40" s="28">
        <v>584.61671519999948</v>
      </c>
      <c r="D40" s="28">
        <v>0</v>
      </c>
      <c r="E40" s="28">
        <v>572.85480650320369</v>
      </c>
      <c r="F40" s="28">
        <v>584.61671519999948</v>
      </c>
      <c r="G40" s="28">
        <v>572.85480650320369</v>
      </c>
    </row>
    <row r="41" spans="1:7" ht="11.25" customHeight="1" x14ac:dyDescent="0.2">
      <c r="A41" s="38">
        <v>44470</v>
      </c>
      <c r="B41" s="28">
        <v>0</v>
      </c>
      <c r="C41" s="28">
        <v>650.8340256000007</v>
      </c>
      <c r="D41" s="28">
        <v>0</v>
      </c>
      <c r="E41" s="28">
        <v>637.73989026851871</v>
      </c>
      <c r="F41" s="28">
        <v>650.8340256000007</v>
      </c>
      <c r="G41" s="28">
        <v>637.73989026851871</v>
      </c>
    </row>
    <row r="42" spans="1:7" ht="11.25" customHeight="1" x14ac:dyDescent="0.2">
      <c r="A42" s="38">
        <v>44501</v>
      </c>
      <c r="B42" s="28">
        <v>0</v>
      </c>
      <c r="C42" s="28">
        <v>702.73211520000064</v>
      </c>
      <c r="D42" s="28">
        <v>0</v>
      </c>
      <c r="E42" s="28">
        <v>688.59384175966477</v>
      </c>
      <c r="F42" s="28">
        <v>702.73211520000064</v>
      </c>
      <c r="G42" s="28">
        <v>688.59384175966477</v>
      </c>
    </row>
    <row r="43" spans="1:7" ht="11.25" customHeight="1" x14ac:dyDescent="0.2">
      <c r="A43" s="38">
        <v>44531</v>
      </c>
      <c r="B43" s="28">
        <v>0</v>
      </c>
      <c r="C43" s="28">
        <v>801.65830559999995</v>
      </c>
      <c r="D43" s="28">
        <v>0</v>
      </c>
      <c r="E43" s="28">
        <v>785.52973528830512</v>
      </c>
      <c r="F43" s="28">
        <v>801.65830559999995</v>
      </c>
      <c r="G43" s="28">
        <v>785.52973528830512</v>
      </c>
    </row>
    <row r="44" spans="1:7" ht="11.25" customHeight="1" x14ac:dyDescent="0.2">
      <c r="A44" s="38">
        <v>44562</v>
      </c>
      <c r="B44" s="28">
        <v>0</v>
      </c>
      <c r="C44" s="28">
        <v>752.44961280000155</v>
      </c>
      <c r="D44" s="28">
        <v>0</v>
      </c>
      <c r="E44" s="28">
        <v>737.31107259992314</v>
      </c>
      <c r="F44" s="28">
        <v>752.44961280000155</v>
      </c>
      <c r="G44" s="28">
        <v>737.31107259992314</v>
      </c>
    </row>
    <row r="45" spans="1:7" ht="11.25" customHeight="1" x14ac:dyDescent="0.2">
      <c r="A45" s="38">
        <v>44593</v>
      </c>
      <c r="B45" s="28">
        <v>0</v>
      </c>
      <c r="C45" s="28">
        <v>791.99101440000015</v>
      </c>
      <c r="D45" s="28">
        <v>0</v>
      </c>
      <c r="E45" s="28">
        <v>776.05694040269964</v>
      </c>
      <c r="F45" s="28">
        <v>791.99101440000015</v>
      </c>
      <c r="G45" s="28">
        <v>776.05694040269964</v>
      </c>
    </row>
    <row r="46" spans="1:7" ht="11.25" customHeight="1" x14ac:dyDescent="0.2">
      <c r="A46" s="38">
        <v>44621</v>
      </c>
      <c r="B46" s="28">
        <v>0</v>
      </c>
      <c r="C46" s="28">
        <v>772.00225440000145</v>
      </c>
      <c r="D46" s="28">
        <v>0</v>
      </c>
      <c r="E46" s="28">
        <v>756.4703344362232</v>
      </c>
      <c r="F46" s="28">
        <v>772.00225440000145</v>
      </c>
      <c r="G46" s="28">
        <v>756.4703344362232</v>
      </c>
    </row>
    <row r="47" spans="1:7" ht="11.25" customHeight="1" x14ac:dyDescent="0.2">
      <c r="A47" s="38">
        <v>44652</v>
      </c>
      <c r="B47" s="28">
        <v>0</v>
      </c>
      <c r="C47" s="28">
        <v>732.96965760000091</v>
      </c>
      <c r="D47" s="28">
        <v>0</v>
      </c>
      <c r="E47" s="28">
        <v>718.22303478531865</v>
      </c>
      <c r="F47" s="28">
        <v>732.96965760000091</v>
      </c>
      <c r="G47" s="28">
        <v>718.22303478531865</v>
      </c>
    </row>
    <row r="48" spans="1:7" ht="11.25" customHeight="1" x14ac:dyDescent="0.2">
      <c r="A48" s="31" t="s">
        <v>39</v>
      </c>
      <c r="B48" s="28">
        <v>0</v>
      </c>
      <c r="C48" s="28">
        <v>31307.491242000018</v>
      </c>
      <c r="D48" s="28">
        <v>0</v>
      </c>
      <c r="E48" s="28">
        <v>30944.228020179104</v>
      </c>
      <c r="F48" s="28">
        <v>31307.491242000018</v>
      </c>
      <c r="G48" s="28">
        <v>30944.228020179104</v>
      </c>
    </row>
    <row r="49" spans="1:7" ht="11.25" customHeight="1" x14ac:dyDescent="0.2">
      <c r="A49" s="32" t="s">
        <v>23</v>
      </c>
      <c r="B49" s="28">
        <v>0</v>
      </c>
      <c r="C49" s="28">
        <v>31307.491242000018</v>
      </c>
      <c r="D49" s="28">
        <v>0</v>
      </c>
      <c r="E49" s="28">
        <v>30944.228020179104</v>
      </c>
      <c r="F49" s="28">
        <v>31307.491242000018</v>
      </c>
      <c r="G49" s="28">
        <v>30944.228020179104</v>
      </c>
    </row>
    <row r="50" spans="1:7" ht="11.25" customHeight="1" x14ac:dyDescent="0.2">
      <c r="A50" s="33" t="s">
        <v>50</v>
      </c>
      <c r="B50" s="28">
        <v>0</v>
      </c>
      <c r="C50" s="28">
        <v>31307.491242000018</v>
      </c>
      <c r="D50" s="28">
        <v>0</v>
      </c>
      <c r="E50" s="28">
        <v>30944.228020179104</v>
      </c>
      <c r="F50" s="28">
        <v>31307.491242000018</v>
      </c>
      <c r="G50" s="28">
        <v>30944.228020179104</v>
      </c>
    </row>
    <row r="51" spans="1:7" ht="11.25" customHeight="1" x14ac:dyDescent="0.2">
      <c r="A51" s="34" t="s">
        <v>51</v>
      </c>
      <c r="B51" s="28">
        <v>0</v>
      </c>
      <c r="C51" s="28">
        <v>31307.491242000018</v>
      </c>
      <c r="D51" s="28">
        <v>0</v>
      </c>
      <c r="E51" s="28">
        <v>30944.228020179104</v>
      </c>
      <c r="F51" s="28">
        <v>31307.491242000018</v>
      </c>
      <c r="G51" s="28">
        <v>30944.228020179104</v>
      </c>
    </row>
    <row r="52" spans="1:7" ht="11.25" customHeight="1" x14ac:dyDescent="0.2">
      <c r="A52" s="35" t="s">
        <v>25</v>
      </c>
      <c r="B52" s="28">
        <v>0</v>
      </c>
      <c r="C52" s="28">
        <v>31307.491242000018</v>
      </c>
      <c r="D52" s="28">
        <v>0</v>
      </c>
      <c r="E52" s="28">
        <v>30944.228020179104</v>
      </c>
      <c r="F52" s="28">
        <v>31307.491242000018</v>
      </c>
      <c r="G52" s="28">
        <v>30944.228020179104</v>
      </c>
    </row>
    <row r="53" spans="1:7" ht="11.25" customHeight="1" x14ac:dyDescent="0.2">
      <c r="A53" s="36" t="s">
        <v>25</v>
      </c>
      <c r="B53" s="28">
        <v>0</v>
      </c>
      <c r="C53" s="28">
        <v>31307.491242000018</v>
      </c>
      <c r="D53" s="28">
        <v>0</v>
      </c>
      <c r="E53" s="28">
        <v>30944.228020179104</v>
      </c>
      <c r="F53" s="28">
        <v>31307.491242000018</v>
      </c>
      <c r="G53" s="28">
        <v>30944.228020179104</v>
      </c>
    </row>
    <row r="54" spans="1:7" ht="11.25" customHeight="1" x14ac:dyDescent="0.2">
      <c r="A54" s="37" t="s">
        <v>25</v>
      </c>
      <c r="B54" s="28">
        <v>0</v>
      </c>
      <c r="C54" s="28">
        <v>31307.491242000018</v>
      </c>
      <c r="D54" s="28">
        <v>0</v>
      </c>
      <c r="E54" s="28">
        <v>30944.228020179104</v>
      </c>
      <c r="F54" s="28">
        <v>31307.491242000018</v>
      </c>
      <c r="G54" s="28">
        <v>30944.228020179104</v>
      </c>
    </row>
    <row r="55" spans="1:7" ht="11.25" customHeight="1" x14ac:dyDescent="0.2">
      <c r="A55" s="38">
        <v>44317</v>
      </c>
      <c r="B55" s="28">
        <v>0</v>
      </c>
      <c r="C55" s="28">
        <v>2604.1811664000033</v>
      </c>
      <c r="D55" s="28">
        <v>0</v>
      </c>
      <c r="E55" s="28">
        <v>2573.9646526142319</v>
      </c>
      <c r="F55" s="28">
        <v>2604.1811664000033</v>
      </c>
      <c r="G55" s="28">
        <v>2573.9646526142319</v>
      </c>
    </row>
    <row r="56" spans="1:7" ht="11.25" customHeight="1" x14ac:dyDescent="0.2">
      <c r="A56" s="38">
        <v>44348</v>
      </c>
      <c r="B56" s="28">
        <v>0</v>
      </c>
      <c r="C56" s="28">
        <v>2467.5734544000015</v>
      </c>
      <c r="D56" s="28">
        <v>0</v>
      </c>
      <c r="E56" s="28">
        <v>2438.9420103728739</v>
      </c>
      <c r="F56" s="28">
        <v>2467.5734544000015</v>
      </c>
      <c r="G56" s="28">
        <v>2438.9420103728739</v>
      </c>
    </row>
    <row r="57" spans="1:7" ht="11.25" customHeight="1" x14ac:dyDescent="0.2">
      <c r="A57" s="38">
        <v>44378</v>
      </c>
      <c r="B57" s="28">
        <v>0</v>
      </c>
      <c r="C57" s="28">
        <v>2393.0513700000029</v>
      </c>
      <c r="D57" s="28">
        <v>0</v>
      </c>
      <c r="E57" s="28">
        <v>2365.2846114331919</v>
      </c>
      <c r="F57" s="28">
        <v>2393.0513700000029</v>
      </c>
      <c r="G57" s="28">
        <v>2365.2846114331919</v>
      </c>
    </row>
    <row r="58" spans="1:7" ht="11.25" customHeight="1" x14ac:dyDescent="0.2">
      <c r="A58" s="38">
        <v>44409</v>
      </c>
      <c r="B58" s="28">
        <v>0</v>
      </c>
      <c r="C58" s="28">
        <v>2485.1971380000018</v>
      </c>
      <c r="D58" s="28">
        <v>0</v>
      </c>
      <c r="E58" s="28">
        <v>2456.3612050205206</v>
      </c>
      <c r="F58" s="28">
        <v>2485.1971380000018</v>
      </c>
      <c r="G58" s="28">
        <v>2456.3612050205206</v>
      </c>
    </row>
    <row r="59" spans="1:7" ht="11.25" customHeight="1" x14ac:dyDescent="0.2">
      <c r="A59" s="38">
        <v>44440</v>
      </c>
      <c r="B59" s="28">
        <v>0</v>
      </c>
      <c r="C59" s="28">
        <v>2905.9746659999983</v>
      </c>
      <c r="D59" s="28">
        <v>0</v>
      </c>
      <c r="E59" s="28">
        <v>2872.256419094128</v>
      </c>
      <c r="F59" s="28">
        <v>2905.9746659999983</v>
      </c>
      <c r="G59" s="28">
        <v>2872.256419094128</v>
      </c>
    </row>
    <row r="60" spans="1:7" ht="11.25" customHeight="1" x14ac:dyDescent="0.2">
      <c r="A60" s="38">
        <v>44470</v>
      </c>
      <c r="B60" s="28">
        <v>0</v>
      </c>
      <c r="C60" s="28">
        <v>2154.0523116000004</v>
      </c>
      <c r="D60" s="28">
        <v>0</v>
      </c>
      <c r="E60" s="28">
        <v>2129.0586774364024</v>
      </c>
      <c r="F60" s="28">
        <v>2154.0523116000004</v>
      </c>
      <c r="G60" s="28">
        <v>2129.0586774364024</v>
      </c>
    </row>
    <row r="61" spans="1:7" ht="11.25" customHeight="1" x14ac:dyDescent="0.2">
      <c r="A61" s="38">
        <v>44501</v>
      </c>
      <c r="B61" s="28">
        <v>0</v>
      </c>
      <c r="C61" s="28">
        <v>2018.1856320000011</v>
      </c>
      <c r="D61" s="28">
        <v>0</v>
      </c>
      <c r="E61" s="28">
        <v>1994.7684693392803</v>
      </c>
      <c r="F61" s="28">
        <v>2018.1856320000011</v>
      </c>
      <c r="G61" s="28">
        <v>1994.7684693392803</v>
      </c>
    </row>
    <row r="62" spans="1:7" ht="11.25" customHeight="1" x14ac:dyDescent="0.2">
      <c r="A62" s="38">
        <v>44531</v>
      </c>
      <c r="B62" s="28">
        <v>0</v>
      </c>
      <c r="C62" s="28">
        <v>3412.1642327999998</v>
      </c>
      <c r="D62" s="28">
        <v>0</v>
      </c>
      <c r="E62" s="28">
        <v>3372.5726295313812</v>
      </c>
      <c r="F62" s="28">
        <v>3412.1642327999998</v>
      </c>
      <c r="G62" s="28">
        <v>3372.5726295313812</v>
      </c>
    </row>
    <row r="63" spans="1:7" ht="11.25" customHeight="1" x14ac:dyDescent="0.2">
      <c r="A63" s="38">
        <v>44562</v>
      </c>
      <c r="B63" s="28">
        <v>0</v>
      </c>
      <c r="C63" s="28">
        <v>2665.5901991999986</v>
      </c>
      <c r="D63" s="28">
        <v>0</v>
      </c>
      <c r="E63" s="28">
        <v>2634.6611516972516</v>
      </c>
      <c r="F63" s="28">
        <v>2665.5901991999986</v>
      </c>
      <c r="G63" s="28">
        <v>2634.6611516972516</v>
      </c>
    </row>
    <row r="64" spans="1:7" ht="11.25" customHeight="1" x14ac:dyDescent="0.2">
      <c r="A64" s="38">
        <v>44593</v>
      </c>
      <c r="B64" s="28">
        <v>0</v>
      </c>
      <c r="C64" s="28">
        <v>2455.0725600000014</v>
      </c>
      <c r="D64" s="28">
        <v>0</v>
      </c>
      <c r="E64" s="28">
        <v>2426.5861648092778</v>
      </c>
      <c r="F64" s="28">
        <v>2455.0725600000014</v>
      </c>
      <c r="G64" s="28">
        <v>2426.5861648092778</v>
      </c>
    </row>
    <row r="65" spans="1:7" ht="11.25" customHeight="1" x14ac:dyDescent="0.2">
      <c r="A65" s="38">
        <v>44621</v>
      </c>
      <c r="B65" s="28">
        <v>0</v>
      </c>
      <c r="C65" s="28">
        <v>2718.3968124000025</v>
      </c>
      <c r="D65" s="28">
        <v>0</v>
      </c>
      <c r="E65" s="28">
        <v>2686.8550457146102</v>
      </c>
      <c r="F65" s="28">
        <v>2718.3968124000025</v>
      </c>
      <c r="G65" s="28">
        <v>2686.8550457146102</v>
      </c>
    </row>
    <row r="66" spans="1:7" ht="11.25" customHeight="1" x14ac:dyDescent="0.2">
      <c r="A66" s="38">
        <v>44652</v>
      </c>
      <c r="B66" s="28">
        <v>0</v>
      </c>
      <c r="C66" s="28">
        <v>3028.0516992000048</v>
      </c>
      <c r="D66" s="28">
        <v>0</v>
      </c>
      <c r="E66" s="28">
        <v>2992.9169831159497</v>
      </c>
      <c r="F66" s="28">
        <v>3028.0516992000048</v>
      </c>
      <c r="G66" s="28">
        <v>2992.9169831159497</v>
      </c>
    </row>
    <row r="67" spans="1:7" ht="11.25" customHeight="1" x14ac:dyDescent="0.2">
      <c r="A67" s="30" t="s">
        <v>811</v>
      </c>
      <c r="B67" s="28">
        <v>0</v>
      </c>
      <c r="C67" s="28">
        <v>163268.78400000001</v>
      </c>
      <c r="D67" s="28">
        <v>0</v>
      </c>
      <c r="E67" s="28">
        <v>147130.81948720038</v>
      </c>
      <c r="F67" s="28">
        <v>163268.78400000001</v>
      </c>
      <c r="G67" s="28">
        <v>147130.81948720038</v>
      </c>
    </row>
    <row r="68" spans="1:7" ht="11.25" customHeight="1" x14ac:dyDescent="0.2">
      <c r="A68" s="31" t="s">
        <v>22</v>
      </c>
      <c r="B68" s="28">
        <v>0</v>
      </c>
      <c r="C68" s="28">
        <v>163268.78400000001</v>
      </c>
      <c r="D68" s="28">
        <v>0</v>
      </c>
      <c r="E68" s="28">
        <v>147130.81948720038</v>
      </c>
      <c r="F68" s="28">
        <v>163268.78400000001</v>
      </c>
      <c r="G68" s="28">
        <v>147130.81948720038</v>
      </c>
    </row>
    <row r="69" spans="1:7" ht="11.25" customHeight="1" x14ac:dyDescent="0.2">
      <c r="A69" s="32" t="s">
        <v>23</v>
      </c>
      <c r="B69" s="28">
        <v>0</v>
      </c>
      <c r="C69" s="28">
        <v>163268.78400000001</v>
      </c>
      <c r="D69" s="28">
        <v>0</v>
      </c>
      <c r="E69" s="28">
        <v>147130.81948720038</v>
      </c>
      <c r="F69" s="28">
        <v>163268.78400000001</v>
      </c>
      <c r="G69" s="28">
        <v>147130.81948720038</v>
      </c>
    </row>
    <row r="70" spans="1:7" ht="11.25" customHeight="1" x14ac:dyDescent="0.2">
      <c r="A70" s="33" t="s">
        <v>24</v>
      </c>
      <c r="B70" s="28">
        <v>0</v>
      </c>
      <c r="C70" s="28">
        <v>163268.78400000001</v>
      </c>
      <c r="D70" s="28">
        <v>0</v>
      </c>
      <c r="E70" s="28">
        <v>147130.81948720038</v>
      </c>
      <c r="F70" s="28">
        <v>163268.78400000001</v>
      </c>
      <c r="G70" s="28">
        <v>147130.81948720038</v>
      </c>
    </row>
    <row r="71" spans="1:7" ht="11.25" customHeight="1" x14ac:dyDescent="0.2">
      <c r="A71" s="34" t="s">
        <v>29</v>
      </c>
      <c r="B71" s="28">
        <v>0</v>
      </c>
      <c r="C71" s="28">
        <v>62246.620799999997</v>
      </c>
      <c r="D71" s="28">
        <v>0</v>
      </c>
      <c r="E71" s="28">
        <v>56093.982598737392</v>
      </c>
      <c r="F71" s="28">
        <v>62246.620799999997</v>
      </c>
      <c r="G71" s="28">
        <v>56093.982598737392</v>
      </c>
    </row>
    <row r="72" spans="1:7" ht="11.25" customHeight="1" x14ac:dyDescent="0.2">
      <c r="A72" s="35" t="s">
        <v>25</v>
      </c>
      <c r="B72" s="28">
        <v>0</v>
      </c>
      <c r="C72" s="28">
        <v>62246.620799999997</v>
      </c>
      <c r="D72" s="28">
        <v>0</v>
      </c>
      <c r="E72" s="28">
        <v>56093.982598737392</v>
      </c>
      <c r="F72" s="28">
        <v>62246.620799999997</v>
      </c>
      <c r="G72" s="28">
        <v>56093.982598737392</v>
      </c>
    </row>
    <row r="73" spans="1:7" ht="11.25" customHeight="1" x14ac:dyDescent="0.2">
      <c r="A73" s="36" t="s">
        <v>25</v>
      </c>
      <c r="B73" s="28">
        <v>0</v>
      </c>
      <c r="C73" s="28">
        <v>62246.620799999997</v>
      </c>
      <c r="D73" s="28">
        <v>0</v>
      </c>
      <c r="E73" s="28">
        <v>56093.982598737392</v>
      </c>
      <c r="F73" s="28">
        <v>62246.620799999997</v>
      </c>
      <c r="G73" s="28">
        <v>56093.982598737392</v>
      </c>
    </row>
    <row r="74" spans="1:7" ht="11.25" customHeight="1" x14ac:dyDescent="0.2">
      <c r="A74" s="37" t="s">
        <v>25</v>
      </c>
      <c r="B74" s="28">
        <v>0</v>
      </c>
      <c r="C74" s="28">
        <v>62246.620799999997</v>
      </c>
      <c r="D74" s="28">
        <v>0</v>
      </c>
      <c r="E74" s="28">
        <v>56093.982598737392</v>
      </c>
      <c r="F74" s="28">
        <v>62246.620799999997</v>
      </c>
      <c r="G74" s="28">
        <v>56093.982598737392</v>
      </c>
    </row>
    <row r="75" spans="1:7" ht="11.25" customHeight="1" x14ac:dyDescent="0.2">
      <c r="A75" s="38">
        <v>44317</v>
      </c>
      <c r="B75" s="28">
        <v>0</v>
      </c>
      <c r="C75" s="28">
        <v>4384.5983999999999</v>
      </c>
      <c r="D75" s="28">
        <v>0</v>
      </c>
      <c r="E75" s="28">
        <v>3951.2118600348467</v>
      </c>
      <c r="F75" s="28">
        <v>4384.5983999999999</v>
      </c>
      <c r="G75" s="28">
        <v>3951.2118600348467</v>
      </c>
    </row>
    <row r="76" spans="1:7" ht="11.25" customHeight="1" x14ac:dyDescent="0.2">
      <c r="A76" s="38">
        <v>44348</v>
      </c>
      <c r="B76" s="28">
        <v>0</v>
      </c>
      <c r="C76" s="28">
        <v>4457.9808000000003</v>
      </c>
      <c r="D76" s="28">
        <v>0</v>
      </c>
      <c r="E76" s="28">
        <v>4017.340928822041</v>
      </c>
      <c r="F76" s="28">
        <v>4457.9808000000003</v>
      </c>
      <c r="G76" s="28">
        <v>4017.340928822041</v>
      </c>
    </row>
    <row r="77" spans="1:7" ht="11.25" customHeight="1" x14ac:dyDescent="0.2">
      <c r="A77" s="38">
        <v>44378</v>
      </c>
      <c r="B77" s="28">
        <v>0</v>
      </c>
      <c r="C77" s="28">
        <v>4503.8447999999999</v>
      </c>
      <c r="D77" s="28">
        <v>0</v>
      </c>
      <c r="E77" s="28">
        <v>4058.671596814037</v>
      </c>
      <c r="F77" s="28">
        <v>4503.8447999999999</v>
      </c>
      <c r="G77" s="28">
        <v>4058.671596814037</v>
      </c>
    </row>
    <row r="78" spans="1:7" ht="11.25" customHeight="1" x14ac:dyDescent="0.2">
      <c r="A78" s="38">
        <v>44409</v>
      </c>
      <c r="B78" s="28">
        <v>0</v>
      </c>
      <c r="C78" s="28">
        <v>4540.5360000000001</v>
      </c>
      <c r="D78" s="28">
        <v>0</v>
      </c>
      <c r="E78" s="28">
        <v>4091.7361312076341</v>
      </c>
      <c r="F78" s="28">
        <v>4540.5360000000001</v>
      </c>
      <c r="G78" s="28">
        <v>4091.7361312076341</v>
      </c>
    </row>
    <row r="79" spans="1:7" ht="11.25" customHeight="1" x14ac:dyDescent="0.2">
      <c r="A79" s="38">
        <v>44440</v>
      </c>
      <c r="B79" s="28">
        <v>0</v>
      </c>
      <c r="C79" s="28">
        <v>4540.5360000000001</v>
      </c>
      <c r="D79" s="28">
        <v>0</v>
      </c>
      <c r="E79" s="28">
        <v>4091.7361312076341</v>
      </c>
      <c r="F79" s="28">
        <v>4540.5360000000001</v>
      </c>
      <c r="G79" s="28">
        <v>4091.7361312076341</v>
      </c>
    </row>
    <row r="80" spans="1:7" ht="11.25" customHeight="1" x14ac:dyDescent="0.2">
      <c r="A80" s="38">
        <v>44470</v>
      </c>
      <c r="B80" s="28">
        <v>0</v>
      </c>
      <c r="C80" s="28">
        <v>4568.0544</v>
      </c>
      <c r="D80" s="28">
        <v>0</v>
      </c>
      <c r="E80" s="28">
        <v>4116.5345320028318</v>
      </c>
      <c r="F80" s="28">
        <v>4568.0544</v>
      </c>
      <c r="G80" s="28">
        <v>4116.5345320028318</v>
      </c>
    </row>
    <row r="81" spans="1:7" ht="11.25" customHeight="1" x14ac:dyDescent="0.2">
      <c r="A81" s="38">
        <v>44501</v>
      </c>
      <c r="B81" s="28">
        <v>0</v>
      </c>
      <c r="C81" s="28">
        <v>4604.7456000000002</v>
      </c>
      <c r="D81" s="28">
        <v>0</v>
      </c>
      <c r="E81" s="28">
        <v>4149.5990663964294</v>
      </c>
      <c r="F81" s="28">
        <v>4604.7456000000002</v>
      </c>
      <c r="G81" s="28">
        <v>4149.5990663964294</v>
      </c>
    </row>
    <row r="82" spans="1:7" ht="11.25" customHeight="1" x14ac:dyDescent="0.2">
      <c r="A82" s="38">
        <v>44531</v>
      </c>
      <c r="B82" s="28">
        <v>0</v>
      </c>
      <c r="C82" s="28">
        <v>4714.8191999999999</v>
      </c>
      <c r="D82" s="28">
        <v>0</v>
      </c>
      <c r="E82" s="28">
        <v>4248.7926695772203</v>
      </c>
      <c r="F82" s="28">
        <v>4714.8191999999999</v>
      </c>
      <c r="G82" s="28">
        <v>4248.7926695772203</v>
      </c>
    </row>
    <row r="83" spans="1:7" ht="11.25" customHeight="1" x14ac:dyDescent="0.2">
      <c r="A83" s="38">
        <v>44562</v>
      </c>
      <c r="B83" s="28">
        <v>0</v>
      </c>
      <c r="C83" s="28">
        <v>4806.5472</v>
      </c>
      <c r="D83" s="28">
        <v>0</v>
      </c>
      <c r="E83" s="28">
        <v>4331.4540055612133</v>
      </c>
      <c r="F83" s="28">
        <v>4806.5472</v>
      </c>
      <c r="G83" s="28">
        <v>4331.4540055612133</v>
      </c>
    </row>
    <row r="84" spans="1:7" ht="11.25" customHeight="1" x14ac:dyDescent="0.2">
      <c r="A84" s="38">
        <v>44593</v>
      </c>
      <c r="B84" s="28">
        <v>0</v>
      </c>
      <c r="C84" s="28">
        <v>5228.4960000000001</v>
      </c>
      <c r="D84" s="28">
        <v>0</v>
      </c>
      <c r="E84" s="28">
        <v>4711.696151087579</v>
      </c>
      <c r="F84" s="28">
        <v>5228.4960000000001</v>
      </c>
      <c r="G84" s="28">
        <v>4711.696151087579</v>
      </c>
    </row>
    <row r="85" spans="1:7" ht="11.25" customHeight="1" x14ac:dyDescent="0.2">
      <c r="A85" s="38">
        <v>44621</v>
      </c>
      <c r="B85" s="28">
        <v>0</v>
      </c>
      <c r="C85" s="28">
        <v>7842.7439999999997</v>
      </c>
      <c r="D85" s="28">
        <v>0</v>
      </c>
      <c r="E85" s="28">
        <v>7067.5442266313676</v>
      </c>
      <c r="F85" s="28">
        <v>7842.7439999999997</v>
      </c>
      <c r="G85" s="28">
        <v>7067.5442266313676</v>
      </c>
    </row>
    <row r="86" spans="1:7" ht="11.25" customHeight="1" x14ac:dyDescent="0.2">
      <c r="A86" s="38">
        <v>44652</v>
      </c>
      <c r="B86" s="28">
        <v>0</v>
      </c>
      <c r="C86" s="28">
        <v>8053.7183999999997</v>
      </c>
      <c r="D86" s="28">
        <v>0</v>
      </c>
      <c r="E86" s="28">
        <v>7257.6652993945509</v>
      </c>
      <c r="F86" s="28">
        <v>8053.7183999999997</v>
      </c>
      <c r="G86" s="28">
        <v>7257.6652993945509</v>
      </c>
    </row>
    <row r="87" spans="1:7" ht="11.25" customHeight="1" x14ac:dyDescent="0.2">
      <c r="A87" s="34" t="s">
        <v>30</v>
      </c>
      <c r="B87" s="28">
        <v>0</v>
      </c>
      <c r="C87" s="28">
        <v>83120.997120000029</v>
      </c>
      <c r="D87" s="28">
        <v>0</v>
      </c>
      <c r="E87" s="28">
        <v>74905.074462114106</v>
      </c>
      <c r="F87" s="28">
        <v>83120.997120000029</v>
      </c>
      <c r="G87" s="28">
        <v>74905.074462114106</v>
      </c>
    </row>
    <row r="88" spans="1:7" ht="11.25" customHeight="1" x14ac:dyDescent="0.2">
      <c r="A88" s="35" t="s">
        <v>25</v>
      </c>
      <c r="B88" s="28">
        <v>0</v>
      </c>
      <c r="C88" s="28">
        <v>83120.997120000029</v>
      </c>
      <c r="D88" s="28">
        <v>0</v>
      </c>
      <c r="E88" s="28">
        <v>74905.074462114106</v>
      </c>
      <c r="F88" s="28">
        <v>83120.997120000029</v>
      </c>
      <c r="G88" s="28">
        <v>74905.074462114106</v>
      </c>
    </row>
    <row r="89" spans="1:7" ht="11.25" customHeight="1" x14ac:dyDescent="0.2">
      <c r="A89" s="36" t="s">
        <v>25</v>
      </c>
      <c r="B89" s="28">
        <v>0</v>
      </c>
      <c r="C89" s="28">
        <v>83120.997120000029</v>
      </c>
      <c r="D89" s="28">
        <v>0</v>
      </c>
      <c r="E89" s="28">
        <v>74905.074462114106</v>
      </c>
      <c r="F89" s="28">
        <v>83120.997120000029</v>
      </c>
      <c r="G89" s="28">
        <v>74905.074462114106</v>
      </c>
    </row>
    <row r="90" spans="1:7" ht="11.25" customHeight="1" x14ac:dyDescent="0.2">
      <c r="A90" s="37" t="s">
        <v>25</v>
      </c>
      <c r="B90" s="28">
        <v>0</v>
      </c>
      <c r="C90" s="28">
        <v>83120.997120000029</v>
      </c>
      <c r="D90" s="28">
        <v>0</v>
      </c>
      <c r="E90" s="28">
        <v>74905.074462114106</v>
      </c>
      <c r="F90" s="28">
        <v>83120.997120000029</v>
      </c>
      <c r="G90" s="28">
        <v>74905.074462114106</v>
      </c>
    </row>
    <row r="91" spans="1:7" ht="11.25" customHeight="1" x14ac:dyDescent="0.2">
      <c r="A91" s="38">
        <v>44317</v>
      </c>
      <c r="B91" s="28">
        <v>0</v>
      </c>
      <c r="C91" s="28">
        <v>5726.0851200000016</v>
      </c>
      <c r="D91" s="28">
        <v>0</v>
      </c>
      <c r="E91" s="28">
        <v>5160.1021059792065</v>
      </c>
      <c r="F91" s="28">
        <v>5726.0851200000016</v>
      </c>
      <c r="G91" s="28">
        <v>5160.1021059792065</v>
      </c>
    </row>
    <row r="92" spans="1:7" ht="11.25" customHeight="1" x14ac:dyDescent="0.2">
      <c r="A92" s="38">
        <v>44348</v>
      </c>
      <c r="B92" s="28">
        <v>0</v>
      </c>
      <c r="C92" s="28">
        <v>5876.2368000000015</v>
      </c>
      <c r="D92" s="28">
        <v>0</v>
      </c>
      <c r="E92" s="28">
        <v>5295.4123544206959</v>
      </c>
      <c r="F92" s="28">
        <v>5876.2368000000015</v>
      </c>
      <c r="G92" s="28">
        <v>5295.4123544206959</v>
      </c>
    </row>
    <row r="93" spans="1:7" ht="11.25" customHeight="1" x14ac:dyDescent="0.2">
      <c r="A93" s="38">
        <v>44378</v>
      </c>
      <c r="B93" s="28">
        <v>0</v>
      </c>
      <c r="C93" s="28">
        <v>5955.6403200000022</v>
      </c>
      <c r="D93" s="28">
        <v>0</v>
      </c>
      <c r="E93" s="28">
        <v>5366.9673980827365</v>
      </c>
      <c r="F93" s="28">
        <v>5955.6403200000022</v>
      </c>
      <c r="G93" s="28">
        <v>5366.9673980827365</v>
      </c>
    </row>
    <row r="94" spans="1:7" ht="11.25" customHeight="1" x14ac:dyDescent="0.2">
      <c r="A94" s="38">
        <v>44409</v>
      </c>
      <c r="B94" s="28">
        <v>0</v>
      </c>
      <c r="C94" s="28">
        <v>5916.691200000002</v>
      </c>
      <c r="D94" s="28">
        <v>0</v>
      </c>
      <c r="E94" s="28">
        <v>5331.8681231110722</v>
      </c>
      <c r="F94" s="28">
        <v>5916.691200000002</v>
      </c>
      <c r="G94" s="28">
        <v>5331.8681231110722</v>
      </c>
    </row>
    <row r="95" spans="1:7" ht="11.25" customHeight="1" x14ac:dyDescent="0.2">
      <c r="A95" s="38">
        <v>44440</v>
      </c>
      <c r="B95" s="28">
        <v>0</v>
      </c>
      <c r="C95" s="28">
        <v>6066.278400000002</v>
      </c>
      <c r="D95" s="28">
        <v>0</v>
      </c>
      <c r="E95" s="28">
        <v>5466.669686408045</v>
      </c>
      <c r="F95" s="28">
        <v>6066.278400000002</v>
      </c>
      <c r="G95" s="28">
        <v>5466.669686408045</v>
      </c>
    </row>
    <row r="96" spans="1:7" ht="11.25" customHeight="1" x14ac:dyDescent="0.2">
      <c r="A96" s="38">
        <v>44470</v>
      </c>
      <c r="B96" s="28">
        <v>0</v>
      </c>
      <c r="C96" s="28">
        <v>6240.138240000002</v>
      </c>
      <c r="D96" s="28">
        <v>0</v>
      </c>
      <c r="E96" s="28">
        <v>5623.344710919243</v>
      </c>
      <c r="F96" s="28">
        <v>6240.138240000002</v>
      </c>
      <c r="G96" s="28">
        <v>5623.344710919243</v>
      </c>
    </row>
    <row r="97" spans="1:7" ht="11.25" customHeight="1" x14ac:dyDescent="0.2">
      <c r="A97" s="38">
        <v>44501</v>
      </c>
      <c r="B97" s="28">
        <v>0</v>
      </c>
      <c r="C97" s="28">
        <v>6176.9164800000026</v>
      </c>
      <c r="D97" s="28">
        <v>0</v>
      </c>
      <c r="E97" s="28">
        <v>5566.3719747333535</v>
      </c>
      <c r="F97" s="28">
        <v>6176.9164800000026</v>
      </c>
      <c r="G97" s="28">
        <v>5566.3719747333535</v>
      </c>
    </row>
    <row r="98" spans="1:7" ht="11.25" customHeight="1" x14ac:dyDescent="0.2">
      <c r="A98" s="38">
        <v>44531</v>
      </c>
      <c r="B98" s="28">
        <v>0</v>
      </c>
      <c r="C98" s="28">
        <v>6299.5968000000012</v>
      </c>
      <c r="D98" s="28">
        <v>0</v>
      </c>
      <c r="E98" s="28">
        <v>5676.9262128083537</v>
      </c>
      <c r="F98" s="28">
        <v>6299.5968000000012</v>
      </c>
      <c r="G98" s="28">
        <v>5676.9262128083537</v>
      </c>
    </row>
    <row r="99" spans="1:7" ht="11.25" customHeight="1" x14ac:dyDescent="0.2">
      <c r="A99" s="38">
        <v>44562</v>
      </c>
      <c r="B99" s="28">
        <v>0</v>
      </c>
      <c r="C99" s="28">
        <v>6529.1520000000028</v>
      </c>
      <c r="D99" s="28">
        <v>0</v>
      </c>
      <c r="E99" s="28">
        <v>5883.7915049118847</v>
      </c>
      <c r="F99" s="28">
        <v>6529.1520000000028</v>
      </c>
      <c r="G99" s="28">
        <v>5883.7915049118847</v>
      </c>
    </row>
    <row r="100" spans="1:7" ht="11.25" customHeight="1" x14ac:dyDescent="0.2">
      <c r="A100" s="38">
        <v>44593</v>
      </c>
      <c r="B100" s="28">
        <v>0</v>
      </c>
      <c r="C100" s="28">
        <v>7103.4163200000021</v>
      </c>
      <c r="D100" s="28">
        <v>0</v>
      </c>
      <c r="E100" s="28">
        <v>6401.2938586003884</v>
      </c>
      <c r="F100" s="28">
        <v>7103.4163200000021</v>
      </c>
      <c r="G100" s="28">
        <v>6401.2938586003884</v>
      </c>
    </row>
    <row r="101" spans="1:7" ht="11.25" customHeight="1" x14ac:dyDescent="0.2">
      <c r="A101" s="38">
        <v>44621</v>
      </c>
      <c r="B101" s="28">
        <v>0</v>
      </c>
      <c r="C101" s="28">
        <v>10414.091520000004</v>
      </c>
      <c r="D101" s="28">
        <v>0</v>
      </c>
      <c r="E101" s="28">
        <v>9384.7322311918761</v>
      </c>
      <c r="F101" s="28">
        <v>10414.091520000004</v>
      </c>
      <c r="G101" s="28">
        <v>9384.7322311918761</v>
      </c>
    </row>
    <row r="102" spans="1:7" ht="11.25" customHeight="1" x14ac:dyDescent="0.2">
      <c r="A102" s="38">
        <v>44652</v>
      </c>
      <c r="B102" s="28">
        <v>0</v>
      </c>
      <c r="C102" s="28">
        <v>10816.753920000003</v>
      </c>
      <c r="D102" s="28">
        <v>0</v>
      </c>
      <c r="E102" s="28">
        <v>9747.5943009472485</v>
      </c>
      <c r="F102" s="28">
        <v>10816.753920000003</v>
      </c>
      <c r="G102" s="28">
        <v>9747.5943009472485</v>
      </c>
    </row>
    <row r="103" spans="1:7" ht="11.25" customHeight="1" x14ac:dyDescent="0.2">
      <c r="A103" s="34" t="s">
        <v>31</v>
      </c>
      <c r="B103" s="28">
        <v>0</v>
      </c>
      <c r="C103" s="28">
        <v>17901.166079999995</v>
      </c>
      <c r="D103" s="28">
        <v>0</v>
      </c>
      <c r="E103" s="28">
        <v>16131.762426348901</v>
      </c>
      <c r="F103" s="28">
        <v>17901.166079999995</v>
      </c>
      <c r="G103" s="28">
        <v>16131.762426348901</v>
      </c>
    </row>
    <row r="104" spans="1:7" ht="11.25" customHeight="1" x14ac:dyDescent="0.2">
      <c r="A104" s="35" t="s">
        <v>25</v>
      </c>
      <c r="B104" s="28">
        <v>0</v>
      </c>
      <c r="C104" s="28">
        <v>17901.166079999995</v>
      </c>
      <c r="D104" s="28">
        <v>0</v>
      </c>
      <c r="E104" s="28">
        <v>16131.762426348901</v>
      </c>
      <c r="F104" s="28">
        <v>17901.166079999995</v>
      </c>
      <c r="G104" s="28">
        <v>16131.762426348901</v>
      </c>
    </row>
    <row r="105" spans="1:7" ht="11.25" customHeight="1" x14ac:dyDescent="0.2">
      <c r="A105" s="36" t="s">
        <v>25</v>
      </c>
      <c r="B105" s="28">
        <v>0</v>
      </c>
      <c r="C105" s="28">
        <v>17901.166079999995</v>
      </c>
      <c r="D105" s="28">
        <v>0</v>
      </c>
      <c r="E105" s="28">
        <v>16131.762426348901</v>
      </c>
      <c r="F105" s="28">
        <v>17901.166079999995</v>
      </c>
      <c r="G105" s="28">
        <v>16131.762426348901</v>
      </c>
    </row>
    <row r="106" spans="1:7" ht="11.25" customHeight="1" x14ac:dyDescent="0.2">
      <c r="A106" s="37" t="s">
        <v>25</v>
      </c>
      <c r="B106" s="28">
        <v>0</v>
      </c>
      <c r="C106" s="28">
        <v>17901.166079999995</v>
      </c>
      <c r="D106" s="28">
        <v>0</v>
      </c>
      <c r="E106" s="28">
        <v>16131.762426348901</v>
      </c>
      <c r="F106" s="28">
        <v>17901.166079999995</v>
      </c>
      <c r="G106" s="28">
        <v>16131.762426348901</v>
      </c>
    </row>
    <row r="107" spans="1:7" ht="11.25" customHeight="1" x14ac:dyDescent="0.2">
      <c r="A107" s="38">
        <v>44317</v>
      </c>
      <c r="B107" s="28">
        <v>0</v>
      </c>
      <c r="C107" s="28">
        <v>981.20735999999988</v>
      </c>
      <c r="D107" s="28">
        <v>0</v>
      </c>
      <c r="E107" s="28">
        <v>884.22195245646276</v>
      </c>
      <c r="F107" s="28">
        <v>981.20735999999988</v>
      </c>
      <c r="G107" s="28">
        <v>884.22195245646276</v>
      </c>
    </row>
    <row r="108" spans="1:7" ht="11.25" customHeight="1" x14ac:dyDescent="0.2">
      <c r="A108" s="38">
        <v>44348</v>
      </c>
      <c r="B108" s="28">
        <v>0</v>
      </c>
      <c r="C108" s="28">
        <v>1145.4710399999997</v>
      </c>
      <c r="D108" s="28">
        <v>0</v>
      </c>
      <c r="E108" s="28">
        <v>1032.2493295108741</v>
      </c>
      <c r="F108" s="28">
        <v>1145.4710399999997</v>
      </c>
      <c r="G108" s="28">
        <v>1032.2493295108741</v>
      </c>
    </row>
    <row r="109" spans="1:7" ht="11.25" customHeight="1" x14ac:dyDescent="0.2">
      <c r="A109" s="38">
        <v>44378</v>
      </c>
      <c r="B109" s="28">
        <v>0</v>
      </c>
      <c r="C109" s="28">
        <v>1226.1916799999997</v>
      </c>
      <c r="D109" s="28">
        <v>0</v>
      </c>
      <c r="E109" s="28">
        <v>1104.9913051767874</v>
      </c>
      <c r="F109" s="28">
        <v>1226.1916799999997</v>
      </c>
      <c r="G109" s="28">
        <v>1104.9913051767874</v>
      </c>
    </row>
    <row r="110" spans="1:7" ht="11.25" customHeight="1" x14ac:dyDescent="0.2">
      <c r="A110" s="38">
        <v>44409</v>
      </c>
      <c r="B110" s="28">
        <v>0</v>
      </c>
      <c r="C110" s="28">
        <v>1103.0409599999998</v>
      </c>
      <c r="D110" s="28">
        <v>0</v>
      </c>
      <c r="E110" s="28">
        <v>994.01316281468883</v>
      </c>
      <c r="F110" s="28">
        <v>1103.0409599999998</v>
      </c>
      <c r="G110" s="28">
        <v>994.01316281468883</v>
      </c>
    </row>
    <row r="111" spans="1:7" ht="11.25" customHeight="1" x14ac:dyDescent="0.2">
      <c r="A111" s="38">
        <v>44440</v>
      </c>
      <c r="B111" s="28">
        <v>0</v>
      </c>
      <c r="C111" s="28">
        <v>1283.3923199999999</v>
      </c>
      <c r="D111" s="28">
        <v>0</v>
      </c>
      <c r="E111" s="28">
        <v>1156.5380664878312</v>
      </c>
      <c r="F111" s="28">
        <v>1283.3923199999999</v>
      </c>
      <c r="G111" s="28">
        <v>1156.5380664878312</v>
      </c>
    </row>
    <row r="112" spans="1:7" ht="11.25" customHeight="1" x14ac:dyDescent="0.2">
      <c r="A112" s="38">
        <v>44470</v>
      </c>
      <c r="B112" s="28">
        <v>0</v>
      </c>
      <c r="C112" s="28">
        <v>1507.2086399999996</v>
      </c>
      <c r="D112" s="28">
        <v>0</v>
      </c>
      <c r="E112" s="28">
        <v>1358.231726288773</v>
      </c>
      <c r="F112" s="28">
        <v>1507.2086399999996</v>
      </c>
      <c r="G112" s="28">
        <v>1358.231726288773</v>
      </c>
    </row>
    <row r="113" spans="1:7" ht="11.25" customHeight="1" x14ac:dyDescent="0.2">
      <c r="A113" s="38">
        <v>44501</v>
      </c>
      <c r="B113" s="28">
        <v>0</v>
      </c>
      <c r="C113" s="28">
        <v>1385.7983999999999</v>
      </c>
      <c r="D113" s="28">
        <v>0</v>
      </c>
      <c r="E113" s="28">
        <v>1248.8220297889347</v>
      </c>
      <c r="F113" s="28">
        <v>1385.7983999999999</v>
      </c>
      <c r="G113" s="28">
        <v>1248.8220297889347</v>
      </c>
    </row>
    <row r="114" spans="1:7" ht="11.25" customHeight="1" x14ac:dyDescent="0.2">
      <c r="A114" s="38">
        <v>44531</v>
      </c>
      <c r="B114" s="28">
        <v>0</v>
      </c>
      <c r="C114" s="28">
        <v>1275.1132799999998</v>
      </c>
      <c r="D114" s="28">
        <v>0</v>
      </c>
      <c r="E114" s="28">
        <v>1149.077351034917</v>
      </c>
      <c r="F114" s="28">
        <v>1275.1132799999998</v>
      </c>
      <c r="G114" s="28">
        <v>1149.077351034917</v>
      </c>
    </row>
    <row r="115" spans="1:7" ht="11.25" customHeight="1" x14ac:dyDescent="0.2">
      <c r="A115" s="38">
        <v>44562</v>
      </c>
      <c r="B115" s="28">
        <v>0</v>
      </c>
      <c r="C115" s="28">
        <v>1457.2991999999997</v>
      </c>
      <c r="D115" s="28">
        <v>0</v>
      </c>
      <c r="E115" s="28">
        <v>1313.2554814277394</v>
      </c>
      <c r="F115" s="28">
        <v>1457.2991999999997</v>
      </c>
      <c r="G115" s="28">
        <v>1313.2554814277394</v>
      </c>
    </row>
    <row r="116" spans="1:7" ht="11.25" customHeight="1" x14ac:dyDescent="0.2">
      <c r="A116" s="38">
        <v>44593</v>
      </c>
      <c r="B116" s="28">
        <v>0</v>
      </c>
      <c r="C116" s="28">
        <v>1583.7427199999997</v>
      </c>
      <c r="D116" s="28">
        <v>0</v>
      </c>
      <c r="E116" s="28">
        <v>1427.2009537995198</v>
      </c>
      <c r="F116" s="28">
        <v>1583.7427199999997</v>
      </c>
      <c r="G116" s="28">
        <v>1427.2009537995198</v>
      </c>
    </row>
    <row r="117" spans="1:7" ht="11.25" customHeight="1" x14ac:dyDescent="0.2">
      <c r="A117" s="38">
        <v>44621</v>
      </c>
      <c r="B117" s="28">
        <v>0</v>
      </c>
      <c r="C117" s="28">
        <v>2388.9263999999994</v>
      </c>
      <c r="D117" s="28">
        <v>0</v>
      </c>
      <c r="E117" s="28">
        <v>2152.7979220241359</v>
      </c>
      <c r="F117" s="28">
        <v>2388.9263999999994</v>
      </c>
      <c r="G117" s="28">
        <v>2152.7979220241359</v>
      </c>
    </row>
    <row r="118" spans="1:7" ht="11.25" customHeight="1" x14ac:dyDescent="0.2">
      <c r="A118" s="38">
        <v>44652</v>
      </c>
      <c r="B118" s="28">
        <v>0</v>
      </c>
      <c r="C118" s="28">
        <v>2563.7740799999997</v>
      </c>
      <c r="D118" s="28">
        <v>0</v>
      </c>
      <c r="E118" s="28">
        <v>2310.3631455382392</v>
      </c>
      <c r="F118" s="28">
        <v>2563.7740799999997</v>
      </c>
      <c r="G118" s="28">
        <v>2310.3631455382392</v>
      </c>
    </row>
    <row r="119" spans="1:7" ht="11.25" customHeight="1" x14ac:dyDescent="0.2">
      <c r="A119" s="34" t="s">
        <v>32</v>
      </c>
      <c r="B119" s="28">
        <v>0</v>
      </c>
      <c r="C119" s="28">
        <v>0</v>
      </c>
      <c r="D119" s="28">
        <v>0</v>
      </c>
      <c r="E119" s="28">
        <v>2.436337354083662E-12</v>
      </c>
      <c r="F119" s="28">
        <v>0</v>
      </c>
      <c r="G119" s="28">
        <v>2.436337354083662E-12</v>
      </c>
    </row>
    <row r="120" spans="1:7" ht="11.25" customHeight="1" x14ac:dyDescent="0.2">
      <c r="A120" s="35" t="s">
        <v>25</v>
      </c>
      <c r="B120" s="28">
        <v>0</v>
      </c>
      <c r="C120" s="28">
        <v>0</v>
      </c>
      <c r="D120" s="28">
        <v>0</v>
      </c>
      <c r="E120" s="28">
        <v>2.436337354083662E-12</v>
      </c>
      <c r="F120" s="28">
        <v>0</v>
      </c>
      <c r="G120" s="28">
        <v>2.436337354083662E-12</v>
      </c>
    </row>
    <row r="121" spans="1:7" ht="11.25" customHeight="1" x14ac:dyDescent="0.2">
      <c r="A121" s="36" t="s">
        <v>25</v>
      </c>
      <c r="B121" s="28">
        <v>0</v>
      </c>
      <c r="C121" s="28">
        <v>0</v>
      </c>
      <c r="D121" s="28">
        <v>0</v>
      </c>
      <c r="E121" s="28">
        <v>2.436337354083662E-12</v>
      </c>
      <c r="F121" s="28">
        <v>0</v>
      </c>
      <c r="G121" s="28">
        <v>2.436337354083662E-12</v>
      </c>
    </row>
    <row r="122" spans="1:7" ht="11.25" customHeight="1" x14ac:dyDescent="0.2">
      <c r="A122" s="37" t="s">
        <v>25</v>
      </c>
      <c r="B122" s="28">
        <v>0</v>
      </c>
      <c r="C122" s="28">
        <v>0</v>
      </c>
      <c r="D122" s="28">
        <v>0</v>
      </c>
      <c r="E122" s="28">
        <v>2.436337354083662E-12</v>
      </c>
      <c r="F122" s="28">
        <v>0</v>
      </c>
      <c r="G122" s="28">
        <v>2.436337354083662E-12</v>
      </c>
    </row>
    <row r="123" spans="1:7" ht="11.25" customHeight="1" x14ac:dyDescent="0.2">
      <c r="A123" s="38">
        <v>44317</v>
      </c>
      <c r="B123" s="28">
        <v>0</v>
      </c>
      <c r="C123" s="28">
        <v>0</v>
      </c>
      <c r="D123" s="28">
        <v>0</v>
      </c>
      <c r="E123" s="28">
        <v>7.8841821959940717E-14</v>
      </c>
      <c r="F123" s="28">
        <v>0</v>
      </c>
      <c r="G123" s="28">
        <v>7.8841821959940717E-14</v>
      </c>
    </row>
    <row r="124" spans="1:7" ht="11.25" customHeight="1" x14ac:dyDescent="0.2">
      <c r="A124" s="38">
        <v>44348</v>
      </c>
      <c r="B124" s="28">
        <v>0</v>
      </c>
      <c r="C124" s="28">
        <v>0</v>
      </c>
      <c r="D124" s="28">
        <v>0</v>
      </c>
      <c r="E124" s="28">
        <v>1.0894041224673857E-13</v>
      </c>
      <c r="F124" s="28">
        <v>0</v>
      </c>
      <c r="G124" s="28">
        <v>1.0894041224673857E-13</v>
      </c>
    </row>
    <row r="125" spans="1:7" ht="11.25" customHeight="1" x14ac:dyDescent="0.2">
      <c r="A125" s="38">
        <v>44378</v>
      </c>
      <c r="B125" s="28">
        <v>0</v>
      </c>
      <c r="C125" s="28">
        <v>0</v>
      </c>
      <c r="D125" s="28">
        <v>0</v>
      </c>
      <c r="E125" s="28">
        <v>1.2323653209023178E-13</v>
      </c>
      <c r="F125" s="28">
        <v>0</v>
      </c>
      <c r="G125" s="28">
        <v>1.2323653209023178E-13</v>
      </c>
    </row>
    <row r="126" spans="1:7" ht="11.25" customHeight="1" x14ac:dyDescent="0.2">
      <c r="A126" s="38">
        <v>44409</v>
      </c>
      <c r="B126" s="28">
        <v>0</v>
      </c>
      <c r="C126" s="28">
        <v>0</v>
      </c>
      <c r="D126" s="28">
        <v>0</v>
      </c>
      <c r="E126" s="28">
        <v>1.1610268302320037E-13</v>
      </c>
      <c r="F126" s="28">
        <v>0</v>
      </c>
      <c r="G126" s="28">
        <v>1.1610268302320037E-13</v>
      </c>
    </row>
    <row r="127" spans="1:7" ht="11.25" customHeight="1" x14ac:dyDescent="0.2">
      <c r="A127" s="38">
        <v>44440</v>
      </c>
      <c r="B127" s="28">
        <v>0</v>
      </c>
      <c r="C127" s="28">
        <v>0</v>
      </c>
      <c r="D127" s="28">
        <v>0</v>
      </c>
      <c r="E127" s="28">
        <v>1.5793943930475508E-13</v>
      </c>
      <c r="F127" s="28">
        <v>0</v>
      </c>
      <c r="G127" s="28">
        <v>1.5793943930475508E-13</v>
      </c>
    </row>
    <row r="128" spans="1:7" ht="11.25" customHeight="1" x14ac:dyDescent="0.2">
      <c r="A128" s="38">
        <v>44470</v>
      </c>
      <c r="B128" s="28">
        <v>0</v>
      </c>
      <c r="C128" s="28">
        <v>0</v>
      </c>
      <c r="D128" s="28">
        <v>0</v>
      </c>
      <c r="E128" s="28">
        <v>2.1222490431682671E-13</v>
      </c>
      <c r="F128" s="28">
        <v>0</v>
      </c>
      <c r="G128" s="28">
        <v>2.1222490431682671E-13</v>
      </c>
    </row>
    <row r="129" spans="1:7" ht="11.25" customHeight="1" x14ac:dyDescent="0.2">
      <c r="A129" s="38">
        <v>44501</v>
      </c>
      <c r="B129" s="28">
        <v>0</v>
      </c>
      <c r="C129" s="28">
        <v>0</v>
      </c>
      <c r="D129" s="28">
        <v>0</v>
      </c>
      <c r="E129" s="28">
        <v>1.7561774257046637E-13</v>
      </c>
      <c r="F129" s="28">
        <v>0</v>
      </c>
      <c r="G129" s="28">
        <v>1.7561774257046637E-13</v>
      </c>
    </row>
    <row r="130" spans="1:7" ht="11.25" customHeight="1" x14ac:dyDescent="0.2">
      <c r="A130" s="38">
        <v>44531</v>
      </c>
      <c r="B130" s="28">
        <v>0</v>
      </c>
      <c r="C130" s="28">
        <v>0</v>
      </c>
      <c r="D130" s="28">
        <v>0</v>
      </c>
      <c r="E130" s="28">
        <v>1.4213696886145045E-13</v>
      </c>
      <c r="F130" s="28">
        <v>0</v>
      </c>
      <c r="G130" s="28">
        <v>1.4213696886145045E-13</v>
      </c>
    </row>
    <row r="131" spans="1:7" ht="11.25" customHeight="1" x14ac:dyDescent="0.2">
      <c r="A131" s="38">
        <v>44562</v>
      </c>
      <c r="B131" s="28">
        <v>0</v>
      </c>
      <c r="C131" s="28">
        <v>0</v>
      </c>
      <c r="D131" s="28">
        <v>0</v>
      </c>
      <c r="E131" s="28">
        <v>2.3069901544658935E-13</v>
      </c>
      <c r="F131" s="28">
        <v>0</v>
      </c>
      <c r="G131" s="28">
        <v>2.3069901544658935E-13</v>
      </c>
    </row>
    <row r="132" spans="1:7" ht="11.25" customHeight="1" x14ac:dyDescent="0.2">
      <c r="A132" s="38">
        <v>44593</v>
      </c>
      <c r="B132" s="28">
        <v>0</v>
      </c>
      <c r="C132" s="28">
        <v>0</v>
      </c>
      <c r="D132" s="28">
        <v>0</v>
      </c>
      <c r="E132" s="28">
        <v>2.3155166672950146E-13</v>
      </c>
      <c r="F132" s="28">
        <v>0</v>
      </c>
      <c r="G132" s="28">
        <v>2.3155166672950146E-13</v>
      </c>
    </row>
    <row r="133" spans="1:7" ht="11.25" customHeight="1" x14ac:dyDescent="0.2">
      <c r="A133" s="38">
        <v>44621</v>
      </c>
      <c r="B133" s="28">
        <v>0</v>
      </c>
      <c r="C133" s="28">
        <v>0</v>
      </c>
      <c r="D133" s="28">
        <v>0</v>
      </c>
      <c r="E133" s="28">
        <v>4.2587089410517365E-13</v>
      </c>
      <c r="F133" s="28">
        <v>0</v>
      </c>
      <c r="G133" s="28">
        <v>4.2587089410517365E-13</v>
      </c>
    </row>
    <row r="134" spans="1:7" ht="11.25" customHeight="1" x14ac:dyDescent="0.2">
      <c r="A134" s="38">
        <v>44652</v>
      </c>
      <c r="B134" s="28">
        <v>0</v>
      </c>
      <c r="C134" s="28">
        <v>0</v>
      </c>
      <c r="D134" s="28">
        <v>0</v>
      </c>
      <c r="E134" s="28">
        <v>4.3317527342878747E-13</v>
      </c>
      <c r="F134" s="28">
        <v>0</v>
      </c>
      <c r="G134" s="28">
        <v>4.3317527342878747E-13</v>
      </c>
    </row>
    <row r="135" spans="1:7" ht="11.25" customHeight="1" x14ac:dyDescent="0.2">
      <c r="A135" s="30" t="s">
        <v>807</v>
      </c>
      <c r="B135" s="28">
        <v>1123815.42</v>
      </c>
      <c r="C135" s="28">
        <v>1481559.8936399999</v>
      </c>
      <c r="D135" s="28">
        <v>970253.018956905</v>
      </c>
      <c r="E135" s="28">
        <v>1578550.1666540804</v>
      </c>
      <c r="F135" s="28">
        <v>2605375.3136399998</v>
      </c>
      <c r="G135" s="28">
        <v>2548803.1856109854</v>
      </c>
    </row>
    <row r="136" spans="1:7" ht="11.25" customHeight="1" x14ac:dyDescent="0.2">
      <c r="A136" s="31" t="s">
        <v>33</v>
      </c>
      <c r="B136" s="28">
        <v>1123815.42</v>
      </c>
      <c r="C136" s="28">
        <v>1481559.8936399999</v>
      </c>
      <c r="D136" s="28">
        <v>970253.018956905</v>
      </c>
      <c r="E136" s="28">
        <v>1578550.1666540804</v>
      </c>
      <c r="F136" s="28">
        <v>2605375.3136399998</v>
      </c>
      <c r="G136" s="28">
        <v>2548803.1856109854</v>
      </c>
    </row>
    <row r="137" spans="1:7" ht="11.25" customHeight="1" x14ac:dyDescent="0.2">
      <c r="A137" s="32" t="s">
        <v>34</v>
      </c>
      <c r="B137" s="28">
        <v>1123815.42</v>
      </c>
      <c r="C137" s="28">
        <v>1481559.8936399999</v>
      </c>
      <c r="D137" s="28">
        <v>970253.018956905</v>
      </c>
      <c r="E137" s="28">
        <v>1578550.1666540804</v>
      </c>
      <c r="F137" s="28">
        <v>2605375.3136399998</v>
      </c>
      <c r="G137" s="28">
        <v>2548803.1856109854</v>
      </c>
    </row>
    <row r="138" spans="1:7" ht="11.25" customHeight="1" x14ac:dyDescent="0.2">
      <c r="A138" s="33" t="s">
        <v>40</v>
      </c>
      <c r="B138" s="28">
        <v>1123815.42</v>
      </c>
      <c r="C138" s="28">
        <v>1481559.8936399999</v>
      </c>
      <c r="D138" s="28">
        <v>970253.018956905</v>
      </c>
      <c r="E138" s="28">
        <v>1578550.1666540804</v>
      </c>
      <c r="F138" s="28">
        <v>2605375.3136399998</v>
      </c>
      <c r="G138" s="28">
        <v>2548803.1856109854</v>
      </c>
    </row>
    <row r="139" spans="1:7" ht="11.25" customHeight="1" x14ac:dyDescent="0.2">
      <c r="A139" s="34" t="s">
        <v>25</v>
      </c>
      <c r="B139" s="28">
        <v>1123815.42</v>
      </c>
      <c r="C139" s="28">
        <v>1481559.8936399999</v>
      </c>
      <c r="D139" s="28">
        <v>970253.018956905</v>
      </c>
      <c r="E139" s="28">
        <v>1578550.1666540804</v>
      </c>
      <c r="F139" s="28">
        <v>2605375.3136399998</v>
      </c>
      <c r="G139" s="28">
        <v>2548803.1856109854</v>
      </c>
    </row>
    <row r="140" spans="1:7" ht="11.25" customHeight="1" x14ac:dyDescent="0.2">
      <c r="A140" s="35" t="s">
        <v>57</v>
      </c>
      <c r="B140" s="28">
        <v>1123815.42</v>
      </c>
      <c r="C140" s="28">
        <v>1481559.8936399999</v>
      </c>
      <c r="D140" s="28">
        <v>970253.018956905</v>
      </c>
      <c r="E140" s="28">
        <v>1578550.1666540804</v>
      </c>
      <c r="F140" s="28">
        <v>2605375.3136399998</v>
      </c>
      <c r="G140" s="28">
        <v>2548803.1856109854</v>
      </c>
    </row>
    <row r="141" spans="1:7" ht="11.25" customHeight="1" x14ac:dyDescent="0.2">
      <c r="A141" s="36" t="s">
        <v>25</v>
      </c>
      <c r="B141" s="28">
        <v>1123815.42</v>
      </c>
      <c r="C141" s="28">
        <v>1481559.8936399999</v>
      </c>
      <c r="D141" s="28">
        <v>970253.018956905</v>
      </c>
      <c r="E141" s="28">
        <v>1578550.1666540804</v>
      </c>
      <c r="F141" s="28">
        <v>2605375.3136399998</v>
      </c>
      <c r="G141" s="28">
        <v>2548803.1856109854</v>
      </c>
    </row>
    <row r="142" spans="1:7" ht="11.25" customHeight="1" x14ac:dyDescent="0.2">
      <c r="A142" s="37" t="s">
        <v>36</v>
      </c>
      <c r="B142" s="28">
        <v>0</v>
      </c>
      <c r="C142" s="28">
        <v>105703.22124</v>
      </c>
      <c r="D142" s="28">
        <v>0</v>
      </c>
      <c r="E142" s="28">
        <v>161666.58117081664</v>
      </c>
      <c r="F142" s="28">
        <v>105703.22124</v>
      </c>
      <c r="G142" s="28">
        <v>161666.58117081664</v>
      </c>
    </row>
    <row r="143" spans="1:7" ht="11.25" customHeight="1" x14ac:dyDescent="0.2">
      <c r="A143" s="38">
        <v>44317</v>
      </c>
      <c r="B143" s="28">
        <v>0</v>
      </c>
      <c r="C143" s="28">
        <v>0</v>
      </c>
      <c r="D143" s="28">
        <v>0</v>
      </c>
      <c r="E143" s="28">
        <v>0</v>
      </c>
      <c r="F143" s="28">
        <v>0</v>
      </c>
      <c r="G143" s="28">
        <v>0</v>
      </c>
    </row>
    <row r="144" spans="1:7" ht="11.25" customHeight="1" x14ac:dyDescent="0.2">
      <c r="A144" s="38">
        <v>44348</v>
      </c>
      <c r="B144" s="28">
        <v>0</v>
      </c>
      <c r="C144" s="28">
        <v>0</v>
      </c>
      <c r="D144" s="28">
        <v>0</v>
      </c>
      <c r="E144" s="28">
        <v>0</v>
      </c>
      <c r="F144" s="28">
        <v>0</v>
      </c>
      <c r="G144" s="28">
        <v>0</v>
      </c>
    </row>
    <row r="145" spans="1:7" ht="11.25" customHeight="1" x14ac:dyDescent="0.2">
      <c r="A145" s="38">
        <v>44378</v>
      </c>
      <c r="B145" s="28">
        <v>0</v>
      </c>
      <c r="C145" s="28">
        <v>0</v>
      </c>
      <c r="D145" s="28">
        <v>0</v>
      </c>
      <c r="E145" s="28">
        <v>0</v>
      </c>
      <c r="F145" s="28">
        <v>0</v>
      </c>
      <c r="G145" s="28">
        <v>0</v>
      </c>
    </row>
    <row r="146" spans="1:7" ht="11.25" customHeight="1" x14ac:dyDescent="0.2">
      <c r="A146" s="38">
        <v>44409</v>
      </c>
      <c r="B146" s="28">
        <v>0</v>
      </c>
      <c r="C146" s="28">
        <v>0</v>
      </c>
      <c r="D146" s="28">
        <v>0</v>
      </c>
      <c r="E146" s="28">
        <v>0</v>
      </c>
      <c r="F146" s="28">
        <v>0</v>
      </c>
      <c r="G146" s="28">
        <v>0</v>
      </c>
    </row>
    <row r="147" spans="1:7" ht="11.25" customHeight="1" x14ac:dyDescent="0.2">
      <c r="A147" s="38">
        <v>44440</v>
      </c>
      <c r="B147" s="28">
        <v>0</v>
      </c>
      <c r="C147" s="28">
        <v>0</v>
      </c>
      <c r="D147" s="28">
        <v>0</v>
      </c>
      <c r="E147" s="28">
        <v>0</v>
      </c>
      <c r="F147" s="28">
        <v>0</v>
      </c>
      <c r="G147" s="28">
        <v>0</v>
      </c>
    </row>
    <row r="148" spans="1:7" ht="11.25" customHeight="1" x14ac:dyDescent="0.2">
      <c r="A148" s="38">
        <v>44470</v>
      </c>
      <c r="B148" s="28">
        <v>0</v>
      </c>
      <c r="C148" s="28">
        <v>0</v>
      </c>
      <c r="D148" s="28">
        <v>0</v>
      </c>
      <c r="E148" s="28">
        <v>0</v>
      </c>
      <c r="F148" s="28">
        <v>0</v>
      </c>
      <c r="G148" s="28">
        <v>0</v>
      </c>
    </row>
    <row r="149" spans="1:7" ht="11.25" customHeight="1" x14ac:dyDescent="0.2">
      <c r="A149" s="38">
        <v>44501</v>
      </c>
      <c r="B149" s="28">
        <v>0</v>
      </c>
      <c r="C149" s="28">
        <v>0</v>
      </c>
      <c r="D149" s="28">
        <v>0</v>
      </c>
      <c r="E149" s="28">
        <v>0</v>
      </c>
      <c r="F149" s="28">
        <v>0</v>
      </c>
      <c r="G149" s="28">
        <v>0</v>
      </c>
    </row>
    <row r="150" spans="1:7" ht="11.25" customHeight="1" x14ac:dyDescent="0.2">
      <c r="A150" s="38">
        <v>44531</v>
      </c>
      <c r="B150" s="28">
        <v>0</v>
      </c>
      <c r="C150" s="28">
        <v>0</v>
      </c>
      <c r="D150" s="28">
        <v>0</v>
      </c>
      <c r="E150" s="28">
        <v>0</v>
      </c>
      <c r="F150" s="28">
        <v>0</v>
      </c>
      <c r="G150" s="28">
        <v>0</v>
      </c>
    </row>
    <row r="151" spans="1:7" ht="11.25" customHeight="1" x14ac:dyDescent="0.2">
      <c r="A151" s="38">
        <v>44562</v>
      </c>
      <c r="B151" s="28">
        <v>0</v>
      </c>
      <c r="C151" s="28">
        <v>105703.22124</v>
      </c>
      <c r="D151" s="28">
        <v>0</v>
      </c>
      <c r="E151" s="28">
        <v>161666.58117081664</v>
      </c>
      <c r="F151" s="28">
        <v>105703.22124</v>
      </c>
      <c r="G151" s="28">
        <v>161666.58117081664</v>
      </c>
    </row>
    <row r="152" spans="1:7" ht="11.25" customHeight="1" x14ac:dyDescent="0.2">
      <c r="A152" s="38">
        <v>44593</v>
      </c>
      <c r="B152" s="28">
        <v>0</v>
      </c>
      <c r="C152" s="28">
        <v>0</v>
      </c>
      <c r="D152" s="28">
        <v>0</v>
      </c>
      <c r="E152" s="28">
        <v>0</v>
      </c>
      <c r="F152" s="28">
        <v>0</v>
      </c>
      <c r="G152" s="28">
        <v>0</v>
      </c>
    </row>
    <row r="153" spans="1:7" ht="11.25" customHeight="1" x14ac:dyDescent="0.2">
      <c r="A153" s="38">
        <v>44621</v>
      </c>
      <c r="B153" s="28">
        <v>0</v>
      </c>
      <c r="C153" s="28">
        <v>0</v>
      </c>
      <c r="D153" s="28">
        <v>0</v>
      </c>
      <c r="E153" s="28">
        <v>0</v>
      </c>
      <c r="F153" s="28">
        <v>0</v>
      </c>
      <c r="G153" s="28">
        <v>0</v>
      </c>
    </row>
    <row r="154" spans="1:7" ht="11.25" customHeight="1" x14ac:dyDescent="0.2">
      <c r="A154" s="38">
        <v>44652</v>
      </c>
      <c r="B154" s="28">
        <v>0</v>
      </c>
      <c r="C154" s="28">
        <v>0</v>
      </c>
      <c r="D154" s="28">
        <v>0</v>
      </c>
      <c r="E154" s="28">
        <v>0</v>
      </c>
      <c r="F154" s="28">
        <v>0</v>
      </c>
      <c r="G154" s="28">
        <v>0</v>
      </c>
    </row>
    <row r="155" spans="1:7" ht="11.25" customHeight="1" x14ac:dyDescent="0.2">
      <c r="A155" s="37" t="s">
        <v>25</v>
      </c>
      <c r="B155" s="28">
        <v>1123815.42</v>
      </c>
      <c r="C155" s="28">
        <v>0</v>
      </c>
      <c r="D155" s="28">
        <v>970253.018956905</v>
      </c>
      <c r="E155" s="28">
        <v>0</v>
      </c>
      <c r="F155" s="28">
        <v>1123815.42</v>
      </c>
      <c r="G155" s="28">
        <v>970253.018956905</v>
      </c>
    </row>
    <row r="156" spans="1:7" ht="11.25" customHeight="1" x14ac:dyDescent="0.2">
      <c r="A156" s="38">
        <v>44317</v>
      </c>
      <c r="B156" s="28">
        <v>71967</v>
      </c>
      <c r="C156" s="28">
        <v>0</v>
      </c>
      <c r="D156" s="28">
        <v>62133.156186156964</v>
      </c>
      <c r="E156" s="28">
        <v>0</v>
      </c>
      <c r="F156" s="28">
        <v>71967</v>
      </c>
      <c r="G156" s="28">
        <v>62133.156186156964</v>
      </c>
    </row>
    <row r="157" spans="1:7" ht="11.25" customHeight="1" x14ac:dyDescent="0.2">
      <c r="A157" s="38">
        <v>44348</v>
      </c>
      <c r="B157" s="28">
        <v>82882.8</v>
      </c>
      <c r="C157" s="28">
        <v>0</v>
      </c>
      <c r="D157" s="28">
        <v>71557.379876137813</v>
      </c>
      <c r="E157" s="28">
        <v>0</v>
      </c>
      <c r="F157" s="28">
        <v>82882.8</v>
      </c>
      <c r="G157" s="28">
        <v>71557.379876137813</v>
      </c>
    </row>
    <row r="158" spans="1:7" ht="11.25" customHeight="1" x14ac:dyDescent="0.2">
      <c r="A158" s="38">
        <v>44378</v>
      </c>
      <c r="B158" s="28">
        <v>92253</v>
      </c>
      <c r="C158" s="28">
        <v>0</v>
      </c>
      <c r="D158" s="28">
        <v>79647.200211785093</v>
      </c>
      <c r="E158" s="28">
        <v>0</v>
      </c>
      <c r="F158" s="28">
        <v>92253</v>
      </c>
      <c r="G158" s="28">
        <v>79647.200211785093</v>
      </c>
    </row>
    <row r="159" spans="1:7" ht="11.25" customHeight="1" x14ac:dyDescent="0.2">
      <c r="A159" s="38">
        <v>44409</v>
      </c>
      <c r="B159" s="28">
        <v>92253</v>
      </c>
      <c r="C159" s="28">
        <v>0</v>
      </c>
      <c r="D159" s="28">
        <v>79647.200211785093</v>
      </c>
      <c r="E159" s="28">
        <v>0</v>
      </c>
      <c r="F159" s="28">
        <v>92253</v>
      </c>
      <c r="G159" s="28">
        <v>79647.200211785093</v>
      </c>
    </row>
    <row r="160" spans="1:7" ht="11.25" customHeight="1" x14ac:dyDescent="0.2">
      <c r="A160" s="38">
        <v>44440</v>
      </c>
      <c r="B160" s="28">
        <v>94020.78</v>
      </c>
      <c r="C160" s="28">
        <v>0</v>
      </c>
      <c r="D160" s="28">
        <v>81173.424048304121</v>
      </c>
      <c r="E160" s="28">
        <v>0</v>
      </c>
      <c r="F160" s="28">
        <v>94020.78</v>
      </c>
      <c r="G160" s="28">
        <v>81173.424048304121</v>
      </c>
    </row>
    <row r="161" spans="1:7" ht="11.25" customHeight="1" x14ac:dyDescent="0.2">
      <c r="A161" s="38">
        <v>44470</v>
      </c>
      <c r="B161" s="28">
        <v>94542.42</v>
      </c>
      <c r="C161" s="28">
        <v>0</v>
      </c>
      <c r="D161" s="28">
        <v>81623.7851803917</v>
      </c>
      <c r="E161" s="28">
        <v>0</v>
      </c>
      <c r="F161" s="28">
        <v>94542.42</v>
      </c>
      <c r="G161" s="28">
        <v>81623.7851803917</v>
      </c>
    </row>
    <row r="162" spans="1:7" ht="11.25" customHeight="1" x14ac:dyDescent="0.2">
      <c r="A162" s="38">
        <v>44501</v>
      </c>
      <c r="B162" s="28">
        <v>99855.42</v>
      </c>
      <c r="C162" s="28">
        <v>0</v>
      </c>
      <c r="D162" s="28">
        <v>86210.796710913361</v>
      </c>
      <c r="E162" s="28">
        <v>0</v>
      </c>
      <c r="F162" s="28">
        <v>99855.42</v>
      </c>
      <c r="G162" s="28">
        <v>86210.796710913361</v>
      </c>
    </row>
    <row r="163" spans="1:7" ht="11.25" customHeight="1" x14ac:dyDescent="0.2">
      <c r="A163" s="38">
        <v>44531</v>
      </c>
      <c r="B163" s="28">
        <v>100174.2</v>
      </c>
      <c r="C163" s="28">
        <v>0</v>
      </c>
      <c r="D163" s="28">
        <v>86486.017402744663</v>
      </c>
      <c r="E163" s="28">
        <v>0</v>
      </c>
      <c r="F163" s="28">
        <v>100174.2</v>
      </c>
      <c r="G163" s="28">
        <v>86486.017402744663</v>
      </c>
    </row>
    <row r="164" spans="1:7" ht="11.25" customHeight="1" x14ac:dyDescent="0.2">
      <c r="A164" s="38">
        <v>44562</v>
      </c>
      <c r="B164" s="28">
        <v>98744.52</v>
      </c>
      <c r="C164" s="28">
        <v>0</v>
      </c>
      <c r="D164" s="28">
        <v>85251.694299986106</v>
      </c>
      <c r="E164" s="28">
        <v>0</v>
      </c>
      <c r="F164" s="28">
        <v>98744.52</v>
      </c>
      <c r="G164" s="28">
        <v>85251.694299986106</v>
      </c>
    </row>
    <row r="165" spans="1:7" ht="11.25" customHeight="1" x14ac:dyDescent="0.2">
      <c r="A165" s="38">
        <v>44593</v>
      </c>
      <c r="B165" s="28">
        <v>97875.12</v>
      </c>
      <c r="C165" s="28">
        <v>0</v>
      </c>
      <c r="D165" s="28">
        <v>84501.092413173465</v>
      </c>
      <c r="E165" s="28">
        <v>0</v>
      </c>
      <c r="F165" s="28">
        <v>97875.12</v>
      </c>
      <c r="G165" s="28">
        <v>84501.092413173465</v>
      </c>
    </row>
    <row r="166" spans="1:7" ht="11.25" customHeight="1" x14ac:dyDescent="0.2">
      <c r="A166" s="38">
        <v>44621</v>
      </c>
      <c r="B166" s="28">
        <v>99623.58</v>
      </c>
      <c r="C166" s="28">
        <v>0</v>
      </c>
      <c r="D166" s="28">
        <v>86010.636207763324</v>
      </c>
      <c r="E166" s="28">
        <v>0</v>
      </c>
      <c r="F166" s="28">
        <v>99623.58</v>
      </c>
      <c r="G166" s="28">
        <v>86010.636207763324</v>
      </c>
    </row>
    <row r="167" spans="1:7" ht="11.25" customHeight="1" x14ac:dyDescent="0.2">
      <c r="A167" s="38">
        <v>44652</v>
      </c>
      <c r="B167" s="28">
        <v>99623.58</v>
      </c>
      <c r="C167" s="28">
        <v>0</v>
      </c>
      <c r="D167" s="28">
        <v>86010.636207763324</v>
      </c>
      <c r="E167" s="28">
        <v>0</v>
      </c>
      <c r="F167" s="28">
        <v>99623.58</v>
      </c>
      <c r="G167" s="28">
        <v>86010.636207763324</v>
      </c>
    </row>
    <row r="168" spans="1:7" ht="11.25" customHeight="1" x14ac:dyDescent="0.2">
      <c r="A168" s="37" t="s">
        <v>35</v>
      </c>
      <c r="B168" s="28">
        <v>0</v>
      </c>
      <c r="C168" s="28">
        <v>1375856.6724</v>
      </c>
      <c r="D168" s="28">
        <v>0</v>
      </c>
      <c r="E168" s="28">
        <v>1416883.5854832637</v>
      </c>
      <c r="F168" s="28">
        <v>1375856.6724</v>
      </c>
      <c r="G168" s="28">
        <v>1416883.5854832637</v>
      </c>
    </row>
    <row r="169" spans="1:7" ht="11.25" customHeight="1" x14ac:dyDescent="0.2">
      <c r="A169" s="38">
        <v>44317</v>
      </c>
      <c r="B169" s="28">
        <v>0</v>
      </c>
      <c r="C169" s="28">
        <v>78354.641925000004</v>
      </c>
      <c r="D169" s="28">
        <v>0</v>
      </c>
      <c r="E169" s="28">
        <v>80691.112829574457</v>
      </c>
      <c r="F169" s="28">
        <v>78354.641925000004</v>
      </c>
      <c r="G169" s="28">
        <v>80691.112829574457</v>
      </c>
    </row>
    <row r="170" spans="1:7" ht="11.25" customHeight="1" x14ac:dyDescent="0.2">
      <c r="A170" s="38">
        <v>44348</v>
      </c>
      <c r="B170" s="28">
        <v>0</v>
      </c>
      <c r="C170" s="28">
        <v>95641.312724999996</v>
      </c>
      <c r="D170" s="28">
        <v>0</v>
      </c>
      <c r="E170" s="28">
        <v>98493.257918893738</v>
      </c>
      <c r="F170" s="28">
        <v>95641.312724999996</v>
      </c>
      <c r="G170" s="28">
        <v>98493.257918893738</v>
      </c>
    </row>
    <row r="171" spans="1:7" ht="11.25" customHeight="1" x14ac:dyDescent="0.2">
      <c r="A171" s="38">
        <v>44378</v>
      </c>
      <c r="B171" s="28">
        <v>0</v>
      </c>
      <c r="C171" s="28">
        <v>116011.84139999999</v>
      </c>
      <c r="D171" s="28">
        <v>0</v>
      </c>
      <c r="E171" s="28">
        <v>119471.21898578054</v>
      </c>
      <c r="F171" s="28">
        <v>116011.84139999999</v>
      </c>
      <c r="G171" s="28">
        <v>119471.21898578054</v>
      </c>
    </row>
    <row r="172" spans="1:7" ht="11.25" customHeight="1" x14ac:dyDescent="0.2">
      <c r="A172" s="38">
        <v>44409</v>
      </c>
      <c r="B172" s="28">
        <v>0</v>
      </c>
      <c r="C172" s="28">
        <v>122839.943625</v>
      </c>
      <c r="D172" s="28">
        <v>0</v>
      </c>
      <c r="E172" s="28">
        <v>126502.92959683435</v>
      </c>
      <c r="F172" s="28">
        <v>122839.943625</v>
      </c>
      <c r="G172" s="28">
        <v>126502.92959683435</v>
      </c>
    </row>
    <row r="173" spans="1:7" ht="11.25" customHeight="1" x14ac:dyDescent="0.2">
      <c r="A173" s="38">
        <v>44440</v>
      </c>
      <c r="B173" s="28">
        <v>0</v>
      </c>
      <c r="C173" s="28">
        <v>119250.7218</v>
      </c>
      <c r="D173" s="28">
        <v>0</v>
      </c>
      <c r="E173" s="28">
        <v>122806.6801323972</v>
      </c>
      <c r="F173" s="28">
        <v>119250.7218</v>
      </c>
      <c r="G173" s="28">
        <v>122806.6801323972</v>
      </c>
    </row>
    <row r="174" spans="1:7" ht="11.25" customHeight="1" x14ac:dyDescent="0.2">
      <c r="A174" s="38">
        <v>44470</v>
      </c>
      <c r="B174" s="28">
        <v>0</v>
      </c>
      <c r="C174" s="28">
        <v>116484.02009999999</v>
      </c>
      <c r="D174" s="28">
        <v>0</v>
      </c>
      <c r="E174" s="28">
        <v>119957.47766582009</v>
      </c>
      <c r="F174" s="28">
        <v>116484.02009999999</v>
      </c>
      <c r="G174" s="28">
        <v>119957.47766582009</v>
      </c>
    </row>
    <row r="175" spans="1:7" ht="11.25" customHeight="1" x14ac:dyDescent="0.2">
      <c r="A175" s="38">
        <v>44501</v>
      </c>
      <c r="B175" s="28">
        <v>0</v>
      </c>
      <c r="C175" s="28">
        <v>126798.94395</v>
      </c>
      <c r="D175" s="28">
        <v>0</v>
      </c>
      <c r="E175" s="28">
        <v>130579.98405166392</v>
      </c>
      <c r="F175" s="28">
        <v>126798.94395</v>
      </c>
      <c r="G175" s="28">
        <v>130579.98405166392</v>
      </c>
    </row>
    <row r="176" spans="1:7" ht="11.25" customHeight="1" x14ac:dyDescent="0.2">
      <c r="A176" s="38">
        <v>44531</v>
      </c>
      <c r="B176" s="28">
        <v>0</v>
      </c>
      <c r="C176" s="28">
        <v>119622.870675</v>
      </c>
      <c r="D176" s="28">
        <v>0</v>
      </c>
      <c r="E176" s="28">
        <v>123189.92618042033</v>
      </c>
      <c r="F176" s="28">
        <v>119622.870675</v>
      </c>
      <c r="G176" s="28">
        <v>123189.92618042033</v>
      </c>
    </row>
    <row r="177" spans="1:7" ht="11.25" customHeight="1" x14ac:dyDescent="0.2">
      <c r="A177" s="38">
        <v>44562</v>
      </c>
      <c r="B177" s="28">
        <v>0</v>
      </c>
      <c r="C177" s="28">
        <v>121545.2448</v>
      </c>
      <c r="D177" s="28">
        <v>0</v>
      </c>
      <c r="E177" s="28">
        <v>125169.62391893475</v>
      </c>
      <c r="F177" s="28">
        <v>121545.2448</v>
      </c>
      <c r="G177" s="28">
        <v>125169.62391893475</v>
      </c>
    </row>
    <row r="178" spans="1:7" ht="11.25" customHeight="1" x14ac:dyDescent="0.2">
      <c r="A178" s="38">
        <v>44593</v>
      </c>
      <c r="B178" s="28">
        <v>0</v>
      </c>
      <c r="C178" s="28">
        <v>115011.54315</v>
      </c>
      <c r="D178" s="28">
        <v>0</v>
      </c>
      <c r="E178" s="28">
        <v>118441.09266561645</v>
      </c>
      <c r="F178" s="28">
        <v>115011.54315</v>
      </c>
      <c r="G178" s="28">
        <v>118441.09266561645</v>
      </c>
    </row>
    <row r="179" spans="1:7" ht="11.25" customHeight="1" x14ac:dyDescent="0.2">
      <c r="A179" s="38">
        <v>44621</v>
      </c>
      <c r="B179" s="28">
        <v>0</v>
      </c>
      <c r="C179" s="28">
        <v>122147.79412499999</v>
      </c>
      <c r="D179" s="28">
        <v>0</v>
      </c>
      <c r="E179" s="28">
        <v>125790.14076866391</v>
      </c>
      <c r="F179" s="28">
        <v>122147.79412499999</v>
      </c>
      <c r="G179" s="28">
        <v>125790.14076866391</v>
      </c>
    </row>
    <row r="180" spans="1:7" ht="11.25" customHeight="1" x14ac:dyDescent="0.2">
      <c r="A180" s="38">
        <v>44652</v>
      </c>
      <c r="B180" s="28">
        <v>0</v>
      </c>
      <c r="C180" s="28">
        <v>122147.79412499999</v>
      </c>
      <c r="D180" s="28">
        <v>0</v>
      </c>
      <c r="E180" s="28">
        <v>125790.14076866391</v>
      </c>
      <c r="F180" s="28">
        <v>122147.79412499999</v>
      </c>
      <c r="G180" s="28">
        <v>125790.14076866391</v>
      </c>
    </row>
    <row r="181" spans="1:7" ht="11.25" customHeight="1" x14ac:dyDescent="0.2">
      <c r="A181" s="30" t="s">
        <v>809</v>
      </c>
      <c r="B181" s="28">
        <v>0</v>
      </c>
      <c r="C181" s="28">
        <v>115438.45648999994</v>
      </c>
      <c r="D181" s="28">
        <v>0</v>
      </c>
      <c r="E181" s="28">
        <v>109691.35170874902</v>
      </c>
      <c r="F181" s="28">
        <v>115438.45648999994</v>
      </c>
      <c r="G181" s="28">
        <v>109691.35170874902</v>
      </c>
    </row>
    <row r="182" spans="1:7" ht="11.25" customHeight="1" x14ac:dyDescent="0.2">
      <c r="A182" s="31" t="s">
        <v>33</v>
      </c>
      <c r="B182" s="28">
        <v>0</v>
      </c>
      <c r="C182" s="28">
        <v>29233.454249999999</v>
      </c>
      <c r="D182" s="28">
        <v>0</v>
      </c>
      <c r="E182" s="28">
        <v>27641.607702569247</v>
      </c>
      <c r="F182" s="28">
        <v>29233.454249999999</v>
      </c>
      <c r="G182" s="28">
        <v>27641.607702569247</v>
      </c>
    </row>
    <row r="183" spans="1:7" ht="11.25" customHeight="1" x14ac:dyDescent="0.2">
      <c r="A183" s="32" t="s">
        <v>34</v>
      </c>
      <c r="B183" s="28">
        <v>0</v>
      </c>
      <c r="C183" s="28">
        <v>29233.454249999999</v>
      </c>
      <c r="D183" s="28">
        <v>0</v>
      </c>
      <c r="E183" s="28">
        <v>27641.607702569247</v>
      </c>
      <c r="F183" s="28">
        <v>29233.454249999999</v>
      </c>
      <c r="G183" s="28">
        <v>27641.607702569247</v>
      </c>
    </row>
    <row r="184" spans="1:7" ht="11.25" customHeight="1" x14ac:dyDescent="0.2">
      <c r="A184" s="33" t="s">
        <v>44</v>
      </c>
      <c r="B184" s="28">
        <v>0</v>
      </c>
      <c r="C184" s="28">
        <v>29233.454249999999</v>
      </c>
      <c r="D184" s="28">
        <v>0</v>
      </c>
      <c r="E184" s="28">
        <v>27641.607702569247</v>
      </c>
      <c r="F184" s="28">
        <v>29233.454249999999</v>
      </c>
      <c r="G184" s="28">
        <v>27641.607702569247</v>
      </c>
    </row>
    <row r="185" spans="1:7" ht="11.25" customHeight="1" x14ac:dyDescent="0.2">
      <c r="A185" s="34" t="s">
        <v>53</v>
      </c>
      <c r="B185" s="28">
        <v>0</v>
      </c>
      <c r="C185" s="28">
        <v>29233.454249999999</v>
      </c>
      <c r="D185" s="28">
        <v>0</v>
      </c>
      <c r="E185" s="28">
        <v>27641.607702569247</v>
      </c>
      <c r="F185" s="28">
        <v>29233.454249999999</v>
      </c>
      <c r="G185" s="28">
        <v>27641.607702569247</v>
      </c>
    </row>
    <row r="186" spans="1:7" ht="11.25" customHeight="1" x14ac:dyDescent="0.2">
      <c r="A186" s="35" t="s">
        <v>55</v>
      </c>
      <c r="B186" s="28">
        <v>0</v>
      </c>
      <c r="C186" s="28">
        <v>29233.454249999999</v>
      </c>
      <c r="D186" s="28">
        <v>0</v>
      </c>
      <c r="E186" s="28">
        <v>27641.607702569247</v>
      </c>
      <c r="F186" s="28">
        <v>29233.454249999999</v>
      </c>
      <c r="G186" s="28">
        <v>27641.607702569247</v>
      </c>
    </row>
    <row r="187" spans="1:7" ht="11.25" customHeight="1" x14ac:dyDescent="0.2">
      <c r="A187" s="36" t="s">
        <v>25</v>
      </c>
      <c r="B187" s="28">
        <v>0</v>
      </c>
      <c r="C187" s="28">
        <v>29233.454249999999</v>
      </c>
      <c r="D187" s="28">
        <v>0</v>
      </c>
      <c r="E187" s="28">
        <v>27641.607702569247</v>
      </c>
      <c r="F187" s="28">
        <v>29233.454249999999</v>
      </c>
      <c r="G187" s="28">
        <v>27641.607702569247</v>
      </c>
    </row>
    <row r="188" spans="1:7" ht="11.25" customHeight="1" x14ac:dyDescent="0.2">
      <c r="A188" s="37" t="s">
        <v>36</v>
      </c>
      <c r="B188" s="28">
        <v>0</v>
      </c>
      <c r="C188" s="28">
        <v>29233.454249999999</v>
      </c>
      <c r="D188" s="28">
        <v>0</v>
      </c>
      <c r="E188" s="28">
        <v>27641.607702569247</v>
      </c>
      <c r="F188" s="28">
        <v>29233.454249999999</v>
      </c>
      <c r="G188" s="28">
        <v>27641.607702569247</v>
      </c>
    </row>
    <row r="189" spans="1:7" ht="11.25" customHeight="1" x14ac:dyDescent="0.2">
      <c r="A189" s="38">
        <v>44317</v>
      </c>
      <c r="B189" s="28">
        <v>0</v>
      </c>
      <c r="C189" s="28">
        <v>8143.4653300000018</v>
      </c>
      <c r="D189" s="28">
        <v>0</v>
      </c>
      <c r="E189" s="28">
        <v>7700.029974779105</v>
      </c>
      <c r="F189" s="28">
        <v>8143.4653300000018</v>
      </c>
      <c r="G189" s="28">
        <v>7700.029974779105</v>
      </c>
    </row>
    <row r="190" spans="1:7" ht="11.25" customHeight="1" x14ac:dyDescent="0.2">
      <c r="A190" s="38">
        <v>44348</v>
      </c>
      <c r="B190" s="28">
        <v>0</v>
      </c>
      <c r="C190" s="28">
        <v>1563.2617</v>
      </c>
      <c r="D190" s="28">
        <v>0</v>
      </c>
      <c r="E190" s="28">
        <v>1478.1375570029154</v>
      </c>
      <c r="F190" s="28">
        <v>1563.2617</v>
      </c>
      <c r="G190" s="28">
        <v>1478.1375570029154</v>
      </c>
    </row>
    <row r="191" spans="1:7" ht="11.25" customHeight="1" x14ac:dyDescent="0.2">
      <c r="A191" s="38">
        <v>44378</v>
      </c>
      <c r="B191" s="28">
        <v>0</v>
      </c>
      <c r="C191" s="28">
        <v>3737.32359</v>
      </c>
      <c r="D191" s="28">
        <v>0</v>
      </c>
      <c r="E191" s="28">
        <v>3533.8154584430522</v>
      </c>
      <c r="F191" s="28">
        <v>3737.32359</v>
      </c>
      <c r="G191" s="28">
        <v>3533.8154584430522</v>
      </c>
    </row>
    <row r="192" spans="1:7" ht="11.25" customHeight="1" x14ac:dyDescent="0.2">
      <c r="A192" s="38">
        <v>44409</v>
      </c>
      <c r="B192" s="28">
        <v>0</v>
      </c>
      <c r="C192" s="28">
        <v>4603.2186199999996</v>
      </c>
      <c r="D192" s="28">
        <v>0</v>
      </c>
      <c r="E192" s="28">
        <v>4352.5599874398067</v>
      </c>
      <c r="F192" s="28">
        <v>4603.2186199999996</v>
      </c>
      <c r="G192" s="28">
        <v>4352.5599874398067</v>
      </c>
    </row>
    <row r="193" spans="1:7" ht="11.25" customHeight="1" x14ac:dyDescent="0.2">
      <c r="A193" s="38">
        <v>44440</v>
      </c>
      <c r="B193" s="28">
        <v>0</v>
      </c>
      <c r="C193" s="28">
        <v>9732.7430199999999</v>
      </c>
      <c r="D193" s="28">
        <v>0</v>
      </c>
      <c r="E193" s="28">
        <v>9202.7668755141749</v>
      </c>
      <c r="F193" s="28">
        <v>9732.7430199999999</v>
      </c>
      <c r="G193" s="28">
        <v>9202.7668755141749</v>
      </c>
    </row>
    <row r="194" spans="1:7" ht="11.25" customHeight="1" x14ac:dyDescent="0.2">
      <c r="A194" s="38">
        <v>44470</v>
      </c>
      <c r="B194" s="28">
        <v>0</v>
      </c>
      <c r="C194" s="28">
        <v>552.55200000000002</v>
      </c>
      <c r="D194" s="28">
        <v>0</v>
      </c>
      <c r="E194" s="28">
        <v>522.46393767407903</v>
      </c>
      <c r="F194" s="28">
        <v>552.55200000000002</v>
      </c>
      <c r="G194" s="28">
        <v>522.46393767407903</v>
      </c>
    </row>
    <row r="195" spans="1:7" ht="11.25" customHeight="1" x14ac:dyDescent="0.2">
      <c r="A195" s="38">
        <v>44501</v>
      </c>
      <c r="B195" s="28">
        <v>0</v>
      </c>
      <c r="C195" s="28">
        <v>7.3673600000000015</v>
      </c>
      <c r="D195" s="28">
        <v>0</v>
      </c>
      <c r="E195" s="28">
        <v>6.9661858356543886</v>
      </c>
      <c r="F195" s="28">
        <v>7.3673600000000015</v>
      </c>
      <c r="G195" s="28">
        <v>6.9661858356543886</v>
      </c>
    </row>
    <row r="196" spans="1:7" ht="11.25" customHeight="1" x14ac:dyDescent="0.2">
      <c r="A196" s="38">
        <v>44531</v>
      </c>
      <c r="B196" s="28">
        <v>0</v>
      </c>
      <c r="C196" s="28">
        <v>15.195180000000004</v>
      </c>
      <c r="D196" s="28">
        <v>0</v>
      </c>
      <c r="E196" s="28">
        <v>14.367758286037176</v>
      </c>
      <c r="F196" s="28">
        <v>15.195180000000004</v>
      </c>
      <c r="G196" s="28">
        <v>14.367758286037176</v>
      </c>
    </row>
    <row r="197" spans="1:7" ht="11.25" customHeight="1" x14ac:dyDescent="0.2">
      <c r="A197" s="38">
        <v>44562</v>
      </c>
      <c r="B197" s="28">
        <v>0</v>
      </c>
      <c r="C197" s="28">
        <v>23.483459999999997</v>
      </c>
      <c r="D197" s="28">
        <v>0</v>
      </c>
      <c r="E197" s="28">
        <v>22.204717351148361</v>
      </c>
      <c r="F197" s="28">
        <v>23.483459999999997</v>
      </c>
      <c r="G197" s="28">
        <v>22.204717351148361</v>
      </c>
    </row>
    <row r="198" spans="1:7" ht="11.25" customHeight="1" x14ac:dyDescent="0.2">
      <c r="A198" s="38">
        <v>44593</v>
      </c>
      <c r="B198" s="28">
        <v>0</v>
      </c>
      <c r="C198" s="28">
        <v>59.169110000000003</v>
      </c>
      <c r="D198" s="28">
        <v>0</v>
      </c>
      <c r="E198" s="28">
        <v>55.947179992599303</v>
      </c>
      <c r="F198" s="28">
        <v>59.169110000000003</v>
      </c>
      <c r="G198" s="28">
        <v>55.947179992599303</v>
      </c>
    </row>
    <row r="199" spans="1:7" ht="11.25" customHeight="1" x14ac:dyDescent="0.2">
      <c r="A199" s="38">
        <v>44621</v>
      </c>
      <c r="B199" s="28">
        <v>0</v>
      </c>
      <c r="C199" s="28">
        <v>782.55176999999992</v>
      </c>
      <c r="D199" s="28">
        <v>0</v>
      </c>
      <c r="E199" s="28">
        <v>739.93955173091445</v>
      </c>
      <c r="F199" s="28">
        <v>782.55176999999992</v>
      </c>
      <c r="G199" s="28">
        <v>739.93955173091445</v>
      </c>
    </row>
    <row r="200" spans="1:7" ht="11.25" customHeight="1" x14ac:dyDescent="0.2">
      <c r="A200" s="38">
        <v>44652</v>
      </c>
      <c r="B200" s="28">
        <v>0</v>
      </c>
      <c r="C200" s="28">
        <v>13.123110000000002</v>
      </c>
      <c r="D200" s="28">
        <v>0</v>
      </c>
      <c r="E200" s="28">
        <v>12.408518519759379</v>
      </c>
      <c r="F200" s="28">
        <v>13.123110000000002</v>
      </c>
      <c r="G200" s="28">
        <v>12.408518519759379</v>
      </c>
    </row>
    <row r="201" spans="1:7" ht="11.25" customHeight="1" x14ac:dyDescent="0.2">
      <c r="A201" s="31" t="s">
        <v>43</v>
      </c>
      <c r="B201" s="28">
        <v>0</v>
      </c>
      <c r="C201" s="28">
        <v>86205.002239999973</v>
      </c>
      <c r="D201" s="28">
        <v>0</v>
      </c>
      <c r="E201" s="28">
        <v>82049.744006179768</v>
      </c>
      <c r="F201" s="28">
        <v>86205.002239999973</v>
      </c>
      <c r="G201" s="28">
        <v>82049.744006179768</v>
      </c>
    </row>
    <row r="202" spans="1:7" ht="11.25" customHeight="1" x14ac:dyDescent="0.2">
      <c r="A202" s="32" t="s">
        <v>23</v>
      </c>
      <c r="B202" s="28">
        <v>0</v>
      </c>
      <c r="C202" s="28">
        <v>86205.002239999973</v>
      </c>
      <c r="D202" s="28">
        <v>0</v>
      </c>
      <c r="E202" s="28">
        <v>82049.744006179768</v>
      </c>
      <c r="F202" s="28">
        <v>86205.002239999973</v>
      </c>
      <c r="G202" s="28">
        <v>82049.744006179768</v>
      </c>
    </row>
    <row r="203" spans="1:7" ht="11.25" customHeight="1" x14ac:dyDescent="0.2">
      <c r="A203" s="33" t="s">
        <v>44</v>
      </c>
      <c r="B203" s="28">
        <v>0</v>
      </c>
      <c r="C203" s="28">
        <v>86205.002239999973</v>
      </c>
      <c r="D203" s="28">
        <v>0</v>
      </c>
      <c r="E203" s="28">
        <v>82049.744006179768</v>
      </c>
      <c r="F203" s="28">
        <v>86205.002239999973</v>
      </c>
      <c r="G203" s="28">
        <v>82049.744006179768</v>
      </c>
    </row>
    <row r="204" spans="1:7" ht="11.25" customHeight="1" x14ac:dyDescent="0.2">
      <c r="A204" s="34" t="s">
        <v>53</v>
      </c>
      <c r="B204" s="28">
        <v>0</v>
      </c>
      <c r="C204" s="28">
        <v>76797.207720000006</v>
      </c>
      <c r="D204" s="28">
        <v>0</v>
      </c>
      <c r="E204" s="28">
        <v>73095.424512286554</v>
      </c>
      <c r="F204" s="28">
        <v>76797.207720000006</v>
      </c>
      <c r="G204" s="28">
        <v>73095.424512286554</v>
      </c>
    </row>
    <row r="205" spans="1:7" ht="11.25" customHeight="1" x14ac:dyDescent="0.2">
      <c r="A205" s="35" t="s">
        <v>55</v>
      </c>
      <c r="B205" s="28">
        <v>0</v>
      </c>
      <c r="C205" s="28">
        <v>76797.207720000006</v>
      </c>
      <c r="D205" s="28">
        <v>0</v>
      </c>
      <c r="E205" s="28">
        <v>73095.424512286554</v>
      </c>
      <c r="F205" s="28">
        <v>76797.207720000006</v>
      </c>
      <c r="G205" s="28">
        <v>73095.424512286554</v>
      </c>
    </row>
    <row r="206" spans="1:7" ht="11.25" customHeight="1" x14ac:dyDescent="0.2">
      <c r="A206" s="36" t="s">
        <v>25</v>
      </c>
      <c r="B206" s="28">
        <v>0</v>
      </c>
      <c r="C206" s="28">
        <v>76797.207720000006</v>
      </c>
      <c r="D206" s="28">
        <v>0</v>
      </c>
      <c r="E206" s="28">
        <v>73095.424512286554</v>
      </c>
      <c r="F206" s="28">
        <v>76797.207720000006</v>
      </c>
      <c r="G206" s="28">
        <v>73095.424512286554</v>
      </c>
    </row>
    <row r="207" spans="1:7" ht="11.25" customHeight="1" x14ac:dyDescent="0.2">
      <c r="A207" s="37" t="s">
        <v>25</v>
      </c>
      <c r="B207" s="28">
        <v>0</v>
      </c>
      <c r="C207" s="28">
        <v>76797.207720000006</v>
      </c>
      <c r="D207" s="28">
        <v>0</v>
      </c>
      <c r="E207" s="28">
        <v>73095.424512286554</v>
      </c>
      <c r="F207" s="28">
        <v>76797.207720000006</v>
      </c>
      <c r="G207" s="28">
        <v>73095.424512286554</v>
      </c>
    </row>
    <row r="208" spans="1:7" ht="11.25" customHeight="1" x14ac:dyDescent="0.2">
      <c r="A208" s="38">
        <v>44317</v>
      </c>
      <c r="B208" s="28">
        <v>0</v>
      </c>
      <c r="C208" s="28">
        <v>9970.4458399999985</v>
      </c>
      <c r="D208" s="28">
        <v>0</v>
      </c>
      <c r="E208" s="28">
        <v>9489.8498641867227</v>
      </c>
      <c r="F208" s="28">
        <v>9970.4458399999985</v>
      </c>
      <c r="G208" s="28">
        <v>9489.8498641867227</v>
      </c>
    </row>
    <row r="209" spans="1:7" ht="11.25" customHeight="1" x14ac:dyDescent="0.2">
      <c r="A209" s="38">
        <v>44348</v>
      </c>
      <c r="B209" s="28">
        <v>0</v>
      </c>
      <c r="C209" s="28">
        <v>9435.6313200000004</v>
      </c>
      <c r="D209" s="28">
        <v>0</v>
      </c>
      <c r="E209" s="28">
        <v>8980.8145029368097</v>
      </c>
      <c r="F209" s="28">
        <v>9435.6313200000004</v>
      </c>
      <c r="G209" s="28">
        <v>8980.8145029368097</v>
      </c>
    </row>
    <row r="210" spans="1:7" ht="11.25" customHeight="1" x14ac:dyDescent="0.2">
      <c r="A210" s="38">
        <v>44378</v>
      </c>
      <c r="B210" s="28">
        <v>0</v>
      </c>
      <c r="C210" s="28">
        <v>8198.6335200000012</v>
      </c>
      <c r="D210" s="28">
        <v>0</v>
      </c>
      <c r="E210" s="28">
        <v>7803.442538562419</v>
      </c>
      <c r="F210" s="28">
        <v>8198.6335200000012</v>
      </c>
      <c r="G210" s="28">
        <v>7803.442538562419</v>
      </c>
    </row>
    <row r="211" spans="1:7" ht="11.25" customHeight="1" x14ac:dyDescent="0.2">
      <c r="A211" s="38">
        <v>44409</v>
      </c>
      <c r="B211" s="28">
        <v>0</v>
      </c>
      <c r="C211" s="28">
        <v>11179.60684</v>
      </c>
      <c r="D211" s="28">
        <v>0</v>
      </c>
      <c r="E211" s="28">
        <v>10640.726819517526</v>
      </c>
      <c r="F211" s="28">
        <v>11179.60684</v>
      </c>
      <c r="G211" s="28">
        <v>10640.726819517526</v>
      </c>
    </row>
    <row r="212" spans="1:7" ht="11.25" customHeight="1" x14ac:dyDescent="0.2">
      <c r="A212" s="38">
        <v>44440</v>
      </c>
      <c r="B212" s="28">
        <v>0</v>
      </c>
      <c r="C212" s="28">
        <v>13449.001960000001</v>
      </c>
      <c r="D212" s="28">
        <v>0</v>
      </c>
      <c r="E212" s="28">
        <v>12800.732431795946</v>
      </c>
      <c r="F212" s="28">
        <v>13449.001960000001</v>
      </c>
      <c r="G212" s="28">
        <v>12800.732431795946</v>
      </c>
    </row>
    <row r="213" spans="1:7" ht="11.25" customHeight="1" x14ac:dyDescent="0.2">
      <c r="A213" s="38">
        <v>44470</v>
      </c>
      <c r="B213" s="28">
        <v>0</v>
      </c>
      <c r="C213" s="28">
        <v>10930.119519999998</v>
      </c>
      <c r="D213" s="28">
        <v>0</v>
      </c>
      <c r="E213" s="28">
        <v>10403.26530096438</v>
      </c>
      <c r="F213" s="28">
        <v>10930.119519999998</v>
      </c>
      <c r="G213" s="28">
        <v>10403.26530096438</v>
      </c>
    </row>
    <row r="214" spans="1:7" ht="11.25" customHeight="1" x14ac:dyDescent="0.2">
      <c r="A214" s="38">
        <v>44501</v>
      </c>
      <c r="B214" s="28">
        <v>0</v>
      </c>
      <c r="C214" s="28">
        <v>1724.8377199999998</v>
      </c>
      <c r="D214" s="28">
        <v>0</v>
      </c>
      <c r="E214" s="28">
        <v>1641.6969978632503</v>
      </c>
      <c r="F214" s="28">
        <v>1724.8377199999998</v>
      </c>
      <c r="G214" s="28">
        <v>1641.6969978632503</v>
      </c>
    </row>
    <row r="215" spans="1:7" ht="11.25" customHeight="1" x14ac:dyDescent="0.2">
      <c r="A215" s="38">
        <v>44531</v>
      </c>
      <c r="B215" s="28">
        <v>0</v>
      </c>
      <c r="C215" s="28">
        <v>1659.4212399999999</v>
      </c>
      <c r="D215" s="28">
        <v>0</v>
      </c>
      <c r="E215" s="28">
        <v>1579.4337266108214</v>
      </c>
      <c r="F215" s="28">
        <v>1659.4212399999999</v>
      </c>
      <c r="G215" s="28">
        <v>1579.4337266108214</v>
      </c>
    </row>
    <row r="216" spans="1:7" ht="11.25" customHeight="1" x14ac:dyDescent="0.2">
      <c r="A216" s="38">
        <v>44562</v>
      </c>
      <c r="B216" s="28">
        <v>0</v>
      </c>
      <c r="C216" s="28">
        <v>1805.2164799999998</v>
      </c>
      <c r="D216" s="28">
        <v>0</v>
      </c>
      <c r="E216" s="28">
        <v>1718.2013364766074</v>
      </c>
      <c r="F216" s="28">
        <v>1805.2164799999998</v>
      </c>
      <c r="G216" s="28">
        <v>1718.2013364766074</v>
      </c>
    </row>
    <row r="217" spans="1:7" ht="11.25" customHeight="1" x14ac:dyDescent="0.2">
      <c r="A217" s="38">
        <v>44593</v>
      </c>
      <c r="B217" s="28">
        <v>0</v>
      </c>
      <c r="C217" s="28">
        <v>1961.7984799999999</v>
      </c>
      <c r="D217" s="28">
        <v>0</v>
      </c>
      <c r="E217" s="28">
        <v>1867.2357623467838</v>
      </c>
      <c r="F217" s="28">
        <v>1961.7984799999999</v>
      </c>
      <c r="G217" s="28">
        <v>1867.2357623467838</v>
      </c>
    </row>
    <row r="218" spans="1:7" ht="11.25" customHeight="1" x14ac:dyDescent="0.2">
      <c r="A218" s="38">
        <v>44621</v>
      </c>
      <c r="B218" s="28">
        <v>0</v>
      </c>
      <c r="C218" s="28">
        <v>3249.5984399999998</v>
      </c>
      <c r="D218" s="28">
        <v>0</v>
      </c>
      <c r="E218" s="28">
        <v>3092.9611182257208</v>
      </c>
      <c r="F218" s="28">
        <v>3249.5984399999998</v>
      </c>
      <c r="G218" s="28">
        <v>3092.9611182257208</v>
      </c>
    </row>
    <row r="219" spans="1:7" ht="11.25" customHeight="1" x14ac:dyDescent="0.2">
      <c r="A219" s="38">
        <v>44652</v>
      </c>
      <c r="B219" s="28">
        <v>0</v>
      </c>
      <c r="C219" s="28">
        <v>3232.8963599999997</v>
      </c>
      <c r="D219" s="28">
        <v>0</v>
      </c>
      <c r="E219" s="28">
        <v>3077.0641127995682</v>
      </c>
      <c r="F219" s="28">
        <v>3232.8963599999997</v>
      </c>
      <c r="G219" s="28">
        <v>3077.0641127995682</v>
      </c>
    </row>
    <row r="220" spans="1:7" ht="11.25" customHeight="1" x14ac:dyDescent="0.2">
      <c r="A220" s="34" t="s">
        <v>56</v>
      </c>
      <c r="B220" s="28">
        <v>0</v>
      </c>
      <c r="C220" s="28">
        <v>9407.7945199999995</v>
      </c>
      <c r="D220" s="28">
        <v>0</v>
      </c>
      <c r="E220" s="28">
        <v>8954.3194938932229</v>
      </c>
      <c r="F220" s="28">
        <v>9407.7945199999995</v>
      </c>
      <c r="G220" s="28">
        <v>8954.3194938932229</v>
      </c>
    </row>
    <row r="221" spans="1:7" ht="11.25" customHeight="1" x14ac:dyDescent="0.2">
      <c r="A221" s="35" t="s">
        <v>55</v>
      </c>
      <c r="B221" s="28">
        <v>0</v>
      </c>
      <c r="C221" s="28">
        <v>9407.7945199999995</v>
      </c>
      <c r="D221" s="28">
        <v>0</v>
      </c>
      <c r="E221" s="28">
        <v>8954.3194938932229</v>
      </c>
      <c r="F221" s="28">
        <v>9407.7945199999995</v>
      </c>
      <c r="G221" s="28">
        <v>8954.3194938932229</v>
      </c>
    </row>
    <row r="222" spans="1:7" ht="11.25" customHeight="1" x14ac:dyDescent="0.2">
      <c r="A222" s="36" t="s">
        <v>25</v>
      </c>
      <c r="B222" s="28">
        <v>0</v>
      </c>
      <c r="C222" s="28">
        <v>9407.7945199999995</v>
      </c>
      <c r="D222" s="28">
        <v>0</v>
      </c>
      <c r="E222" s="28">
        <v>8954.3194938932229</v>
      </c>
      <c r="F222" s="28">
        <v>9407.7945199999995</v>
      </c>
      <c r="G222" s="28">
        <v>8954.3194938932229</v>
      </c>
    </row>
    <row r="223" spans="1:7" ht="11.25" customHeight="1" x14ac:dyDescent="0.2">
      <c r="A223" s="37" t="s">
        <v>25</v>
      </c>
      <c r="B223" s="28">
        <v>0</v>
      </c>
      <c r="C223" s="28">
        <v>9407.7945199999995</v>
      </c>
      <c r="D223" s="28">
        <v>0</v>
      </c>
      <c r="E223" s="28">
        <v>8954.3194938932229</v>
      </c>
      <c r="F223" s="28">
        <v>9407.7945199999995</v>
      </c>
      <c r="G223" s="28">
        <v>8954.3194938932229</v>
      </c>
    </row>
    <row r="224" spans="1:7" ht="11.25" customHeight="1" x14ac:dyDescent="0.2">
      <c r="A224" s="38">
        <v>44317</v>
      </c>
      <c r="B224" s="28">
        <v>0</v>
      </c>
      <c r="C224" s="28">
        <v>632.24331999999981</v>
      </c>
      <c r="D224" s="28">
        <v>0</v>
      </c>
      <c r="E224" s="28">
        <v>601.76789290246643</v>
      </c>
      <c r="F224" s="28">
        <v>632.24331999999981</v>
      </c>
      <c r="G224" s="28">
        <v>601.76789290246643</v>
      </c>
    </row>
    <row r="225" spans="1:7" ht="11.25" customHeight="1" x14ac:dyDescent="0.2">
      <c r="A225" s="38">
        <v>44348</v>
      </c>
      <c r="B225" s="28">
        <v>0</v>
      </c>
      <c r="C225" s="28">
        <v>1057.7984000000001</v>
      </c>
      <c r="D225" s="28">
        <v>0</v>
      </c>
      <c r="E225" s="28">
        <v>1006.8103436563006</v>
      </c>
      <c r="F225" s="28">
        <v>1057.7984000000001</v>
      </c>
      <c r="G225" s="28">
        <v>1006.8103436563006</v>
      </c>
    </row>
    <row r="226" spans="1:7" ht="11.25" customHeight="1" x14ac:dyDescent="0.2">
      <c r="A226" s="38">
        <v>44378</v>
      </c>
      <c r="B226" s="28">
        <v>0</v>
      </c>
      <c r="C226" s="28">
        <v>820.48967999999991</v>
      </c>
      <c r="D226" s="28">
        <v>0</v>
      </c>
      <c r="E226" s="28">
        <v>780.94039155972257</v>
      </c>
      <c r="F226" s="28">
        <v>820.48967999999991</v>
      </c>
      <c r="G226" s="28">
        <v>780.94039155972257</v>
      </c>
    </row>
    <row r="227" spans="1:7" ht="11.25" customHeight="1" x14ac:dyDescent="0.2">
      <c r="A227" s="38">
        <v>44409</v>
      </c>
      <c r="B227" s="28">
        <v>0</v>
      </c>
      <c r="C227" s="28">
        <v>995.16559999999993</v>
      </c>
      <c r="D227" s="28">
        <v>0</v>
      </c>
      <c r="E227" s="28">
        <v>947.19657330823009</v>
      </c>
      <c r="F227" s="28">
        <v>995.16559999999993</v>
      </c>
      <c r="G227" s="28">
        <v>947.19657330823009</v>
      </c>
    </row>
    <row r="228" spans="1:7" ht="11.25" customHeight="1" x14ac:dyDescent="0.2">
      <c r="A228" s="38">
        <v>44440</v>
      </c>
      <c r="B228" s="28">
        <v>0</v>
      </c>
      <c r="C228" s="28">
        <v>905.73988000000008</v>
      </c>
      <c r="D228" s="28">
        <v>0</v>
      </c>
      <c r="E228" s="28">
        <v>862.08135675570747</v>
      </c>
      <c r="F228" s="28">
        <v>905.73988000000008</v>
      </c>
      <c r="G228" s="28">
        <v>862.08135675570747</v>
      </c>
    </row>
    <row r="229" spans="1:7" ht="11.25" customHeight="1" x14ac:dyDescent="0.2">
      <c r="A229" s="38">
        <v>44470</v>
      </c>
      <c r="B229" s="28">
        <v>0</v>
      </c>
      <c r="C229" s="28">
        <v>909.91540000000009</v>
      </c>
      <c r="D229" s="28">
        <v>0</v>
      </c>
      <c r="E229" s="28">
        <v>866.05560811224541</v>
      </c>
      <c r="F229" s="28">
        <v>909.91540000000009</v>
      </c>
      <c r="G229" s="28">
        <v>866.05560811224541</v>
      </c>
    </row>
    <row r="230" spans="1:7" ht="11.25" customHeight="1" x14ac:dyDescent="0.2">
      <c r="A230" s="38">
        <v>44501</v>
      </c>
      <c r="B230" s="28">
        <v>0</v>
      </c>
      <c r="C230" s="28">
        <v>807.26719999999978</v>
      </c>
      <c r="D230" s="28">
        <v>0</v>
      </c>
      <c r="E230" s="28">
        <v>768.35526226401873</v>
      </c>
      <c r="F230" s="28">
        <v>807.26719999999978</v>
      </c>
      <c r="G230" s="28">
        <v>768.35526226401873</v>
      </c>
    </row>
    <row r="231" spans="1:7" ht="11.25" customHeight="1" x14ac:dyDescent="0.2">
      <c r="A231" s="38">
        <v>44531</v>
      </c>
      <c r="B231" s="28">
        <v>0</v>
      </c>
      <c r="C231" s="28">
        <v>750.54971999999998</v>
      </c>
      <c r="D231" s="28">
        <v>0</v>
      </c>
      <c r="E231" s="28">
        <v>714.37168133771058</v>
      </c>
      <c r="F231" s="28">
        <v>750.54971999999998</v>
      </c>
      <c r="G231" s="28">
        <v>714.37168133771058</v>
      </c>
    </row>
    <row r="232" spans="1:7" ht="11.25" customHeight="1" x14ac:dyDescent="0.2">
      <c r="A232" s="38">
        <v>44562</v>
      </c>
      <c r="B232" s="28">
        <v>0</v>
      </c>
      <c r="C232" s="28">
        <v>685.48119999999994</v>
      </c>
      <c r="D232" s="28">
        <v>0</v>
      </c>
      <c r="E232" s="28">
        <v>652.43959769832622</v>
      </c>
      <c r="F232" s="28">
        <v>685.48119999999994</v>
      </c>
      <c r="G232" s="28">
        <v>652.43959769832622</v>
      </c>
    </row>
    <row r="233" spans="1:7" ht="11.25" customHeight="1" x14ac:dyDescent="0.2">
      <c r="A233" s="38">
        <v>44593</v>
      </c>
      <c r="B233" s="28">
        <v>0</v>
      </c>
      <c r="C233" s="28">
        <v>625.63208000000009</v>
      </c>
      <c r="D233" s="28">
        <v>0</v>
      </c>
      <c r="E233" s="28">
        <v>595.47532825461462</v>
      </c>
      <c r="F233" s="28">
        <v>625.63208000000009</v>
      </c>
      <c r="G233" s="28">
        <v>595.47532825461462</v>
      </c>
    </row>
    <row r="234" spans="1:7" ht="11.25" customHeight="1" x14ac:dyDescent="0.2">
      <c r="A234" s="38">
        <v>44621</v>
      </c>
      <c r="B234" s="28">
        <v>0</v>
      </c>
      <c r="C234" s="28">
        <v>617.62899999999991</v>
      </c>
      <c r="D234" s="28">
        <v>0</v>
      </c>
      <c r="E234" s="28">
        <v>587.85801315458332</v>
      </c>
      <c r="F234" s="28">
        <v>617.62899999999991</v>
      </c>
      <c r="G234" s="28">
        <v>587.85801315458332</v>
      </c>
    </row>
    <row r="235" spans="1:7" ht="11.25" customHeight="1" x14ac:dyDescent="0.2">
      <c r="A235" s="38">
        <v>44652</v>
      </c>
      <c r="B235" s="28">
        <v>0</v>
      </c>
      <c r="C235" s="28">
        <v>599.88303999999994</v>
      </c>
      <c r="D235" s="28">
        <v>0</v>
      </c>
      <c r="E235" s="28">
        <v>570.96744488929676</v>
      </c>
      <c r="F235" s="28">
        <v>599.88303999999994</v>
      </c>
      <c r="G235" s="28">
        <v>570.96744488929676</v>
      </c>
    </row>
    <row r="236" spans="1:7" ht="11.25" customHeight="1" x14ac:dyDescent="0.2">
      <c r="A236" s="30" t="s">
        <v>808</v>
      </c>
      <c r="B236" s="28">
        <v>76176.44160000002</v>
      </c>
      <c r="C236" s="28">
        <v>2696899.6923312172</v>
      </c>
      <c r="D236" s="28">
        <v>65767.403721684459</v>
      </c>
      <c r="E236" s="28">
        <v>1501414.263499097</v>
      </c>
      <c r="F236" s="28">
        <v>2773076.1339312177</v>
      </c>
      <c r="G236" s="28">
        <v>1567181.6672207816</v>
      </c>
    </row>
    <row r="237" spans="1:7" ht="11.25" customHeight="1" x14ac:dyDescent="0.2">
      <c r="A237" s="31" t="s">
        <v>33</v>
      </c>
      <c r="B237" s="28">
        <v>76176.44160000002</v>
      </c>
      <c r="C237" s="28">
        <v>369117.30113759992</v>
      </c>
      <c r="D237" s="28">
        <v>65767.403721684459</v>
      </c>
      <c r="E237" s="28">
        <v>350786.04728559422</v>
      </c>
      <c r="F237" s="28">
        <v>445293.7427376</v>
      </c>
      <c r="G237" s="28">
        <v>416553.45100727869</v>
      </c>
    </row>
    <row r="238" spans="1:7" ht="11.25" customHeight="1" x14ac:dyDescent="0.2">
      <c r="A238" s="32" t="s">
        <v>34</v>
      </c>
      <c r="B238" s="28">
        <v>76176.44160000002</v>
      </c>
      <c r="C238" s="28">
        <v>369117.30113759992</v>
      </c>
      <c r="D238" s="28">
        <v>65767.403721684459</v>
      </c>
      <c r="E238" s="28">
        <v>350786.04728559422</v>
      </c>
      <c r="F238" s="28">
        <v>445293.7427376</v>
      </c>
      <c r="G238" s="28">
        <v>416553.45100727869</v>
      </c>
    </row>
    <row r="239" spans="1:7" ht="11.25" customHeight="1" x14ac:dyDescent="0.2">
      <c r="A239" s="33" t="s">
        <v>44</v>
      </c>
      <c r="B239" s="28">
        <v>76176.44160000002</v>
      </c>
      <c r="C239" s="28">
        <v>369117.30113759992</v>
      </c>
      <c r="D239" s="28">
        <v>65767.403721684459</v>
      </c>
      <c r="E239" s="28">
        <v>350786.04728559422</v>
      </c>
      <c r="F239" s="28">
        <v>445293.7427376</v>
      </c>
      <c r="G239" s="28">
        <v>416553.45100727869</v>
      </c>
    </row>
    <row r="240" spans="1:7" ht="11.25" customHeight="1" x14ac:dyDescent="0.2">
      <c r="A240" s="34" t="s">
        <v>53</v>
      </c>
      <c r="B240" s="28">
        <v>4017.7871999999975</v>
      </c>
      <c r="C240" s="28">
        <v>5269.0736256000027</v>
      </c>
      <c r="D240" s="28">
        <v>3468.7815195901194</v>
      </c>
      <c r="E240" s="28">
        <v>4998.4469143258275</v>
      </c>
      <c r="F240" s="28">
        <v>9286.8608256000007</v>
      </c>
      <c r="G240" s="28">
        <v>8467.2284339159469</v>
      </c>
    </row>
    <row r="241" spans="1:7" ht="11.25" customHeight="1" x14ac:dyDescent="0.2">
      <c r="A241" s="35" t="s">
        <v>25</v>
      </c>
      <c r="B241" s="28">
        <v>4017.7871999999975</v>
      </c>
      <c r="C241" s="28">
        <v>5269.0736256000027</v>
      </c>
      <c r="D241" s="28">
        <v>3468.7815195901194</v>
      </c>
      <c r="E241" s="28">
        <v>4998.4469143258275</v>
      </c>
      <c r="F241" s="28">
        <v>9286.8608256000007</v>
      </c>
      <c r="G241" s="28">
        <v>8467.2284339159469</v>
      </c>
    </row>
    <row r="242" spans="1:7" ht="11.25" customHeight="1" x14ac:dyDescent="0.2">
      <c r="A242" s="36" t="s">
        <v>25</v>
      </c>
      <c r="B242" s="28">
        <v>4017.7871999999975</v>
      </c>
      <c r="C242" s="28">
        <v>5269.0736256000027</v>
      </c>
      <c r="D242" s="28">
        <v>3468.7815195901194</v>
      </c>
      <c r="E242" s="28">
        <v>4998.4469143258275</v>
      </c>
      <c r="F242" s="28">
        <v>9286.8608256000007</v>
      </c>
      <c r="G242" s="28">
        <v>8467.2284339159469</v>
      </c>
    </row>
    <row r="243" spans="1:7" ht="11.25" customHeight="1" x14ac:dyDescent="0.2">
      <c r="A243" s="37" t="s">
        <v>36</v>
      </c>
      <c r="B243" s="28">
        <v>0</v>
      </c>
      <c r="C243" s="28">
        <v>4794.6252640000021</v>
      </c>
      <c r="D243" s="28">
        <v>0</v>
      </c>
      <c r="E243" s="28">
        <v>4533.5439833736227</v>
      </c>
      <c r="F243" s="28">
        <v>4794.6252640000021</v>
      </c>
      <c r="G243" s="28">
        <v>4533.5439833736227</v>
      </c>
    </row>
    <row r="244" spans="1:7" ht="11.25" customHeight="1" x14ac:dyDescent="0.2">
      <c r="A244" s="38">
        <v>44317</v>
      </c>
      <c r="B244" s="28">
        <v>0</v>
      </c>
      <c r="C244" s="28">
        <v>1070.0301040000004</v>
      </c>
      <c r="D244" s="28">
        <v>0</v>
      </c>
      <c r="E244" s="28">
        <v>1011.763854923418</v>
      </c>
      <c r="F244" s="28">
        <v>1070.0301040000004</v>
      </c>
      <c r="G244" s="28">
        <v>1011.763854923418</v>
      </c>
    </row>
    <row r="245" spans="1:7" ht="11.25" customHeight="1" x14ac:dyDescent="0.2">
      <c r="A245" s="38">
        <v>44348</v>
      </c>
      <c r="B245" s="28">
        <v>0</v>
      </c>
      <c r="C245" s="28">
        <v>347.4631160000007</v>
      </c>
      <c r="D245" s="28">
        <v>0</v>
      </c>
      <c r="E245" s="28">
        <v>328.54273947405068</v>
      </c>
      <c r="F245" s="28">
        <v>347.4631160000007</v>
      </c>
      <c r="G245" s="28">
        <v>328.54273947405068</v>
      </c>
    </row>
    <row r="246" spans="1:7" ht="11.25" customHeight="1" x14ac:dyDescent="0.2">
      <c r="A246" s="38">
        <v>44378</v>
      </c>
      <c r="B246" s="28">
        <v>0</v>
      </c>
      <c r="C246" s="28">
        <v>554.6701160000016</v>
      </c>
      <c r="D246" s="28">
        <v>0</v>
      </c>
      <c r="E246" s="28">
        <v>524.46671610183114</v>
      </c>
      <c r="F246" s="28">
        <v>554.6701160000016</v>
      </c>
      <c r="G246" s="28">
        <v>524.46671610183114</v>
      </c>
    </row>
    <row r="247" spans="1:7" ht="11.25" customHeight="1" x14ac:dyDescent="0.2">
      <c r="A247" s="38">
        <v>44409</v>
      </c>
      <c r="B247" s="28">
        <v>0</v>
      </c>
      <c r="C247" s="28">
        <v>830.10413199999948</v>
      </c>
      <c r="D247" s="28">
        <v>0</v>
      </c>
      <c r="E247" s="28">
        <v>784.90254941479395</v>
      </c>
      <c r="F247" s="28">
        <v>830.10413199999948</v>
      </c>
      <c r="G247" s="28">
        <v>784.90254941479395</v>
      </c>
    </row>
    <row r="248" spans="1:7" ht="11.25" customHeight="1" x14ac:dyDescent="0.2">
      <c r="A248" s="38">
        <v>44440</v>
      </c>
      <c r="B248" s="28">
        <v>0</v>
      </c>
      <c r="C248" s="28">
        <v>1023.3526160000006</v>
      </c>
      <c r="D248" s="28">
        <v>0</v>
      </c>
      <c r="E248" s="28">
        <v>967.62809180752242</v>
      </c>
      <c r="F248" s="28">
        <v>1023.3526160000006</v>
      </c>
      <c r="G248" s="28">
        <v>967.62809180752242</v>
      </c>
    </row>
    <row r="249" spans="1:7" ht="11.25" customHeight="1" x14ac:dyDescent="0.2">
      <c r="A249" s="38">
        <v>44470</v>
      </c>
      <c r="B249" s="28">
        <v>0</v>
      </c>
      <c r="C249" s="28">
        <v>142.79522399999954</v>
      </c>
      <c r="D249" s="28">
        <v>0</v>
      </c>
      <c r="E249" s="28">
        <v>135.01960903605797</v>
      </c>
      <c r="F249" s="28">
        <v>142.79522399999954</v>
      </c>
      <c r="G249" s="28">
        <v>135.01960903605797</v>
      </c>
    </row>
    <row r="250" spans="1:7" ht="11.25" customHeight="1" x14ac:dyDescent="0.2">
      <c r="A250" s="38">
        <v>44501</v>
      </c>
      <c r="B250" s="28">
        <v>0</v>
      </c>
      <c r="C250" s="28">
        <v>147.25510800000012</v>
      </c>
      <c r="D250" s="28">
        <v>0</v>
      </c>
      <c r="E250" s="28">
        <v>139.23663939014219</v>
      </c>
      <c r="F250" s="28">
        <v>147.25510800000012</v>
      </c>
      <c r="G250" s="28">
        <v>139.23663939014219</v>
      </c>
    </row>
    <row r="251" spans="1:7" ht="11.25" customHeight="1" x14ac:dyDescent="0.2">
      <c r="A251" s="38">
        <v>44531</v>
      </c>
      <c r="B251" s="28">
        <v>0</v>
      </c>
      <c r="C251" s="28">
        <v>104.69544799999998</v>
      </c>
      <c r="D251" s="28">
        <v>0</v>
      </c>
      <c r="E251" s="28">
        <v>98.994476571674298</v>
      </c>
      <c r="F251" s="28">
        <v>104.69544799999998</v>
      </c>
      <c r="G251" s="28">
        <v>98.994476571674298</v>
      </c>
    </row>
    <row r="252" spans="1:7" ht="11.25" customHeight="1" x14ac:dyDescent="0.2">
      <c r="A252" s="38">
        <v>44562</v>
      </c>
      <c r="B252" s="28">
        <v>0</v>
      </c>
      <c r="C252" s="28">
        <v>88.500412000000225</v>
      </c>
      <c r="D252" s="28">
        <v>0</v>
      </c>
      <c r="E252" s="28">
        <v>83.681307350798534</v>
      </c>
      <c r="F252" s="28">
        <v>88.500412000000225</v>
      </c>
      <c r="G252" s="28">
        <v>83.681307350798534</v>
      </c>
    </row>
    <row r="253" spans="1:7" ht="11.25" customHeight="1" x14ac:dyDescent="0.2">
      <c r="A253" s="38">
        <v>44593</v>
      </c>
      <c r="B253" s="28">
        <v>0</v>
      </c>
      <c r="C253" s="28">
        <v>146.34734400000002</v>
      </c>
      <c r="D253" s="28">
        <v>0</v>
      </c>
      <c r="E253" s="28">
        <v>138.37830577824894</v>
      </c>
      <c r="F253" s="28">
        <v>146.34734400000002</v>
      </c>
      <c r="G253" s="28">
        <v>138.37830577824894</v>
      </c>
    </row>
    <row r="254" spans="1:7" ht="11.25" customHeight="1" x14ac:dyDescent="0.2">
      <c r="A254" s="38">
        <v>44621</v>
      </c>
      <c r="B254" s="28">
        <v>0</v>
      </c>
      <c r="C254" s="28">
        <v>245.51727199999945</v>
      </c>
      <c r="D254" s="28">
        <v>0</v>
      </c>
      <c r="E254" s="28">
        <v>232.14814297318193</v>
      </c>
      <c r="F254" s="28">
        <v>245.51727199999945</v>
      </c>
      <c r="G254" s="28">
        <v>232.14814297318193</v>
      </c>
    </row>
    <row r="255" spans="1:7" ht="11.25" customHeight="1" x14ac:dyDescent="0.2">
      <c r="A255" s="38">
        <v>44652</v>
      </c>
      <c r="B255" s="28">
        <v>0</v>
      </c>
      <c r="C255" s="28">
        <v>93.894371999999919</v>
      </c>
      <c r="D255" s="28">
        <v>0</v>
      </c>
      <c r="E255" s="28">
        <v>88.781550551902356</v>
      </c>
      <c r="F255" s="28">
        <v>93.894371999999919</v>
      </c>
      <c r="G255" s="28">
        <v>88.781550551902356</v>
      </c>
    </row>
    <row r="256" spans="1:7" ht="11.25" customHeight="1" x14ac:dyDescent="0.2">
      <c r="A256" s="37" t="s">
        <v>25</v>
      </c>
      <c r="B256" s="28">
        <v>4017.7871999999975</v>
      </c>
      <c r="C256" s="28">
        <v>0</v>
      </c>
      <c r="D256" s="28">
        <v>3468.7815195901194</v>
      </c>
      <c r="E256" s="28">
        <v>0</v>
      </c>
      <c r="F256" s="28">
        <v>4017.7871999999975</v>
      </c>
      <c r="G256" s="28">
        <v>3468.7815195901194</v>
      </c>
    </row>
    <row r="257" spans="1:7" ht="11.25" customHeight="1" x14ac:dyDescent="0.2">
      <c r="A257" s="38">
        <v>44317</v>
      </c>
      <c r="B257" s="28">
        <v>376.35360000000037</v>
      </c>
      <c r="C257" s="28">
        <v>0</v>
      </c>
      <c r="D257" s="28">
        <v>324.92721678022519</v>
      </c>
      <c r="E257" s="28">
        <v>0</v>
      </c>
      <c r="F257" s="28">
        <v>376.35360000000037</v>
      </c>
      <c r="G257" s="28">
        <v>324.92721678022519</v>
      </c>
    </row>
    <row r="258" spans="1:7" ht="11.25" customHeight="1" x14ac:dyDescent="0.2">
      <c r="A258" s="38">
        <v>44348</v>
      </c>
      <c r="B258" s="28">
        <v>297.52799999999957</v>
      </c>
      <c r="C258" s="28">
        <v>0</v>
      </c>
      <c r="D258" s="28">
        <v>256.87264570921229</v>
      </c>
      <c r="E258" s="28">
        <v>0</v>
      </c>
      <c r="F258" s="28">
        <v>297.52799999999957</v>
      </c>
      <c r="G258" s="28">
        <v>256.87264570921229</v>
      </c>
    </row>
    <row r="259" spans="1:7" ht="11.25" customHeight="1" x14ac:dyDescent="0.2">
      <c r="A259" s="38">
        <v>44378</v>
      </c>
      <c r="B259" s="28">
        <v>300.61920000000003</v>
      </c>
      <c r="C259" s="28">
        <v>0</v>
      </c>
      <c r="D259" s="28">
        <v>259.54145241787984</v>
      </c>
      <c r="E259" s="28">
        <v>0</v>
      </c>
      <c r="F259" s="28">
        <v>300.61920000000003</v>
      </c>
      <c r="G259" s="28">
        <v>259.54145241787984</v>
      </c>
    </row>
    <row r="260" spans="1:7" ht="11.25" customHeight="1" x14ac:dyDescent="0.2">
      <c r="A260" s="38">
        <v>44409</v>
      </c>
      <c r="B260" s="28">
        <v>387.94559999999967</v>
      </c>
      <c r="C260" s="28">
        <v>0</v>
      </c>
      <c r="D260" s="28">
        <v>334.9352419377264</v>
      </c>
      <c r="E260" s="28">
        <v>0</v>
      </c>
      <c r="F260" s="28">
        <v>387.94559999999967</v>
      </c>
      <c r="G260" s="28">
        <v>334.9352419377264</v>
      </c>
    </row>
    <row r="261" spans="1:7" ht="11.25" customHeight="1" x14ac:dyDescent="0.2">
      <c r="A261" s="38">
        <v>44440</v>
      </c>
      <c r="B261" s="28">
        <v>383.30879999999951</v>
      </c>
      <c r="C261" s="28">
        <v>0</v>
      </c>
      <c r="D261" s="28">
        <v>330.93203187472551</v>
      </c>
      <c r="E261" s="28">
        <v>0</v>
      </c>
      <c r="F261" s="28">
        <v>383.30879999999951</v>
      </c>
      <c r="G261" s="28">
        <v>330.93203187472551</v>
      </c>
    </row>
    <row r="262" spans="1:7" ht="11.25" customHeight="1" x14ac:dyDescent="0.2">
      <c r="A262" s="38">
        <v>44470</v>
      </c>
      <c r="B262" s="28">
        <v>360.12479999999977</v>
      </c>
      <c r="C262" s="28">
        <v>0</v>
      </c>
      <c r="D262" s="28">
        <v>310.91598155972213</v>
      </c>
      <c r="E262" s="28">
        <v>0</v>
      </c>
      <c r="F262" s="28">
        <v>360.12479999999977</v>
      </c>
      <c r="G262" s="28">
        <v>310.91598155972213</v>
      </c>
    </row>
    <row r="263" spans="1:7" ht="11.25" customHeight="1" x14ac:dyDescent="0.2">
      <c r="A263" s="38">
        <v>44501</v>
      </c>
      <c r="B263" s="28">
        <v>240.34079999999997</v>
      </c>
      <c r="C263" s="28">
        <v>0</v>
      </c>
      <c r="D263" s="28">
        <v>207.49972159887045</v>
      </c>
      <c r="E263" s="28">
        <v>0</v>
      </c>
      <c r="F263" s="28">
        <v>240.34079999999997</v>
      </c>
      <c r="G263" s="28">
        <v>207.49972159887045</v>
      </c>
    </row>
    <row r="264" spans="1:7" ht="11.25" customHeight="1" x14ac:dyDescent="0.2">
      <c r="A264" s="38">
        <v>44531</v>
      </c>
      <c r="B264" s="28">
        <v>237.24959999999948</v>
      </c>
      <c r="C264" s="28">
        <v>0</v>
      </c>
      <c r="D264" s="28">
        <v>204.83091489020291</v>
      </c>
      <c r="E264" s="28">
        <v>0</v>
      </c>
      <c r="F264" s="28">
        <v>237.24959999999948</v>
      </c>
      <c r="G264" s="28">
        <v>204.83091489020291</v>
      </c>
    </row>
    <row r="265" spans="1:7" ht="11.25" customHeight="1" x14ac:dyDescent="0.2">
      <c r="A265" s="38">
        <v>44562</v>
      </c>
      <c r="B265" s="28">
        <v>311.43840000000012</v>
      </c>
      <c r="C265" s="28">
        <v>0</v>
      </c>
      <c r="D265" s="28">
        <v>268.88227589821491</v>
      </c>
      <c r="E265" s="28">
        <v>0</v>
      </c>
      <c r="F265" s="28">
        <v>311.43840000000012</v>
      </c>
      <c r="G265" s="28">
        <v>268.88227589821491</v>
      </c>
    </row>
    <row r="266" spans="1:7" ht="11.25" customHeight="1" x14ac:dyDescent="0.2">
      <c r="A266" s="38">
        <v>44593</v>
      </c>
      <c r="B266" s="28">
        <v>246.52319999999983</v>
      </c>
      <c r="C266" s="28">
        <v>0</v>
      </c>
      <c r="D266" s="28">
        <v>212.83733501620463</v>
      </c>
      <c r="E266" s="28">
        <v>0</v>
      </c>
      <c r="F266" s="28">
        <v>246.52319999999983</v>
      </c>
      <c r="G266" s="28">
        <v>212.83733501620463</v>
      </c>
    </row>
    <row r="267" spans="1:7" ht="11.25" customHeight="1" x14ac:dyDescent="0.2">
      <c r="A267" s="38">
        <v>44621</v>
      </c>
      <c r="B267" s="28">
        <v>592.73759999999902</v>
      </c>
      <c r="C267" s="28">
        <v>0</v>
      </c>
      <c r="D267" s="28">
        <v>511.74368638692414</v>
      </c>
      <c r="E267" s="28">
        <v>0</v>
      </c>
      <c r="F267" s="28">
        <v>592.73759999999902</v>
      </c>
      <c r="G267" s="28">
        <v>511.74368638692414</v>
      </c>
    </row>
    <row r="268" spans="1:7" ht="11.25" customHeight="1" x14ac:dyDescent="0.2">
      <c r="A268" s="38">
        <v>44652</v>
      </c>
      <c r="B268" s="28">
        <v>283.61760000000015</v>
      </c>
      <c r="C268" s="28">
        <v>0</v>
      </c>
      <c r="D268" s="28">
        <v>244.86301552021064</v>
      </c>
      <c r="E268" s="28">
        <v>0</v>
      </c>
      <c r="F268" s="28">
        <v>283.61760000000015</v>
      </c>
      <c r="G268" s="28">
        <v>244.86301552021064</v>
      </c>
    </row>
    <row r="269" spans="1:7" ht="11.25" customHeight="1" x14ac:dyDescent="0.2">
      <c r="A269" s="37" t="s">
        <v>35</v>
      </c>
      <c r="B269" s="28">
        <v>0</v>
      </c>
      <c r="C269" s="28">
        <v>474.4483616000004</v>
      </c>
      <c r="D269" s="28">
        <v>0</v>
      </c>
      <c r="E269" s="28">
        <v>464.902930952205</v>
      </c>
      <c r="F269" s="28">
        <v>474.4483616000004</v>
      </c>
      <c r="G269" s="28">
        <v>464.902930952205</v>
      </c>
    </row>
    <row r="270" spans="1:7" ht="11.25" customHeight="1" x14ac:dyDescent="0.2">
      <c r="A270" s="38">
        <v>44317</v>
      </c>
      <c r="B270" s="28">
        <v>0</v>
      </c>
      <c r="C270" s="28">
        <v>147.6987648000003</v>
      </c>
      <c r="D270" s="28">
        <v>0</v>
      </c>
      <c r="E270" s="28">
        <v>144.72721208684735</v>
      </c>
      <c r="F270" s="28">
        <v>147.6987648000003</v>
      </c>
      <c r="G270" s="28">
        <v>144.72721208684735</v>
      </c>
    </row>
    <row r="271" spans="1:7" ht="11.25" customHeight="1" x14ac:dyDescent="0.2">
      <c r="A271" s="38">
        <v>44348</v>
      </c>
      <c r="B271" s="28">
        <v>0</v>
      </c>
      <c r="C271" s="28">
        <v>16.669414399999994</v>
      </c>
      <c r="D271" s="28">
        <v>0</v>
      </c>
      <c r="E271" s="28">
        <v>16.334042309014229</v>
      </c>
      <c r="F271" s="28">
        <v>16.669414399999994</v>
      </c>
      <c r="G271" s="28">
        <v>16.334042309014229</v>
      </c>
    </row>
    <row r="272" spans="1:7" ht="11.25" customHeight="1" x14ac:dyDescent="0.2">
      <c r="A272" s="38">
        <v>44378</v>
      </c>
      <c r="B272" s="28">
        <v>0</v>
      </c>
      <c r="C272" s="28">
        <v>50.589734400000026</v>
      </c>
      <c r="D272" s="28">
        <v>0</v>
      </c>
      <c r="E272" s="28">
        <v>49.571919100612988</v>
      </c>
      <c r="F272" s="28">
        <v>50.589734400000026</v>
      </c>
      <c r="G272" s="28">
        <v>49.571919100612988</v>
      </c>
    </row>
    <row r="273" spans="1:7" ht="11.25" customHeight="1" x14ac:dyDescent="0.2">
      <c r="A273" s="38">
        <v>44409</v>
      </c>
      <c r="B273" s="28">
        <v>0</v>
      </c>
      <c r="C273" s="28">
        <v>95.752217600000009</v>
      </c>
      <c r="D273" s="28">
        <v>0</v>
      </c>
      <c r="E273" s="28">
        <v>93.825777914570125</v>
      </c>
      <c r="F273" s="28">
        <v>95.752217600000009</v>
      </c>
      <c r="G273" s="28">
        <v>93.825777914570125</v>
      </c>
    </row>
    <row r="274" spans="1:7" ht="11.25" customHeight="1" x14ac:dyDescent="0.2">
      <c r="A274" s="38">
        <v>44440</v>
      </c>
      <c r="B274" s="28">
        <v>0</v>
      </c>
      <c r="C274" s="28">
        <v>129.76945280000012</v>
      </c>
      <c r="D274" s="28">
        <v>0</v>
      </c>
      <c r="E274" s="28">
        <v>127.15862006843071</v>
      </c>
      <c r="F274" s="28">
        <v>129.76945280000012</v>
      </c>
      <c r="G274" s="28">
        <v>127.15862006843071</v>
      </c>
    </row>
    <row r="275" spans="1:7" ht="11.25" customHeight="1" x14ac:dyDescent="0.2">
      <c r="A275" s="38">
        <v>44470</v>
      </c>
      <c r="B275" s="28">
        <v>0</v>
      </c>
      <c r="C275" s="28">
        <v>0.77532159999999994</v>
      </c>
      <c r="D275" s="28">
        <v>0</v>
      </c>
      <c r="E275" s="28">
        <v>0.75972289809368532</v>
      </c>
      <c r="F275" s="28">
        <v>0.77532159999999994</v>
      </c>
      <c r="G275" s="28">
        <v>0.75972289809368532</v>
      </c>
    </row>
    <row r="276" spans="1:7" ht="11.25" customHeight="1" x14ac:dyDescent="0.2">
      <c r="A276" s="38">
        <v>44501</v>
      </c>
      <c r="B276" s="28">
        <v>0</v>
      </c>
      <c r="C276" s="28">
        <v>0.87223679999999804</v>
      </c>
      <c r="D276" s="28">
        <v>0</v>
      </c>
      <c r="E276" s="28">
        <v>0.85468826035539414</v>
      </c>
      <c r="F276" s="28">
        <v>0.87223679999999804</v>
      </c>
      <c r="G276" s="28">
        <v>0.85468826035539414</v>
      </c>
    </row>
    <row r="277" spans="1:7" ht="11.25" customHeight="1" x14ac:dyDescent="0.2">
      <c r="A277" s="38">
        <v>44531</v>
      </c>
      <c r="B277" s="28">
        <v>0</v>
      </c>
      <c r="C277" s="28">
        <v>4.8457600000000038</v>
      </c>
      <c r="D277" s="28">
        <v>0</v>
      </c>
      <c r="E277" s="28">
        <v>4.7482681130855378</v>
      </c>
      <c r="F277" s="28">
        <v>4.8457600000000038</v>
      </c>
      <c r="G277" s="28">
        <v>4.7482681130855378</v>
      </c>
    </row>
    <row r="278" spans="1:7" ht="11.25" customHeight="1" x14ac:dyDescent="0.2">
      <c r="A278" s="38">
        <v>44562</v>
      </c>
      <c r="B278" s="28">
        <v>0</v>
      </c>
      <c r="C278" s="28">
        <v>6.2025727999999996</v>
      </c>
      <c r="D278" s="28">
        <v>0</v>
      </c>
      <c r="E278" s="28">
        <v>6.0777831847494825</v>
      </c>
      <c r="F278" s="28">
        <v>6.2025727999999996</v>
      </c>
      <c r="G278" s="28">
        <v>6.0777831847494825</v>
      </c>
    </row>
    <row r="279" spans="1:7" ht="11.25" customHeight="1" x14ac:dyDescent="0.2">
      <c r="A279" s="38">
        <v>44593</v>
      </c>
      <c r="B279" s="28">
        <v>0</v>
      </c>
      <c r="C279" s="28">
        <v>9.5946048000000133</v>
      </c>
      <c r="D279" s="28">
        <v>0</v>
      </c>
      <c r="E279" s="28">
        <v>9.4015708639093685</v>
      </c>
      <c r="F279" s="28">
        <v>9.5946048000000133</v>
      </c>
      <c r="G279" s="28">
        <v>9.4015708639093685</v>
      </c>
    </row>
    <row r="280" spans="1:7" ht="11.25" customHeight="1" x14ac:dyDescent="0.2">
      <c r="A280" s="38">
        <v>44621</v>
      </c>
      <c r="B280" s="28">
        <v>0</v>
      </c>
      <c r="C280" s="28">
        <v>10.369926399999981</v>
      </c>
      <c r="D280" s="28">
        <v>0</v>
      </c>
      <c r="E280" s="28">
        <v>10.161293762003023</v>
      </c>
      <c r="F280" s="28">
        <v>10.369926399999981</v>
      </c>
      <c r="G280" s="28">
        <v>10.161293762003023</v>
      </c>
    </row>
    <row r="281" spans="1:7" ht="11.25" customHeight="1" x14ac:dyDescent="0.2">
      <c r="A281" s="38">
        <v>44652</v>
      </c>
      <c r="B281" s="28">
        <v>0</v>
      </c>
      <c r="C281" s="28">
        <v>1.3083552000000012</v>
      </c>
      <c r="D281" s="28">
        <v>0</v>
      </c>
      <c r="E281" s="28">
        <v>1.2820323905330953</v>
      </c>
      <c r="F281" s="28">
        <v>1.3083552000000012</v>
      </c>
      <c r="G281" s="28">
        <v>1.2820323905330953</v>
      </c>
    </row>
    <row r="282" spans="1:7" ht="11.25" customHeight="1" x14ac:dyDescent="0.2">
      <c r="A282" s="34" t="s">
        <v>25</v>
      </c>
      <c r="B282" s="28">
        <v>72158.654400000029</v>
      </c>
      <c r="C282" s="28">
        <v>363848.2275119999</v>
      </c>
      <c r="D282" s="28">
        <v>62298.622202094339</v>
      </c>
      <c r="E282" s="28">
        <v>345787.60037126846</v>
      </c>
      <c r="F282" s="28">
        <v>436006.88191199995</v>
      </c>
      <c r="G282" s="28">
        <v>408086.22257336276</v>
      </c>
    </row>
    <row r="283" spans="1:7" ht="11.25" customHeight="1" x14ac:dyDescent="0.2">
      <c r="A283" s="35" t="s">
        <v>25</v>
      </c>
      <c r="B283" s="28">
        <v>72158.654400000029</v>
      </c>
      <c r="C283" s="28">
        <v>363848.2275119999</v>
      </c>
      <c r="D283" s="28">
        <v>62298.622202094339</v>
      </c>
      <c r="E283" s="28">
        <v>345787.60037126846</v>
      </c>
      <c r="F283" s="28">
        <v>436006.88191199995</v>
      </c>
      <c r="G283" s="28">
        <v>408086.22257336276</v>
      </c>
    </row>
    <row r="284" spans="1:7" ht="11.25" customHeight="1" x14ac:dyDescent="0.2">
      <c r="A284" s="36" t="s">
        <v>25</v>
      </c>
      <c r="B284" s="28">
        <v>72158.654400000029</v>
      </c>
      <c r="C284" s="28">
        <v>363848.2275119999</v>
      </c>
      <c r="D284" s="28">
        <v>62298.622202094339</v>
      </c>
      <c r="E284" s="28">
        <v>345787.60037126846</v>
      </c>
      <c r="F284" s="28">
        <v>436006.88191199995</v>
      </c>
      <c r="G284" s="28">
        <v>408086.22257336276</v>
      </c>
    </row>
    <row r="285" spans="1:7" ht="11.25" customHeight="1" x14ac:dyDescent="0.2">
      <c r="A285" s="37" t="s">
        <v>36</v>
      </c>
      <c r="B285" s="28">
        <v>0</v>
      </c>
      <c r="C285" s="28">
        <v>312820.92098399991</v>
      </c>
      <c r="D285" s="28">
        <v>0</v>
      </c>
      <c r="E285" s="28">
        <v>295786.91266004386</v>
      </c>
      <c r="F285" s="28">
        <v>312820.92098399991</v>
      </c>
      <c r="G285" s="28">
        <v>295786.91266004386</v>
      </c>
    </row>
    <row r="286" spans="1:7" ht="11.25" customHeight="1" x14ac:dyDescent="0.2">
      <c r="A286" s="38">
        <v>44317</v>
      </c>
      <c r="B286" s="28">
        <v>0</v>
      </c>
      <c r="C286" s="28">
        <v>19698.570892000011</v>
      </c>
      <c r="D286" s="28">
        <v>0</v>
      </c>
      <c r="E286" s="28">
        <v>18625.926455403875</v>
      </c>
      <c r="F286" s="28">
        <v>19698.570892000011</v>
      </c>
      <c r="G286" s="28">
        <v>18625.926455403875</v>
      </c>
    </row>
    <row r="287" spans="1:7" ht="11.25" customHeight="1" x14ac:dyDescent="0.2">
      <c r="A287" s="38">
        <v>44348</v>
      </c>
      <c r="B287" s="28">
        <v>0</v>
      </c>
      <c r="C287" s="28">
        <v>19525.358995999995</v>
      </c>
      <c r="D287" s="28">
        <v>0</v>
      </c>
      <c r="E287" s="28">
        <v>18462.146450560598</v>
      </c>
      <c r="F287" s="28">
        <v>19525.358995999995</v>
      </c>
      <c r="G287" s="28">
        <v>18462.146450560598</v>
      </c>
    </row>
    <row r="288" spans="1:7" ht="11.25" customHeight="1" x14ac:dyDescent="0.2">
      <c r="A288" s="38">
        <v>44378</v>
      </c>
      <c r="B288" s="28">
        <v>0</v>
      </c>
      <c r="C288" s="28">
        <v>20173.028875999997</v>
      </c>
      <c r="D288" s="28">
        <v>0</v>
      </c>
      <c r="E288" s="28">
        <v>19074.548823220004</v>
      </c>
      <c r="F288" s="28">
        <v>20173.028875999997</v>
      </c>
      <c r="G288" s="28">
        <v>19074.548823220004</v>
      </c>
    </row>
    <row r="289" spans="1:7" ht="11.25" customHeight="1" x14ac:dyDescent="0.2">
      <c r="A289" s="38">
        <v>44409</v>
      </c>
      <c r="B289" s="28">
        <v>0</v>
      </c>
      <c r="C289" s="28">
        <v>21209.195436000013</v>
      </c>
      <c r="D289" s="28">
        <v>0</v>
      </c>
      <c r="E289" s="28">
        <v>20054.293102534557</v>
      </c>
      <c r="F289" s="28">
        <v>21209.195436000013</v>
      </c>
      <c r="G289" s="28">
        <v>20054.293102534557</v>
      </c>
    </row>
    <row r="290" spans="1:7" ht="11.25" customHeight="1" x14ac:dyDescent="0.2">
      <c r="A290" s="38">
        <v>44440</v>
      </c>
      <c r="B290" s="28">
        <v>0</v>
      </c>
      <c r="C290" s="28">
        <v>26330.247371999987</v>
      </c>
      <c r="D290" s="28">
        <v>0</v>
      </c>
      <c r="E290" s="28">
        <v>24896.4888768979</v>
      </c>
      <c r="F290" s="28">
        <v>26330.247371999987</v>
      </c>
      <c r="G290" s="28">
        <v>24896.4888768979</v>
      </c>
    </row>
    <row r="291" spans="1:7" ht="11.25" customHeight="1" x14ac:dyDescent="0.2">
      <c r="A291" s="38">
        <v>44470</v>
      </c>
      <c r="B291" s="28">
        <v>0</v>
      </c>
      <c r="C291" s="28">
        <v>28083.521179999916</v>
      </c>
      <c r="D291" s="28">
        <v>0</v>
      </c>
      <c r="E291" s="28">
        <v>26554.291830372804</v>
      </c>
      <c r="F291" s="28">
        <v>28083.521179999916</v>
      </c>
      <c r="G291" s="28">
        <v>26554.291830372804</v>
      </c>
    </row>
    <row r="292" spans="1:7" ht="11.25" customHeight="1" x14ac:dyDescent="0.2">
      <c r="A292" s="38">
        <v>44501</v>
      </c>
      <c r="B292" s="28">
        <v>0</v>
      </c>
      <c r="C292" s="28">
        <v>29008.835284000008</v>
      </c>
      <c r="D292" s="28">
        <v>0</v>
      </c>
      <c r="E292" s="28">
        <v>27429.219892095956</v>
      </c>
      <c r="F292" s="28">
        <v>29008.835284000008</v>
      </c>
      <c r="G292" s="28">
        <v>27429.219892095956</v>
      </c>
    </row>
    <row r="293" spans="1:7" ht="11.25" customHeight="1" x14ac:dyDescent="0.2">
      <c r="A293" s="38">
        <v>44531</v>
      </c>
      <c r="B293" s="28">
        <v>0</v>
      </c>
      <c r="C293" s="28">
        <v>30830.270327999937</v>
      </c>
      <c r="D293" s="28">
        <v>0</v>
      </c>
      <c r="E293" s="28">
        <v>29151.47250416824</v>
      </c>
      <c r="F293" s="28">
        <v>30830.270327999937</v>
      </c>
      <c r="G293" s="28">
        <v>29151.47250416824</v>
      </c>
    </row>
    <row r="294" spans="1:7" ht="11.25" customHeight="1" x14ac:dyDescent="0.2">
      <c r="A294" s="38">
        <v>44562</v>
      </c>
      <c r="B294" s="28">
        <v>0</v>
      </c>
      <c r="C294" s="28">
        <v>32086.089464000033</v>
      </c>
      <c r="D294" s="28">
        <v>0</v>
      </c>
      <c r="E294" s="28">
        <v>30338.908638325873</v>
      </c>
      <c r="F294" s="28">
        <v>32086.089464000033</v>
      </c>
      <c r="G294" s="28">
        <v>30338.908638325873</v>
      </c>
    </row>
    <row r="295" spans="1:7" ht="11.25" customHeight="1" x14ac:dyDescent="0.2">
      <c r="A295" s="38">
        <v>44593</v>
      </c>
      <c r="B295" s="28">
        <v>0</v>
      </c>
      <c r="C295" s="28">
        <v>28572.016615999968</v>
      </c>
      <c r="D295" s="28">
        <v>0</v>
      </c>
      <c r="E295" s="28">
        <v>27016.187270129434</v>
      </c>
      <c r="F295" s="28">
        <v>28572.016615999968</v>
      </c>
      <c r="G295" s="28">
        <v>27016.187270129434</v>
      </c>
    </row>
    <row r="296" spans="1:7" ht="11.25" customHeight="1" x14ac:dyDescent="0.2">
      <c r="A296" s="38">
        <v>44621</v>
      </c>
      <c r="B296" s="28">
        <v>0</v>
      </c>
      <c r="C296" s="28">
        <v>32304.018604000026</v>
      </c>
      <c r="D296" s="28">
        <v>0</v>
      </c>
      <c r="E296" s="28">
        <v>30544.970903268037</v>
      </c>
      <c r="F296" s="28">
        <v>32304.018604000026</v>
      </c>
      <c r="G296" s="28">
        <v>30544.970903268037</v>
      </c>
    </row>
    <row r="297" spans="1:7" ht="11.25" customHeight="1" x14ac:dyDescent="0.2">
      <c r="A297" s="38">
        <v>44652</v>
      </c>
      <c r="B297" s="28">
        <v>0</v>
      </c>
      <c r="C297" s="28">
        <v>24999.767936000026</v>
      </c>
      <c r="D297" s="28">
        <v>0</v>
      </c>
      <c r="E297" s="28">
        <v>23638.457913066566</v>
      </c>
      <c r="F297" s="28">
        <v>24999.767936000026</v>
      </c>
      <c r="G297" s="28">
        <v>23638.457913066566</v>
      </c>
    </row>
    <row r="298" spans="1:7" ht="11.25" customHeight="1" x14ac:dyDescent="0.2">
      <c r="A298" s="37" t="s">
        <v>25</v>
      </c>
      <c r="B298" s="28">
        <v>72158.654400000029</v>
      </c>
      <c r="C298" s="28">
        <v>0</v>
      </c>
      <c r="D298" s="28">
        <v>62298.622202094339</v>
      </c>
      <c r="E298" s="28">
        <v>0</v>
      </c>
      <c r="F298" s="28">
        <v>72158.654399999999</v>
      </c>
      <c r="G298" s="28">
        <v>62298.622202094339</v>
      </c>
    </row>
    <row r="299" spans="1:7" ht="11.25" customHeight="1" x14ac:dyDescent="0.2">
      <c r="A299" s="38">
        <v>44317</v>
      </c>
      <c r="B299" s="28">
        <v>5253.4944000000114</v>
      </c>
      <c r="C299" s="28">
        <v>0</v>
      </c>
      <c r="D299" s="28">
        <v>4535.6370013798214</v>
      </c>
      <c r="E299" s="28">
        <v>0</v>
      </c>
      <c r="F299" s="28">
        <v>5253.4944000000114</v>
      </c>
      <c r="G299" s="28">
        <v>4535.6370013798214</v>
      </c>
    </row>
    <row r="300" spans="1:7" ht="11.25" customHeight="1" x14ac:dyDescent="0.2">
      <c r="A300" s="38">
        <v>44348</v>
      </c>
      <c r="B300" s="28">
        <v>4730.3087999999971</v>
      </c>
      <c r="C300" s="28">
        <v>0</v>
      </c>
      <c r="D300" s="28">
        <v>4083.9414659378958</v>
      </c>
      <c r="E300" s="28">
        <v>0</v>
      </c>
      <c r="F300" s="28">
        <v>4730.3087999999971</v>
      </c>
      <c r="G300" s="28">
        <v>4083.9414659378958</v>
      </c>
    </row>
    <row r="301" spans="1:7" ht="11.25" customHeight="1" x14ac:dyDescent="0.2">
      <c r="A301" s="38">
        <v>44378</v>
      </c>
      <c r="B301" s="28">
        <v>4506.196799999997</v>
      </c>
      <c r="C301" s="28">
        <v>0</v>
      </c>
      <c r="D301" s="28">
        <v>3890.4529795595276</v>
      </c>
      <c r="E301" s="28">
        <v>0</v>
      </c>
      <c r="F301" s="28">
        <v>4506.196799999997</v>
      </c>
      <c r="G301" s="28">
        <v>3890.4529795595276</v>
      </c>
    </row>
    <row r="302" spans="1:7" ht="11.25" customHeight="1" x14ac:dyDescent="0.2">
      <c r="A302" s="38">
        <v>44409</v>
      </c>
      <c r="B302" s="28">
        <v>5198.6256000000021</v>
      </c>
      <c r="C302" s="28">
        <v>0</v>
      </c>
      <c r="D302" s="28">
        <v>4488.265682300972</v>
      </c>
      <c r="E302" s="28">
        <v>0</v>
      </c>
      <c r="F302" s="28">
        <v>5198.6256000000021</v>
      </c>
      <c r="G302" s="28">
        <v>4488.265682300972</v>
      </c>
    </row>
    <row r="303" spans="1:7" ht="11.25" customHeight="1" x14ac:dyDescent="0.2">
      <c r="A303" s="38">
        <v>44440</v>
      </c>
      <c r="B303" s="28">
        <v>7204.0415999999987</v>
      </c>
      <c r="C303" s="28">
        <v>0</v>
      </c>
      <c r="D303" s="28">
        <v>6219.6540345487801</v>
      </c>
      <c r="E303" s="28">
        <v>0</v>
      </c>
      <c r="F303" s="28">
        <v>7204.0415999999987</v>
      </c>
      <c r="G303" s="28">
        <v>6219.6540345487801</v>
      </c>
    </row>
    <row r="304" spans="1:7" ht="11.25" customHeight="1" x14ac:dyDescent="0.2">
      <c r="A304" s="38">
        <v>44470</v>
      </c>
      <c r="B304" s="28">
        <v>6775.1375999999946</v>
      </c>
      <c r="C304" s="28">
        <v>0</v>
      </c>
      <c r="D304" s="28">
        <v>5849.3571037212096</v>
      </c>
      <c r="E304" s="28">
        <v>0</v>
      </c>
      <c r="F304" s="28">
        <v>6775.1375999999946</v>
      </c>
      <c r="G304" s="28">
        <v>5849.3571037212096</v>
      </c>
    </row>
    <row r="305" spans="1:7" ht="11.25" customHeight="1" x14ac:dyDescent="0.2">
      <c r="A305" s="38">
        <v>44501</v>
      </c>
      <c r="B305" s="28">
        <v>6291.3648000000067</v>
      </c>
      <c r="C305" s="28">
        <v>0</v>
      </c>
      <c r="D305" s="28">
        <v>5431.6888538148114</v>
      </c>
      <c r="E305" s="28">
        <v>0</v>
      </c>
      <c r="F305" s="28">
        <v>6291.3648000000067</v>
      </c>
      <c r="G305" s="28">
        <v>5431.6888538148114</v>
      </c>
    </row>
    <row r="306" spans="1:7" ht="11.25" customHeight="1" x14ac:dyDescent="0.2">
      <c r="A306" s="38">
        <v>44531</v>
      </c>
      <c r="B306" s="28">
        <v>7073.4383999999909</v>
      </c>
      <c r="C306" s="28">
        <v>0</v>
      </c>
      <c r="D306" s="28">
        <v>6106.8969511075866</v>
      </c>
      <c r="E306" s="28">
        <v>0</v>
      </c>
      <c r="F306" s="28">
        <v>7073.4383999999909</v>
      </c>
      <c r="G306" s="28">
        <v>6106.8969511075866</v>
      </c>
    </row>
    <row r="307" spans="1:7" ht="11.25" customHeight="1" x14ac:dyDescent="0.2">
      <c r="A307" s="38">
        <v>44562</v>
      </c>
      <c r="B307" s="28">
        <v>6913.468800000016</v>
      </c>
      <c r="C307" s="28">
        <v>0</v>
      </c>
      <c r="D307" s="28">
        <v>5968.7862039340835</v>
      </c>
      <c r="E307" s="28">
        <v>0</v>
      </c>
      <c r="F307" s="28">
        <v>6913.468800000016</v>
      </c>
      <c r="G307" s="28">
        <v>5968.7862039340835</v>
      </c>
    </row>
    <row r="308" spans="1:7" ht="11.25" customHeight="1" x14ac:dyDescent="0.2">
      <c r="A308" s="38">
        <v>44593</v>
      </c>
      <c r="B308" s="28">
        <v>6292.9104000000025</v>
      </c>
      <c r="C308" s="28">
        <v>0</v>
      </c>
      <c r="D308" s="28">
        <v>5433.0232571691422</v>
      </c>
      <c r="E308" s="28">
        <v>0</v>
      </c>
      <c r="F308" s="28">
        <v>6292.9104000000025</v>
      </c>
      <c r="G308" s="28">
        <v>5433.0232571691422</v>
      </c>
    </row>
    <row r="309" spans="1:7" ht="11.25" customHeight="1" x14ac:dyDescent="0.2">
      <c r="A309" s="38">
        <v>44621</v>
      </c>
      <c r="B309" s="28">
        <v>6418.8767999999918</v>
      </c>
      <c r="C309" s="28">
        <v>0</v>
      </c>
      <c r="D309" s="28">
        <v>5541.7771305473188</v>
      </c>
      <c r="E309" s="28">
        <v>0</v>
      </c>
      <c r="F309" s="28">
        <v>6418.8767999999918</v>
      </c>
      <c r="G309" s="28">
        <v>5541.7771305473188</v>
      </c>
    </row>
    <row r="310" spans="1:7" ht="11.25" customHeight="1" x14ac:dyDescent="0.2">
      <c r="A310" s="38">
        <v>44652</v>
      </c>
      <c r="B310" s="28">
        <v>5500.7904000000053</v>
      </c>
      <c r="C310" s="28">
        <v>0</v>
      </c>
      <c r="D310" s="28">
        <v>4749.1415380731878</v>
      </c>
      <c r="E310" s="28">
        <v>0</v>
      </c>
      <c r="F310" s="28">
        <v>5500.7904000000053</v>
      </c>
      <c r="G310" s="28">
        <v>4749.1415380731878</v>
      </c>
    </row>
    <row r="311" spans="1:7" ht="11.25" customHeight="1" x14ac:dyDescent="0.2">
      <c r="A311" s="37" t="s">
        <v>35</v>
      </c>
      <c r="B311" s="28">
        <v>0</v>
      </c>
      <c r="C311" s="28">
        <v>51027.306527999994</v>
      </c>
      <c r="D311" s="28">
        <v>0</v>
      </c>
      <c r="E311" s="28">
        <v>50000.687711224571</v>
      </c>
      <c r="F311" s="28">
        <v>51027.306527999986</v>
      </c>
      <c r="G311" s="28">
        <v>50000.687711224586</v>
      </c>
    </row>
    <row r="312" spans="1:7" ht="11.25" customHeight="1" x14ac:dyDescent="0.2">
      <c r="A312" s="38">
        <v>44317</v>
      </c>
      <c r="B312" s="28">
        <v>0</v>
      </c>
      <c r="C312" s="28">
        <v>3778.8205632000045</v>
      </c>
      <c r="D312" s="28">
        <v>0</v>
      </c>
      <c r="E312" s="28">
        <v>3702.7944399463645</v>
      </c>
      <c r="F312" s="28">
        <v>3778.8205632000045</v>
      </c>
      <c r="G312" s="28">
        <v>3702.7944399463645</v>
      </c>
    </row>
    <row r="313" spans="1:7" ht="11.25" customHeight="1" x14ac:dyDescent="0.2">
      <c r="A313" s="38">
        <v>44348</v>
      </c>
      <c r="B313" s="28">
        <v>0</v>
      </c>
      <c r="C313" s="28">
        <v>3091.9825408000024</v>
      </c>
      <c r="D313" s="28">
        <v>0</v>
      </c>
      <c r="E313" s="28">
        <v>3029.7749175976192</v>
      </c>
      <c r="F313" s="28">
        <v>3091.9825408000024</v>
      </c>
      <c r="G313" s="28">
        <v>3029.7749175976192</v>
      </c>
    </row>
    <row r="314" spans="1:7" ht="11.25" customHeight="1" x14ac:dyDescent="0.2">
      <c r="A314" s="38">
        <v>44378</v>
      </c>
      <c r="B314" s="28">
        <v>0</v>
      </c>
      <c r="C314" s="28">
        <v>3132.5415519999988</v>
      </c>
      <c r="D314" s="28">
        <v>0</v>
      </c>
      <c r="E314" s="28">
        <v>3069.5179217041418</v>
      </c>
      <c r="F314" s="28">
        <v>3132.5415519999988</v>
      </c>
      <c r="G314" s="28">
        <v>3069.5179217041418</v>
      </c>
    </row>
    <row r="315" spans="1:7" ht="11.25" customHeight="1" x14ac:dyDescent="0.2">
      <c r="A315" s="38">
        <v>44409</v>
      </c>
      <c r="B315" s="28">
        <v>0</v>
      </c>
      <c r="C315" s="28">
        <v>3191.5144512000029</v>
      </c>
      <c r="D315" s="28">
        <v>0</v>
      </c>
      <c r="E315" s="28">
        <v>3127.3043446403972</v>
      </c>
      <c r="F315" s="28">
        <v>3191.5144512000029</v>
      </c>
      <c r="G315" s="28">
        <v>3127.3043446403972</v>
      </c>
    </row>
    <row r="316" spans="1:7" ht="11.25" customHeight="1" x14ac:dyDescent="0.2">
      <c r="A316" s="38">
        <v>44440</v>
      </c>
      <c r="B316" s="28">
        <v>0</v>
      </c>
      <c r="C316" s="28">
        <v>3771.6003808000073</v>
      </c>
      <c r="D316" s="28">
        <v>0</v>
      </c>
      <c r="E316" s="28">
        <v>3695.7195204578707</v>
      </c>
      <c r="F316" s="28">
        <v>3771.6003808000073</v>
      </c>
      <c r="G316" s="28">
        <v>3695.7195204578707</v>
      </c>
    </row>
    <row r="317" spans="1:7" ht="11.25" customHeight="1" x14ac:dyDescent="0.2">
      <c r="A317" s="38">
        <v>44470</v>
      </c>
      <c r="B317" s="28">
        <v>0</v>
      </c>
      <c r="C317" s="28">
        <v>3653.5576672000075</v>
      </c>
      <c r="D317" s="28">
        <v>0</v>
      </c>
      <c r="E317" s="28">
        <v>3580.0517092231075</v>
      </c>
      <c r="F317" s="28">
        <v>3653.5576672000075</v>
      </c>
      <c r="G317" s="28">
        <v>3580.0517092231075</v>
      </c>
    </row>
    <row r="318" spans="1:7" ht="11.25" customHeight="1" x14ac:dyDescent="0.2">
      <c r="A318" s="38">
        <v>44501</v>
      </c>
      <c r="B318" s="28">
        <v>0</v>
      </c>
      <c r="C318" s="28">
        <v>3815.8421695999923</v>
      </c>
      <c r="D318" s="28">
        <v>0</v>
      </c>
      <c r="E318" s="28">
        <v>3739.0712083303265</v>
      </c>
      <c r="F318" s="28">
        <v>3815.8421695999923</v>
      </c>
      <c r="G318" s="28">
        <v>3739.0712083303265</v>
      </c>
    </row>
    <row r="319" spans="1:7" ht="11.25" customHeight="1" x14ac:dyDescent="0.2">
      <c r="A319" s="38">
        <v>44531</v>
      </c>
      <c r="B319" s="28">
        <v>0</v>
      </c>
      <c r="C319" s="28">
        <v>5115.6203744000013</v>
      </c>
      <c r="D319" s="28">
        <v>0</v>
      </c>
      <c r="E319" s="28">
        <v>5012.6991643032679</v>
      </c>
      <c r="F319" s="28">
        <v>5115.6203744000013</v>
      </c>
      <c r="G319" s="28">
        <v>5012.6991643032679</v>
      </c>
    </row>
    <row r="320" spans="1:7" ht="11.25" customHeight="1" x14ac:dyDescent="0.2">
      <c r="A320" s="38">
        <v>44562</v>
      </c>
      <c r="B320" s="28">
        <v>0</v>
      </c>
      <c r="C320" s="28">
        <v>5565.6461055999989</v>
      </c>
      <c r="D320" s="28">
        <v>0</v>
      </c>
      <c r="E320" s="28">
        <v>5453.67082396552</v>
      </c>
      <c r="F320" s="28">
        <v>5565.6461055999989</v>
      </c>
      <c r="G320" s="28">
        <v>5453.67082396552</v>
      </c>
    </row>
    <row r="321" spans="1:7" ht="11.25" customHeight="1" x14ac:dyDescent="0.2">
      <c r="A321" s="38">
        <v>44593</v>
      </c>
      <c r="B321" s="28">
        <v>0</v>
      </c>
      <c r="C321" s="28">
        <v>5273.1560319999853</v>
      </c>
      <c r="D321" s="28">
        <v>0</v>
      </c>
      <c r="E321" s="28">
        <v>5167.0653606596625</v>
      </c>
      <c r="F321" s="28">
        <v>5273.1560319999853</v>
      </c>
      <c r="G321" s="28">
        <v>5167.0653606596625</v>
      </c>
    </row>
    <row r="322" spans="1:7" ht="11.25" customHeight="1" x14ac:dyDescent="0.2">
      <c r="A322" s="38">
        <v>44621</v>
      </c>
      <c r="B322" s="28">
        <v>0</v>
      </c>
      <c r="C322" s="28">
        <v>6612.0879775999911</v>
      </c>
      <c r="D322" s="28">
        <v>0</v>
      </c>
      <c r="E322" s="28">
        <v>6479.0593229863325</v>
      </c>
      <c r="F322" s="28">
        <v>6612.0879775999911</v>
      </c>
      <c r="G322" s="28">
        <v>6479.0593229863325</v>
      </c>
    </row>
    <row r="323" spans="1:7" ht="11.25" customHeight="1" x14ac:dyDescent="0.2">
      <c r="A323" s="38">
        <v>44652</v>
      </c>
      <c r="B323" s="28">
        <v>0</v>
      </c>
      <c r="C323" s="28">
        <v>4024.9367136000001</v>
      </c>
      <c r="D323" s="28">
        <v>0</v>
      </c>
      <c r="E323" s="28">
        <v>3943.958977409975</v>
      </c>
      <c r="F323" s="28">
        <v>4024.9367136000001</v>
      </c>
      <c r="G323" s="28">
        <v>3943.958977409975</v>
      </c>
    </row>
    <row r="324" spans="1:7" ht="11.25" customHeight="1" x14ac:dyDescent="0.2">
      <c r="A324" s="31" t="s">
        <v>43</v>
      </c>
      <c r="B324" s="28">
        <v>0</v>
      </c>
      <c r="C324" s="28">
        <v>2327782.3911936171</v>
      </c>
      <c r="D324" s="28">
        <v>0</v>
      </c>
      <c r="E324" s="28">
        <v>1150628.2162135027</v>
      </c>
      <c r="F324" s="28">
        <v>2327782.3911936167</v>
      </c>
      <c r="G324" s="28">
        <v>1150628.2162135025</v>
      </c>
    </row>
    <row r="325" spans="1:7" ht="11.25" customHeight="1" x14ac:dyDescent="0.2">
      <c r="A325" s="32" t="s">
        <v>37</v>
      </c>
      <c r="B325" s="28">
        <v>0</v>
      </c>
      <c r="C325" s="28">
        <v>189.10787361702123</v>
      </c>
      <c r="D325" s="28">
        <v>0</v>
      </c>
      <c r="E325" s="28">
        <v>199.51057896671378</v>
      </c>
      <c r="F325" s="28">
        <v>189.10787361702123</v>
      </c>
      <c r="G325" s="28">
        <v>199.51057896671378</v>
      </c>
    </row>
    <row r="326" spans="1:7" ht="11.25" customHeight="1" x14ac:dyDescent="0.2">
      <c r="A326" s="33" t="s">
        <v>44</v>
      </c>
      <c r="B326" s="28">
        <v>0</v>
      </c>
      <c r="C326" s="28">
        <v>189.10787361702123</v>
      </c>
      <c r="D326" s="28">
        <v>0</v>
      </c>
      <c r="E326" s="28">
        <v>199.51057896671378</v>
      </c>
      <c r="F326" s="28">
        <v>189.10787361702123</v>
      </c>
      <c r="G326" s="28">
        <v>199.51057896671378</v>
      </c>
    </row>
    <row r="327" spans="1:7" ht="11.25" customHeight="1" x14ac:dyDescent="0.2">
      <c r="A327" s="34" t="s">
        <v>25</v>
      </c>
      <c r="B327" s="28">
        <v>0</v>
      </c>
      <c r="C327" s="28">
        <v>189.10787361702123</v>
      </c>
      <c r="D327" s="28">
        <v>0</v>
      </c>
      <c r="E327" s="28">
        <v>199.51057896671378</v>
      </c>
      <c r="F327" s="28">
        <v>189.10787361702123</v>
      </c>
      <c r="G327" s="28">
        <v>199.51057896671378</v>
      </c>
    </row>
    <row r="328" spans="1:7" ht="11.25" customHeight="1" x14ac:dyDescent="0.2">
      <c r="A328" s="35" t="s">
        <v>25</v>
      </c>
      <c r="B328" s="28">
        <v>0</v>
      </c>
      <c r="C328" s="28">
        <v>189.10787361702123</v>
      </c>
      <c r="D328" s="28">
        <v>0</v>
      </c>
      <c r="E328" s="28">
        <v>199.51057896671378</v>
      </c>
      <c r="F328" s="28">
        <v>189.10787361702123</v>
      </c>
      <c r="G328" s="28">
        <v>199.51057896671378</v>
      </c>
    </row>
    <row r="329" spans="1:7" ht="11.25" customHeight="1" x14ac:dyDescent="0.2">
      <c r="A329" s="36" t="s">
        <v>25</v>
      </c>
      <c r="B329" s="28">
        <v>0</v>
      </c>
      <c r="C329" s="28">
        <v>189.10787361702123</v>
      </c>
      <c r="D329" s="28">
        <v>0</v>
      </c>
      <c r="E329" s="28">
        <v>199.51057896671378</v>
      </c>
      <c r="F329" s="28">
        <v>189.10787361702123</v>
      </c>
      <c r="G329" s="28">
        <v>199.51057896671378</v>
      </c>
    </row>
    <row r="330" spans="1:7" ht="11.25" customHeight="1" x14ac:dyDescent="0.2">
      <c r="A330" s="37" t="s">
        <v>36</v>
      </c>
      <c r="B330" s="28">
        <v>0</v>
      </c>
      <c r="C330" s="28">
        <v>128.94289531914893</v>
      </c>
      <c r="D330" s="28">
        <v>0</v>
      </c>
      <c r="E330" s="28">
        <v>135.51977790539041</v>
      </c>
      <c r="F330" s="28">
        <v>128.94289531914893</v>
      </c>
      <c r="G330" s="28">
        <v>135.51977790539041</v>
      </c>
    </row>
    <row r="331" spans="1:7" ht="11.25" customHeight="1" x14ac:dyDescent="0.2">
      <c r="A331" s="38">
        <v>44317</v>
      </c>
      <c r="B331" s="28">
        <v>0</v>
      </c>
      <c r="C331" s="28">
        <v>8.4258210638297868</v>
      </c>
      <c r="D331" s="28">
        <v>0</v>
      </c>
      <c r="E331" s="28">
        <v>8.8555898827501967</v>
      </c>
      <c r="F331" s="28">
        <v>8.4258210638297868</v>
      </c>
      <c r="G331" s="28">
        <v>8.8555898827501967</v>
      </c>
    </row>
    <row r="332" spans="1:7" ht="11.25" customHeight="1" x14ac:dyDescent="0.2">
      <c r="A332" s="38">
        <v>44348</v>
      </c>
      <c r="B332" s="28">
        <v>0</v>
      </c>
      <c r="C332" s="28">
        <v>8.4511238297872335</v>
      </c>
      <c r="D332" s="28">
        <v>0</v>
      </c>
      <c r="E332" s="28">
        <v>8.8821832457614569</v>
      </c>
      <c r="F332" s="28">
        <v>8.4511238297872335</v>
      </c>
      <c r="G332" s="28">
        <v>8.8821832457614569</v>
      </c>
    </row>
    <row r="333" spans="1:7" ht="11.25" customHeight="1" x14ac:dyDescent="0.2">
      <c r="A333" s="38">
        <v>44378</v>
      </c>
      <c r="B333" s="28">
        <v>0</v>
      </c>
      <c r="C333" s="28">
        <v>8.0968851063829792</v>
      </c>
      <c r="D333" s="28">
        <v>0</v>
      </c>
      <c r="E333" s="28">
        <v>8.5098761636037921</v>
      </c>
      <c r="F333" s="28">
        <v>8.0968851063829792</v>
      </c>
      <c r="G333" s="28">
        <v>8.5098761636037921</v>
      </c>
    </row>
    <row r="334" spans="1:7" ht="11.25" customHeight="1" x14ac:dyDescent="0.2">
      <c r="A334" s="38">
        <v>44409</v>
      </c>
      <c r="B334" s="28">
        <v>0</v>
      </c>
      <c r="C334" s="28">
        <v>9.6150510638297852</v>
      </c>
      <c r="D334" s="28">
        <v>0</v>
      </c>
      <c r="E334" s="28">
        <v>10.105477944279503</v>
      </c>
      <c r="F334" s="28">
        <v>9.6150510638297852</v>
      </c>
      <c r="G334" s="28">
        <v>10.105477944279503</v>
      </c>
    </row>
    <row r="335" spans="1:7" ht="11.25" customHeight="1" x14ac:dyDescent="0.2">
      <c r="A335" s="38">
        <v>44440</v>
      </c>
      <c r="B335" s="28">
        <v>0</v>
      </c>
      <c r="C335" s="28">
        <v>11.563364042553195</v>
      </c>
      <c r="D335" s="28">
        <v>0</v>
      </c>
      <c r="E335" s="28">
        <v>12.153166896146667</v>
      </c>
      <c r="F335" s="28">
        <v>11.563364042553195</v>
      </c>
      <c r="G335" s="28">
        <v>12.153166896146667</v>
      </c>
    </row>
    <row r="336" spans="1:7" ht="11.25" customHeight="1" x14ac:dyDescent="0.2">
      <c r="A336" s="38">
        <v>44470</v>
      </c>
      <c r="B336" s="28">
        <v>0</v>
      </c>
      <c r="C336" s="28">
        <v>11.335639148936169</v>
      </c>
      <c r="D336" s="28">
        <v>0</v>
      </c>
      <c r="E336" s="28">
        <v>11.91382662904531</v>
      </c>
      <c r="F336" s="28">
        <v>11.335639148936169</v>
      </c>
      <c r="G336" s="28">
        <v>11.91382662904531</v>
      </c>
    </row>
    <row r="337" spans="1:7" ht="11.25" customHeight="1" x14ac:dyDescent="0.2">
      <c r="A337" s="38">
        <v>44501</v>
      </c>
      <c r="B337" s="28">
        <v>0</v>
      </c>
      <c r="C337" s="28">
        <v>12.069419361702126</v>
      </c>
      <c r="D337" s="28">
        <v>0</v>
      </c>
      <c r="E337" s="28">
        <v>12.685034156371904</v>
      </c>
      <c r="F337" s="28">
        <v>12.069419361702126</v>
      </c>
      <c r="G337" s="28">
        <v>12.685034156371904</v>
      </c>
    </row>
    <row r="338" spans="1:7" ht="11.25" customHeight="1" x14ac:dyDescent="0.2">
      <c r="A338" s="38">
        <v>44531</v>
      </c>
      <c r="B338" s="28">
        <v>0</v>
      </c>
      <c r="C338" s="28">
        <v>10.930794893617021</v>
      </c>
      <c r="D338" s="28">
        <v>0</v>
      </c>
      <c r="E338" s="28">
        <v>11.488332820865121</v>
      </c>
      <c r="F338" s="28">
        <v>10.930794893617021</v>
      </c>
      <c r="G338" s="28">
        <v>11.488332820865121</v>
      </c>
    </row>
    <row r="339" spans="1:7" ht="11.25" customHeight="1" x14ac:dyDescent="0.2">
      <c r="A339" s="38">
        <v>44562</v>
      </c>
      <c r="B339" s="28">
        <v>0</v>
      </c>
      <c r="C339" s="28">
        <v>10.753675531914892</v>
      </c>
      <c r="D339" s="28">
        <v>0</v>
      </c>
      <c r="E339" s="28">
        <v>11.302179279786285</v>
      </c>
      <c r="F339" s="28">
        <v>10.753675531914892</v>
      </c>
      <c r="G339" s="28">
        <v>11.302179279786285</v>
      </c>
    </row>
    <row r="340" spans="1:7" ht="11.25" customHeight="1" x14ac:dyDescent="0.2">
      <c r="A340" s="38">
        <v>44593</v>
      </c>
      <c r="B340" s="28">
        <v>0</v>
      </c>
      <c r="C340" s="28">
        <v>11.841694468085105</v>
      </c>
      <c r="D340" s="28">
        <v>0</v>
      </c>
      <c r="E340" s="28">
        <v>12.445693889270547</v>
      </c>
      <c r="F340" s="28">
        <v>11.841694468085105</v>
      </c>
      <c r="G340" s="28">
        <v>12.445693889270547</v>
      </c>
    </row>
    <row r="341" spans="1:7" ht="11.25" customHeight="1" x14ac:dyDescent="0.2">
      <c r="A341" s="38">
        <v>44621</v>
      </c>
      <c r="B341" s="28">
        <v>0</v>
      </c>
      <c r="C341" s="28">
        <v>14.346668297872339</v>
      </c>
      <c r="D341" s="28">
        <v>0</v>
      </c>
      <c r="E341" s="28">
        <v>15.078436827385469</v>
      </c>
      <c r="F341" s="28">
        <v>14.346668297872339</v>
      </c>
      <c r="G341" s="28">
        <v>15.078436827385469</v>
      </c>
    </row>
    <row r="342" spans="1:7" ht="11.25" customHeight="1" x14ac:dyDescent="0.2">
      <c r="A342" s="38">
        <v>44652</v>
      </c>
      <c r="B342" s="28">
        <v>0</v>
      </c>
      <c r="C342" s="28">
        <v>11.512758510638299</v>
      </c>
      <c r="D342" s="28">
        <v>0</v>
      </c>
      <c r="E342" s="28">
        <v>12.099980170124145</v>
      </c>
      <c r="F342" s="28">
        <v>11.512758510638299</v>
      </c>
      <c r="G342" s="28">
        <v>12.099980170124145</v>
      </c>
    </row>
    <row r="343" spans="1:7" ht="11.25" customHeight="1" x14ac:dyDescent="0.2">
      <c r="A343" s="37" t="s">
        <v>38</v>
      </c>
      <c r="B343" s="28">
        <v>0</v>
      </c>
      <c r="C343" s="28">
        <v>21.454455957446807</v>
      </c>
      <c r="D343" s="28">
        <v>0</v>
      </c>
      <c r="E343" s="28">
        <v>22.751460392541865</v>
      </c>
      <c r="F343" s="28">
        <v>21.454455957446807</v>
      </c>
      <c r="G343" s="28">
        <v>22.751460392541865</v>
      </c>
    </row>
    <row r="344" spans="1:7" ht="11.25" customHeight="1" x14ac:dyDescent="0.2">
      <c r="A344" s="38">
        <v>44317</v>
      </c>
      <c r="B344" s="28">
        <v>0</v>
      </c>
      <c r="C344" s="28">
        <v>1.3013968085106384</v>
      </c>
      <c r="D344" s="28">
        <v>0</v>
      </c>
      <c r="E344" s="28">
        <v>1.3800712543136318</v>
      </c>
      <c r="F344" s="28">
        <v>1.3013968085106384</v>
      </c>
      <c r="G344" s="28">
        <v>1.3800712543136318</v>
      </c>
    </row>
    <row r="345" spans="1:7" ht="11.25" customHeight="1" x14ac:dyDescent="0.2">
      <c r="A345" s="38">
        <v>44348</v>
      </c>
      <c r="B345" s="28">
        <v>0</v>
      </c>
      <c r="C345" s="28">
        <v>1.3385795744680848</v>
      </c>
      <c r="D345" s="28">
        <v>0</v>
      </c>
      <c r="E345" s="28">
        <v>1.419501861579735</v>
      </c>
      <c r="F345" s="28">
        <v>1.3385795744680848</v>
      </c>
      <c r="G345" s="28">
        <v>1.419501861579735</v>
      </c>
    </row>
    <row r="346" spans="1:7" ht="11.25" customHeight="1" x14ac:dyDescent="0.2">
      <c r="A346" s="38">
        <v>44378</v>
      </c>
      <c r="B346" s="28">
        <v>0</v>
      </c>
      <c r="C346" s="28">
        <v>1.2642140425531916</v>
      </c>
      <c r="D346" s="28">
        <v>0</v>
      </c>
      <c r="E346" s="28">
        <v>1.3406406470475278</v>
      </c>
      <c r="F346" s="28">
        <v>1.2642140425531916</v>
      </c>
      <c r="G346" s="28">
        <v>1.3406406470475278</v>
      </c>
    </row>
    <row r="347" spans="1:7" ht="11.25" customHeight="1" x14ac:dyDescent="0.2">
      <c r="A347" s="38">
        <v>44409</v>
      </c>
      <c r="B347" s="28">
        <v>0</v>
      </c>
      <c r="C347" s="28">
        <v>1.4501278723404254</v>
      </c>
      <c r="D347" s="28">
        <v>0</v>
      </c>
      <c r="E347" s="28">
        <v>1.5377936833780466</v>
      </c>
      <c r="F347" s="28">
        <v>1.4501278723404254</v>
      </c>
      <c r="G347" s="28">
        <v>1.5377936833780466</v>
      </c>
    </row>
    <row r="348" spans="1:7" ht="11.25" customHeight="1" x14ac:dyDescent="0.2">
      <c r="A348" s="38">
        <v>44440</v>
      </c>
      <c r="B348" s="28">
        <v>0</v>
      </c>
      <c r="C348" s="28">
        <v>6.0979736170212764</v>
      </c>
      <c r="D348" s="28">
        <v>0</v>
      </c>
      <c r="E348" s="28">
        <v>6.4666195916410159</v>
      </c>
      <c r="F348" s="28">
        <v>6.0979736170212764</v>
      </c>
      <c r="G348" s="28">
        <v>6.4666195916410159</v>
      </c>
    </row>
    <row r="349" spans="1:7" ht="11.25" customHeight="1" x14ac:dyDescent="0.2">
      <c r="A349" s="38">
        <v>44470</v>
      </c>
      <c r="B349" s="28">
        <v>0</v>
      </c>
      <c r="C349" s="28">
        <v>1.1898485106382979</v>
      </c>
      <c r="D349" s="28">
        <v>0</v>
      </c>
      <c r="E349" s="28">
        <v>1.2617794325153202</v>
      </c>
      <c r="F349" s="28">
        <v>1.1898485106382979</v>
      </c>
      <c r="G349" s="28">
        <v>1.2617794325153202</v>
      </c>
    </row>
    <row r="350" spans="1:7" ht="11.25" customHeight="1" x14ac:dyDescent="0.2">
      <c r="A350" s="38">
        <v>44501</v>
      </c>
      <c r="B350" s="28">
        <v>0</v>
      </c>
      <c r="C350" s="28">
        <v>1.152665744680851</v>
      </c>
      <c r="D350" s="28">
        <v>0</v>
      </c>
      <c r="E350" s="28">
        <v>1.2223488252492165</v>
      </c>
      <c r="F350" s="28">
        <v>1.152665744680851</v>
      </c>
      <c r="G350" s="28">
        <v>1.2223488252492165</v>
      </c>
    </row>
    <row r="351" spans="1:7" ht="11.25" customHeight="1" x14ac:dyDescent="0.2">
      <c r="A351" s="38">
        <v>44531</v>
      </c>
      <c r="B351" s="28">
        <v>0</v>
      </c>
      <c r="C351" s="28">
        <v>1.2642140425531916</v>
      </c>
      <c r="D351" s="28">
        <v>0</v>
      </c>
      <c r="E351" s="28">
        <v>1.3406406470475278</v>
      </c>
      <c r="F351" s="28">
        <v>1.2642140425531916</v>
      </c>
      <c r="G351" s="28">
        <v>1.3406406470475278</v>
      </c>
    </row>
    <row r="352" spans="1:7" ht="11.25" customHeight="1" x14ac:dyDescent="0.2">
      <c r="A352" s="38">
        <v>44562</v>
      </c>
      <c r="B352" s="28">
        <v>0</v>
      </c>
      <c r="C352" s="28">
        <v>1.3013968085106384</v>
      </c>
      <c r="D352" s="28">
        <v>0</v>
      </c>
      <c r="E352" s="28">
        <v>1.3800712543136318</v>
      </c>
      <c r="F352" s="28">
        <v>1.3013968085106384</v>
      </c>
      <c r="G352" s="28">
        <v>1.3800712543136318</v>
      </c>
    </row>
    <row r="353" spans="1:7" ht="11.25" customHeight="1" x14ac:dyDescent="0.2">
      <c r="A353" s="38">
        <v>44593</v>
      </c>
      <c r="B353" s="28">
        <v>0</v>
      </c>
      <c r="C353" s="28">
        <v>1.6732244680851061</v>
      </c>
      <c r="D353" s="28">
        <v>0</v>
      </c>
      <c r="E353" s="28">
        <v>1.7743773269746688</v>
      </c>
      <c r="F353" s="28">
        <v>1.6732244680851061</v>
      </c>
      <c r="G353" s="28">
        <v>1.7743773269746688</v>
      </c>
    </row>
    <row r="354" spans="1:7" ht="11.25" customHeight="1" x14ac:dyDescent="0.2">
      <c r="A354" s="38">
        <v>44621</v>
      </c>
      <c r="B354" s="28">
        <v>0</v>
      </c>
      <c r="C354" s="28">
        <v>1.6732244680851061</v>
      </c>
      <c r="D354" s="28">
        <v>0</v>
      </c>
      <c r="E354" s="28">
        <v>1.7743773269746688</v>
      </c>
      <c r="F354" s="28">
        <v>1.6732244680851061</v>
      </c>
      <c r="G354" s="28">
        <v>1.7743773269746688</v>
      </c>
    </row>
    <row r="355" spans="1:7" ht="11.25" customHeight="1" x14ac:dyDescent="0.2">
      <c r="A355" s="38">
        <v>44652</v>
      </c>
      <c r="B355" s="28">
        <v>0</v>
      </c>
      <c r="C355" s="28">
        <v>1.74759</v>
      </c>
      <c r="D355" s="28">
        <v>0</v>
      </c>
      <c r="E355" s="28">
        <v>1.8532385415068764</v>
      </c>
      <c r="F355" s="28">
        <v>1.74759</v>
      </c>
      <c r="G355" s="28">
        <v>1.8532385415068764</v>
      </c>
    </row>
    <row r="356" spans="1:7" ht="11.25" customHeight="1" x14ac:dyDescent="0.2">
      <c r="A356" s="37" t="s">
        <v>35</v>
      </c>
      <c r="B356" s="28">
        <v>0</v>
      </c>
      <c r="C356" s="28">
        <v>38.710522340425534</v>
      </c>
      <c r="D356" s="28">
        <v>0</v>
      </c>
      <c r="E356" s="28">
        <v>41.239340668781516</v>
      </c>
      <c r="F356" s="28">
        <v>38.710522340425534</v>
      </c>
      <c r="G356" s="28">
        <v>41.239340668781516</v>
      </c>
    </row>
    <row r="357" spans="1:7" ht="11.25" customHeight="1" x14ac:dyDescent="0.2">
      <c r="A357" s="38">
        <v>44317</v>
      </c>
      <c r="B357" s="28">
        <v>0</v>
      </c>
      <c r="C357" s="28">
        <v>2.9928287234042554</v>
      </c>
      <c r="D357" s="28">
        <v>0</v>
      </c>
      <c r="E357" s="28">
        <v>3.1883393926434374</v>
      </c>
      <c r="F357" s="28">
        <v>2.9928287234042554</v>
      </c>
      <c r="G357" s="28">
        <v>3.1883393926434374</v>
      </c>
    </row>
    <row r="358" spans="1:7" ht="11.25" customHeight="1" x14ac:dyDescent="0.2">
      <c r="A358" s="38">
        <v>44348</v>
      </c>
      <c r="B358" s="28">
        <v>0</v>
      </c>
      <c r="C358" s="28">
        <v>3.6797074468085107</v>
      </c>
      <c r="D358" s="28">
        <v>0</v>
      </c>
      <c r="E358" s="28">
        <v>3.9200894171845544</v>
      </c>
      <c r="F358" s="28">
        <v>3.6797074468085107</v>
      </c>
      <c r="G358" s="28">
        <v>3.9200894171845544</v>
      </c>
    </row>
    <row r="359" spans="1:7" ht="11.25" customHeight="1" x14ac:dyDescent="0.2">
      <c r="A359" s="38">
        <v>44378</v>
      </c>
      <c r="B359" s="28">
        <v>0</v>
      </c>
      <c r="C359" s="28">
        <v>3.1890797872340428</v>
      </c>
      <c r="D359" s="28">
        <v>0</v>
      </c>
      <c r="E359" s="28">
        <v>3.3974108282266142</v>
      </c>
      <c r="F359" s="28">
        <v>3.1890797872340428</v>
      </c>
      <c r="G359" s="28">
        <v>3.3974108282266142</v>
      </c>
    </row>
    <row r="360" spans="1:7" ht="11.25" customHeight="1" x14ac:dyDescent="0.2">
      <c r="A360" s="38">
        <v>44409</v>
      </c>
      <c r="B360" s="28">
        <v>0</v>
      </c>
      <c r="C360" s="28">
        <v>3.8759585106382985</v>
      </c>
      <c r="D360" s="28">
        <v>0</v>
      </c>
      <c r="E360" s="28">
        <v>4.1291608527677308</v>
      </c>
      <c r="F360" s="28">
        <v>3.8759585106382985</v>
      </c>
      <c r="G360" s="28">
        <v>4.1291608527677308</v>
      </c>
    </row>
    <row r="361" spans="1:7" ht="11.25" customHeight="1" x14ac:dyDescent="0.2">
      <c r="A361" s="38">
        <v>44440</v>
      </c>
      <c r="B361" s="28">
        <v>0</v>
      </c>
      <c r="C361" s="28">
        <v>3.4834563829787233</v>
      </c>
      <c r="D361" s="28">
        <v>0</v>
      </c>
      <c r="E361" s="28">
        <v>3.711017981601378</v>
      </c>
      <c r="F361" s="28">
        <v>3.4834563829787233</v>
      </c>
      <c r="G361" s="28">
        <v>3.711017981601378</v>
      </c>
    </row>
    <row r="362" spans="1:7" ht="11.25" customHeight="1" x14ac:dyDescent="0.2">
      <c r="A362" s="38">
        <v>44470</v>
      </c>
      <c r="B362" s="28">
        <v>0</v>
      </c>
      <c r="C362" s="28">
        <v>3.041891489361702</v>
      </c>
      <c r="D362" s="28">
        <v>0</v>
      </c>
      <c r="E362" s="28">
        <v>3.2406072515392323</v>
      </c>
      <c r="F362" s="28">
        <v>3.041891489361702</v>
      </c>
      <c r="G362" s="28">
        <v>3.2406072515392323</v>
      </c>
    </row>
    <row r="363" spans="1:7" ht="11.25" customHeight="1" x14ac:dyDescent="0.2">
      <c r="A363" s="38">
        <v>44501</v>
      </c>
      <c r="B363" s="28">
        <v>0</v>
      </c>
      <c r="C363" s="28">
        <v>2.4040755319148941</v>
      </c>
      <c r="D363" s="28">
        <v>0</v>
      </c>
      <c r="E363" s="28">
        <v>2.5611250858939094</v>
      </c>
      <c r="F363" s="28">
        <v>2.4040755319148941</v>
      </c>
      <c r="G363" s="28">
        <v>2.5611250858939094</v>
      </c>
    </row>
    <row r="364" spans="1:7" ht="11.25" customHeight="1" x14ac:dyDescent="0.2">
      <c r="A364" s="38">
        <v>44531</v>
      </c>
      <c r="B364" s="28">
        <v>0</v>
      </c>
      <c r="C364" s="28">
        <v>2.4040755319148941</v>
      </c>
      <c r="D364" s="28">
        <v>0</v>
      </c>
      <c r="E364" s="28">
        <v>2.5611250858939094</v>
      </c>
      <c r="F364" s="28">
        <v>2.4040755319148941</v>
      </c>
      <c r="G364" s="28">
        <v>2.5611250858939094</v>
      </c>
    </row>
    <row r="365" spans="1:7" ht="11.25" customHeight="1" x14ac:dyDescent="0.2">
      <c r="A365" s="38">
        <v>44562</v>
      </c>
      <c r="B365" s="28">
        <v>0</v>
      </c>
      <c r="C365" s="28">
        <v>2.6984521276595745</v>
      </c>
      <c r="D365" s="28">
        <v>0</v>
      </c>
      <c r="E365" s="28">
        <v>2.8747322392686732</v>
      </c>
      <c r="F365" s="28">
        <v>2.6984521276595745</v>
      </c>
      <c r="G365" s="28">
        <v>2.8747322392686732</v>
      </c>
    </row>
    <row r="366" spans="1:7" ht="11.25" customHeight="1" x14ac:dyDescent="0.2">
      <c r="A366" s="38">
        <v>44593</v>
      </c>
      <c r="B366" s="28">
        <v>0</v>
      </c>
      <c r="C366" s="28">
        <v>3.2381425531914898</v>
      </c>
      <c r="D366" s="28">
        <v>0</v>
      </c>
      <c r="E366" s="28">
        <v>3.4496786871224088</v>
      </c>
      <c r="F366" s="28">
        <v>3.2381425531914898</v>
      </c>
      <c r="G366" s="28">
        <v>3.4496786871224088</v>
      </c>
    </row>
    <row r="367" spans="1:7" ht="11.25" customHeight="1" x14ac:dyDescent="0.2">
      <c r="A367" s="38">
        <v>44621</v>
      </c>
      <c r="B367" s="28">
        <v>0</v>
      </c>
      <c r="C367" s="28">
        <v>3.9250212765957446</v>
      </c>
      <c r="D367" s="28">
        <v>0</v>
      </c>
      <c r="E367" s="28">
        <v>4.1814287116635249</v>
      </c>
      <c r="F367" s="28">
        <v>3.9250212765957446</v>
      </c>
      <c r="G367" s="28">
        <v>4.1814287116635249</v>
      </c>
    </row>
    <row r="368" spans="1:7" ht="11.25" customHeight="1" x14ac:dyDescent="0.2">
      <c r="A368" s="38">
        <v>44652</v>
      </c>
      <c r="B368" s="28">
        <v>0</v>
      </c>
      <c r="C368" s="28">
        <v>3.7778329787234046</v>
      </c>
      <c r="D368" s="28">
        <v>0</v>
      </c>
      <c r="E368" s="28">
        <v>4.0246251349761435</v>
      </c>
      <c r="F368" s="28">
        <v>3.7778329787234046</v>
      </c>
      <c r="G368" s="28">
        <v>4.0246251349761435</v>
      </c>
    </row>
    <row r="369" spans="1:7" ht="11.25" customHeight="1" x14ac:dyDescent="0.2">
      <c r="A369" s="32" t="s">
        <v>23</v>
      </c>
      <c r="B369" s="28">
        <v>0</v>
      </c>
      <c r="C369" s="28">
        <v>2327593.2833200004</v>
      </c>
      <c r="D369" s="28">
        <v>0</v>
      </c>
      <c r="E369" s="28">
        <v>1150428.705634536</v>
      </c>
      <c r="F369" s="28">
        <v>2327593.2833199999</v>
      </c>
      <c r="G369" s="28">
        <v>1150428.7056345358</v>
      </c>
    </row>
    <row r="370" spans="1:7" ht="11.25" customHeight="1" x14ac:dyDescent="0.2">
      <c r="A370" s="33" t="s">
        <v>44</v>
      </c>
      <c r="B370" s="28">
        <v>0</v>
      </c>
      <c r="C370" s="28">
        <v>2327593.2833200004</v>
      </c>
      <c r="D370" s="28">
        <v>0</v>
      </c>
      <c r="E370" s="28">
        <v>1150428.705634536</v>
      </c>
      <c r="F370" s="28">
        <v>2327593.2833199999</v>
      </c>
      <c r="G370" s="28">
        <v>1150428.7056345358</v>
      </c>
    </row>
    <row r="371" spans="1:7" ht="11.25" customHeight="1" x14ac:dyDescent="0.2">
      <c r="A371" s="34" t="s">
        <v>53</v>
      </c>
      <c r="B371" s="28">
        <v>0</v>
      </c>
      <c r="C371" s="28">
        <v>37389.631020000008</v>
      </c>
      <c r="D371" s="28">
        <v>0</v>
      </c>
      <c r="E371" s="28">
        <v>18480.077738125128</v>
      </c>
      <c r="F371" s="28">
        <v>37389.631020000008</v>
      </c>
      <c r="G371" s="28">
        <v>18480.077738125121</v>
      </c>
    </row>
    <row r="372" spans="1:7" ht="11.25" customHeight="1" x14ac:dyDescent="0.2">
      <c r="A372" s="35" t="s">
        <v>54</v>
      </c>
      <c r="B372" s="28">
        <v>0</v>
      </c>
      <c r="C372" s="28">
        <v>37158.520610000007</v>
      </c>
      <c r="D372" s="28">
        <v>0</v>
      </c>
      <c r="E372" s="28">
        <v>18365.849856587451</v>
      </c>
      <c r="F372" s="28">
        <v>37158.520610000007</v>
      </c>
      <c r="G372" s="28">
        <v>18365.849856587443</v>
      </c>
    </row>
    <row r="373" spans="1:7" ht="11.25" customHeight="1" x14ac:dyDescent="0.2">
      <c r="A373" s="36" t="s">
        <v>25</v>
      </c>
      <c r="B373" s="28">
        <v>0</v>
      </c>
      <c r="C373" s="28">
        <v>37158.520610000007</v>
      </c>
      <c r="D373" s="28">
        <v>0</v>
      </c>
      <c r="E373" s="28">
        <v>18365.849856587451</v>
      </c>
      <c r="F373" s="28">
        <v>37158.520610000007</v>
      </c>
      <c r="G373" s="28">
        <v>18365.849856587443</v>
      </c>
    </row>
    <row r="374" spans="1:7" ht="11.25" customHeight="1" x14ac:dyDescent="0.2">
      <c r="A374" s="37" t="s">
        <v>25</v>
      </c>
      <c r="B374" s="28">
        <v>0</v>
      </c>
      <c r="C374" s="28">
        <v>37158.520610000007</v>
      </c>
      <c r="D374" s="28">
        <v>0</v>
      </c>
      <c r="E374" s="28">
        <v>18365.849856587451</v>
      </c>
      <c r="F374" s="28">
        <v>37158.520610000007</v>
      </c>
      <c r="G374" s="28">
        <v>18365.849856587443</v>
      </c>
    </row>
    <row r="375" spans="1:7" ht="11.25" customHeight="1" x14ac:dyDescent="0.2">
      <c r="A375" s="38">
        <v>44317</v>
      </c>
      <c r="B375" s="28">
        <v>0</v>
      </c>
      <c r="C375" s="28">
        <v>3581.1482600000004</v>
      </c>
      <c r="D375" s="28">
        <v>0</v>
      </c>
      <c r="E375" s="28">
        <v>1770.0067219478949</v>
      </c>
      <c r="F375" s="28">
        <v>3581.1482600000004</v>
      </c>
      <c r="G375" s="28">
        <v>1770.0067219478949</v>
      </c>
    </row>
    <row r="376" spans="1:7" ht="11.25" customHeight="1" x14ac:dyDescent="0.2">
      <c r="A376" s="38">
        <v>44348</v>
      </c>
      <c r="B376" s="28">
        <v>0</v>
      </c>
      <c r="C376" s="28">
        <v>3488.6267800000005</v>
      </c>
      <c r="D376" s="28">
        <v>0</v>
      </c>
      <c r="E376" s="28">
        <v>1724.2773553774732</v>
      </c>
      <c r="F376" s="28">
        <v>3488.6267800000005</v>
      </c>
      <c r="G376" s="28">
        <v>1724.2773553774732</v>
      </c>
    </row>
    <row r="377" spans="1:7" ht="11.25" customHeight="1" x14ac:dyDescent="0.2">
      <c r="A377" s="38">
        <v>44378</v>
      </c>
      <c r="B377" s="28">
        <v>0</v>
      </c>
      <c r="C377" s="28">
        <v>2915.0064900000007</v>
      </c>
      <c r="D377" s="28">
        <v>0</v>
      </c>
      <c r="E377" s="28">
        <v>1440.7616516334174</v>
      </c>
      <c r="F377" s="28">
        <v>2915.0064900000007</v>
      </c>
      <c r="G377" s="28">
        <v>1440.7616516334174</v>
      </c>
    </row>
    <row r="378" spans="1:7" ht="11.25" customHeight="1" x14ac:dyDescent="0.2">
      <c r="A378" s="38">
        <v>44409</v>
      </c>
      <c r="B378" s="28">
        <v>0</v>
      </c>
      <c r="C378" s="28">
        <v>3825.5312500000005</v>
      </c>
      <c r="D378" s="28">
        <v>0</v>
      </c>
      <c r="E378" s="28">
        <v>1890.7946658208818</v>
      </c>
      <c r="F378" s="28">
        <v>3825.5312500000005</v>
      </c>
      <c r="G378" s="28">
        <v>1890.7946658208818</v>
      </c>
    </row>
    <row r="379" spans="1:7" ht="11.25" customHeight="1" x14ac:dyDescent="0.2">
      <c r="A379" s="38">
        <v>44440</v>
      </c>
      <c r="B379" s="28">
        <v>0</v>
      </c>
      <c r="C379" s="28">
        <v>5956.7467900000001</v>
      </c>
      <c r="D379" s="28">
        <v>0</v>
      </c>
      <c r="E379" s="28">
        <v>2944.162345080219</v>
      </c>
      <c r="F379" s="28">
        <v>5956.7467900000001</v>
      </c>
      <c r="G379" s="28">
        <v>2944.162345080219</v>
      </c>
    </row>
    <row r="380" spans="1:7" ht="11.25" customHeight="1" x14ac:dyDescent="0.2">
      <c r="A380" s="38">
        <v>44470</v>
      </c>
      <c r="B380" s="28">
        <v>0</v>
      </c>
      <c r="C380" s="28">
        <v>4781.2214400000012</v>
      </c>
      <c r="D380" s="28">
        <v>0</v>
      </c>
      <c r="E380" s="28">
        <v>2363.1509989260803</v>
      </c>
      <c r="F380" s="28">
        <v>4781.2214400000012</v>
      </c>
      <c r="G380" s="28">
        <v>2363.1509989260803</v>
      </c>
    </row>
    <row r="381" spans="1:7" ht="11.25" customHeight="1" x14ac:dyDescent="0.2">
      <c r="A381" s="38">
        <v>44501</v>
      </c>
      <c r="B381" s="28">
        <v>0</v>
      </c>
      <c r="C381" s="28">
        <v>1846.5638000000001</v>
      </c>
      <c r="D381" s="28">
        <v>0</v>
      </c>
      <c r="E381" s="28">
        <v>912.67663364086684</v>
      </c>
      <c r="F381" s="28">
        <v>1846.5638000000001</v>
      </c>
      <c r="G381" s="28">
        <v>912.67663364086684</v>
      </c>
    </row>
    <row r="382" spans="1:7" ht="11.25" customHeight="1" x14ac:dyDescent="0.2">
      <c r="A382" s="38">
        <v>44531</v>
      </c>
      <c r="B382" s="28">
        <v>0</v>
      </c>
      <c r="C382" s="28">
        <v>1981.8668000000002</v>
      </c>
      <c r="D382" s="28">
        <v>0</v>
      </c>
      <c r="E382" s="28">
        <v>979.55105550568965</v>
      </c>
      <c r="F382" s="28">
        <v>1981.8668000000002</v>
      </c>
      <c r="G382" s="28">
        <v>979.55105550568965</v>
      </c>
    </row>
    <row r="383" spans="1:7" ht="11.25" customHeight="1" x14ac:dyDescent="0.2">
      <c r="A383" s="38">
        <v>44562</v>
      </c>
      <c r="B383" s="28">
        <v>0</v>
      </c>
      <c r="C383" s="28">
        <v>1914.7951700000001</v>
      </c>
      <c r="D383" s="28">
        <v>0</v>
      </c>
      <c r="E383" s="28">
        <v>946.40044923841322</v>
      </c>
      <c r="F383" s="28">
        <v>1914.7951700000001</v>
      </c>
      <c r="G383" s="28">
        <v>946.40044923841322</v>
      </c>
    </row>
    <row r="384" spans="1:7" ht="11.25" customHeight="1" x14ac:dyDescent="0.2">
      <c r="A384" s="38">
        <v>44593</v>
      </c>
      <c r="B384" s="28">
        <v>0</v>
      </c>
      <c r="C384" s="28">
        <v>1868.7921500000002</v>
      </c>
      <c r="D384" s="28">
        <v>0</v>
      </c>
      <c r="E384" s="28">
        <v>923.66314580437358</v>
      </c>
      <c r="F384" s="28">
        <v>1868.7921500000002</v>
      </c>
      <c r="G384" s="28">
        <v>923.66314580437358</v>
      </c>
    </row>
    <row r="385" spans="1:7" ht="11.25" customHeight="1" x14ac:dyDescent="0.2">
      <c r="A385" s="38">
        <v>44621</v>
      </c>
      <c r="B385" s="28">
        <v>0</v>
      </c>
      <c r="C385" s="28">
        <v>2346.8627500000007</v>
      </c>
      <c r="D385" s="28">
        <v>0</v>
      </c>
      <c r="E385" s="28">
        <v>1159.9527697267474</v>
      </c>
      <c r="F385" s="28">
        <v>2346.8627500000007</v>
      </c>
      <c r="G385" s="28">
        <v>1159.9527697267474</v>
      </c>
    </row>
    <row r="386" spans="1:7" ht="11.25" customHeight="1" x14ac:dyDescent="0.2">
      <c r="A386" s="38">
        <v>44652</v>
      </c>
      <c r="B386" s="28">
        <v>0</v>
      </c>
      <c r="C386" s="28">
        <v>2651.3589300000003</v>
      </c>
      <c r="D386" s="28">
        <v>0</v>
      </c>
      <c r="E386" s="28">
        <v>1310.4520638853915</v>
      </c>
      <c r="F386" s="28">
        <v>2651.3589300000003</v>
      </c>
      <c r="G386" s="28">
        <v>1310.4520638853915</v>
      </c>
    </row>
    <row r="387" spans="1:7" ht="11.25" customHeight="1" x14ac:dyDescent="0.2">
      <c r="A387" s="35" t="s">
        <v>55</v>
      </c>
      <c r="B387" s="28">
        <v>0</v>
      </c>
      <c r="C387" s="28">
        <v>231.11041</v>
      </c>
      <c r="D387" s="28">
        <v>0</v>
      </c>
      <c r="E387" s="28">
        <v>114.22788153767584</v>
      </c>
      <c r="F387" s="28">
        <v>231.11041</v>
      </c>
      <c r="G387" s="28">
        <v>114.22788153767584</v>
      </c>
    </row>
    <row r="388" spans="1:7" ht="11.25" customHeight="1" x14ac:dyDescent="0.2">
      <c r="A388" s="36" t="s">
        <v>25</v>
      </c>
      <c r="B388" s="28">
        <v>0</v>
      </c>
      <c r="C388" s="28">
        <v>231.11041</v>
      </c>
      <c r="D388" s="28">
        <v>0</v>
      </c>
      <c r="E388" s="28">
        <v>114.22788153767584</v>
      </c>
      <c r="F388" s="28">
        <v>231.11041</v>
      </c>
      <c r="G388" s="28">
        <v>114.22788153767584</v>
      </c>
    </row>
    <row r="389" spans="1:7" ht="11.25" customHeight="1" x14ac:dyDescent="0.2">
      <c r="A389" s="37" t="s">
        <v>25</v>
      </c>
      <c r="B389" s="28">
        <v>0</v>
      </c>
      <c r="C389" s="28">
        <v>231.11041</v>
      </c>
      <c r="D389" s="28">
        <v>0</v>
      </c>
      <c r="E389" s="28">
        <v>114.22788153767584</v>
      </c>
      <c r="F389" s="28">
        <v>231.11041</v>
      </c>
      <c r="G389" s="28">
        <v>114.22788153767584</v>
      </c>
    </row>
    <row r="390" spans="1:7" ht="11.25" customHeight="1" x14ac:dyDescent="0.2">
      <c r="A390" s="38">
        <v>44409</v>
      </c>
      <c r="B390" s="28">
        <v>0</v>
      </c>
      <c r="C390" s="28">
        <v>24.032390000000003</v>
      </c>
      <c r="D390" s="28">
        <v>0</v>
      </c>
      <c r="E390" s="28">
        <v>11.878171121704234</v>
      </c>
      <c r="F390" s="28">
        <v>24.032390000000003</v>
      </c>
      <c r="G390" s="28">
        <v>11.878171121704234</v>
      </c>
    </row>
    <row r="391" spans="1:7" ht="11.25" customHeight="1" x14ac:dyDescent="0.2">
      <c r="A391" s="38">
        <v>44440</v>
      </c>
      <c r="B391" s="28">
        <v>0</v>
      </c>
      <c r="C391" s="28">
        <v>207.07802000000001</v>
      </c>
      <c r="D391" s="28">
        <v>0</v>
      </c>
      <c r="E391" s="28">
        <v>102.34971041597161</v>
      </c>
      <c r="F391" s="28">
        <v>207.07802000000001</v>
      </c>
      <c r="G391" s="28">
        <v>102.34971041597161</v>
      </c>
    </row>
    <row r="392" spans="1:7" ht="11.25" customHeight="1" x14ac:dyDescent="0.2">
      <c r="A392" s="34" t="s">
        <v>56</v>
      </c>
      <c r="B392" s="28">
        <v>0</v>
      </c>
      <c r="C392" s="28">
        <v>2362.7769600000001</v>
      </c>
      <c r="D392" s="28">
        <v>0</v>
      </c>
      <c r="E392" s="28">
        <v>1167.8184755365623</v>
      </c>
      <c r="F392" s="28">
        <v>2362.7769600000001</v>
      </c>
      <c r="G392" s="28">
        <v>1167.8184755365623</v>
      </c>
    </row>
    <row r="393" spans="1:7" ht="11.25" customHeight="1" x14ac:dyDescent="0.2">
      <c r="A393" s="35" t="s">
        <v>54</v>
      </c>
      <c r="B393" s="28">
        <v>0</v>
      </c>
      <c r="C393" s="28">
        <v>2362.7769600000001</v>
      </c>
      <c r="D393" s="28">
        <v>0</v>
      </c>
      <c r="E393" s="28">
        <v>1167.8184755365623</v>
      </c>
      <c r="F393" s="28">
        <v>2362.7769600000001</v>
      </c>
      <c r="G393" s="28">
        <v>1167.8184755365623</v>
      </c>
    </row>
    <row r="394" spans="1:7" ht="11.25" customHeight="1" x14ac:dyDescent="0.2">
      <c r="A394" s="36" t="s">
        <v>25</v>
      </c>
      <c r="B394" s="28">
        <v>0</v>
      </c>
      <c r="C394" s="28">
        <v>2362.7769600000001</v>
      </c>
      <c r="D394" s="28">
        <v>0</v>
      </c>
      <c r="E394" s="28">
        <v>1167.8184755365623</v>
      </c>
      <c r="F394" s="28">
        <v>2362.7769600000001</v>
      </c>
      <c r="G394" s="28">
        <v>1167.8184755365623</v>
      </c>
    </row>
    <row r="395" spans="1:7" ht="11.25" customHeight="1" x14ac:dyDescent="0.2">
      <c r="A395" s="37" t="s">
        <v>25</v>
      </c>
      <c r="B395" s="28">
        <v>0</v>
      </c>
      <c r="C395" s="28">
        <v>2362.7769600000001</v>
      </c>
      <c r="D395" s="28">
        <v>0</v>
      </c>
      <c r="E395" s="28">
        <v>1167.8184755365623</v>
      </c>
      <c r="F395" s="28">
        <v>2362.7769600000001</v>
      </c>
      <c r="G395" s="28">
        <v>1167.8184755365623</v>
      </c>
    </row>
    <row r="396" spans="1:7" ht="11.25" customHeight="1" x14ac:dyDescent="0.2">
      <c r="A396" s="38">
        <v>44317</v>
      </c>
      <c r="B396" s="28">
        <v>0</v>
      </c>
      <c r="C396" s="28">
        <v>40.655330000000006</v>
      </c>
      <c r="D396" s="28">
        <v>0</v>
      </c>
      <c r="E396" s="28">
        <v>20.094171522239606</v>
      </c>
      <c r="F396" s="28">
        <v>40.655330000000006</v>
      </c>
      <c r="G396" s="28">
        <v>20.094171522239606</v>
      </c>
    </row>
    <row r="397" spans="1:7" ht="11.25" customHeight="1" x14ac:dyDescent="0.2">
      <c r="A397" s="38">
        <v>44348</v>
      </c>
      <c r="B397" s="28">
        <v>0</v>
      </c>
      <c r="C397" s="28">
        <v>239.29302000000001</v>
      </c>
      <c r="D397" s="28">
        <v>0</v>
      </c>
      <c r="E397" s="28">
        <v>118.27219181235799</v>
      </c>
      <c r="F397" s="28">
        <v>239.29302000000001</v>
      </c>
      <c r="G397" s="28">
        <v>118.27219181235799</v>
      </c>
    </row>
    <row r="398" spans="1:7" ht="11.25" customHeight="1" x14ac:dyDescent="0.2">
      <c r="A398" s="38">
        <v>44378</v>
      </c>
      <c r="B398" s="28">
        <v>0</v>
      </c>
      <c r="C398" s="28">
        <v>232.20572000000004</v>
      </c>
      <c r="D398" s="28">
        <v>0</v>
      </c>
      <c r="E398" s="28">
        <v>114.76924590515299</v>
      </c>
      <c r="F398" s="28">
        <v>232.20572000000004</v>
      </c>
      <c r="G398" s="28">
        <v>114.76924590515299</v>
      </c>
    </row>
    <row r="399" spans="1:7" ht="11.25" customHeight="1" x14ac:dyDescent="0.2">
      <c r="A399" s="38">
        <v>44409</v>
      </c>
      <c r="B399" s="28">
        <v>0</v>
      </c>
      <c r="C399" s="28">
        <v>263.77642000000003</v>
      </c>
      <c r="D399" s="28">
        <v>0</v>
      </c>
      <c r="E399" s="28">
        <v>130.37327767361163</v>
      </c>
      <c r="F399" s="28">
        <v>263.77642000000003</v>
      </c>
      <c r="G399" s="28">
        <v>130.37327767361163</v>
      </c>
    </row>
    <row r="400" spans="1:7" ht="11.25" customHeight="1" x14ac:dyDescent="0.2">
      <c r="A400" s="38">
        <v>44440</v>
      </c>
      <c r="B400" s="28">
        <v>0</v>
      </c>
      <c r="C400" s="28">
        <v>252.95218000000003</v>
      </c>
      <c r="D400" s="28">
        <v>0</v>
      </c>
      <c r="E400" s="28">
        <v>125.02332392442581</v>
      </c>
      <c r="F400" s="28">
        <v>252.95218000000003</v>
      </c>
      <c r="G400" s="28">
        <v>125.02332392442581</v>
      </c>
    </row>
    <row r="401" spans="1:7" ht="11.25" customHeight="1" x14ac:dyDescent="0.2">
      <c r="A401" s="38">
        <v>44470</v>
      </c>
      <c r="B401" s="28">
        <v>0</v>
      </c>
      <c r="C401" s="28">
        <v>109.40214</v>
      </c>
      <c r="D401" s="28">
        <v>0</v>
      </c>
      <c r="E401" s="28">
        <v>54.072746822128124</v>
      </c>
      <c r="F401" s="28">
        <v>109.40214</v>
      </c>
      <c r="G401" s="28">
        <v>54.072746822128124</v>
      </c>
    </row>
    <row r="402" spans="1:7" ht="11.25" customHeight="1" x14ac:dyDescent="0.2">
      <c r="A402" s="38">
        <v>44501</v>
      </c>
      <c r="B402" s="28">
        <v>0</v>
      </c>
      <c r="C402" s="28">
        <v>239.09973000000002</v>
      </c>
      <c r="D402" s="28">
        <v>0</v>
      </c>
      <c r="E402" s="28">
        <v>118.17665692397966</v>
      </c>
      <c r="F402" s="28">
        <v>239.09973000000002</v>
      </c>
      <c r="G402" s="28">
        <v>118.17665692397966</v>
      </c>
    </row>
    <row r="403" spans="1:7" ht="11.25" customHeight="1" x14ac:dyDescent="0.2">
      <c r="A403" s="38">
        <v>44531</v>
      </c>
      <c r="B403" s="28">
        <v>0</v>
      </c>
      <c r="C403" s="28">
        <v>213.77874000000003</v>
      </c>
      <c r="D403" s="28">
        <v>0</v>
      </c>
      <c r="E403" s="28">
        <v>105.66158654641998</v>
      </c>
      <c r="F403" s="28">
        <v>213.77874000000003</v>
      </c>
      <c r="G403" s="28">
        <v>105.66158654641998</v>
      </c>
    </row>
    <row r="404" spans="1:7" ht="11.25" customHeight="1" x14ac:dyDescent="0.2">
      <c r="A404" s="38">
        <v>44562</v>
      </c>
      <c r="B404" s="28">
        <v>0</v>
      </c>
      <c r="C404" s="28">
        <v>211.3304</v>
      </c>
      <c r="D404" s="28">
        <v>0</v>
      </c>
      <c r="E404" s="28">
        <v>104.45147796029461</v>
      </c>
      <c r="F404" s="28">
        <v>211.3304</v>
      </c>
      <c r="G404" s="28">
        <v>104.45147796029461</v>
      </c>
    </row>
    <row r="405" spans="1:7" ht="11.25" customHeight="1" x14ac:dyDescent="0.2">
      <c r="A405" s="38">
        <v>44593</v>
      </c>
      <c r="B405" s="28">
        <v>0</v>
      </c>
      <c r="C405" s="28">
        <v>189.55306000000004</v>
      </c>
      <c r="D405" s="28">
        <v>0</v>
      </c>
      <c r="E405" s="28">
        <v>93.687880536337431</v>
      </c>
      <c r="F405" s="28">
        <v>189.55306000000004</v>
      </c>
      <c r="G405" s="28">
        <v>93.687880536337431</v>
      </c>
    </row>
    <row r="406" spans="1:7" ht="11.25" customHeight="1" x14ac:dyDescent="0.2">
      <c r="A406" s="38">
        <v>44621</v>
      </c>
      <c r="B406" s="28">
        <v>0</v>
      </c>
      <c r="C406" s="28">
        <v>190.77723</v>
      </c>
      <c r="D406" s="28">
        <v>0</v>
      </c>
      <c r="E406" s="28">
        <v>94.292934829400096</v>
      </c>
      <c r="F406" s="28">
        <v>190.77723</v>
      </c>
      <c r="G406" s="28">
        <v>94.292934829400096</v>
      </c>
    </row>
    <row r="407" spans="1:7" ht="11.25" customHeight="1" x14ac:dyDescent="0.2">
      <c r="A407" s="38">
        <v>44652</v>
      </c>
      <c r="B407" s="28">
        <v>0</v>
      </c>
      <c r="C407" s="28">
        <v>179.95299000000003</v>
      </c>
      <c r="D407" s="28">
        <v>0</v>
      </c>
      <c r="E407" s="28">
        <v>88.942981080214295</v>
      </c>
      <c r="F407" s="28">
        <v>179.95299000000003</v>
      </c>
      <c r="G407" s="28">
        <v>88.942981080214295</v>
      </c>
    </row>
    <row r="408" spans="1:7" ht="11.25" customHeight="1" x14ac:dyDescent="0.2">
      <c r="A408" s="34" t="s">
        <v>25</v>
      </c>
      <c r="B408" s="28">
        <v>0</v>
      </c>
      <c r="C408" s="28">
        <v>2287840.8753400003</v>
      </c>
      <c r="D408" s="28">
        <v>0</v>
      </c>
      <c r="E408" s="28">
        <v>1130780.8094208743</v>
      </c>
      <c r="F408" s="28">
        <v>2287840.8753400003</v>
      </c>
      <c r="G408" s="28">
        <v>1130780.8094208741</v>
      </c>
    </row>
    <row r="409" spans="1:7" ht="11.25" customHeight="1" x14ac:dyDescent="0.2">
      <c r="A409" s="35" t="s">
        <v>25</v>
      </c>
      <c r="B409" s="28">
        <v>0</v>
      </c>
      <c r="C409" s="28">
        <v>2287840.8753400003</v>
      </c>
      <c r="D409" s="28">
        <v>0</v>
      </c>
      <c r="E409" s="28">
        <v>1130780.8094208743</v>
      </c>
      <c r="F409" s="28">
        <v>2287840.8753400003</v>
      </c>
      <c r="G409" s="28">
        <v>1130780.8094208741</v>
      </c>
    </row>
    <row r="410" spans="1:7" ht="11.25" customHeight="1" x14ac:dyDescent="0.2">
      <c r="A410" s="36" t="s">
        <v>25</v>
      </c>
      <c r="B410" s="28">
        <v>0</v>
      </c>
      <c r="C410" s="28">
        <v>2287840.8753400003</v>
      </c>
      <c r="D410" s="28">
        <v>0</v>
      </c>
      <c r="E410" s="28">
        <v>1130780.8094208743</v>
      </c>
      <c r="F410" s="28">
        <v>2287840.8753400003</v>
      </c>
      <c r="G410" s="28">
        <v>1130780.8094208741</v>
      </c>
    </row>
    <row r="411" spans="1:7" ht="11.25" customHeight="1" x14ac:dyDescent="0.2">
      <c r="A411" s="37" t="s">
        <v>25</v>
      </c>
      <c r="B411" s="28">
        <v>0</v>
      </c>
      <c r="C411" s="28">
        <v>2287840.8753400003</v>
      </c>
      <c r="D411" s="28">
        <v>0</v>
      </c>
      <c r="E411" s="28">
        <v>1130780.8094208743</v>
      </c>
      <c r="F411" s="28">
        <v>2287840.8753400003</v>
      </c>
      <c r="G411" s="28">
        <v>1130780.8094208741</v>
      </c>
    </row>
    <row r="412" spans="1:7" ht="11.25" customHeight="1" x14ac:dyDescent="0.2">
      <c r="A412" s="38">
        <v>44317</v>
      </c>
      <c r="B412" s="28">
        <v>0</v>
      </c>
      <c r="C412" s="28">
        <v>203303.64617000002</v>
      </c>
      <c r="D412" s="28">
        <v>0</v>
      </c>
      <c r="E412" s="28">
        <v>100484.20065060818</v>
      </c>
      <c r="F412" s="28">
        <v>203303.64617000002</v>
      </c>
      <c r="G412" s="28">
        <v>100484.20065060818</v>
      </c>
    </row>
    <row r="413" spans="1:7" ht="11.25" customHeight="1" x14ac:dyDescent="0.2">
      <c r="A413" s="38">
        <v>44348</v>
      </c>
      <c r="B413" s="28">
        <v>0</v>
      </c>
      <c r="C413" s="28">
        <v>187731.55947000001</v>
      </c>
      <c r="D413" s="28">
        <v>0</v>
      </c>
      <c r="E413" s="28">
        <v>92787.59159322294</v>
      </c>
      <c r="F413" s="28">
        <v>187731.55947000001</v>
      </c>
      <c r="G413" s="28">
        <v>92787.59159322294</v>
      </c>
    </row>
    <row r="414" spans="1:7" ht="11.25" customHeight="1" x14ac:dyDescent="0.2">
      <c r="A414" s="38">
        <v>44378</v>
      </c>
      <c r="B414" s="28">
        <v>0</v>
      </c>
      <c r="C414" s="28">
        <v>176843.21162000002</v>
      </c>
      <c r="D414" s="28">
        <v>0</v>
      </c>
      <c r="E414" s="28">
        <v>87405.952106058307</v>
      </c>
      <c r="F414" s="28">
        <v>176843.21162000002</v>
      </c>
      <c r="G414" s="28">
        <v>87405.952106058307</v>
      </c>
    </row>
    <row r="415" spans="1:7" ht="11.25" customHeight="1" x14ac:dyDescent="0.2">
      <c r="A415" s="38">
        <v>44409</v>
      </c>
      <c r="B415" s="28">
        <v>0</v>
      </c>
      <c r="C415" s="28">
        <v>184751.02767000001</v>
      </c>
      <c r="D415" s="28">
        <v>0</v>
      </c>
      <c r="E415" s="28">
        <v>91314.443614429285</v>
      </c>
      <c r="F415" s="28">
        <v>184751.02767000001</v>
      </c>
      <c r="G415" s="28">
        <v>91314.443614429285</v>
      </c>
    </row>
    <row r="416" spans="1:7" ht="11.25" customHeight="1" x14ac:dyDescent="0.2">
      <c r="A416" s="38">
        <v>44440</v>
      </c>
      <c r="B416" s="28">
        <v>0</v>
      </c>
      <c r="C416" s="28">
        <v>215126.03573000003</v>
      </c>
      <c r="D416" s="28">
        <v>0</v>
      </c>
      <c r="E416" s="28">
        <v>106327.49656337965</v>
      </c>
      <c r="F416" s="28">
        <v>215126.03573000003</v>
      </c>
      <c r="G416" s="28">
        <v>106327.49656337965</v>
      </c>
    </row>
    <row r="417" spans="1:7" ht="11.25" customHeight="1" x14ac:dyDescent="0.2">
      <c r="A417" s="38">
        <v>44470</v>
      </c>
      <c r="B417" s="28">
        <v>0</v>
      </c>
      <c r="C417" s="28">
        <v>210631.84994000004</v>
      </c>
      <c r="D417" s="28">
        <v>0</v>
      </c>
      <c r="E417" s="28">
        <v>104106.21487369538</v>
      </c>
      <c r="F417" s="28">
        <v>210631.84994000004</v>
      </c>
      <c r="G417" s="28">
        <v>104106.21487369538</v>
      </c>
    </row>
    <row r="418" spans="1:7" ht="11.25" customHeight="1" x14ac:dyDescent="0.2">
      <c r="A418" s="38">
        <v>44501</v>
      </c>
      <c r="B418" s="28">
        <v>0</v>
      </c>
      <c r="C418" s="28">
        <v>181522.05379000001</v>
      </c>
      <c r="D418" s="28">
        <v>0</v>
      </c>
      <c r="E418" s="28">
        <v>89718.501459106687</v>
      </c>
      <c r="F418" s="28">
        <v>181522.05379000001</v>
      </c>
      <c r="G418" s="28">
        <v>89718.501459106687</v>
      </c>
    </row>
    <row r="419" spans="1:7" ht="11.25" customHeight="1" x14ac:dyDescent="0.2">
      <c r="A419" s="38">
        <v>44531</v>
      </c>
      <c r="B419" s="28">
        <v>0</v>
      </c>
      <c r="C419" s="28">
        <v>180800.63108000002</v>
      </c>
      <c r="D419" s="28">
        <v>0</v>
      </c>
      <c r="E419" s="28">
        <v>89361.93341071601</v>
      </c>
      <c r="F419" s="28">
        <v>180800.63108000002</v>
      </c>
      <c r="G419" s="28">
        <v>89361.93341071601</v>
      </c>
    </row>
    <row r="420" spans="1:7" ht="11.25" customHeight="1" x14ac:dyDescent="0.2">
      <c r="A420" s="38">
        <v>44562</v>
      </c>
      <c r="B420" s="28">
        <v>0</v>
      </c>
      <c r="C420" s="28">
        <v>177181.53355000002</v>
      </c>
      <c r="D420" s="28">
        <v>0</v>
      </c>
      <c r="E420" s="28">
        <v>87573.170005683176</v>
      </c>
      <c r="F420" s="28">
        <v>177181.53355000002</v>
      </c>
      <c r="G420" s="28">
        <v>87573.170005683176</v>
      </c>
    </row>
    <row r="421" spans="1:7" ht="11.25" customHeight="1" x14ac:dyDescent="0.2">
      <c r="A421" s="38">
        <v>44593</v>
      </c>
      <c r="B421" s="28">
        <v>0</v>
      </c>
      <c r="C421" s="28">
        <v>179637.86287000001</v>
      </c>
      <c r="D421" s="28">
        <v>0</v>
      </c>
      <c r="E421" s="28">
        <v>88787.227367194835</v>
      </c>
      <c r="F421" s="28">
        <v>179637.86287000001</v>
      </c>
      <c r="G421" s="28">
        <v>88787.227367194835</v>
      </c>
    </row>
    <row r="422" spans="1:7" ht="11.25" customHeight="1" x14ac:dyDescent="0.2">
      <c r="A422" s="38">
        <v>44621</v>
      </c>
      <c r="B422" s="28">
        <v>0</v>
      </c>
      <c r="C422" s="28">
        <v>205551.93101999999</v>
      </c>
      <c r="D422" s="28">
        <v>0</v>
      </c>
      <c r="E422" s="28">
        <v>101595.43062726199</v>
      </c>
      <c r="F422" s="28">
        <v>205551.93101999999</v>
      </c>
      <c r="G422" s="28">
        <v>101595.43062726199</v>
      </c>
    </row>
    <row r="423" spans="1:7" ht="11.25" customHeight="1" x14ac:dyDescent="0.2">
      <c r="A423" s="38">
        <v>44652</v>
      </c>
      <c r="B423" s="28">
        <v>0</v>
      </c>
      <c r="C423" s="28">
        <v>184759.53243000002</v>
      </c>
      <c r="D423" s="28">
        <v>0</v>
      </c>
      <c r="E423" s="28">
        <v>91318.647149517928</v>
      </c>
      <c r="F423" s="28">
        <v>184759.53243000002</v>
      </c>
      <c r="G423" s="28">
        <v>91318.647149517928</v>
      </c>
    </row>
    <row r="424" spans="1:7" ht="11.25" customHeight="1" x14ac:dyDescent="0.2">
      <c r="A424" s="30" t="s">
        <v>817</v>
      </c>
      <c r="B424" s="28">
        <v>0</v>
      </c>
      <c r="C424" s="28">
        <v>0</v>
      </c>
      <c r="D424" s="28">
        <v>0</v>
      </c>
      <c r="E424" s="28">
        <v>0</v>
      </c>
      <c r="F424" s="28">
        <v>0</v>
      </c>
      <c r="G424" s="28">
        <v>0</v>
      </c>
    </row>
    <row r="425" spans="1:7" ht="11.25" customHeight="1" x14ac:dyDescent="0.2">
      <c r="A425" s="31" t="s">
        <v>22</v>
      </c>
      <c r="B425" s="28">
        <v>0</v>
      </c>
      <c r="C425" s="28">
        <v>0</v>
      </c>
      <c r="D425" s="28">
        <v>0</v>
      </c>
      <c r="E425" s="28">
        <v>0</v>
      </c>
      <c r="F425" s="28">
        <v>0</v>
      </c>
      <c r="G425" s="28">
        <v>0</v>
      </c>
    </row>
    <row r="426" spans="1:7" ht="11.25" customHeight="1" x14ac:dyDescent="0.2">
      <c r="A426" s="32" t="s">
        <v>23</v>
      </c>
      <c r="B426" s="28">
        <v>0</v>
      </c>
      <c r="C426" s="28">
        <v>0</v>
      </c>
      <c r="D426" s="28">
        <v>0</v>
      </c>
      <c r="E426" s="28">
        <v>0</v>
      </c>
      <c r="F426" s="28">
        <v>0</v>
      </c>
      <c r="G426" s="28">
        <v>0</v>
      </c>
    </row>
    <row r="427" spans="1:7" ht="11.25" customHeight="1" x14ac:dyDescent="0.2">
      <c r="A427" s="33" t="s">
        <v>24</v>
      </c>
      <c r="B427" s="28">
        <v>0</v>
      </c>
      <c r="C427" s="28">
        <v>0</v>
      </c>
      <c r="D427" s="28">
        <v>0</v>
      </c>
      <c r="E427" s="28">
        <v>0</v>
      </c>
      <c r="F427" s="28">
        <v>0</v>
      </c>
      <c r="G427" s="28">
        <v>0</v>
      </c>
    </row>
    <row r="428" spans="1:7" ht="11.25" customHeight="1" x14ac:dyDescent="0.2">
      <c r="A428" s="34" t="s">
        <v>24</v>
      </c>
      <c r="B428" s="28">
        <v>0</v>
      </c>
      <c r="C428" s="28">
        <v>0</v>
      </c>
      <c r="D428" s="28">
        <v>0</v>
      </c>
      <c r="E428" s="28">
        <v>0</v>
      </c>
      <c r="F428" s="28">
        <v>0</v>
      </c>
      <c r="G428" s="28">
        <v>0</v>
      </c>
    </row>
    <row r="429" spans="1:7" ht="11.25" customHeight="1" x14ac:dyDescent="0.2">
      <c r="A429" s="35" t="s">
        <v>25</v>
      </c>
      <c r="B429" s="28">
        <v>0</v>
      </c>
      <c r="C429" s="28">
        <v>0</v>
      </c>
      <c r="D429" s="28">
        <v>0</v>
      </c>
      <c r="E429" s="28">
        <v>0</v>
      </c>
      <c r="F429" s="28">
        <v>0</v>
      </c>
      <c r="G429" s="28">
        <v>0</v>
      </c>
    </row>
    <row r="430" spans="1:7" ht="11.25" customHeight="1" x14ac:dyDescent="0.2">
      <c r="A430" s="36" t="s">
        <v>25</v>
      </c>
      <c r="B430" s="28">
        <v>0</v>
      </c>
      <c r="C430" s="28">
        <v>0</v>
      </c>
      <c r="D430" s="28">
        <v>0</v>
      </c>
      <c r="E430" s="28">
        <v>0</v>
      </c>
      <c r="F430" s="28">
        <v>0</v>
      </c>
      <c r="G430" s="28">
        <v>0</v>
      </c>
    </row>
    <row r="431" spans="1:7" ht="11.25" customHeight="1" x14ac:dyDescent="0.2">
      <c r="A431" s="37" t="s">
        <v>25</v>
      </c>
      <c r="B431" s="28">
        <v>0</v>
      </c>
      <c r="C431" s="28">
        <v>0</v>
      </c>
      <c r="D431" s="28">
        <v>0</v>
      </c>
      <c r="E431" s="28">
        <v>0</v>
      </c>
      <c r="F431" s="28">
        <v>0</v>
      </c>
      <c r="G431" s="28">
        <v>0</v>
      </c>
    </row>
    <row r="432" spans="1:7" ht="11.25" customHeight="1" x14ac:dyDescent="0.2">
      <c r="A432" s="38">
        <v>44317</v>
      </c>
      <c r="B432" s="28">
        <v>0</v>
      </c>
      <c r="C432" s="28">
        <v>0</v>
      </c>
      <c r="D432" s="28">
        <v>0</v>
      </c>
      <c r="E432" s="28">
        <v>0</v>
      </c>
      <c r="F432" s="28">
        <v>0</v>
      </c>
      <c r="G432" s="28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4B3D6-448B-44E3-BC3B-0960460C7469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91" bestFit="1" customWidth="1"/>
    <col min="2" max="2" width="11.140625" style="91" bestFit="1" customWidth="1"/>
    <col min="3" max="3" width="10.28515625" style="91" bestFit="1" customWidth="1"/>
    <col min="4" max="4" width="6.28515625" style="91" bestFit="1" customWidth="1"/>
    <col min="5" max="10" width="7.7109375" style="91" customWidth="1"/>
    <col min="11" max="12" width="9.140625" style="91"/>
    <col min="13" max="13" width="14.28515625" style="91" customWidth="1"/>
    <col min="14" max="14" width="16.7109375" style="91" customWidth="1"/>
    <col min="15" max="15" width="31.7109375" style="91" customWidth="1"/>
    <col min="16" max="22" width="7.7109375" style="91" customWidth="1"/>
    <col min="23" max="16384" width="9.140625" style="91"/>
  </cols>
  <sheetData>
    <row r="1" spans="1:22" ht="11.25" customHeight="1" x14ac:dyDescent="0.25">
      <c r="A1" s="126" t="s">
        <v>884</v>
      </c>
      <c r="B1" s="149"/>
      <c r="C1" s="149"/>
      <c r="D1" s="149"/>
      <c r="E1" s="149"/>
      <c r="F1" s="149"/>
      <c r="G1" s="149"/>
      <c r="H1" s="149"/>
      <c r="I1" s="149"/>
      <c r="J1" s="149"/>
      <c r="L1" s="126" t="s">
        <v>894</v>
      </c>
      <c r="M1" s="127"/>
      <c r="N1" s="127"/>
      <c r="O1" s="127"/>
      <c r="P1" s="127"/>
      <c r="Q1" s="127"/>
      <c r="R1" s="127"/>
      <c r="S1" s="127"/>
      <c r="T1" s="127"/>
      <c r="U1" s="127"/>
      <c r="V1" s="127"/>
    </row>
    <row r="2" spans="1:22" ht="11.25" customHeight="1" x14ac:dyDescent="0.25">
      <c r="A2" s="141" t="s">
        <v>66</v>
      </c>
      <c r="B2" s="141" t="s">
        <v>67</v>
      </c>
      <c r="C2" s="141" t="s">
        <v>885</v>
      </c>
      <c r="D2" s="141" t="s">
        <v>72</v>
      </c>
      <c r="E2" s="141" t="s">
        <v>886</v>
      </c>
      <c r="F2" s="147"/>
      <c r="G2" s="147"/>
      <c r="H2" s="141" t="s">
        <v>658</v>
      </c>
      <c r="I2" s="147"/>
      <c r="J2" s="147"/>
      <c r="L2" s="141" t="s">
        <v>66</v>
      </c>
      <c r="M2" s="141" t="s">
        <v>67</v>
      </c>
      <c r="N2" s="141" t="s">
        <v>68</v>
      </c>
      <c r="O2" s="141" t="s">
        <v>69</v>
      </c>
      <c r="P2" s="141" t="s">
        <v>72</v>
      </c>
      <c r="Q2" s="141" t="s">
        <v>886</v>
      </c>
      <c r="R2" s="148"/>
      <c r="S2" s="148"/>
      <c r="T2" s="141" t="s">
        <v>658</v>
      </c>
      <c r="U2" s="148"/>
      <c r="V2" s="148"/>
    </row>
    <row r="3" spans="1:22" ht="11.25" customHeight="1" x14ac:dyDescent="0.25">
      <c r="A3" s="147"/>
      <c r="B3" s="147"/>
      <c r="C3" s="147"/>
      <c r="D3" s="147"/>
      <c r="E3" s="141" t="s">
        <v>617</v>
      </c>
      <c r="F3" s="147"/>
      <c r="G3" s="92" t="s">
        <v>645</v>
      </c>
      <c r="H3" s="141" t="s">
        <v>617</v>
      </c>
      <c r="I3" s="147"/>
      <c r="J3" s="92" t="s">
        <v>645</v>
      </c>
      <c r="L3" s="148"/>
      <c r="M3" s="148"/>
      <c r="N3" s="148"/>
      <c r="O3" s="148"/>
      <c r="P3" s="148"/>
      <c r="Q3" s="141" t="s">
        <v>617</v>
      </c>
      <c r="R3" s="148"/>
      <c r="S3" s="92" t="s">
        <v>645</v>
      </c>
      <c r="T3" s="141" t="s">
        <v>617</v>
      </c>
      <c r="U3" s="148"/>
      <c r="V3" s="92" t="s">
        <v>645</v>
      </c>
    </row>
    <row r="4" spans="1:22" ht="11.25" customHeight="1" x14ac:dyDescent="0.25">
      <c r="A4" s="147"/>
      <c r="B4" s="147"/>
      <c r="C4" s="147"/>
      <c r="D4" s="147"/>
      <c r="E4" s="92" t="s">
        <v>887</v>
      </c>
      <c r="F4" s="92" t="s">
        <v>888</v>
      </c>
      <c r="G4" s="92" t="s">
        <v>888</v>
      </c>
      <c r="H4" s="92" t="s">
        <v>887</v>
      </c>
      <c r="I4" s="92" t="s">
        <v>888</v>
      </c>
      <c r="J4" s="92" t="s">
        <v>888</v>
      </c>
      <c r="L4" s="148"/>
      <c r="M4" s="148"/>
      <c r="N4" s="148"/>
      <c r="O4" s="148"/>
      <c r="P4" s="148"/>
      <c r="Q4" s="92" t="s">
        <v>887</v>
      </c>
      <c r="R4" s="92" t="s">
        <v>888</v>
      </c>
      <c r="S4" s="92" t="s">
        <v>888</v>
      </c>
      <c r="T4" s="92" t="s">
        <v>887</v>
      </c>
      <c r="U4" s="92" t="s">
        <v>888</v>
      </c>
      <c r="V4" s="92" t="s">
        <v>888</v>
      </c>
    </row>
    <row r="5" spans="1:22" ht="11.25" customHeight="1" x14ac:dyDescent="0.25">
      <c r="A5" s="146" t="s">
        <v>33</v>
      </c>
      <c r="B5" s="146" t="s">
        <v>41</v>
      </c>
      <c r="C5" s="146" t="s">
        <v>25</v>
      </c>
      <c r="D5" s="93" t="s">
        <v>889</v>
      </c>
      <c r="E5" s="64">
        <f ca="1">ROUND('TUSD BE'!$AM$5+'TUSD BF'!$AM$5+'TUSD CVA'!$AM$5,2)</f>
        <v>36.43</v>
      </c>
      <c r="F5" s="64">
        <f ca="1">ROUND('TUSD BE'!$AM$7+'TUSD BF'!$AM$7+'TUSD CVA'!$AM$7,2)</f>
        <v>100.35</v>
      </c>
      <c r="G5" s="64">
        <f>ROUND('TE BE'!$AA$5+'TE BF'!$AA$5+'TE CVA'!$AA$5,2)</f>
        <v>210.64</v>
      </c>
      <c r="H5" s="64">
        <f ca="1">ROUND('TUSD BE'!$AM$5,2)</f>
        <v>51.21</v>
      </c>
      <c r="I5" s="64">
        <f ca="1">ROUND('TUSD BE'!$AM$7,2)</f>
        <v>97.36</v>
      </c>
      <c r="J5" s="64">
        <f>ROUND('TE BE'!$AA$5,2)</f>
        <v>181.7</v>
      </c>
      <c r="L5" s="143" t="s">
        <v>22</v>
      </c>
      <c r="M5" s="143" t="s">
        <v>895</v>
      </c>
      <c r="N5" s="143" t="s">
        <v>896</v>
      </c>
      <c r="O5" s="143" t="s">
        <v>896</v>
      </c>
      <c r="P5" s="93" t="s">
        <v>889</v>
      </c>
      <c r="Q5" s="64">
        <v>0</v>
      </c>
      <c r="R5" s="64">
        <f ca="1">ROUND('TUSD BE'!$AM$17+'TUSD BF'!$AM$17+'TUSD CVA'!$AM$17,2)</f>
        <v>611.86</v>
      </c>
      <c r="S5" s="64">
        <f>ROUND('TE BE'!$AA$7+'TE BF'!$AA$7+'TE CVA'!$AA$7,2)</f>
        <v>210.64</v>
      </c>
      <c r="T5" s="64">
        <v>0</v>
      </c>
      <c r="U5" s="64">
        <f ca="1">ROUND('TUSD BE'!$AM$17,2)</f>
        <v>814.5</v>
      </c>
      <c r="V5" s="64">
        <f>ROUND('TE BE'!$AA$7,2)</f>
        <v>181.7</v>
      </c>
    </row>
    <row r="6" spans="1:22" ht="11.25" customHeight="1" x14ac:dyDescent="0.25">
      <c r="A6" s="147"/>
      <c r="B6" s="147"/>
      <c r="C6" s="147"/>
      <c r="D6" s="93" t="s">
        <v>890</v>
      </c>
      <c r="E6" s="64">
        <f ca="1">ROUND('TUSD BE'!$AM$6+'TUSD BF'!$AM$6+'TUSD CVA'!$AM$6,2)</f>
        <v>16.68</v>
      </c>
      <c r="F6" s="64">
        <f ca="1">ROUND('TUSD BE'!$AM$7+'TUSD BF'!$AM$7+'TUSD CVA'!$AM$7,2)</f>
        <v>100.35</v>
      </c>
      <c r="G6" s="64">
        <f>ROUND('TE BE'!$AA$6+'TE BF'!$AA$6+'TE CVA'!$AA$6,2)</f>
        <v>210.64</v>
      </c>
      <c r="H6" s="64">
        <f ca="1">ROUND('TUSD BE'!$AM$6,2)</f>
        <v>20.71</v>
      </c>
      <c r="I6" s="64">
        <f ca="1">ROUND('TUSD BE'!$AM$7,2)</f>
        <v>97.36</v>
      </c>
      <c r="J6" s="64">
        <f>ROUND('TE BE'!$AA$6,2)</f>
        <v>181.7</v>
      </c>
      <c r="L6" s="144"/>
      <c r="M6" s="144"/>
      <c r="N6" s="144"/>
      <c r="O6" s="144"/>
      <c r="P6" s="93" t="s">
        <v>897</v>
      </c>
      <c r="Q6" s="64">
        <v>0</v>
      </c>
      <c r="R6" s="64">
        <f ca="1">ROUND('TUSD BE'!$AM$18+'TUSD BF'!$AM$18+'TUSD CVA'!$AM$18,2)</f>
        <v>417.36</v>
      </c>
      <c r="S6" s="64">
        <f>ROUND('TE BE'!$AA$8+'TE BF'!$AA$8+'TE CVA'!$AA$8,2)</f>
        <v>210.64</v>
      </c>
      <c r="T6" s="64">
        <v>0</v>
      </c>
      <c r="U6" s="64">
        <f ca="1">ROUND('TUSD BE'!$AM$18,2)</f>
        <v>537.05999999999995</v>
      </c>
      <c r="V6" s="64">
        <f>ROUND('TE BE'!$AA$8,2)</f>
        <v>181.7</v>
      </c>
    </row>
    <row r="7" spans="1:22" ht="11.25" customHeight="1" x14ac:dyDescent="0.25">
      <c r="A7" s="147"/>
      <c r="B7" s="146" t="s">
        <v>891</v>
      </c>
      <c r="C7" s="146" t="s">
        <v>25</v>
      </c>
      <c r="D7" s="93" t="s">
        <v>889</v>
      </c>
      <c r="E7" s="64">
        <f ca="1">ROUND('TUSD BE'!$AM$5+'TUSD BF'!$AM$5+'TUSD CVA'!$AM$5,2)</f>
        <v>36.43</v>
      </c>
      <c r="F7" s="64">
        <f ca="1">ROUND('TUSD BE'!$AM$8+'TUSD BF'!$AM$8+'TUSD CVA'!$AM$8,2)</f>
        <v>8.26</v>
      </c>
      <c r="G7" s="64">
        <v>0</v>
      </c>
      <c r="H7" s="64">
        <f ca="1">ROUND('TUSD BE'!$AM$5,2)</f>
        <v>51.21</v>
      </c>
      <c r="I7" s="64">
        <f ca="1">ROUND('TUSD BE'!$AM$8,2)</f>
        <v>7.14</v>
      </c>
      <c r="J7" s="64">
        <v>0</v>
      </c>
      <c r="L7" s="144"/>
      <c r="M7" s="145"/>
      <c r="N7" s="145"/>
      <c r="O7" s="145"/>
      <c r="P7" s="93" t="s">
        <v>890</v>
      </c>
      <c r="Q7" s="64">
        <v>0</v>
      </c>
      <c r="R7" s="64">
        <f ca="1">ROUND('TUSD BE'!$AM$19+'TUSD BF'!$AM$19+'TUSD CVA'!$AM$19,2)</f>
        <v>222.85</v>
      </c>
      <c r="S7" s="64">
        <f>ROUND('TE BE'!$AA$9+'TE BF'!$AA$9+'TE CVA'!$AA$9,2)</f>
        <v>210.64</v>
      </c>
      <c r="T7" s="64">
        <v>0</v>
      </c>
      <c r="U7" s="64">
        <f ca="1">ROUND('TUSD BE'!$AM$19,2)</f>
        <v>259.61</v>
      </c>
      <c r="V7" s="64">
        <f>ROUND('TE BE'!$AA$9,2)</f>
        <v>181.7</v>
      </c>
    </row>
    <row r="8" spans="1:22" ht="11.25" customHeight="1" x14ac:dyDescent="0.25">
      <c r="A8" s="147"/>
      <c r="B8" s="147"/>
      <c r="C8" s="147"/>
      <c r="D8" s="93" t="s">
        <v>890</v>
      </c>
      <c r="E8" s="64">
        <f ca="1">ROUND('TUSD BE'!$AM$6+'TUSD BF'!$AM$6+'TUSD CVA'!$AM$6,2)</f>
        <v>16.68</v>
      </c>
      <c r="F8" s="64">
        <f ca="1">ROUND('TUSD BE'!$AM$8+'TUSD BF'!$AM$8+'TUSD CVA'!$AM$8,2)</f>
        <v>8.26</v>
      </c>
      <c r="G8" s="64">
        <v>0</v>
      </c>
      <c r="H8" s="64">
        <f ca="1">ROUND('TUSD BE'!$AM$6,2)</f>
        <v>20.71</v>
      </c>
      <c r="I8" s="64">
        <f ca="1">ROUND('TUSD BE'!$AM$8,2)</f>
        <v>7.14</v>
      </c>
      <c r="J8" s="64">
        <v>0</v>
      </c>
      <c r="L8" s="144"/>
      <c r="M8" s="93" t="s">
        <v>898</v>
      </c>
      <c r="N8" s="93" t="s">
        <v>896</v>
      </c>
      <c r="O8" s="93" t="s">
        <v>896</v>
      </c>
      <c r="P8" s="93" t="s">
        <v>892</v>
      </c>
      <c r="Q8" s="64">
        <v>0</v>
      </c>
      <c r="R8" s="64">
        <f ca="1">ROUND('TUSD BE'!$AM$25+'TUSD BF'!$AM$25+'TUSD CVA'!$AM$25,2)</f>
        <v>320.11</v>
      </c>
      <c r="S8" s="64">
        <f>ROUND('TE BE'!$AA$15+'TE BF'!$AA$15+'TE CVA'!$AA$15,2)</f>
        <v>210.64</v>
      </c>
      <c r="T8" s="64">
        <v>0</v>
      </c>
      <c r="U8" s="64">
        <f ca="1">ROUND('TUSD BE'!$AM$25,2)</f>
        <v>398.33</v>
      </c>
      <c r="V8" s="64">
        <f>ROUND('TE BE'!$AA$15,2)</f>
        <v>181.7</v>
      </c>
    </row>
    <row r="9" spans="1:22" ht="11.25" customHeight="1" x14ac:dyDescent="0.25">
      <c r="A9" s="147"/>
      <c r="B9" s="146" t="s">
        <v>34</v>
      </c>
      <c r="C9" s="146" t="s">
        <v>25</v>
      </c>
      <c r="D9" s="93" t="s">
        <v>892</v>
      </c>
      <c r="E9" s="64">
        <f ca="1">ROUND('TUSD BE'!$AM$10+'TUSD BF'!$AM$10+'TUSD CVA'!$AM$10,2)</f>
        <v>16.68</v>
      </c>
      <c r="F9" s="64">
        <v>0</v>
      </c>
      <c r="G9" s="64">
        <v>0</v>
      </c>
      <c r="H9" s="64">
        <f ca="1">ROUND('TUSD BE'!$AM$10,2)</f>
        <v>20.71</v>
      </c>
      <c r="I9" s="64">
        <v>0</v>
      </c>
      <c r="J9" s="64">
        <v>0</v>
      </c>
      <c r="L9" s="144"/>
      <c r="M9" s="93" t="s">
        <v>900</v>
      </c>
      <c r="N9" s="93" t="s">
        <v>896</v>
      </c>
      <c r="O9" s="93" t="s">
        <v>896</v>
      </c>
      <c r="P9" s="93" t="s">
        <v>892</v>
      </c>
      <c r="Q9" s="64">
        <v>0</v>
      </c>
      <c r="R9" s="64">
        <f ca="1">ROUND('TUSD BE'!$AM$20+'TUSD BF'!$AM$20+'TUSD CVA'!$AM$20,2)</f>
        <v>320.11</v>
      </c>
      <c r="S9" s="64">
        <f>ROUND('TE BE'!$AA$10+'TE BF'!$AA$10+'TE CVA'!$AA$10,2)</f>
        <v>210.64</v>
      </c>
      <c r="T9" s="64">
        <v>0</v>
      </c>
      <c r="U9" s="64">
        <f ca="1">ROUND('TUSD BE'!$AM$20,2)</f>
        <v>398.33</v>
      </c>
      <c r="V9" s="64">
        <f>ROUND('TE BE'!$AA$10,2)</f>
        <v>181.7</v>
      </c>
    </row>
    <row r="10" spans="1:22" ht="11.25" customHeight="1" x14ac:dyDescent="0.25">
      <c r="A10" s="147"/>
      <c r="B10" s="147"/>
      <c r="C10" s="147"/>
      <c r="D10" s="93" t="s">
        <v>889</v>
      </c>
      <c r="E10" s="64">
        <v>0</v>
      </c>
      <c r="F10" s="64">
        <f ca="1">ROUND('TUSD BE'!$AM$11+'TUSD BF'!$AM$11+'TUSD CVA'!$AM$11,2)</f>
        <v>976.42</v>
      </c>
      <c r="G10" s="64">
        <f>ROUND('TE BE'!$AA$5+'TE BF'!$AA$5+'TE CVA'!$AA$5,2)</f>
        <v>210.64</v>
      </c>
      <c r="H10" s="64">
        <v>0</v>
      </c>
      <c r="I10" s="64">
        <f ca="1">ROUND('TUSD BE'!$AM$11,2)</f>
        <v>1328.87</v>
      </c>
      <c r="J10" s="64">
        <f>ROUND('TE BE'!$AA$5,2)</f>
        <v>181.7</v>
      </c>
      <c r="L10" s="144"/>
      <c r="M10" s="93" t="s">
        <v>898</v>
      </c>
      <c r="N10" s="93" t="s">
        <v>896</v>
      </c>
      <c r="O10" s="93" t="s">
        <v>899</v>
      </c>
      <c r="P10" s="93" t="s">
        <v>892</v>
      </c>
      <c r="Q10" s="64">
        <v>0</v>
      </c>
      <c r="R10" s="64">
        <f ca="1">ROUND('TUSD BE'!$AM$26+'TUSD BF'!$AM$26+'TUSD CVA'!$AM$26,2)</f>
        <v>213.26</v>
      </c>
      <c r="S10" s="64">
        <f>ROUND('TE BE'!$AA$16+'TE BF'!$AA$16+'TE CVA'!$AA$16,2)</f>
        <v>210.64</v>
      </c>
      <c r="T10" s="64">
        <v>0</v>
      </c>
      <c r="U10" s="64">
        <f ca="1">ROUND('TUSD BE'!$AM$26,2)</f>
        <v>293.64999999999998</v>
      </c>
      <c r="V10" s="64">
        <f>ROUND('TE BE'!$AA$16,2)</f>
        <v>181.7</v>
      </c>
    </row>
    <row r="11" spans="1:22" ht="11.25" customHeight="1" x14ac:dyDescent="0.25">
      <c r="A11" s="147"/>
      <c r="B11" s="147"/>
      <c r="C11" s="147"/>
      <c r="D11" s="93" t="s">
        <v>890</v>
      </c>
      <c r="E11" s="64">
        <v>0</v>
      </c>
      <c r="F11" s="64">
        <f ca="1">ROUND('TUSD BE'!$AM$12+'TUSD BF'!$AM$12+'TUSD CVA'!$AM$12,2)</f>
        <v>100.35</v>
      </c>
      <c r="G11" s="64">
        <f>ROUND('TE BE'!$AA$6+'TE BF'!$AA$6+'TE CVA'!$AA$6,2)</f>
        <v>210.64</v>
      </c>
      <c r="H11" s="64">
        <v>0</v>
      </c>
      <c r="I11" s="64">
        <f ca="1">ROUND('TUSD BE'!$AM$12,2)</f>
        <v>97.36</v>
      </c>
      <c r="J11" s="64">
        <f>ROUND('TE BE'!$AA$6,2)</f>
        <v>181.7</v>
      </c>
      <c r="L11" s="145"/>
      <c r="M11" s="93" t="s">
        <v>900</v>
      </c>
      <c r="N11" s="93" t="s">
        <v>896</v>
      </c>
      <c r="O11" s="93" t="s">
        <v>899</v>
      </c>
      <c r="P11" s="93" t="s">
        <v>892</v>
      </c>
      <c r="Q11" s="64">
        <v>0</v>
      </c>
      <c r="R11" s="64">
        <f ca="1">ROUND('TUSD BE'!$AM$21+'TUSD BF'!$AM$21+'TUSD CVA'!$AM$21,2)</f>
        <v>213.26</v>
      </c>
      <c r="S11" s="64">
        <f>ROUND('TE BE'!$AA$11+'TE BF'!$AA$11+'TE CVA'!$AA$11,2)</f>
        <v>210.64</v>
      </c>
      <c r="T11" s="64">
        <v>0</v>
      </c>
      <c r="U11" s="64">
        <f ca="1">ROUND('TUSD BE'!$AM$21,2)</f>
        <v>293.64999999999998</v>
      </c>
      <c r="V11" s="64">
        <f>ROUND('TE BE'!$AA$11,2)</f>
        <v>181.7</v>
      </c>
    </row>
    <row r="12" spans="1:22" ht="11.25" customHeight="1" x14ac:dyDescent="0.25">
      <c r="A12" s="147"/>
      <c r="B12" s="146" t="s">
        <v>893</v>
      </c>
      <c r="C12" s="146" t="s">
        <v>25</v>
      </c>
      <c r="D12" s="93" t="s">
        <v>892</v>
      </c>
      <c r="E12" s="64">
        <f ca="1">ROUND('TUSD BE'!$AM$10+'TUSD BF'!$AM$10+'TUSD CVA'!$AM$10,2)</f>
        <v>16.68</v>
      </c>
      <c r="F12" s="64">
        <v>0</v>
      </c>
      <c r="G12" s="64">
        <v>0</v>
      </c>
      <c r="H12" s="64">
        <f ca="1">ROUND('TUSD BE'!$AM$10,2)</f>
        <v>20.71</v>
      </c>
      <c r="I12" s="64">
        <v>0</v>
      </c>
      <c r="J12" s="64">
        <v>0</v>
      </c>
      <c r="L12" s="143" t="s">
        <v>43</v>
      </c>
      <c r="M12" s="143" t="s">
        <v>895</v>
      </c>
      <c r="N12" s="143" t="s">
        <v>901</v>
      </c>
      <c r="O12" s="143" t="s">
        <v>902</v>
      </c>
      <c r="P12" s="93" t="s">
        <v>889</v>
      </c>
      <c r="Q12" s="64">
        <v>0</v>
      </c>
      <c r="R12" s="64">
        <f ca="1">ROUND(('TUSD BE'!$AM$30+'TUSD BF'!$AM$30+'TUSD CVA'!$AM$30)*(1-CUSTOS!$M$38),2)</f>
        <v>620.86</v>
      </c>
      <c r="S12" s="64">
        <f>ROUND(('TE BE'!$AA$20+'TE BF'!$AA$20+'TE CVA'!$AA$20)*(1-CUSTOS!$M$38),2)</f>
        <v>198.01</v>
      </c>
      <c r="T12" s="64">
        <v>0</v>
      </c>
      <c r="U12" s="64">
        <f ca="1">ROUND('TUSD BE'!$AM$30*(1-CUSTOS!$M$38),2)</f>
        <v>830.83</v>
      </c>
      <c r="V12" s="64">
        <f>ROUND('TE BE'!$AA$20*(1-CUSTOS!$M$38),2)</f>
        <v>170.8</v>
      </c>
    </row>
    <row r="13" spans="1:22" ht="11.25" customHeight="1" x14ac:dyDescent="0.25">
      <c r="A13" s="147"/>
      <c r="B13" s="147"/>
      <c r="C13" s="147"/>
      <c r="D13" s="93" t="s">
        <v>889</v>
      </c>
      <c r="E13" s="64">
        <v>0</v>
      </c>
      <c r="F13" s="64">
        <f ca="1">ROUND('TUSD BE'!$AM$13+'TUSD BF'!$AM$13+'TUSD CVA'!$AM$13,2)</f>
        <v>884.34</v>
      </c>
      <c r="G13" s="64">
        <v>0</v>
      </c>
      <c r="H13" s="64">
        <v>0</v>
      </c>
      <c r="I13" s="64">
        <f ca="1">ROUND('TUSD BE'!$AM$13,2)</f>
        <v>1238.6500000000001</v>
      </c>
      <c r="J13" s="64">
        <v>0</v>
      </c>
      <c r="L13" s="144"/>
      <c r="M13" s="144"/>
      <c r="N13" s="144"/>
      <c r="O13" s="144"/>
      <c r="P13" s="93" t="s">
        <v>897</v>
      </c>
      <c r="Q13" s="64">
        <v>0</v>
      </c>
      <c r="R13" s="64">
        <f ca="1">ROUND(('TUSD BE'!$AM$31+'TUSD BF'!$AM$31+'TUSD CVA'!$AM$31)*(1-CUSTOS!$M$38),2)</f>
        <v>419.74</v>
      </c>
      <c r="S13" s="64">
        <f>ROUND(('TE BE'!$AA$21+'TE BF'!$AA$21+'TE CVA'!$AA$21)*(1-CUSTOS!$M$38),2)</f>
        <v>198.01</v>
      </c>
      <c r="T13" s="64">
        <v>0</v>
      </c>
      <c r="U13" s="64">
        <f ca="1">ROUND('TUSD BE'!$AM$31*(1-CUSTOS!$M$38),2)</f>
        <v>543.95000000000005</v>
      </c>
      <c r="V13" s="64">
        <f>ROUND('TE BE'!$AA$21*(1-CUSTOS!$M$38),2)</f>
        <v>170.8</v>
      </c>
    </row>
    <row r="14" spans="1:22" ht="11.25" customHeight="1" x14ac:dyDescent="0.25">
      <c r="A14" s="147"/>
      <c r="B14" s="147"/>
      <c r="C14" s="147"/>
      <c r="D14" s="93" t="s">
        <v>890</v>
      </c>
      <c r="E14" s="64">
        <v>0</v>
      </c>
      <c r="F14" s="64">
        <f ca="1">ROUND('TUSD BE'!$AM$14+'TUSD BF'!$AM$14+'TUSD CVA'!$AM$14,2)</f>
        <v>8.26</v>
      </c>
      <c r="G14" s="64">
        <v>0</v>
      </c>
      <c r="H14" s="64">
        <v>0</v>
      </c>
      <c r="I14" s="64">
        <f ca="1">ROUND('TUSD BE'!$AM$14,2)</f>
        <v>7.14</v>
      </c>
      <c r="J14" s="64">
        <v>0</v>
      </c>
      <c r="L14" s="144"/>
      <c r="M14" s="145"/>
      <c r="N14" s="145"/>
      <c r="O14" s="145"/>
      <c r="P14" s="93" t="s">
        <v>890</v>
      </c>
      <c r="Q14" s="64">
        <v>0</v>
      </c>
      <c r="R14" s="64">
        <f ca="1">ROUND(('TUSD BE'!$AM$32+'TUSD BF'!$AM$32+'TUSD CVA'!$AM$32)*(1-CUSTOS!$M$38),2)</f>
        <v>218.62</v>
      </c>
      <c r="S14" s="64">
        <f>ROUND(('TE BE'!$AA$22+'TE BF'!$AA$22+'TE CVA'!$AA$22)*(1-CUSTOS!$M$38),2)</f>
        <v>198.01</v>
      </c>
      <c r="T14" s="64">
        <v>0</v>
      </c>
      <c r="U14" s="64">
        <f ca="1">ROUND('TUSD BE'!$AM$32*(1-CUSTOS!$M$38),2)</f>
        <v>257.07</v>
      </c>
      <c r="V14" s="64">
        <f>ROUND('TE BE'!$AA$22*(1-CUSTOS!$M$38),2)</f>
        <v>170.8</v>
      </c>
    </row>
    <row r="15" spans="1:22" ht="11.25" customHeight="1" x14ac:dyDescent="0.25">
      <c r="A15" s="147"/>
      <c r="B15" s="93" t="s">
        <v>84</v>
      </c>
      <c r="C15" s="93" t="s">
        <v>25</v>
      </c>
      <c r="D15" s="93" t="s">
        <v>892</v>
      </c>
      <c r="E15" s="64">
        <f ca="1">ROUND('TUSD BE'!$AM$9+'TUSD BF'!$AM$9+'TUSD CVA'!$AM$9,2)</f>
        <v>3.38</v>
      </c>
      <c r="F15" s="64">
        <v>0</v>
      </c>
      <c r="G15" s="64">
        <v>0</v>
      </c>
      <c r="H15" s="64">
        <f ca="1">ROUND('TUSD BE'!$AM$9,2)</f>
        <v>5.24</v>
      </c>
      <c r="I15" s="64">
        <v>0</v>
      </c>
      <c r="J15" s="64">
        <v>0</v>
      </c>
      <c r="L15" s="144"/>
      <c r="M15" s="93" t="s">
        <v>898</v>
      </c>
      <c r="N15" s="93" t="s">
        <v>901</v>
      </c>
      <c r="O15" s="93" t="s">
        <v>902</v>
      </c>
      <c r="P15" s="93" t="s">
        <v>892</v>
      </c>
      <c r="Q15" s="64">
        <v>0</v>
      </c>
      <c r="R15" s="64">
        <f ca="1">ROUND(('TUSD BE'!$AM$42+'TUSD BF'!$AM$42+'TUSD CVA'!$AM$42)*(1-CUSTOS!$M$38),2)</f>
        <v>300.89999999999998</v>
      </c>
      <c r="S15" s="64">
        <f>ROUND(('TE BE'!$AA$32+'TE BF'!$AA$32+'TE CVA'!$AA$32)*(1-CUSTOS!$M$38),2)</f>
        <v>198.01</v>
      </c>
      <c r="T15" s="64">
        <v>0</v>
      </c>
      <c r="U15" s="64">
        <f ca="1">ROUND(('TUSD BE'!$AM$42)*(1-CUSTOS!$M$38),2)</f>
        <v>374.43</v>
      </c>
      <c r="V15" s="64">
        <f>ROUND(('TE BE'!$AA$32)*(1-CUSTOS!$M$38),2)</f>
        <v>170.8</v>
      </c>
    </row>
    <row r="16" spans="1:22" ht="11.25" customHeight="1" x14ac:dyDescent="0.25">
      <c r="L16" s="144"/>
      <c r="M16" s="93" t="s">
        <v>900</v>
      </c>
      <c r="N16" s="93" t="s">
        <v>901</v>
      </c>
      <c r="O16" s="93" t="s">
        <v>902</v>
      </c>
      <c r="P16" s="93" t="s">
        <v>892</v>
      </c>
      <c r="Q16" s="64">
        <v>0</v>
      </c>
      <c r="R16" s="64">
        <f ca="1">ROUND(('TUSD BE'!$AM$33+'TUSD BF'!$AM$33+'TUSD CVA'!$AM$33)*(1-CUSTOS!$M$38),2)</f>
        <v>300.89999999999998</v>
      </c>
      <c r="S16" s="64">
        <f>ROUND(('TE BE'!$AA$23+'TE BF'!$AA$23+'TE CVA'!$AA$23)*(1-CUSTOS!$M$38),2)</f>
        <v>198.01</v>
      </c>
      <c r="T16" s="64">
        <v>0</v>
      </c>
      <c r="U16" s="64">
        <f ca="1">ROUND(('TUSD BE'!$AM$33)*(1-CUSTOS!$M$38),2)</f>
        <v>374.43</v>
      </c>
      <c r="V16" s="64">
        <f>ROUND(('TE BE'!$AA$23)*(1-CUSTOS!$M$38),2)</f>
        <v>170.8</v>
      </c>
    </row>
    <row r="17" spans="12:22" ht="11.25" customHeight="1" x14ac:dyDescent="0.25">
      <c r="L17" s="144"/>
      <c r="M17" s="143" t="s">
        <v>895</v>
      </c>
      <c r="N17" s="143" t="s">
        <v>901</v>
      </c>
      <c r="O17" s="143" t="s">
        <v>903</v>
      </c>
      <c r="P17" s="93" t="s">
        <v>889</v>
      </c>
      <c r="Q17" s="64">
        <v>0</v>
      </c>
      <c r="R17" s="64">
        <f ca="1">ROUND(('TUSD BE'!$AM$34+'TUSD BF'!$AM$34+'TUSD CVA'!$AM$34)*(1-CUSTOS!$M$39),2)</f>
        <v>620.86</v>
      </c>
      <c r="S17" s="64">
        <f>ROUND(('TE BE'!$AA$24+'TE BF'!$AA$24+'TE CVA'!$AA$24)*(1-CUSTOS!$M$39),2)</f>
        <v>198.01</v>
      </c>
      <c r="T17" s="64">
        <v>0</v>
      </c>
      <c r="U17" s="64">
        <f ca="1">ROUND('TUSD BE'!$AM$34*(1-CUSTOS!$M$39),2)</f>
        <v>830.83</v>
      </c>
      <c r="V17" s="64">
        <f>ROUND('TE BE'!$AA$24*(1-CUSTOS!$M$39),2)</f>
        <v>170.8</v>
      </c>
    </row>
    <row r="18" spans="12:22" ht="11.25" customHeight="1" x14ac:dyDescent="0.25">
      <c r="L18" s="144"/>
      <c r="M18" s="144"/>
      <c r="N18" s="144"/>
      <c r="O18" s="144"/>
      <c r="P18" s="93" t="s">
        <v>897</v>
      </c>
      <c r="Q18" s="64">
        <v>0</v>
      </c>
      <c r="R18" s="64">
        <f ca="1">ROUND(('TUSD BE'!$AM$35+'TUSD BF'!$AM$35+'TUSD CVA'!$AM$35)*(1-CUSTOS!$M$39),2)</f>
        <v>419.74</v>
      </c>
      <c r="S18" s="64">
        <f>ROUND(('TE BE'!$AA$25+'TE BF'!$AA$25+'TE CVA'!$AA$25)*(1-CUSTOS!$M$39),2)</f>
        <v>198.01</v>
      </c>
      <c r="T18" s="64">
        <v>0</v>
      </c>
      <c r="U18" s="64">
        <f ca="1">ROUND('TUSD BE'!$AM$35*(1-CUSTOS!$M$39),2)</f>
        <v>543.95000000000005</v>
      </c>
      <c r="V18" s="64">
        <f>ROUND('TE BE'!$AA$25*(1-CUSTOS!$M$39),2)</f>
        <v>170.8</v>
      </c>
    </row>
    <row r="19" spans="12:22" ht="11.25" customHeight="1" x14ac:dyDescent="0.25">
      <c r="L19" s="144"/>
      <c r="M19" s="145"/>
      <c r="N19" s="145"/>
      <c r="O19" s="145"/>
      <c r="P19" s="93" t="s">
        <v>890</v>
      </c>
      <c r="Q19" s="64">
        <v>0</v>
      </c>
      <c r="R19" s="64">
        <f ca="1">ROUND(('TUSD BE'!$AM$36+'TUSD BF'!$AM$36+'TUSD CVA'!$AM$36)*(1-CUSTOS!$M$39),2)</f>
        <v>218.62</v>
      </c>
      <c r="S19" s="64">
        <f>ROUND(('TE BE'!$AA$26+'TE BF'!$AA$26+'TE CVA'!$AA$26)*(1-CUSTOS!$M$39),2)</f>
        <v>198.01</v>
      </c>
      <c r="T19" s="64">
        <v>0</v>
      </c>
      <c r="U19" s="64">
        <f ca="1">ROUND('TUSD BE'!$AM$36*(1-CUSTOS!$M$39),2)</f>
        <v>257.07</v>
      </c>
      <c r="V19" s="64">
        <f>ROUND('TE BE'!$AA$26*(1-CUSTOS!$M$39),2)</f>
        <v>170.8</v>
      </c>
    </row>
    <row r="20" spans="12:22" ht="11.25" customHeight="1" x14ac:dyDescent="0.25">
      <c r="L20" s="144"/>
      <c r="M20" s="93" t="s">
        <v>898</v>
      </c>
      <c r="N20" s="93" t="s">
        <v>901</v>
      </c>
      <c r="O20" s="93" t="s">
        <v>903</v>
      </c>
      <c r="P20" s="93" t="s">
        <v>892</v>
      </c>
      <c r="Q20" s="64">
        <v>0</v>
      </c>
      <c r="R20" s="64">
        <f ca="1">ROUND(('TUSD BE'!$AM$42+'TUSD BF'!$AM$42+'TUSD CVA'!$AM$42)*(1-CUSTOS!$M$39),2)</f>
        <v>300.89999999999998</v>
      </c>
      <c r="S20" s="64">
        <f>ROUND(('TE BE'!$AA$32+'TE BF'!$AA$32+'TE CVA'!$AA$32)*(1-CUSTOS!$M$39),2)</f>
        <v>198.01</v>
      </c>
      <c r="T20" s="64">
        <v>0</v>
      </c>
      <c r="U20" s="64">
        <f ca="1">ROUND(('TUSD BE'!$AM$42)*(1-CUSTOS!$M$39),2)</f>
        <v>374.43</v>
      </c>
      <c r="V20" s="64">
        <f>ROUND(('TE BE'!$AA$32)*(1-CUSTOS!$M$39),2)</f>
        <v>170.8</v>
      </c>
    </row>
    <row r="21" spans="12:22" ht="11.25" customHeight="1" x14ac:dyDescent="0.25">
      <c r="L21" s="144"/>
      <c r="M21" s="93" t="s">
        <v>900</v>
      </c>
      <c r="N21" s="93" t="s">
        <v>901</v>
      </c>
      <c r="O21" s="93" t="s">
        <v>903</v>
      </c>
      <c r="P21" s="93" t="s">
        <v>892</v>
      </c>
      <c r="Q21" s="64">
        <v>0</v>
      </c>
      <c r="R21" s="64">
        <f ca="1">ROUND(('TUSD BE'!$AM$33+'TUSD BF'!$AM$33+'TUSD CVA'!$AM$33)*(1-CUSTOS!$M$39),2)</f>
        <v>300.89999999999998</v>
      </c>
      <c r="S21" s="64">
        <f>ROUND(('TE BE'!$AA$23+'TE BF'!$AA$23+'TE CVA'!$AA$23)*(1-CUSTOS!$M$39),2)</f>
        <v>198.01</v>
      </c>
      <c r="T21" s="64">
        <v>0</v>
      </c>
      <c r="U21" s="64">
        <f ca="1">ROUND(('TUSD BE'!$AM$33)*(1-CUSTOS!$M$39),2)</f>
        <v>374.43</v>
      </c>
      <c r="V21" s="64">
        <f>ROUND(('TE BE'!$AA$23)*(1-CUSTOS!$M$39),2)</f>
        <v>170.8</v>
      </c>
    </row>
    <row r="22" spans="12:22" ht="11.25" customHeight="1" x14ac:dyDescent="0.25">
      <c r="L22" s="144"/>
      <c r="M22" s="143" t="s">
        <v>895</v>
      </c>
      <c r="N22" s="143" t="s">
        <v>901</v>
      </c>
      <c r="O22" s="143" t="s">
        <v>904</v>
      </c>
      <c r="P22" s="93" t="s">
        <v>889</v>
      </c>
      <c r="Q22" s="64">
        <v>0</v>
      </c>
      <c r="R22" s="64">
        <f ca="1">ROUND(('TUSD BE'!$AM$38+'TUSD BF'!$AM$38+'TUSD CVA'!$AM$38)*(1-CUSTOS!$M$40),2)</f>
        <v>607.65</v>
      </c>
      <c r="S22" s="64">
        <f>ROUND(('TE BE'!$AA$28+'TE BF'!$AA$28+'TE CVA'!$AA$28)*(1-CUSTOS!$M$40),2)</f>
        <v>193.79</v>
      </c>
      <c r="T22" s="64">
        <v>0</v>
      </c>
      <c r="U22" s="64">
        <f ca="1">ROUND('TUSD BE'!$AM$38*(1-CUSTOS!$M$40),2)</f>
        <v>813.16</v>
      </c>
      <c r="V22" s="64">
        <f>ROUND('TE BE'!$AA$28*(1-CUSTOS!$M$40),2)</f>
        <v>167.17</v>
      </c>
    </row>
    <row r="23" spans="12:22" ht="11.25" customHeight="1" x14ac:dyDescent="0.25">
      <c r="L23" s="144"/>
      <c r="M23" s="144"/>
      <c r="N23" s="144"/>
      <c r="O23" s="144"/>
      <c r="P23" s="93" t="s">
        <v>897</v>
      </c>
      <c r="Q23" s="64">
        <v>0</v>
      </c>
      <c r="R23" s="64">
        <f ca="1">ROUND(('TUSD BE'!$AM$39+'TUSD BF'!$AM$39+'TUSD CVA'!$AM$39)*(1-CUSTOS!$M$40),2)</f>
        <v>410.81</v>
      </c>
      <c r="S23" s="64">
        <f>ROUND(('TE BE'!$AA$29+'TE BF'!$AA$29+'TE CVA'!$AA$29)*(1-CUSTOS!$M$40),2)</f>
        <v>193.79</v>
      </c>
      <c r="T23" s="64">
        <v>0</v>
      </c>
      <c r="U23" s="64">
        <f ca="1">ROUND('TUSD BE'!$AM$39*(1-CUSTOS!$M$40),2)</f>
        <v>532.38</v>
      </c>
      <c r="V23" s="64">
        <f>ROUND('TE BE'!$AA$29*(1-CUSTOS!$M$40),2)</f>
        <v>167.17</v>
      </c>
    </row>
    <row r="24" spans="12:22" ht="11.25" customHeight="1" x14ac:dyDescent="0.25">
      <c r="L24" s="144"/>
      <c r="M24" s="145"/>
      <c r="N24" s="145"/>
      <c r="O24" s="145"/>
      <c r="P24" s="93" t="s">
        <v>890</v>
      </c>
      <c r="Q24" s="64">
        <v>0</v>
      </c>
      <c r="R24" s="64">
        <f ca="1">ROUND(('TUSD BE'!$AM$40+'TUSD BF'!$AM$40+'TUSD CVA'!$AM$40)*(1-CUSTOS!$M$40),2)</f>
        <v>213.97</v>
      </c>
      <c r="S24" s="64">
        <f>ROUND(('TE BE'!$AA$30+'TE BF'!$AA$30+'TE CVA'!$AA$30)*(1-CUSTOS!$M$40),2)</f>
        <v>193.79</v>
      </c>
      <c r="T24" s="64">
        <v>0</v>
      </c>
      <c r="U24" s="64">
        <f ca="1">ROUND('TUSD BE'!$AM$40*(1-CUSTOS!$M$40),2)</f>
        <v>251.6</v>
      </c>
      <c r="V24" s="64">
        <f>ROUND('TE BE'!$AA$30*(1-CUSTOS!$M$40),2)</f>
        <v>167.17</v>
      </c>
    </row>
    <row r="25" spans="12:22" ht="11.25" customHeight="1" x14ac:dyDescent="0.25">
      <c r="L25" s="144"/>
      <c r="M25" s="93" t="s">
        <v>898</v>
      </c>
      <c r="N25" s="93" t="s">
        <v>901</v>
      </c>
      <c r="O25" s="93" t="s">
        <v>904</v>
      </c>
      <c r="P25" s="93" t="s">
        <v>892</v>
      </c>
      <c r="Q25" s="64">
        <v>0</v>
      </c>
      <c r="R25" s="64">
        <f ca="1">ROUND(('TUSD BE'!$AM$42+'TUSD BF'!$AM$42+'TUSD CVA'!$AM$42)*(1-CUSTOS!$M$40),2)</f>
        <v>294.5</v>
      </c>
      <c r="S25" s="64">
        <f>ROUND(('TE BE'!$AA$32+'TE BF'!$AA$32+'TE CVA'!$AA$32)*(1-CUSTOS!$M$40),2)</f>
        <v>193.79</v>
      </c>
      <c r="T25" s="64">
        <v>0</v>
      </c>
      <c r="U25" s="64">
        <f ca="1">ROUND(('TUSD BE'!$AM$42)*(1-CUSTOS!$M$40),2)</f>
        <v>366.47</v>
      </c>
      <c r="V25" s="64">
        <f>ROUND(('TE BE'!$AA$32)*(1-CUSTOS!$M$40),2)</f>
        <v>167.17</v>
      </c>
    </row>
    <row r="26" spans="12:22" ht="11.25" customHeight="1" x14ac:dyDescent="0.25">
      <c r="L26" s="145"/>
      <c r="M26" s="93" t="s">
        <v>900</v>
      </c>
      <c r="N26" s="93" t="s">
        <v>901</v>
      </c>
      <c r="O26" s="93" t="s">
        <v>904</v>
      </c>
      <c r="P26" s="93" t="s">
        <v>892</v>
      </c>
      <c r="Q26" s="64">
        <v>0</v>
      </c>
      <c r="R26" s="64">
        <f ca="1">ROUND(('TUSD BE'!$AM$33+'TUSD BF'!$AM$33+'TUSD CVA'!$AM$33)*(1-CUSTOS!$M$40),2)</f>
        <v>294.5</v>
      </c>
      <c r="S26" s="64">
        <f>ROUND(('TE BE'!$AA$23+'TE BF'!$AA$23+'TE CVA'!$AA$23)*(1-CUSTOS!$M$40),2)</f>
        <v>193.79</v>
      </c>
      <c r="T26" s="64">
        <v>0</v>
      </c>
      <c r="U26" s="64">
        <f ca="1">ROUND(('TUSD BE'!$AM$33)*(1-CUSTOS!$M$40),2)</f>
        <v>366.47</v>
      </c>
      <c r="V26" s="64">
        <f>ROUND(('TE BE'!$AA$23)*(1-CUSTOS!$M$40),2)</f>
        <v>167.17</v>
      </c>
    </row>
    <row r="27" spans="12:22" ht="11.25" customHeight="1" x14ac:dyDescent="0.25">
      <c r="L27" s="143" t="s">
        <v>39</v>
      </c>
      <c r="M27" s="143" t="s">
        <v>895</v>
      </c>
      <c r="N27" s="143" t="s">
        <v>892</v>
      </c>
      <c r="O27" s="143" t="s">
        <v>892</v>
      </c>
      <c r="P27" s="93" t="s">
        <v>889</v>
      </c>
      <c r="Q27" s="64">
        <v>0</v>
      </c>
      <c r="R27" s="64">
        <f ca="1">ROUND(('TUSD BE'!$AM$45+'TUSD BF'!$AM$45+'TUSD CVA'!$AM$45)*(1-CUSTOS!$M$31),2)</f>
        <v>728.56</v>
      </c>
      <c r="S27" s="64">
        <f>ROUND(('TE BE'!$AA$35+'TE BF'!$AA$35+'TE CVA'!$AA$35)*(1-CUSTOS!$M$31),2)</f>
        <v>210.64</v>
      </c>
      <c r="T27" s="64">
        <v>0</v>
      </c>
      <c r="U27" s="64">
        <f ca="1">ROUND('TUSD BE'!$AM$45*(1-CUSTOS!$M$31),2)</f>
        <v>980.97</v>
      </c>
      <c r="V27" s="64">
        <f>ROUND('TE BE'!$AA$35*(1-CUSTOS!$M$31),2)</f>
        <v>181.7</v>
      </c>
    </row>
    <row r="28" spans="12:22" ht="11.25" customHeight="1" x14ac:dyDescent="0.25">
      <c r="L28" s="144"/>
      <c r="M28" s="144"/>
      <c r="N28" s="144"/>
      <c r="O28" s="144"/>
      <c r="P28" s="93" t="s">
        <v>897</v>
      </c>
      <c r="Q28" s="64">
        <v>0</v>
      </c>
      <c r="R28" s="64">
        <f ca="1">ROUND(('TUSD BE'!$AM$46+'TUSD BF'!$AM$46+'TUSD CVA'!$AM$46)*(1-CUSTOS!$M$31),2)</f>
        <v>487.38</v>
      </c>
      <c r="S28" s="64">
        <f>ROUND(('TE BE'!$AA$36+'TE BF'!$AA$36+'TE CVA'!$AA$36)*(1-CUSTOS!$M$31),2)</f>
        <v>210.64</v>
      </c>
      <c r="T28" s="64">
        <v>0</v>
      </c>
      <c r="U28" s="64">
        <f ca="1">ROUND('TUSD BE'!$AM$46*(1-CUSTOS!$M$31),2)</f>
        <v>636.94000000000005</v>
      </c>
      <c r="V28" s="64">
        <f>ROUND('TE BE'!$AA$36*(1-CUSTOS!$M$31),2)</f>
        <v>181.7</v>
      </c>
    </row>
    <row r="29" spans="12:22" ht="11.25" customHeight="1" x14ac:dyDescent="0.25">
      <c r="L29" s="144"/>
      <c r="M29" s="145"/>
      <c r="N29" s="145"/>
      <c r="O29" s="145"/>
      <c r="P29" s="93" t="s">
        <v>890</v>
      </c>
      <c r="Q29" s="64">
        <v>0</v>
      </c>
      <c r="R29" s="64">
        <f ca="1">ROUND(('TUSD BE'!$AM$47+'TUSD BF'!$AM$47+'TUSD CVA'!$AM$47)*(1-CUSTOS!$M$31),2)</f>
        <v>246.19</v>
      </c>
      <c r="S29" s="64">
        <f>ROUND(('TE BE'!$AA$37+'TE BF'!$AA$37+'TE CVA'!$AA$37)*(1-CUSTOS!$M$31),2)</f>
        <v>210.64</v>
      </c>
      <c r="T29" s="64">
        <v>0</v>
      </c>
      <c r="U29" s="64">
        <f ca="1">ROUND('TUSD BE'!$AM$47*(1-CUSTOS!$M$31),2)</f>
        <v>292.89999999999998</v>
      </c>
      <c r="V29" s="64">
        <f>ROUND('TE BE'!$AA$37*(1-CUSTOS!$M$31),2)</f>
        <v>181.7</v>
      </c>
    </row>
    <row r="30" spans="12:22" ht="11.25" customHeight="1" x14ac:dyDescent="0.25">
      <c r="L30" s="144"/>
      <c r="M30" s="93" t="s">
        <v>898</v>
      </c>
      <c r="N30" s="93" t="s">
        <v>892</v>
      </c>
      <c r="O30" s="93" t="s">
        <v>892</v>
      </c>
      <c r="P30" s="93" t="s">
        <v>892</v>
      </c>
      <c r="Q30" s="64">
        <v>0</v>
      </c>
      <c r="R30" s="64">
        <f ca="1">ROUND(('TUSD BE'!$AM$49+'TUSD BF'!$AM$49+'TUSD CVA'!$AM$49)*(1-CUSTOS!$M$31),2)</f>
        <v>320.11</v>
      </c>
      <c r="S30" s="64">
        <f>ROUND(('TE BE'!$AA$39+'TE BF'!$AA$39+'TE CVA'!$AA$39)*(1-CUSTOS!$M$31),2)</f>
        <v>210.64</v>
      </c>
      <c r="T30" s="64">
        <v>0</v>
      </c>
      <c r="U30" s="64">
        <f ca="1">ROUND(('TUSD BE'!$AM$49)*(1-CUSTOS!$M$31),2)</f>
        <v>398.33</v>
      </c>
      <c r="V30" s="64">
        <f>ROUND(('TE BE'!$AA$39)*(1-CUSTOS!$M$31),2)</f>
        <v>181.7</v>
      </c>
    </row>
    <row r="31" spans="12:22" ht="11.25" customHeight="1" x14ac:dyDescent="0.25">
      <c r="L31" s="145"/>
      <c r="M31" s="93" t="s">
        <v>900</v>
      </c>
      <c r="N31" s="93" t="s">
        <v>892</v>
      </c>
      <c r="O31" s="93" t="s">
        <v>892</v>
      </c>
      <c r="P31" s="93" t="s">
        <v>892</v>
      </c>
      <c r="Q31" s="64">
        <v>0</v>
      </c>
      <c r="R31" s="64">
        <f ca="1">ROUND(('TUSD BE'!$AM$48+'TUSD BF'!$AM$48+'TUSD CVA'!$AM$48)*(1-CUSTOS!$M$31),2)</f>
        <v>320.11</v>
      </c>
      <c r="S31" s="64">
        <f>ROUND(('TE BE'!$AA$38+'TE BF'!$AA$38+'TE CVA'!$AA$38)*(1-CUSTOS!$M$31),2)</f>
        <v>210.64</v>
      </c>
      <c r="T31" s="64">
        <v>0</v>
      </c>
      <c r="U31" s="64">
        <f ca="1">ROUND(('TUSD BE'!$AM$48)*(1-CUSTOS!$M$31),2)</f>
        <v>398.33</v>
      </c>
      <c r="V31" s="64">
        <f>ROUND(('TE BE'!$AA$38)*(1-CUSTOS!$M$31),2)</f>
        <v>181.7</v>
      </c>
    </row>
    <row r="32" spans="12:22" ht="11.25" customHeight="1" x14ac:dyDescent="0.25">
      <c r="L32" s="143" t="s">
        <v>46</v>
      </c>
      <c r="M32" s="143" t="s">
        <v>900</v>
      </c>
      <c r="N32" s="143" t="s">
        <v>905</v>
      </c>
      <c r="O32" s="93" t="s">
        <v>906</v>
      </c>
      <c r="P32" s="93" t="s">
        <v>892</v>
      </c>
      <c r="Q32" s="64">
        <v>0</v>
      </c>
      <c r="R32" s="64">
        <f ca="1">ROUND(('TUSD BE'!$AM$50+'TUSD BF'!$AM$50+'TUSD CVA'!$AM$50),2)</f>
        <v>176.06</v>
      </c>
      <c r="S32" s="64">
        <f>ROUND(('TE BE'!$AA$40+'TE BF'!$AA$40+'TE CVA'!$AA$40),2)</f>
        <v>115.85</v>
      </c>
      <c r="T32" s="64">
        <v>0</v>
      </c>
      <c r="U32" s="64">
        <f ca="1">ROUND(('TUSD BE'!$AM$50),2)</f>
        <v>219.08</v>
      </c>
      <c r="V32" s="64">
        <f>ROUND(('TE BE'!$AA$40),2)</f>
        <v>99.94</v>
      </c>
    </row>
    <row r="33" spans="12:22" ht="11.25" customHeight="1" x14ac:dyDescent="0.25">
      <c r="L33" s="145"/>
      <c r="M33" s="145"/>
      <c r="N33" s="145"/>
      <c r="O33" s="93" t="s">
        <v>907</v>
      </c>
      <c r="P33" s="93" t="s">
        <v>892</v>
      </c>
      <c r="Q33" s="64">
        <v>0</v>
      </c>
      <c r="R33" s="64">
        <f ca="1">ROUND(('TUSD BE'!$AM$51+'TUSD BF'!$AM$51+'TUSD CVA'!$AM$51),2)</f>
        <v>192.06</v>
      </c>
      <c r="S33" s="64">
        <f>ROUND(('TE BE'!$AA$41+'TE BF'!$AA$41+'TE CVA'!$AA$41),2)</f>
        <v>126.39</v>
      </c>
      <c r="T33" s="64">
        <v>0</v>
      </c>
      <c r="U33" s="64">
        <f ca="1">ROUND(('TUSD BE'!$AM$51),2)</f>
        <v>239</v>
      </c>
      <c r="V33" s="64">
        <f>ROUND(('TE BE'!$AA$41),2)</f>
        <v>109.02</v>
      </c>
    </row>
    <row r="34" spans="12:22" ht="11.25" customHeight="1" x14ac:dyDescent="0.25">
      <c r="L34" s="143" t="s">
        <v>85</v>
      </c>
      <c r="M34" s="143" t="s">
        <v>908</v>
      </c>
      <c r="N34" s="93" t="s">
        <v>86</v>
      </c>
      <c r="O34" s="93" t="s">
        <v>892</v>
      </c>
      <c r="P34" s="93" t="s">
        <v>892</v>
      </c>
      <c r="Q34" s="64">
        <f ca="1">ROUND(('TUSD BE'!$AM$15+'TUSD BF'!$AM$15+'TUSD CVA'!$AM$15),2)</f>
        <v>3.78</v>
      </c>
      <c r="R34" s="64">
        <v>0</v>
      </c>
      <c r="S34" s="64">
        <v>0</v>
      </c>
      <c r="T34" s="64">
        <f ca="1">ROUND(('TUSD BE'!$AM$15),2)</f>
        <v>5.85</v>
      </c>
      <c r="U34" s="64">
        <v>0</v>
      </c>
      <c r="V34" s="64">
        <v>0</v>
      </c>
    </row>
    <row r="35" spans="12:22" ht="11.25" customHeight="1" x14ac:dyDescent="0.25">
      <c r="L35" s="145"/>
      <c r="M35" s="145"/>
      <c r="N35" s="93" t="s">
        <v>87</v>
      </c>
      <c r="O35" s="93" t="s">
        <v>892</v>
      </c>
      <c r="P35" s="93" t="s">
        <v>892</v>
      </c>
      <c r="Q35" s="64">
        <f ca="1">ROUND(('TUSD BE'!$AM$16+'TUSD BF'!$AM$16+'TUSD CVA'!$AM$16),2)</f>
        <v>7.69</v>
      </c>
      <c r="R35" s="64">
        <v>0</v>
      </c>
      <c r="S35" s="64">
        <v>0</v>
      </c>
      <c r="T35" s="64">
        <f ca="1">ROUND(('TUSD BE'!$AM$16),2)</f>
        <v>11.9</v>
      </c>
      <c r="U35" s="64">
        <v>0</v>
      </c>
      <c r="V35" s="64">
        <v>0</v>
      </c>
    </row>
  </sheetData>
  <mergeCells count="51"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L27:L31"/>
    <mergeCell ref="L32:L33"/>
    <mergeCell ref="L34:L35"/>
    <mergeCell ref="M32:M33"/>
    <mergeCell ref="M34:M35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O5:O7"/>
    <mergeCell ref="O12:O14"/>
    <mergeCell ref="O17:O19"/>
    <mergeCell ref="O22:O24"/>
    <mergeCell ref="O27:O29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2EF8E-AB98-45E9-9D74-347A13AEB7EE}">
  <dimension ref="A1:AN754"/>
  <sheetViews>
    <sheetView showGridLines="0" workbookViewId="0">
      <selection sqref="A1:O754 Q1:AJ13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9.42578125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7.855468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71" t="s">
        <v>6</v>
      </c>
      <c r="H1" s="71" t="s">
        <v>7</v>
      </c>
      <c r="I1" s="81" t="s">
        <v>8</v>
      </c>
      <c r="J1" s="80" t="s">
        <v>855</v>
      </c>
      <c r="K1" s="80" t="s">
        <v>856</v>
      </c>
      <c r="L1" s="80" t="s">
        <v>857</v>
      </c>
      <c r="M1" s="80" t="s">
        <v>858</v>
      </c>
      <c r="N1" s="80" t="s">
        <v>859</v>
      </c>
      <c r="O1" s="80" t="s">
        <v>860</v>
      </c>
      <c r="P1" s="79"/>
      <c r="Q1" s="141" t="s">
        <v>861</v>
      </c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L1" s="71" t="s">
        <v>882</v>
      </c>
      <c r="AM1" s="71" t="s">
        <v>63</v>
      </c>
      <c r="AN1" s="71" t="s">
        <v>883</v>
      </c>
    </row>
    <row r="2" spans="1:40" ht="11.25" customHeight="1" x14ac:dyDescent="0.2">
      <c r="A2" s="72" t="s">
        <v>21</v>
      </c>
      <c r="B2" s="72" t="s">
        <v>33</v>
      </c>
      <c r="C2" s="72" t="s">
        <v>41</v>
      </c>
      <c r="D2" s="72" t="s">
        <v>42</v>
      </c>
      <c r="E2" s="72" t="s">
        <v>25</v>
      </c>
      <c r="F2" s="72" t="s">
        <v>25</v>
      </c>
      <c r="G2" s="72" t="s">
        <v>25</v>
      </c>
      <c r="H2" s="72" t="s">
        <v>36</v>
      </c>
      <c r="I2" s="82">
        <v>44317</v>
      </c>
      <c r="J2" s="83">
        <f ca="1">EFEITO!$J$2*EFEITO!$Y$2</f>
        <v>2518.6863313046179</v>
      </c>
      <c r="K2" s="83">
        <f ca="1">EFEITO!$L$2*EFEITO!$Z$2</f>
        <v>4755.3185402522959</v>
      </c>
      <c r="L2" s="83">
        <f>EFEITO!$N$2*EFEITO!$AA$2</f>
        <v>9982.2073778649283</v>
      </c>
      <c r="M2" s="83">
        <f ca="1">$J$2-EFEITO!$K$2*EFEITO!$Y$2</f>
        <v>0</v>
      </c>
      <c r="N2" s="83">
        <f ca="1">$K$2-EFEITO!$M$2*EFEITO!$Z$2</f>
        <v>0</v>
      </c>
      <c r="O2" s="83">
        <f>$L$2-EFEITO!$O$2*EFEITO!$AA$2</f>
        <v>0</v>
      </c>
      <c r="P2" s="28"/>
      <c r="Q2" s="63" t="s">
        <v>66</v>
      </c>
      <c r="R2" s="63" t="s">
        <v>863</v>
      </c>
      <c r="S2" s="63" t="s">
        <v>864</v>
      </c>
      <c r="T2" s="63" t="s">
        <v>865</v>
      </c>
      <c r="U2" s="63" t="s">
        <v>866</v>
      </c>
      <c r="V2" s="63" t="s">
        <v>867</v>
      </c>
      <c r="W2" s="63" t="s">
        <v>868</v>
      </c>
      <c r="X2" s="84" t="s">
        <v>869</v>
      </c>
      <c r="Y2" s="84" t="s">
        <v>870</v>
      </c>
      <c r="Z2" s="84" t="s">
        <v>871</v>
      </c>
      <c r="AA2" s="84" t="s">
        <v>872</v>
      </c>
      <c r="AB2" s="84" t="s">
        <v>873</v>
      </c>
      <c r="AC2" s="84" t="s">
        <v>874</v>
      </c>
      <c r="AD2" s="84" t="s">
        <v>875</v>
      </c>
      <c r="AE2" s="84" t="s">
        <v>876</v>
      </c>
      <c r="AF2" s="84" t="s">
        <v>877</v>
      </c>
      <c r="AG2" s="84" t="s">
        <v>878</v>
      </c>
      <c r="AH2" s="84" t="s">
        <v>879</v>
      </c>
      <c r="AI2" s="84" t="s">
        <v>880</v>
      </c>
      <c r="AJ2" s="84" t="s">
        <v>881</v>
      </c>
      <c r="AL2" s="72"/>
      <c r="AM2" s="72"/>
      <c r="AN2" s="72"/>
    </row>
    <row r="3" spans="1:40" ht="11.25" customHeight="1" x14ac:dyDescent="0.2">
      <c r="A3" s="72" t="s">
        <v>21</v>
      </c>
      <c r="B3" s="72" t="s">
        <v>33</v>
      </c>
      <c r="C3" s="72" t="s">
        <v>41</v>
      </c>
      <c r="D3" s="72" t="s">
        <v>42</v>
      </c>
      <c r="E3" s="72" t="s">
        <v>25</v>
      </c>
      <c r="F3" s="72" t="s">
        <v>25</v>
      </c>
      <c r="G3" s="72" t="s">
        <v>25</v>
      </c>
      <c r="H3" s="72" t="s">
        <v>36</v>
      </c>
      <c r="I3" s="82">
        <v>44348</v>
      </c>
      <c r="J3" s="83">
        <f ca="1">EFEITO!$J$3*EFEITO!$Y$3</f>
        <v>2502.006289375448</v>
      </c>
      <c r="K3" s="83">
        <f ca="1">EFEITO!$L$3*EFEITO!$Z$3</f>
        <v>4045.1666208329048</v>
      </c>
      <c r="L3" s="83">
        <f>EFEITO!$N$3*EFEITO!$AA$3</f>
        <v>8491.4799598322588</v>
      </c>
      <c r="M3" s="83">
        <f ca="1">$J$3-EFEITO!$K$3*EFEITO!$Y$3</f>
        <v>0</v>
      </c>
      <c r="N3" s="83">
        <f ca="1">$K$3-EFEITO!$M$3*EFEITO!$Z$3</f>
        <v>0</v>
      </c>
      <c r="O3" s="83">
        <f>$L$3-EFEITO!$O$3*EFEITO!$AA$3</f>
        <v>0</v>
      </c>
      <c r="P3" s="28"/>
      <c r="Q3" s="83" t="s">
        <v>862</v>
      </c>
      <c r="R3" s="83">
        <f>SUMIF($B$2:$B$754,$Q$3,$J$2:$J$754)</f>
        <v>0</v>
      </c>
      <c r="S3" s="83">
        <f>SUMIF($B$2:$B$754,$Q$3,$K$2:$K$754)</f>
        <v>0</v>
      </c>
      <c r="T3" s="83">
        <f>SUMIF($B$2:$B$754,$Q$3,$L$2:$L$754)</f>
        <v>0</v>
      </c>
      <c r="U3" s="83">
        <f>SUMIF($B$2:$B$754,$Q$3,$M$2:$M$754)</f>
        <v>0</v>
      </c>
      <c r="V3" s="83">
        <f>SUMIF($B$2:$B$754,$Q$3,$N$2:$N$754)</f>
        <v>0</v>
      </c>
      <c r="W3" s="83">
        <f>SUMIF($B$2:$B$754,$Q$3,$O$2:$O$754)</f>
        <v>0</v>
      </c>
      <c r="X3" s="73">
        <f>$R$3-$U$3</f>
        <v>0</v>
      </c>
      <c r="Y3" s="73">
        <f>$S$3-$V$3</f>
        <v>0</v>
      </c>
      <c r="Z3" s="73">
        <f>$T$3-$W$3</f>
        <v>0</v>
      </c>
      <c r="AA3" s="73">
        <f>SUMIF(EFEITO!$B$2:$B$754,$Q$3,EFEITO!$AE$2:$AE$754)</f>
        <v>0</v>
      </c>
      <c r="AB3" s="73">
        <f>SUMIF(EFEITO!$B$2:$B$754,$Q$3,EFEITO!$AF$2:$AF$754)</f>
        <v>0</v>
      </c>
      <c r="AC3" s="73">
        <f>SUMIF(EFEITO!$B$2:$B$754,$Q$3,EFEITO!$AG$2:$AH$754)</f>
        <v>0</v>
      </c>
      <c r="AD3" s="73">
        <f>SUMIF(SUBSIDIO!$B$2:$B$754,$Q$3,SUBSIDIO!$AD$2:$AD$754)</f>
        <v>0</v>
      </c>
      <c r="AE3" s="73">
        <f>SUMIF(SUBSIDIO!$B$2:$B$754,$Q$3,SUBSIDIO!$AE$2:$AE$754)</f>
        <v>0</v>
      </c>
      <c r="AF3" s="73" t="str">
        <f>IF(ABS($X$3-$AA$3)&lt;0.01,"OK","ERRO")</f>
        <v>OK</v>
      </c>
      <c r="AG3" s="73" t="str">
        <f>IF(ABS($Y$3-$AB$3)&lt;0.01,"OK","ERRO")</f>
        <v>OK</v>
      </c>
      <c r="AH3" s="73" t="str">
        <f>IF(ABS($Z$3-$AC$3)&lt;0.01,"OK","ERRO")</f>
        <v>OK</v>
      </c>
      <c r="AI3" s="73" t="str">
        <f>IF(ABS($U$3-$AD$3)&lt;0.01,"OK","ERRO")</f>
        <v>OK</v>
      </c>
      <c r="AJ3" s="73" t="str">
        <f>IF(ABS(($V$3+$W$3)-$AE$3)&lt;0.01,"OK","ERRO")</f>
        <v>OK</v>
      </c>
    </row>
    <row r="4" spans="1:40" ht="11.25" customHeight="1" x14ac:dyDescent="0.2">
      <c r="A4" s="72" t="s">
        <v>21</v>
      </c>
      <c r="B4" s="72" t="s">
        <v>33</v>
      </c>
      <c r="C4" s="72" t="s">
        <v>41</v>
      </c>
      <c r="D4" s="72" t="s">
        <v>42</v>
      </c>
      <c r="E4" s="72" t="s">
        <v>25</v>
      </c>
      <c r="F4" s="72" t="s">
        <v>25</v>
      </c>
      <c r="G4" s="72" t="s">
        <v>25</v>
      </c>
      <c r="H4" s="72" t="s">
        <v>36</v>
      </c>
      <c r="I4" s="82">
        <v>44378</v>
      </c>
      <c r="J4" s="83">
        <f ca="1">EFEITO!$J$4*EFEITO!$Y$4</f>
        <v>2502.006289375448</v>
      </c>
      <c r="K4" s="83">
        <f ca="1">EFEITO!$L$4*EFEITO!$Z$4</f>
        <v>4499.2343663992106</v>
      </c>
      <c r="L4" s="83">
        <f>EFEITO!$N$4*EFEITO!$AA$4</f>
        <v>9444.6439511559602</v>
      </c>
      <c r="M4" s="83">
        <f ca="1">$J$4-EFEITO!$K$4*EFEITO!$Y$4</f>
        <v>0</v>
      </c>
      <c r="N4" s="83">
        <f ca="1">$K$4-EFEITO!$M$4*EFEITO!$Z$4</f>
        <v>0</v>
      </c>
      <c r="O4" s="83">
        <f>$L$4-EFEITO!$O$4*EFEITO!$AA$4</f>
        <v>0</v>
      </c>
      <c r="P4" s="28"/>
      <c r="Q4" s="83" t="s">
        <v>743</v>
      </c>
      <c r="R4" s="83">
        <f>SUMIF($B$2:$B$754,$Q$4,$J$2:$J$754)</f>
        <v>0</v>
      </c>
      <c r="S4" s="83">
        <f>SUMIF($B$2:$B$754,$Q$4,$K$2:$K$754)</f>
        <v>0</v>
      </c>
      <c r="T4" s="83">
        <f>SUMIF($B$2:$B$754,$Q$4,$L$2:$L$754)</f>
        <v>0</v>
      </c>
      <c r="U4" s="83">
        <f>SUMIF($B$2:$B$754,$Q$4,$M$2:$M$754)</f>
        <v>0</v>
      </c>
      <c r="V4" s="83">
        <f>SUMIF($B$2:$B$754,$Q$4,$N$2:$N$754)</f>
        <v>0</v>
      </c>
      <c r="W4" s="83">
        <f>SUMIF($B$2:$B$754,$Q$4,$O$2:$O$754)</f>
        <v>0</v>
      </c>
      <c r="X4" s="73">
        <f>$R$4-$U$4</f>
        <v>0</v>
      </c>
      <c r="Y4" s="73">
        <f>$S$4-$V$4</f>
        <v>0</v>
      </c>
      <c r="Z4" s="73">
        <f>$T$4-$W$4</f>
        <v>0</v>
      </c>
      <c r="AA4" s="73">
        <f>SUMIF(EFEITO!$B$2:$B$754,$Q$4,EFEITO!$AE$2:$AE$754)</f>
        <v>0</v>
      </c>
      <c r="AB4" s="73">
        <f>SUMIF(EFEITO!$B$2:$B$754,$Q$4,EFEITO!$AF$2:$AF$754)</f>
        <v>0</v>
      </c>
      <c r="AC4" s="73">
        <f>SUMIF(EFEITO!$B$2:$B$754,$Q$4,EFEITO!$AG$2:$AH$754)</f>
        <v>0</v>
      </c>
      <c r="AD4" s="73">
        <f>SUMIF(SUBSIDIO!$B$2:$B$754,$Q$4,SUBSIDIO!$AD$2:$AD$754)</f>
        <v>0</v>
      </c>
      <c r="AE4" s="73">
        <f>SUMIF(SUBSIDIO!$B$2:$B$754,$Q$4,SUBSIDIO!$AE$2:$AE$754)</f>
        <v>0</v>
      </c>
      <c r="AF4" s="73" t="str">
        <f>IF(ABS($X$4-$AA$4)&lt;0.01,"OK","ERRO")</f>
        <v>OK</v>
      </c>
      <c r="AG4" s="73" t="str">
        <f>IF(ABS($Y$4-$AB$4)&lt;0.01,"OK","ERRO")</f>
        <v>OK</v>
      </c>
      <c r="AH4" s="73" t="str">
        <f>IF(ABS($Z$4-$AC$4)&lt;0.01,"OK","ERRO")</f>
        <v>OK</v>
      </c>
      <c r="AI4" s="73" t="str">
        <f>IF(ABS($U$4-$AD$4)&lt;0.01,"OK","ERRO")</f>
        <v>OK</v>
      </c>
      <c r="AJ4" s="73" t="str">
        <f>IF(ABS(($V$4+$W$4)-$AE$4)&lt;0.01,"OK","ERRO")</f>
        <v>OK</v>
      </c>
    </row>
    <row r="5" spans="1:40" ht="11.25" customHeight="1" x14ac:dyDescent="0.2">
      <c r="A5" s="72" t="s">
        <v>21</v>
      </c>
      <c r="B5" s="72" t="s">
        <v>33</v>
      </c>
      <c r="C5" s="72" t="s">
        <v>41</v>
      </c>
      <c r="D5" s="72" t="s">
        <v>42</v>
      </c>
      <c r="E5" s="72" t="s">
        <v>25</v>
      </c>
      <c r="F5" s="72" t="s">
        <v>25</v>
      </c>
      <c r="G5" s="72" t="s">
        <v>25</v>
      </c>
      <c r="H5" s="72" t="s">
        <v>36</v>
      </c>
      <c r="I5" s="82">
        <v>44409</v>
      </c>
      <c r="J5" s="83">
        <f ca="1">EFEITO!$J$5*EFEITO!$Y$5</f>
        <v>2502.006289375448</v>
      </c>
      <c r="K5" s="83">
        <f ca="1">EFEITO!$L$5*EFEITO!$Z$5</f>
        <v>4580.6153479802651</v>
      </c>
      <c r="L5" s="83">
        <f>EFEITO!$N$5*EFEITO!$AA$5</f>
        <v>9615.4762156782836</v>
      </c>
      <c r="M5" s="83">
        <f ca="1">$J$5-EFEITO!$K$5*EFEITO!$Y$5</f>
        <v>0</v>
      </c>
      <c r="N5" s="83">
        <f ca="1">$K$5-EFEITO!$M$5*EFEITO!$Z$5</f>
        <v>0</v>
      </c>
      <c r="O5" s="83">
        <f>$L$5-EFEITO!$O$5*EFEITO!$AA$5</f>
        <v>0</v>
      </c>
      <c r="P5" s="28"/>
      <c r="Q5" s="83" t="s">
        <v>744</v>
      </c>
      <c r="R5" s="83">
        <f>SUMIF($B$2:$B$754,$Q$5,$J$2:$J$754)</f>
        <v>0</v>
      </c>
      <c r="S5" s="83">
        <f>SUMIF($B$2:$B$754,$Q$5,$K$2:$K$754)</f>
        <v>0</v>
      </c>
      <c r="T5" s="83">
        <f>SUMIF($B$2:$B$754,$Q$5,$L$2:$L$754)</f>
        <v>0</v>
      </c>
      <c r="U5" s="83">
        <f>SUMIF($B$2:$B$754,$Q$5,$M$2:$M$754)</f>
        <v>0</v>
      </c>
      <c r="V5" s="83">
        <f>SUMIF($B$2:$B$754,$Q$5,$N$2:$N$754)</f>
        <v>0</v>
      </c>
      <c r="W5" s="83">
        <f>SUMIF($B$2:$B$754,$Q$5,$O$2:$O$754)</f>
        <v>0</v>
      </c>
      <c r="X5" s="73">
        <f>$R$5-$U$5</f>
        <v>0</v>
      </c>
      <c r="Y5" s="73">
        <f>$S$5-$V$5</f>
        <v>0</v>
      </c>
      <c r="Z5" s="73">
        <f>$T$5-$W$5</f>
        <v>0</v>
      </c>
      <c r="AA5" s="73">
        <f>SUMIF(EFEITO!$B$2:$B$754,$Q$5,EFEITO!$AE$2:$AE$754)</f>
        <v>0</v>
      </c>
      <c r="AB5" s="73">
        <f>SUMIF(EFEITO!$B$2:$B$754,$Q$5,EFEITO!$AF$2:$AF$754)</f>
        <v>0</v>
      </c>
      <c r="AC5" s="73">
        <f>SUMIF(EFEITO!$B$2:$B$754,$Q$5,EFEITO!$AG$2:$AH$754)</f>
        <v>0</v>
      </c>
      <c r="AD5" s="73">
        <f>SUMIF(SUBSIDIO!$B$2:$B$754,$Q$5,SUBSIDIO!$AD$2:$AD$754)</f>
        <v>0</v>
      </c>
      <c r="AE5" s="73">
        <f>SUMIF(SUBSIDIO!$B$2:$B$754,$Q$5,SUBSIDIO!$AE$2:$AE$754)</f>
        <v>0</v>
      </c>
      <c r="AF5" s="73" t="str">
        <f>IF(ABS($X$5-$AA$5)&lt;0.01,"OK","ERRO")</f>
        <v>OK</v>
      </c>
      <c r="AG5" s="73" t="str">
        <f>IF(ABS($Y$5-$AB$5)&lt;0.01,"OK","ERRO")</f>
        <v>OK</v>
      </c>
      <c r="AH5" s="73" t="str">
        <f>IF(ABS($Z$5-$AC$5)&lt;0.01,"OK","ERRO")</f>
        <v>OK</v>
      </c>
      <c r="AI5" s="73" t="str">
        <f>IF(ABS($U$5-$AD$5)&lt;0.01,"OK","ERRO")</f>
        <v>OK</v>
      </c>
      <c r="AJ5" s="73" t="str">
        <f>IF(ABS(($V$5+$W$5)-$AE$5)&lt;0.01,"OK","ERRO")</f>
        <v>OK</v>
      </c>
    </row>
    <row r="6" spans="1:40" ht="11.25" customHeight="1" x14ac:dyDescent="0.2">
      <c r="A6" s="72" t="s">
        <v>21</v>
      </c>
      <c r="B6" s="72" t="s">
        <v>33</v>
      </c>
      <c r="C6" s="72" t="s">
        <v>41</v>
      </c>
      <c r="D6" s="72" t="s">
        <v>42</v>
      </c>
      <c r="E6" s="72" t="s">
        <v>25</v>
      </c>
      <c r="F6" s="72" t="s">
        <v>25</v>
      </c>
      <c r="G6" s="72" t="s">
        <v>25</v>
      </c>
      <c r="H6" s="72" t="s">
        <v>36</v>
      </c>
      <c r="I6" s="82">
        <v>44440</v>
      </c>
      <c r="J6" s="83">
        <f ca="1">EFEITO!$J$6*EFEITO!$Y$6</f>
        <v>2585.4064990212964</v>
      </c>
      <c r="K6" s="83">
        <f ca="1">EFEITO!$L$6*EFEITO!$Z$6</f>
        <v>5474.4012948883492</v>
      </c>
      <c r="L6" s="83">
        <f>EFEITO!$N$6*EFEITO!$AA$6</f>
        <v>11491.682109760093</v>
      </c>
      <c r="M6" s="83">
        <f ca="1">$J$6-EFEITO!$K$6*EFEITO!$Y$6</f>
        <v>0</v>
      </c>
      <c r="N6" s="83">
        <f ca="1">$K$6-EFEITO!$M$6*EFEITO!$Z$6</f>
        <v>0</v>
      </c>
      <c r="O6" s="83">
        <f>$L$6-EFEITO!$O$6*EFEITO!$AA$6</f>
        <v>0</v>
      </c>
      <c r="P6" s="28"/>
      <c r="Q6" s="83" t="s">
        <v>745</v>
      </c>
      <c r="R6" s="83">
        <f>SUMIF($B$2:$B$754,$Q$6,$J$2:$J$754)</f>
        <v>0</v>
      </c>
      <c r="S6" s="83">
        <f>SUMIF($B$2:$B$754,$Q$6,$K$2:$K$754)</f>
        <v>0</v>
      </c>
      <c r="T6" s="83">
        <f>SUMIF($B$2:$B$754,$Q$6,$L$2:$L$754)</f>
        <v>0</v>
      </c>
      <c r="U6" s="83">
        <f>SUMIF($B$2:$B$754,$Q$6,$M$2:$M$754)</f>
        <v>0</v>
      </c>
      <c r="V6" s="83">
        <f>SUMIF($B$2:$B$754,$Q$6,$N$2:$N$754)</f>
        <v>0</v>
      </c>
      <c r="W6" s="83">
        <f>SUMIF($B$2:$B$754,$Q$6,$O$2:$O$754)</f>
        <v>0</v>
      </c>
      <c r="X6" s="73">
        <f>$R$6-$U$6</f>
        <v>0</v>
      </c>
      <c r="Y6" s="73">
        <f>$S$6-$V$6</f>
        <v>0</v>
      </c>
      <c r="Z6" s="73">
        <f>$T$6-$W$6</f>
        <v>0</v>
      </c>
      <c r="AA6" s="73">
        <f>SUMIF(EFEITO!$B$2:$B$754,$Q$6,EFEITO!$AE$2:$AE$754)</f>
        <v>0</v>
      </c>
      <c r="AB6" s="73">
        <f>SUMIF(EFEITO!$B$2:$B$754,$Q$6,EFEITO!$AF$2:$AF$754)</f>
        <v>0</v>
      </c>
      <c r="AC6" s="73">
        <f>SUMIF(EFEITO!$B$2:$B$754,$Q$6,EFEITO!$AG$2:$AH$754)</f>
        <v>0</v>
      </c>
      <c r="AD6" s="73">
        <f>SUMIF(SUBSIDIO!$B$2:$B$754,$Q$6,SUBSIDIO!$AD$2:$AD$754)</f>
        <v>0</v>
      </c>
      <c r="AE6" s="73">
        <f>SUMIF(SUBSIDIO!$B$2:$B$754,$Q$6,SUBSIDIO!$AE$2:$AE$754)</f>
        <v>0</v>
      </c>
      <c r="AF6" s="73" t="str">
        <f>IF(ABS($X$6-$AA$6)&lt;0.01,"OK","ERRO")</f>
        <v>OK</v>
      </c>
      <c r="AG6" s="73" t="str">
        <f>IF(ABS($Y$6-$AB$6)&lt;0.01,"OK","ERRO")</f>
        <v>OK</v>
      </c>
      <c r="AH6" s="73" t="str">
        <f>IF(ABS($Z$6-$AC$6)&lt;0.01,"OK","ERRO")</f>
        <v>OK</v>
      </c>
      <c r="AI6" s="73" t="str">
        <f>IF(ABS($U$6-$AD$6)&lt;0.01,"OK","ERRO")</f>
        <v>OK</v>
      </c>
      <c r="AJ6" s="73" t="str">
        <f>IF(ABS(($V$6+$W$6)-$AE$6)&lt;0.01,"OK","ERRO")</f>
        <v>OK</v>
      </c>
    </row>
    <row r="7" spans="1:40" ht="11.25" customHeight="1" x14ac:dyDescent="0.2">
      <c r="A7" s="72" t="s">
        <v>21</v>
      </c>
      <c r="B7" s="72" t="s">
        <v>33</v>
      </c>
      <c r="C7" s="72" t="s">
        <v>41</v>
      </c>
      <c r="D7" s="72" t="s">
        <v>42</v>
      </c>
      <c r="E7" s="72" t="s">
        <v>25</v>
      </c>
      <c r="F7" s="72" t="s">
        <v>25</v>
      </c>
      <c r="G7" s="72" t="s">
        <v>25</v>
      </c>
      <c r="H7" s="72" t="s">
        <v>36</v>
      </c>
      <c r="I7" s="82">
        <v>44470</v>
      </c>
      <c r="J7" s="83">
        <f ca="1">EFEITO!$J$7*EFEITO!$Y$7</f>
        <v>2535.3663732337873</v>
      </c>
      <c r="K7" s="83">
        <f ca="1">EFEITO!$L$7*EFEITO!$Z$7</f>
        <v>5024.8491401619303</v>
      </c>
      <c r="L7" s="83">
        <f>EFEITO!$N$7*EFEITO!$AA$7</f>
        <v>10547.997097355636</v>
      </c>
      <c r="M7" s="83">
        <f ca="1">$J$7-EFEITO!$K$7*EFEITO!$Y$7</f>
        <v>0</v>
      </c>
      <c r="N7" s="83">
        <f ca="1">$K$7-EFEITO!$M$7*EFEITO!$Z$7</f>
        <v>0</v>
      </c>
      <c r="O7" s="83">
        <f>$L$7-EFEITO!$O$7*EFEITO!$AA$7</f>
        <v>0</v>
      </c>
      <c r="P7" s="28"/>
      <c r="Q7" s="83" t="s">
        <v>33</v>
      </c>
      <c r="R7" s="83">
        <f ca="1">SUMIF($B$2:$B$754,$Q$7,$J$2:$J$754)</f>
        <v>5428916.6354358112</v>
      </c>
      <c r="S7" s="83">
        <f ca="1">SUMIF($B$2:$B$754,$Q$7,$K$2:$K$754)</f>
        <v>13111316.457442697</v>
      </c>
      <c r="T7" s="83">
        <f>SUMIF($B$2:$B$754,$Q$7,$L$2:$L$754)</f>
        <v>9481018.795504624</v>
      </c>
      <c r="U7" s="83">
        <f ca="1">SUMIF($B$2:$B$754,$Q$7,$M$2:$M$754)</f>
        <v>1004707.4803662171</v>
      </c>
      <c r="V7" s="83">
        <f ca="1">SUMIF($B$2:$B$754,$Q$7,$N$2:$N$754)</f>
        <v>1663201.601312988</v>
      </c>
      <c r="W7" s="83">
        <f>SUMIF($B$2:$B$754,$Q$7,$O$2:$O$754)</f>
        <v>132672.86336708177</v>
      </c>
      <c r="X7" s="73">
        <f ca="1">$R$7-$U$7</f>
        <v>4424209.1550695943</v>
      </c>
      <c r="Y7" s="73">
        <f ca="1">$S$7-$V$7</f>
        <v>11448114.85612971</v>
      </c>
      <c r="Z7" s="73">
        <f>$T$7-$W$7</f>
        <v>9348345.9321375415</v>
      </c>
      <c r="AA7" s="73">
        <f ca="1">SUMIF(EFEITO!$B$2:$B$754,$Q$7,EFEITO!$AE$2:$AE$754)</f>
        <v>4424209.1550695933</v>
      </c>
      <c r="AB7" s="73">
        <f ca="1">SUMIF(EFEITO!$B$2:$B$754,$Q$7,EFEITO!$AF$2:$AF$754)</f>
        <v>11448114.856129711</v>
      </c>
      <c r="AC7" s="73">
        <f>SUMIF(EFEITO!$B$2:$B$754,$Q$7,EFEITO!$AG$2:$AH$754)</f>
        <v>9348345.9321375452</v>
      </c>
      <c r="AD7" s="73">
        <f ca="1">SUMIF(SUBSIDIO!$B$2:$B$754,$Q$7,SUBSIDIO!$AD$2:$AD$754)</f>
        <v>1004707.4803662171</v>
      </c>
      <c r="AE7" s="73">
        <f ca="1">SUMIF(SUBSIDIO!$B$2:$B$754,$Q$7,SUBSIDIO!$AE$2:$AE$754)</f>
        <v>1795874.4646800689</v>
      </c>
      <c r="AF7" s="73" t="str">
        <f ca="1">IF(ABS($X$7-$AA$7)&lt;0.01,"OK","ERRO")</f>
        <v>OK</v>
      </c>
      <c r="AG7" s="73" t="str">
        <f ca="1">IF(ABS($Y$7-$AB$7)&lt;0.01,"OK","ERRO")</f>
        <v>OK</v>
      </c>
      <c r="AH7" s="73" t="str">
        <f>IF(ABS($Z$7-$AC$7)&lt;0.01,"OK","ERRO")</f>
        <v>OK</v>
      </c>
      <c r="AI7" s="73" t="str">
        <f ca="1">IF(ABS($U$7-$AD$7)&lt;0.01,"OK","ERRO")</f>
        <v>OK</v>
      </c>
      <c r="AJ7" s="73" t="str">
        <f ca="1">IF(ABS(($V$7+$W$7)-$AE$7)&lt;0.01,"OK","ERRO")</f>
        <v>OK</v>
      </c>
    </row>
    <row r="8" spans="1:40" ht="11.25" customHeight="1" x14ac:dyDescent="0.2">
      <c r="A8" s="72" t="s">
        <v>21</v>
      </c>
      <c r="B8" s="72" t="s">
        <v>33</v>
      </c>
      <c r="C8" s="72" t="s">
        <v>41</v>
      </c>
      <c r="D8" s="72" t="s">
        <v>42</v>
      </c>
      <c r="E8" s="72" t="s">
        <v>25</v>
      </c>
      <c r="F8" s="72" t="s">
        <v>25</v>
      </c>
      <c r="G8" s="72" t="s">
        <v>25</v>
      </c>
      <c r="H8" s="72" t="s">
        <v>36</v>
      </c>
      <c r="I8" s="82">
        <v>44501</v>
      </c>
      <c r="J8" s="83">
        <f ca="1">EFEITO!$J$8*EFEITO!$Y$8</f>
        <v>2868.9672118171807</v>
      </c>
      <c r="K8" s="83">
        <f ca="1">EFEITO!$L$8*EFEITO!$Z$8</f>
        <v>3783.2623521195219</v>
      </c>
      <c r="L8" s="83">
        <f>EFEITO!$N$8*EFEITO!$AA$8</f>
        <v>7941.6991825162686</v>
      </c>
      <c r="M8" s="83">
        <f ca="1">$J$8-EFEITO!$K$8*EFEITO!$Y$8</f>
        <v>0</v>
      </c>
      <c r="N8" s="83">
        <f ca="1">$K$8-EFEITO!$M$8*EFEITO!$Z$8</f>
        <v>0</v>
      </c>
      <c r="O8" s="83">
        <f>$L$8-EFEITO!$O$8*EFEITO!$AA$8</f>
        <v>0</v>
      </c>
      <c r="P8" s="28"/>
      <c r="Q8" s="83" t="s">
        <v>746</v>
      </c>
      <c r="R8" s="83">
        <f>SUMIF($B$2:$B$754,$Q$8,$J$2:$J$754)</f>
        <v>0</v>
      </c>
      <c r="S8" s="83">
        <f>SUMIF($B$2:$B$754,$Q$8,$K$2:$K$754)</f>
        <v>0</v>
      </c>
      <c r="T8" s="83">
        <f>SUMIF($B$2:$B$754,$Q$8,$L$2:$L$754)</f>
        <v>0</v>
      </c>
      <c r="U8" s="83">
        <f>SUMIF($B$2:$B$754,$Q$8,$M$2:$M$754)</f>
        <v>0</v>
      </c>
      <c r="V8" s="83">
        <f>SUMIF($B$2:$B$754,$Q$8,$N$2:$N$754)</f>
        <v>0</v>
      </c>
      <c r="W8" s="83">
        <f>SUMIF($B$2:$B$754,$Q$8,$O$2:$O$754)</f>
        <v>0</v>
      </c>
      <c r="X8" s="73">
        <f>$R$8-$U$8</f>
        <v>0</v>
      </c>
      <c r="Y8" s="73">
        <f>$S$8-$V$8</f>
        <v>0</v>
      </c>
      <c r="Z8" s="73">
        <f>$T$8-$W$8</f>
        <v>0</v>
      </c>
      <c r="AA8" s="73">
        <f>SUMIF(EFEITO!$B$2:$B$754,$Q$8,EFEITO!$AE$2:$AE$754)</f>
        <v>0</v>
      </c>
      <c r="AB8" s="73">
        <f>SUMIF(EFEITO!$B$2:$B$754,$Q$8,EFEITO!$AF$2:$AF$754)</f>
        <v>0</v>
      </c>
      <c r="AC8" s="73">
        <f>SUMIF(EFEITO!$B$2:$B$754,$Q$8,EFEITO!$AG$2:$AH$754)</f>
        <v>0</v>
      </c>
      <c r="AD8" s="73">
        <f>SUMIF(SUBSIDIO!$B$2:$B$754,$Q$8,SUBSIDIO!$AD$2:$AD$754)</f>
        <v>0</v>
      </c>
      <c r="AE8" s="73">
        <f>SUMIF(SUBSIDIO!$B$2:$B$754,$Q$8,SUBSIDIO!$AE$2:$AE$754)</f>
        <v>0</v>
      </c>
      <c r="AF8" s="73" t="str">
        <f>IF(ABS($X$8-$AA$8)&lt;0.01,"OK","ERRO")</f>
        <v>OK</v>
      </c>
      <c r="AG8" s="73" t="str">
        <f>IF(ABS($Y$8-$AB$8)&lt;0.01,"OK","ERRO")</f>
        <v>OK</v>
      </c>
      <c r="AH8" s="73" t="str">
        <f>IF(ABS($Z$8-$AC$8)&lt;0.01,"OK","ERRO")</f>
        <v>OK</v>
      </c>
      <c r="AI8" s="73" t="str">
        <f>IF(ABS($U$8-$AD$8)&lt;0.01,"OK","ERRO")</f>
        <v>OK</v>
      </c>
      <c r="AJ8" s="73" t="str">
        <f>IF(ABS(($V$8+$W$8)-$AE$8)&lt;0.01,"OK","ERRO")</f>
        <v>OK</v>
      </c>
    </row>
    <row r="9" spans="1:40" ht="11.25" customHeight="1" x14ac:dyDescent="0.2">
      <c r="A9" s="72" t="s">
        <v>21</v>
      </c>
      <c r="B9" s="72" t="s">
        <v>33</v>
      </c>
      <c r="C9" s="72" t="s">
        <v>41</v>
      </c>
      <c r="D9" s="72" t="s">
        <v>42</v>
      </c>
      <c r="E9" s="72" t="s">
        <v>25</v>
      </c>
      <c r="F9" s="72" t="s">
        <v>25</v>
      </c>
      <c r="G9" s="72" t="s">
        <v>25</v>
      </c>
      <c r="H9" s="72" t="s">
        <v>36</v>
      </c>
      <c r="I9" s="82">
        <v>44531</v>
      </c>
      <c r="J9" s="83">
        <f ca="1">EFEITO!$J$9*EFEITO!$Y$9</f>
        <v>3052.4476730380466</v>
      </c>
      <c r="K9" s="83">
        <f ca="1">EFEITO!$L$9*EFEITO!$Z$9</f>
        <v>4973.4717510503397</v>
      </c>
      <c r="L9" s="83">
        <f>EFEITO!$N$9*EFEITO!$AA$9</f>
        <v>10440.14738165227</v>
      </c>
      <c r="M9" s="83">
        <f ca="1">$J$9-EFEITO!$K$9*EFEITO!$Y$9</f>
        <v>0</v>
      </c>
      <c r="N9" s="83">
        <f ca="1">$K$9-EFEITO!$M$9*EFEITO!$Z$9</f>
        <v>0</v>
      </c>
      <c r="O9" s="83">
        <f>$L$9-EFEITO!$O$9*EFEITO!$AA$9</f>
        <v>0</v>
      </c>
      <c r="P9" s="28"/>
      <c r="Q9" s="83" t="s">
        <v>22</v>
      </c>
      <c r="R9" s="83">
        <f>SUMIF($B$2:$B$754,$Q$9,$J$2:$J$754)</f>
        <v>0</v>
      </c>
      <c r="S9" s="83">
        <f ca="1">SUMIF($B$2:$B$754,$Q$9,$K$2:$K$754)</f>
        <v>8459723.5546941422</v>
      </c>
      <c r="T9" s="83">
        <f>SUMIF($B$2:$B$754,$Q$9,$L$2:$L$754)</f>
        <v>5645617.2830391964</v>
      </c>
      <c r="U9" s="83">
        <f>SUMIF($B$2:$B$754,$Q$9,$M$2:$M$754)</f>
        <v>0</v>
      </c>
      <c r="V9" s="83">
        <f ca="1">SUMIF($B$2:$B$754,$Q$9,$N$2:$N$754)</f>
        <v>74019.455083092907</v>
      </c>
      <c r="W9" s="83">
        <f>SUMIF($B$2:$B$754,$Q$9,$O$2:$O$754)</f>
        <v>73111.364404107429</v>
      </c>
      <c r="X9" s="73">
        <f>$R$9-$U$9</f>
        <v>0</v>
      </c>
      <c r="Y9" s="73">
        <f ca="1">$S$9-$V$9</f>
        <v>8385704.0996110495</v>
      </c>
      <c r="Z9" s="73">
        <f>$T$9-$W$9</f>
        <v>5572505.918635089</v>
      </c>
      <c r="AA9" s="73">
        <f>SUMIF(EFEITO!$B$2:$B$754,$Q$9,EFEITO!$AE$2:$AE$754)</f>
        <v>0</v>
      </c>
      <c r="AB9" s="73">
        <f ca="1">SUMIF(EFEITO!$B$2:$B$754,$Q$9,EFEITO!$AF$2:$AF$754)</f>
        <v>8385704.0996110486</v>
      </c>
      <c r="AC9" s="73">
        <f>SUMIF(EFEITO!$B$2:$B$754,$Q$9,EFEITO!$AG$2:$AH$754)</f>
        <v>5572505.9186350908</v>
      </c>
      <c r="AD9" s="73">
        <f>SUMIF(SUBSIDIO!$B$2:$B$754,$Q$9,SUBSIDIO!$AD$2:$AD$754)</f>
        <v>0</v>
      </c>
      <c r="AE9" s="73">
        <f ca="1">SUMIF(SUBSIDIO!$B$2:$B$754,$Q$9,SUBSIDIO!$AE$2:$AE$754)</f>
        <v>147130.81948720038</v>
      </c>
      <c r="AF9" s="73" t="str">
        <f>IF(ABS($X$9-$AA$9)&lt;0.01,"OK","ERRO")</f>
        <v>OK</v>
      </c>
      <c r="AG9" s="73" t="str">
        <f ca="1">IF(ABS($Y$9-$AB$9)&lt;0.01,"OK","ERRO")</f>
        <v>OK</v>
      </c>
      <c r="AH9" s="73" t="str">
        <f>IF(ABS($Z$9-$AC$9)&lt;0.01,"OK","ERRO")</f>
        <v>OK</v>
      </c>
      <c r="AI9" s="73" t="str">
        <f>IF(ABS($U$9-$AD$9)&lt;0.01,"OK","ERRO")</f>
        <v>OK</v>
      </c>
      <c r="AJ9" s="73" t="str">
        <f ca="1">IF(ABS(($V$9+$W$9)-$AE$9)&lt;0.01,"OK","ERRO")</f>
        <v>OK</v>
      </c>
    </row>
    <row r="10" spans="1:40" ht="11.25" customHeight="1" x14ac:dyDescent="0.2">
      <c r="A10" s="72" t="s">
        <v>21</v>
      </c>
      <c r="B10" s="72" t="s">
        <v>33</v>
      </c>
      <c r="C10" s="72" t="s">
        <v>41</v>
      </c>
      <c r="D10" s="72" t="s">
        <v>42</v>
      </c>
      <c r="E10" s="72" t="s">
        <v>25</v>
      </c>
      <c r="F10" s="72" t="s">
        <v>25</v>
      </c>
      <c r="G10" s="72" t="s">
        <v>25</v>
      </c>
      <c r="H10" s="72" t="s">
        <v>36</v>
      </c>
      <c r="I10" s="82">
        <v>44562</v>
      </c>
      <c r="J10" s="83">
        <f ca="1">EFEITO!$J$10*EFEITO!$Y$10</f>
        <v>2985.727505321368</v>
      </c>
      <c r="K10" s="83">
        <f ca="1">EFEITO!$L$10*EFEITO!$Z$10</f>
        <v>5144.5624706504605</v>
      </c>
      <c r="L10" s="83">
        <f>EFEITO!$N$10*EFEITO!$AA$10</f>
        <v>10799.29536070352</v>
      </c>
      <c r="M10" s="83">
        <f ca="1">$J$10-EFEITO!$K$10*EFEITO!$Y$10</f>
        <v>0</v>
      </c>
      <c r="N10" s="83">
        <f ca="1">$K$10-EFEITO!$M$10*EFEITO!$Z$10</f>
        <v>0</v>
      </c>
      <c r="O10" s="83">
        <f>$L$10-EFEITO!$O$10*EFEITO!$AA$10</f>
        <v>0</v>
      </c>
      <c r="P10" s="28"/>
      <c r="Q10" s="83" t="s">
        <v>43</v>
      </c>
      <c r="R10" s="83">
        <f>SUMIF($B$2:$B$754,$Q$10,$J$2:$J$754)</f>
        <v>0</v>
      </c>
      <c r="S10" s="83">
        <f ca="1">SUMIF($B$2:$B$754,$Q$10,$K$2:$K$754)</f>
        <v>11645371.681277102</v>
      </c>
      <c r="T10" s="83">
        <f>SUMIF($B$2:$B$754,$Q$10,$L$2:$L$754)</f>
        <v>7663255.2299834387</v>
      </c>
      <c r="U10" s="83">
        <f>SUMIF($B$2:$B$754,$Q$10,$M$2:$M$754)</f>
        <v>0</v>
      </c>
      <c r="V10" s="83">
        <f ca="1">SUMIF($B$2:$B$754,$Q$10,$N$2:$N$754)</f>
        <v>743449.86583178933</v>
      </c>
      <c r="W10" s="83">
        <f>SUMIF($B$2:$B$754,$Q$10,$O$2:$O$754)</f>
        <v>489228.09438789228</v>
      </c>
      <c r="X10" s="73">
        <f>$R$10-$U$10</f>
        <v>0</v>
      </c>
      <c r="Y10" s="73">
        <f ca="1">$S$10-$V$10</f>
        <v>10901921.815445313</v>
      </c>
      <c r="Z10" s="73">
        <f>$T$10-$W$10</f>
        <v>7174027.1355955461</v>
      </c>
      <c r="AA10" s="73">
        <f>SUMIF(EFEITO!$B$2:$B$754,$Q$10,EFEITO!$AE$2:$AE$754)</f>
        <v>0</v>
      </c>
      <c r="AB10" s="73">
        <f ca="1">SUMIF(EFEITO!$B$2:$B$754,$Q$10,EFEITO!$AF$2:$AF$754)</f>
        <v>10901921.815445308</v>
      </c>
      <c r="AC10" s="73">
        <f>SUMIF(EFEITO!$B$2:$B$754,$Q$10,EFEITO!$AG$2:$AH$754)</f>
        <v>7174027.135595547</v>
      </c>
      <c r="AD10" s="73">
        <f>SUMIF(SUBSIDIO!$B$2:$B$754,$Q$10,SUBSIDIO!$AD$2:$AD$754)</f>
        <v>0</v>
      </c>
      <c r="AE10" s="73">
        <f ca="1">SUMIF(SUBSIDIO!$B$2:$B$754,$Q$10,SUBSIDIO!$AE$2:$AE$754)</f>
        <v>1232677.9602196822</v>
      </c>
      <c r="AF10" s="73" t="str">
        <f>IF(ABS($X$10-$AA$10)&lt;0.01,"OK","ERRO")</f>
        <v>OK</v>
      </c>
      <c r="AG10" s="73" t="str">
        <f ca="1">IF(ABS($Y$10-$AB$10)&lt;0.01,"OK","ERRO")</f>
        <v>OK</v>
      </c>
      <c r="AH10" s="73" t="str">
        <f>IF(ABS($Z$10-$AC$10)&lt;0.01,"OK","ERRO")</f>
        <v>OK</v>
      </c>
      <c r="AI10" s="73" t="str">
        <f>IF(ABS($U$10-$AD$10)&lt;0.01,"OK","ERRO")</f>
        <v>OK</v>
      </c>
      <c r="AJ10" s="73" t="str">
        <f ca="1">IF(ABS(($V$10+$W$10)-$AE$10)&lt;0.01,"OK","ERRO")</f>
        <v>OK</v>
      </c>
    </row>
    <row r="11" spans="1:40" ht="11.25" customHeight="1" x14ac:dyDescent="0.2">
      <c r="A11" s="72" t="s">
        <v>21</v>
      </c>
      <c r="B11" s="72" t="s">
        <v>33</v>
      </c>
      <c r="C11" s="72" t="s">
        <v>41</v>
      </c>
      <c r="D11" s="72" t="s">
        <v>42</v>
      </c>
      <c r="E11" s="72" t="s">
        <v>25</v>
      </c>
      <c r="F11" s="72" t="s">
        <v>25</v>
      </c>
      <c r="G11" s="72" t="s">
        <v>25</v>
      </c>
      <c r="H11" s="72" t="s">
        <v>36</v>
      </c>
      <c r="I11" s="82">
        <v>44593</v>
      </c>
      <c r="J11" s="83">
        <f ca="1">EFEITO!$J$11*EFEITO!$Y$11</f>
        <v>3169.2079665422343</v>
      </c>
      <c r="K11" s="83">
        <f ca="1">EFEITO!$L$11*EFEITO!$Z$11</f>
        <v>4737.5572162820781</v>
      </c>
      <c r="L11" s="83">
        <f>EFEITO!$N$11*EFEITO!$AA$11</f>
        <v>9944.9233941159127</v>
      </c>
      <c r="M11" s="83">
        <f ca="1">$J$11-EFEITO!$K$11*EFEITO!$Y$11</f>
        <v>0</v>
      </c>
      <c r="N11" s="83">
        <f ca="1">$K$11-EFEITO!$M$11*EFEITO!$Z$11</f>
        <v>0</v>
      </c>
      <c r="O11" s="83">
        <f>$L$11-EFEITO!$O$11*EFEITO!$AA$11</f>
        <v>0</v>
      </c>
      <c r="P11" s="28"/>
      <c r="Q11" s="83" t="s">
        <v>39</v>
      </c>
      <c r="R11" s="83">
        <f>SUMIF($B$2:$B$754,$Q$11,$J$2:$J$754)</f>
        <v>0</v>
      </c>
      <c r="S11" s="83">
        <f ca="1">SUMIF($B$2:$B$754,$Q$11,$K$2:$K$754)</f>
        <v>5451023.4220338352</v>
      </c>
      <c r="T11" s="83">
        <f>SUMIF($B$2:$B$754,$Q$11,$L$2:$L$754)</f>
        <v>3587592.7772236862</v>
      </c>
      <c r="U11" s="83">
        <f>SUMIF($B$2:$B$754,$Q$11,$M$2:$M$754)</f>
        <v>0</v>
      </c>
      <c r="V11" s="83">
        <f ca="1">SUMIF($B$2:$B$754,$Q$11,$N$2:$N$754)</f>
        <v>9331.5366764158789</v>
      </c>
      <c r="W11" s="83">
        <f>SUMIF($B$2:$B$754,$Q$11,$O$2:$O$754)</f>
        <v>6140.577333673662</v>
      </c>
      <c r="X11" s="73">
        <f>$R$11-$U$11</f>
        <v>0</v>
      </c>
      <c r="Y11" s="73">
        <f ca="1">$S$11-$V$11</f>
        <v>5441691.885357419</v>
      </c>
      <c r="Z11" s="73">
        <f>$T$11-$W$11</f>
        <v>3581452.1998900124</v>
      </c>
      <c r="AA11" s="73">
        <f>SUMIF(EFEITO!$B$2:$B$754,$Q$11,EFEITO!$AE$2:$AE$754)</f>
        <v>0</v>
      </c>
      <c r="AB11" s="73">
        <f ca="1">SUMIF(EFEITO!$B$2:$B$754,$Q$11,EFEITO!$AF$2:$AF$754)</f>
        <v>5441691.88535742</v>
      </c>
      <c r="AC11" s="73">
        <f>SUMIF(EFEITO!$B$2:$B$754,$Q$11,EFEITO!$AG$2:$AH$754)</f>
        <v>3581452.1998900129</v>
      </c>
      <c r="AD11" s="73">
        <f>SUMIF(SUBSIDIO!$B$2:$B$754,$Q$11,SUBSIDIO!$AD$2:$AD$754)</f>
        <v>0</v>
      </c>
      <c r="AE11" s="73">
        <f ca="1">SUMIF(SUBSIDIO!$B$2:$B$754,$Q$11,SUBSIDIO!$AE$2:$AE$754)</f>
        <v>15472.114010089543</v>
      </c>
      <c r="AF11" s="73" t="str">
        <f>IF(ABS($X$11-$AA$11)&lt;0.01,"OK","ERRO")</f>
        <v>OK</v>
      </c>
      <c r="AG11" s="73" t="str">
        <f ca="1">IF(ABS($Y$11-$AB$11)&lt;0.01,"OK","ERRO")</f>
        <v>OK</v>
      </c>
      <c r="AH11" s="73" t="str">
        <f>IF(ABS($Z$11-$AC$11)&lt;0.01,"OK","ERRO")</f>
        <v>OK</v>
      </c>
      <c r="AI11" s="73" t="str">
        <f>IF(ABS($U$11-$AD$11)&lt;0.01,"OK","ERRO")</f>
        <v>OK</v>
      </c>
      <c r="AJ11" s="73" t="str">
        <f ca="1">IF(ABS(($V$11+$W$11)-$AE$11)&lt;0.01,"OK","ERRO")</f>
        <v>OK</v>
      </c>
    </row>
    <row r="12" spans="1:40" ht="11.25" customHeight="1" x14ac:dyDescent="0.2">
      <c r="A12" s="72" t="s">
        <v>21</v>
      </c>
      <c r="B12" s="72" t="s">
        <v>33</v>
      </c>
      <c r="C12" s="72" t="s">
        <v>41</v>
      </c>
      <c r="D12" s="72" t="s">
        <v>42</v>
      </c>
      <c r="E12" s="72" t="s">
        <v>25</v>
      </c>
      <c r="F12" s="72" t="s">
        <v>25</v>
      </c>
      <c r="G12" s="72" t="s">
        <v>25</v>
      </c>
      <c r="H12" s="72" t="s">
        <v>36</v>
      </c>
      <c r="I12" s="82">
        <v>44621</v>
      </c>
      <c r="J12" s="83">
        <f ca="1">EFEITO!$J$12*EFEITO!$Y$12</f>
        <v>3386.04851162144</v>
      </c>
      <c r="K12" s="83">
        <f ca="1">EFEITO!$L$12*EFEITO!$Z$12</f>
        <v>5815.9806553099415</v>
      </c>
      <c r="L12" s="83">
        <f>EFEITO!$N$12*EFEITO!$AA$12</f>
        <v>12208.714204006696</v>
      </c>
      <c r="M12" s="83">
        <f ca="1">$J$12-EFEITO!$K$12*EFEITO!$Y$12</f>
        <v>0</v>
      </c>
      <c r="N12" s="83">
        <f ca="1">$K$12-EFEITO!$M$12*EFEITO!$Z$12</f>
        <v>0</v>
      </c>
      <c r="O12" s="83">
        <f>$L$12-EFEITO!$O$12*EFEITO!$AA$12</f>
        <v>0</v>
      </c>
      <c r="P12" s="28"/>
      <c r="Q12" s="83" t="s">
        <v>46</v>
      </c>
      <c r="R12" s="83">
        <f>SUMIF($B$2:$B$754,$Q$12,$J$2:$J$754)</f>
        <v>0</v>
      </c>
      <c r="S12" s="83">
        <f ca="1">SUMIF($B$2:$B$754,$Q$12,$K$2:$K$754)</f>
        <v>717714.0239523222</v>
      </c>
      <c r="T12" s="83">
        <f>SUMIF($B$2:$B$754,$Q$12,$L$2:$L$754)</f>
        <v>472288.6080145663</v>
      </c>
      <c r="U12" s="83">
        <f>SUMIF($B$2:$B$754,$Q$12,$M$2:$M$754)</f>
        <v>0</v>
      </c>
      <c r="V12" s="83">
        <f ca="1">SUMIF($B$2:$B$754,$Q$12,$N$2:$N$754)</f>
        <v>0</v>
      </c>
      <c r="W12" s="83">
        <f>SUMIF($B$2:$B$754,$Q$12,$O$2:$O$754)</f>
        <v>0</v>
      </c>
      <c r="X12" s="73">
        <f>$R$12-$U$12</f>
        <v>0</v>
      </c>
      <c r="Y12" s="73">
        <f ca="1">$S$12-$V$12</f>
        <v>717714.0239523222</v>
      </c>
      <c r="Z12" s="73">
        <f>$T$12-$W$12</f>
        <v>472288.6080145663</v>
      </c>
      <c r="AA12" s="73">
        <f>SUMIF(EFEITO!$B$2:$B$754,$Q$12,EFEITO!$AE$2:$AE$754)</f>
        <v>0</v>
      </c>
      <c r="AB12" s="73">
        <f ca="1">SUMIF(EFEITO!$B$2:$B$754,$Q$12,EFEITO!$AF$2:$AF$754)</f>
        <v>717714.0239523222</v>
      </c>
      <c r="AC12" s="73">
        <f>SUMIF(EFEITO!$B$2:$B$754,$Q$12,EFEITO!$AG$2:$AH$754)</f>
        <v>472288.6080145663</v>
      </c>
      <c r="AD12" s="73">
        <f>SUMIF(SUBSIDIO!$B$2:$B$754,$Q$12,SUBSIDIO!$AD$2:$AD$754)</f>
        <v>0</v>
      </c>
      <c r="AE12" s="73">
        <f>SUMIF(SUBSIDIO!$B$2:$B$754,$Q$12,SUBSIDIO!$AE$2:$AE$754)</f>
        <v>0</v>
      </c>
      <c r="AF12" s="73" t="str">
        <f>IF(ABS($X$12-$AA$12)&lt;0.01,"OK","ERRO")</f>
        <v>OK</v>
      </c>
      <c r="AG12" s="73" t="str">
        <f ca="1">IF(ABS($Y$12-$AB$12)&lt;0.01,"OK","ERRO")</f>
        <v>OK</v>
      </c>
      <c r="AH12" s="73" t="str">
        <f>IF(ABS($Z$12-$AC$12)&lt;0.01,"OK","ERRO")</f>
        <v>OK</v>
      </c>
      <c r="AI12" s="73" t="str">
        <f>IF(ABS($U$12-$AD$12)&lt;0.01,"OK","ERRO")</f>
        <v>OK</v>
      </c>
      <c r="AJ12" s="73" t="str">
        <f ca="1">IF(ABS(($V$12+$W$12)-$AE$12)&lt;0.01,"OK","ERRO")</f>
        <v>OK</v>
      </c>
    </row>
    <row r="13" spans="1:40" ht="11.25" customHeight="1" x14ac:dyDescent="0.2">
      <c r="A13" s="72" t="s">
        <v>21</v>
      </c>
      <c r="B13" s="72" t="s">
        <v>33</v>
      </c>
      <c r="C13" s="72" t="s">
        <v>41</v>
      </c>
      <c r="D13" s="72" t="s">
        <v>42</v>
      </c>
      <c r="E13" s="72" t="s">
        <v>25</v>
      </c>
      <c r="F13" s="72" t="s">
        <v>25</v>
      </c>
      <c r="G13" s="72" t="s">
        <v>25</v>
      </c>
      <c r="H13" s="72" t="s">
        <v>36</v>
      </c>
      <c r="I13" s="82">
        <v>44652</v>
      </c>
      <c r="J13" s="83">
        <f ca="1">EFEITO!$J$13*EFEITO!$Y$13</f>
        <v>3235.9281342589129</v>
      </c>
      <c r="K13" s="83">
        <f ca="1">EFEITO!$L$13*EFEITO!$Z$13</f>
        <v>5154.296077571993</v>
      </c>
      <c r="L13" s="83">
        <f>EFEITO!$N$13*EFEITO!$AA$13</f>
        <v>10819.727826373884</v>
      </c>
      <c r="M13" s="83">
        <f ca="1">$J$13-EFEITO!$K$13*EFEITO!$Y$13</f>
        <v>0</v>
      </c>
      <c r="N13" s="83">
        <f ca="1">$K$13-EFEITO!$M$13*EFEITO!$Z$13</f>
        <v>0</v>
      </c>
      <c r="O13" s="83">
        <f>$L$13-EFEITO!$O$13*EFEITO!$AA$13</f>
        <v>0</v>
      </c>
      <c r="P13" s="28"/>
      <c r="Q13" s="83" t="s">
        <v>85</v>
      </c>
      <c r="R13" s="83">
        <f>SUMIF($B$2:$B$754,$Q$13,$J$2:$J$754)</f>
        <v>0</v>
      </c>
      <c r="S13" s="83">
        <f>SUMIF($B$2:$B$754,$Q$13,$K$2:$K$754)</f>
        <v>0</v>
      </c>
      <c r="T13" s="83">
        <f>SUMIF($B$2:$B$754,$Q$13,$L$2:$L$754)</f>
        <v>0</v>
      </c>
      <c r="U13" s="83">
        <f>SUMIF($B$2:$B$754,$Q$13,$M$2:$M$754)</f>
        <v>0</v>
      </c>
      <c r="V13" s="83">
        <f>SUMIF($B$2:$B$754,$Q$13,$N$2:$N$754)</f>
        <v>0</v>
      </c>
      <c r="W13" s="83">
        <f>SUMIF($B$2:$B$754,$Q$13,$O$2:$O$754)</f>
        <v>0</v>
      </c>
      <c r="X13" s="73">
        <f>$R$13-$U$13</f>
        <v>0</v>
      </c>
      <c r="Y13" s="73">
        <f>$S$13-$V$13</f>
        <v>0</v>
      </c>
      <c r="Z13" s="73">
        <f>$T$13-$W$13</f>
        <v>0</v>
      </c>
      <c r="AA13" s="73">
        <f>SUMIF(EFEITO!$B$2:$B$754,$Q$13,EFEITO!$AE$2:$AE$754)</f>
        <v>0</v>
      </c>
      <c r="AB13" s="73">
        <f>SUMIF(EFEITO!$B$2:$B$754,$Q$13,EFEITO!$AF$2:$AF$754)</f>
        <v>0</v>
      </c>
      <c r="AC13" s="73">
        <f>SUMIF(EFEITO!$B$2:$B$754,$Q$13,EFEITO!$AG$2:$AH$754)</f>
        <v>0</v>
      </c>
      <c r="AD13" s="73">
        <f>SUMIF(SUBSIDIO!$B$2:$B$754,$Q$13,SUBSIDIO!$AD$2:$AD$754)</f>
        <v>0</v>
      </c>
      <c r="AE13" s="73">
        <f>SUMIF(SUBSIDIO!$B$2:$B$754,$Q$13,SUBSIDIO!$AE$2:$AE$754)</f>
        <v>0</v>
      </c>
      <c r="AF13" s="73" t="str">
        <f>IF(ABS($X$13-$AA$13)&lt;0.01,"OK","ERRO")</f>
        <v>OK</v>
      </c>
      <c r="AG13" s="73" t="str">
        <f>IF(ABS($Y$13-$AB$13)&lt;0.01,"OK","ERRO")</f>
        <v>OK</v>
      </c>
      <c r="AH13" s="73" t="str">
        <f>IF(ABS($Z$13-$AC$13)&lt;0.01,"OK","ERRO")</f>
        <v>OK</v>
      </c>
      <c r="AI13" s="73" t="str">
        <f>IF(ABS($U$13-$AD$13)&lt;0.01,"OK","ERRO")</f>
        <v>OK</v>
      </c>
      <c r="AJ13" s="73" t="str">
        <f>IF(ABS(($V$13+$W$13)-$AE$13)&lt;0.01,"OK","ERRO")</f>
        <v>OK</v>
      </c>
    </row>
    <row r="14" spans="1:40" ht="11.25" customHeight="1" x14ac:dyDescent="0.2">
      <c r="A14" s="72" t="s">
        <v>21</v>
      </c>
      <c r="B14" s="72" t="s">
        <v>33</v>
      </c>
      <c r="C14" s="72" t="s">
        <v>41</v>
      </c>
      <c r="D14" s="72" t="s">
        <v>42</v>
      </c>
      <c r="E14" s="72" t="s">
        <v>25</v>
      </c>
      <c r="F14" s="72" t="s">
        <v>25</v>
      </c>
      <c r="G14" s="72" t="s">
        <v>25</v>
      </c>
      <c r="H14" s="72" t="s">
        <v>35</v>
      </c>
      <c r="I14" s="82">
        <v>44317</v>
      </c>
      <c r="J14" s="83">
        <f ca="1">EFEITO!$J$14*EFEITO!$Y$14</f>
        <v>4553.4108748906965</v>
      </c>
      <c r="K14" s="83">
        <f ca="1">EFEITO!$L$14*EFEITO!$Z$14</f>
        <v>365.66251156764997</v>
      </c>
      <c r="L14" s="83">
        <f>EFEITO!$N$14*EFEITO!$AA$14</f>
        <v>767.58664848255489</v>
      </c>
      <c r="M14" s="83">
        <f ca="1">$J$14-EFEITO!$K$14*EFEITO!$Y$14</f>
        <v>0</v>
      </c>
      <c r="N14" s="83">
        <f ca="1">$K$14-EFEITO!$M$14*EFEITO!$Z$14</f>
        <v>0</v>
      </c>
      <c r="O14" s="83">
        <f>$L$14-EFEITO!$O$14*EFEITO!$AA$14</f>
        <v>0</v>
      </c>
      <c r="P14" s="28"/>
      <c r="Q14" s="28"/>
      <c r="R14" s="28"/>
      <c r="S14" s="28"/>
      <c r="T14" s="28"/>
      <c r="U14" s="28"/>
      <c r="V14" s="28"/>
      <c r="W14" s="28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72" t="s">
        <v>21</v>
      </c>
      <c r="B15" s="72" t="s">
        <v>33</v>
      </c>
      <c r="C15" s="72" t="s">
        <v>41</v>
      </c>
      <c r="D15" s="72" t="s">
        <v>42</v>
      </c>
      <c r="E15" s="72" t="s">
        <v>25</v>
      </c>
      <c r="F15" s="72" t="s">
        <v>25</v>
      </c>
      <c r="G15" s="72" t="s">
        <v>25</v>
      </c>
      <c r="H15" s="72" t="s">
        <v>35</v>
      </c>
      <c r="I15" s="82">
        <v>44348</v>
      </c>
      <c r="J15" s="83">
        <f ca="1">EFEITO!$J$15*EFEITO!$Y$15</f>
        <v>4553.4108748906965</v>
      </c>
      <c r="K15" s="83">
        <f ca="1">EFEITO!$L$15*EFEITO!$Z$15</f>
        <v>300.13627115775</v>
      </c>
      <c r="L15" s="83">
        <f>EFEITO!$N$15*EFEITO!$AA$15</f>
        <v>630.03613216556585</v>
      </c>
      <c r="M15" s="83">
        <f ca="1">$J$15-EFEITO!$K$15*EFEITO!$Y$15</f>
        <v>0</v>
      </c>
      <c r="N15" s="83">
        <f ca="1">$K$15-EFEITO!$M$15*EFEITO!$Z$15</f>
        <v>0</v>
      </c>
      <c r="O15" s="83">
        <f>$L$15-EFEITO!$O$15*EFEITO!$AA$15</f>
        <v>0</v>
      </c>
      <c r="P15" s="28"/>
      <c r="Q15" s="28"/>
      <c r="R15" s="28"/>
      <c r="S15" s="28"/>
      <c r="T15" s="28"/>
      <c r="U15" s="28"/>
      <c r="V15" s="28"/>
      <c r="W15" s="28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72" t="s">
        <v>21</v>
      </c>
      <c r="B16" s="72" t="s">
        <v>33</v>
      </c>
      <c r="C16" s="72" t="s">
        <v>41</v>
      </c>
      <c r="D16" s="72" t="s">
        <v>42</v>
      </c>
      <c r="E16" s="72" t="s">
        <v>25</v>
      </c>
      <c r="F16" s="72" t="s">
        <v>25</v>
      </c>
      <c r="G16" s="72" t="s">
        <v>25</v>
      </c>
      <c r="H16" s="72" t="s">
        <v>35</v>
      </c>
      <c r="I16" s="82">
        <v>44378</v>
      </c>
      <c r="J16" s="83">
        <f ca="1">EFEITO!$J$16*EFEITO!$Y$16</f>
        <v>4553.4108748906965</v>
      </c>
      <c r="K16" s="83">
        <f ca="1">EFEITO!$L$16*EFEITO!$Z$16</f>
        <v>370.57948825997016</v>
      </c>
      <c r="L16" s="83">
        <f>EFEITO!$N$16*EFEITO!$AA$16</f>
        <v>777.90820330572865</v>
      </c>
      <c r="M16" s="83">
        <f ca="1">$J$16-EFEITO!$K$16*EFEITO!$Y$16</f>
        <v>0</v>
      </c>
      <c r="N16" s="83">
        <f ca="1">$K$16-EFEITO!$M$16*EFEITO!$Z$16</f>
        <v>0</v>
      </c>
      <c r="O16" s="83">
        <f>$L$16-EFEITO!$O$16*EFEITO!$AA$16</f>
        <v>0</v>
      </c>
      <c r="P16" s="28"/>
      <c r="Q16" s="28"/>
      <c r="R16" s="28"/>
      <c r="S16" s="28"/>
      <c r="T16" s="28"/>
      <c r="U16" s="28"/>
      <c r="V16" s="28"/>
      <c r="W16" s="28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72" t="s">
        <v>21</v>
      </c>
      <c r="B17" s="72" t="s">
        <v>33</v>
      </c>
      <c r="C17" s="72" t="s">
        <v>41</v>
      </c>
      <c r="D17" s="72" t="s">
        <v>42</v>
      </c>
      <c r="E17" s="72" t="s">
        <v>25</v>
      </c>
      <c r="F17" s="72" t="s">
        <v>25</v>
      </c>
      <c r="G17" s="72" t="s">
        <v>25</v>
      </c>
      <c r="H17" s="72" t="s">
        <v>35</v>
      </c>
      <c r="I17" s="82">
        <v>44409</v>
      </c>
      <c r="J17" s="83">
        <f ca="1">EFEITO!$J$17*EFEITO!$Y$17</f>
        <v>4553.4108748906965</v>
      </c>
      <c r="K17" s="83">
        <f ca="1">EFEITO!$L$17*EFEITO!$Z$17</f>
        <v>397.37199390995988</v>
      </c>
      <c r="L17" s="83">
        <f>EFEITO!$N$17*EFEITO!$AA$17</f>
        <v>834.15014489322652</v>
      </c>
      <c r="M17" s="83">
        <f ca="1">$J$17-EFEITO!$K$17*EFEITO!$Y$17</f>
        <v>0</v>
      </c>
      <c r="N17" s="83">
        <f ca="1">$K$17-EFEITO!$M$17*EFEITO!$Z$17</f>
        <v>0</v>
      </c>
      <c r="O17" s="83">
        <f>$L$17-EFEITO!$O$17*EFEITO!$AA$17</f>
        <v>0</v>
      </c>
      <c r="P17" s="28"/>
      <c r="Q17" s="28"/>
      <c r="R17" s="28"/>
      <c r="S17" s="28"/>
      <c r="T17" s="28"/>
      <c r="U17" s="28"/>
      <c r="V17" s="28"/>
      <c r="W17" s="28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72" t="s">
        <v>21</v>
      </c>
      <c r="B18" s="72" t="s">
        <v>33</v>
      </c>
      <c r="C18" s="72" t="s">
        <v>41</v>
      </c>
      <c r="D18" s="72" t="s">
        <v>42</v>
      </c>
      <c r="E18" s="72" t="s">
        <v>25</v>
      </c>
      <c r="F18" s="72" t="s">
        <v>25</v>
      </c>
      <c r="G18" s="72" t="s">
        <v>25</v>
      </c>
      <c r="H18" s="72" t="s">
        <v>35</v>
      </c>
      <c r="I18" s="82">
        <v>44440</v>
      </c>
      <c r="J18" s="83">
        <f ca="1">EFEITO!$J$18*EFEITO!$Y$18</f>
        <v>4844.8291708837005</v>
      </c>
      <c r="K18" s="83">
        <f ca="1">EFEITO!$L$18*EFEITO!$Z$18</f>
        <v>517.58705671403368</v>
      </c>
      <c r="L18" s="83">
        <f>EFEITO!$N$18*EFEITO!$AA$18</f>
        <v>1086.501628121026</v>
      </c>
      <c r="M18" s="83">
        <f ca="1">$J$18-EFEITO!$K$18*EFEITO!$Y$18</f>
        <v>0</v>
      </c>
      <c r="N18" s="83">
        <f ca="1">$K$18-EFEITO!$M$18*EFEITO!$Z$18</f>
        <v>0</v>
      </c>
      <c r="O18" s="83">
        <f>$L$18-EFEITO!$O$18*EFEITO!$AA$18</f>
        <v>0</v>
      </c>
      <c r="P18" s="28"/>
      <c r="Q18" s="28"/>
      <c r="R18" s="28"/>
      <c r="S18" s="28"/>
      <c r="T18" s="28"/>
      <c r="U18" s="28"/>
      <c r="V18" s="28"/>
      <c r="W18" s="28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72" t="s">
        <v>21</v>
      </c>
      <c r="B19" s="72" t="s">
        <v>33</v>
      </c>
      <c r="C19" s="72" t="s">
        <v>41</v>
      </c>
      <c r="D19" s="72" t="s">
        <v>42</v>
      </c>
      <c r="E19" s="72" t="s">
        <v>25</v>
      </c>
      <c r="F19" s="72" t="s">
        <v>25</v>
      </c>
      <c r="G19" s="72" t="s">
        <v>25</v>
      </c>
      <c r="H19" s="72" t="s">
        <v>35</v>
      </c>
      <c r="I19" s="82">
        <v>44470</v>
      </c>
      <c r="J19" s="83">
        <f ca="1">EFEITO!$J$19*EFEITO!$Y$19</f>
        <v>4553.4108748906965</v>
      </c>
      <c r="K19" s="83">
        <f ca="1">EFEITO!$L$19*EFEITO!$Z$19</f>
        <v>410.81841996650905</v>
      </c>
      <c r="L19" s="83">
        <f>EFEITO!$N$19*EFEITO!$AA$19</f>
        <v>862.37643767496706</v>
      </c>
      <c r="M19" s="83">
        <f ca="1">$J$19-EFEITO!$K$19*EFEITO!$Y$19</f>
        <v>0</v>
      </c>
      <c r="N19" s="83">
        <f ca="1">$K$19-EFEITO!$M$19*EFEITO!$Z$19</f>
        <v>0</v>
      </c>
      <c r="O19" s="83">
        <f>$L$19-EFEITO!$O$19*EFEITO!$AA$19</f>
        <v>0</v>
      </c>
      <c r="P19" s="28"/>
      <c r="Q19" s="28"/>
      <c r="R19" s="28"/>
      <c r="S19" s="28"/>
      <c r="T19" s="28"/>
      <c r="U19" s="28"/>
      <c r="V19" s="28"/>
      <c r="W19" s="28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72" t="s">
        <v>21</v>
      </c>
      <c r="B20" s="72" t="s">
        <v>33</v>
      </c>
      <c r="C20" s="72" t="s">
        <v>41</v>
      </c>
      <c r="D20" s="72" t="s">
        <v>42</v>
      </c>
      <c r="E20" s="72" t="s">
        <v>25</v>
      </c>
      <c r="F20" s="72" t="s">
        <v>25</v>
      </c>
      <c r="G20" s="72" t="s">
        <v>25</v>
      </c>
      <c r="H20" s="72" t="s">
        <v>35</v>
      </c>
      <c r="I20" s="82">
        <v>44501</v>
      </c>
      <c r="J20" s="83">
        <f ca="1">EFEITO!$J$20*EFEITO!$Y$20</f>
        <v>4553.4108748906965</v>
      </c>
      <c r="K20" s="83">
        <f ca="1">EFEITO!$L$20*EFEITO!$Z$20</f>
        <v>284.08083706037792</v>
      </c>
      <c r="L20" s="83">
        <f>EFEITO!$N$20*EFEITO!$AA$20</f>
        <v>596.33309600826374</v>
      </c>
      <c r="M20" s="83">
        <f ca="1">$J$20-EFEITO!$K$20*EFEITO!$Y$20</f>
        <v>0</v>
      </c>
      <c r="N20" s="83">
        <f ca="1">$K$20-EFEITO!$M$20*EFEITO!$Z$20</f>
        <v>0</v>
      </c>
      <c r="O20" s="83">
        <f>$L$20-EFEITO!$O$20*EFEITO!$AA$20</f>
        <v>0</v>
      </c>
      <c r="P20" s="28"/>
      <c r="Q20" s="28"/>
      <c r="R20" s="28"/>
      <c r="S20" s="28"/>
      <c r="T20" s="28"/>
      <c r="U20" s="28"/>
      <c r="V20" s="28"/>
      <c r="W20" s="28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72" t="s">
        <v>21</v>
      </c>
      <c r="B21" s="72" t="s">
        <v>33</v>
      </c>
      <c r="C21" s="72" t="s">
        <v>41</v>
      </c>
      <c r="D21" s="72" t="s">
        <v>42</v>
      </c>
      <c r="E21" s="72" t="s">
        <v>25</v>
      </c>
      <c r="F21" s="72" t="s">
        <v>25</v>
      </c>
      <c r="G21" s="72" t="s">
        <v>25</v>
      </c>
      <c r="H21" s="72" t="s">
        <v>35</v>
      </c>
      <c r="I21" s="82">
        <v>44531</v>
      </c>
      <c r="J21" s="83">
        <f ca="1">EFEITO!$J$21*EFEITO!$Y$21</f>
        <v>4553.4108748906965</v>
      </c>
      <c r="K21" s="83">
        <f ca="1">EFEITO!$L$21*EFEITO!$Z$21</f>
        <v>435.905035743653</v>
      </c>
      <c r="L21" s="83">
        <f>EFEITO!$N$21*EFEITO!$AA$21</f>
        <v>915.03743167075152</v>
      </c>
      <c r="M21" s="83">
        <f ca="1">$J$21-EFEITO!$K$21*EFEITO!$Y$21</f>
        <v>0</v>
      </c>
      <c r="N21" s="83">
        <f ca="1">$K$21-EFEITO!$M$21*EFEITO!$Z$21</f>
        <v>0</v>
      </c>
      <c r="O21" s="83">
        <f>$L$21-EFEITO!$O$21*EFEITO!$AA$21</f>
        <v>0</v>
      </c>
      <c r="P21" s="28"/>
      <c r="Q21" s="28"/>
      <c r="R21" s="28"/>
      <c r="S21" s="28"/>
      <c r="T21" s="28"/>
      <c r="U21" s="28"/>
      <c r="V21" s="28"/>
      <c r="W21" s="28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72" t="s">
        <v>21</v>
      </c>
      <c r="B22" s="72" t="s">
        <v>33</v>
      </c>
      <c r="C22" s="72" t="s">
        <v>41</v>
      </c>
      <c r="D22" s="72" t="s">
        <v>42</v>
      </c>
      <c r="E22" s="72" t="s">
        <v>25</v>
      </c>
      <c r="F22" s="72" t="s">
        <v>25</v>
      </c>
      <c r="G22" s="72" t="s">
        <v>25</v>
      </c>
      <c r="H22" s="72" t="s">
        <v>35</v>
      </c>
      <c r="I22" s="82">
        <v>44562</v>
      </c>
      <c r="J22" s="83">
        <f ca="1">EFEITO!$J$22*EFEITO!$Y$22</f>
        <v>4553.4108748906965</v>
      </c>
      <c r="K22" s="83">
        <f ca="1">EFEITO!$L$22*EFEITO!$Z$22</f>
        <v>436.70780744852163</v>
      </c>
      <c r="L22" s="83">
        <f>EFEITO!$N$22*EFEITO!$AA$22</f>
        <v>916.72258347861668</v>
      </c>
      <c r="M22" s="83">
        <f ca="1">$J$22-EFEITO!$K$22*EFEITO!$Y$22</f>
        <v>0</v>
      </c>
      <c r="N22" s="83">
        <f ca="1">$K$22-EFEITO!$M$22*EFEITO!$Z$22</f>
        <v>0</v>
      </c>
      <c r="O22" s="83">
        <f>$L$22-EFEITO!$O$22*EFEITO!$AA$22</f>
        <v>0</v>
      </c>
      <c r="P22" s="28"/>
      <c r="Q22" s="28"/>
      <c r="R22" s="28"/>
      <c r="S22" s="28"/>
      <c r="T22" s="28"/>
      <c r="U22" s="28"/>
      <c r="V22" s="28"/>
      <c r="W22" s="28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72" t="s">
        <v>21</v>
      </c>
      <c r="B23" s="72" t="s">
        <v>33</v>
      </c>
      <c r="C23" s="72" t="s">
        <v>41</v>
      </c>
      <c r="D23" s="72" t="s">
        <v>42</v>
      </c>
      <c r="E23" s="72" t="s">
        <v>25</v>
      </c>
      <c r="F23" s="72" t="s">
        <v>25</v>
      </c>
      <c r="G23" s="72" t="s">
        <v>25</v>
      </c>
      <c r="H23" s="72" t="s">
        <v>35</v>
      </c>
      <c r="I23" s="82">
        <v>44593</v>
      </c>
      <c r="J23" s="83">
        <f ca="1">EFEITO!$J$23*EFEITO!$Y$23</f>
        <v>4553.4108748906965</v>
      </c>
      <c r="K23" s="83">
        <f ca="1">EFEITO!$L$23*EFEITO!$Z$23</f>
        <v>409.11253009366328</v>
      </c>
      <c r="L23" s="83">
        <f>EFEITO!$N$23*EFEITO!$AA$23</f>
        <v>858.79549008325364</v>
      </c>
      <c r="M23" s="83">
        <f ca="1">$J$23-EFEITO!$K$23*EFEITO!$Y$23</f>
        <v>0</v>
      </c>
      <c r="N23" s="83">
        <f ca="1">$K$23-EFEITO!$M$23*EFEITO!$Z$23</f>
        <v>0</v>
      </c>
      <c r="O23" s="83">
        <f>$L$23-EFEITO!$O$23*EFEITO!$AA$23</f>
        <v>0</v>
      </c>
      <c r="P23" s="28"/>
      <c r="Q23" s="28"/>
      <c r="R23" s="28"/>
      <c r="S23" s="28"/>
      <c r="T23" s="28"/>
      <c r="U23" s="28"/>
      <c r="V23" s="28"/>
      <c r="W23" s="28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72" t="s">
        <v>21</v>
      </c>
      <c r="B24" s="72" t="s">
        <v>33</v>
      </c>
      <c r="C24" s="72" t="s">
        <v>41</v>
      </c>
      <c r="D24" s="72" t="s">
        <v>42</v>
      </c>
      <c r="E24" s="72" t="s">
        <v>25</v>
      </c>
      <c r="F24" s="72" t="s">
        <v>25</v>
      </c>
      <c r="G24" s="72" t="s">
        <v>25</v>
      </c>
      <c r="H24" s="72" t="s">
        <v>35</v>
      </c>
      <c r="I24" s="82">
        <v>44621</v>
      </c>
      <c r="J24" s="83">
        <f ca="1">EFEITO!$J$24*EFEITO!$Y$24</f>
        <v>4553.4108748906965</v>
      </c>
      <c r="K24" s="83">
        <f ca="1">EFEITO!$L$24*EFEITO!$Z$24</f>
        <v>482.16475523670636</v>
      </c>
      <c r="L24" s="83">
        <f>EFEITO!$N$24*EFEITO!$AA$24</f>
        <v>1012.144304598978</v>
      </c>
      <c r="M24" s="83">
        <f ca="1">$J$24-EFEITO!$K$24*EFEITO!$Y$24</f>
        <v>0</v>
      </c>
      <c r="N24" s="83">
        <f ca="1">$K$24-EFEITO!$M$24*EFEITO!$Z$24</f>
        <v>0</v>
      </c>
      <c r="O24" s="83">
        <f>$L$24-EFEITO!$O$24*EFEITO!$AA$24</f>
        <v>0</v>
      </c>
      <c r="P24" s="28"/>
      <c r="Q24" s="28"/>
      <c r="R24" s="28"/>
      <c r="S24" s="28"/>
      <c r="T24" s="28"/>
      <c r="U24" s="28"/>
      <c r="V24" s="28"/>
      <c r="W24" s="28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72" t="s">
        <v>21</v>
      </c>
      <c r="B25" s="72" t="s">
        <v>33</v>
      </c>
      <c r="C25" s="72" t="s">
        <v>41</v>
      </c>
      <c r="D25" s="72" t="s">
        <v>42</v>
      </c>
      <c r="E25" s="72" t="s">
        <v>25</v>
      </c>
      <c r="F25" s="72" t="s">
        <v>25</v>
      </c>
      <c r="G25" s="72" t="s">
        <v>25</v>
      </c>
      <c r="H25" s="72" t="s">
        <v>35</v>
      </c>
      <c r="I25" s="82">
        <v>44652</v>
      </c>
      <c r="J25" s="83">
        <f ca="1">EFEITO!$J$25*EFEITO!$Y$25</f>
        <v>4553.4108748906965</v>
      </c>
      <c r="K25" s="83">
        <f ca="1">EFEITO!$L$25*EFEITO!$Z$25</f>
        <v>384.32695370584509</v>
      </c>
      <c r="L25" s="83">
        <f>EFEITO!$N$25*EFEITO!$AA$25</f>
        <v>806.76642801541857</v>
      </c>
      <c r="M25" s="83">
        <f ca="1">$J$25-EFEITO!$K$25*EFEITO!$Y$25</f>
        <v>0</v>
      </c>
      <c r="N25" s="83">
        <f ca="1">$K$25-EFEITO!$M$25*EFEITO!$Z$25</f>
        <v>0</v>
      </c>
      <c r="O25" s="83">
        <f>$L$25-EFEITO!$O$25*EFEITO!$AA$25</f>
        <v>0</v>
      </c>
      <c r="P25" s="28"/>
      <c r="Q25" s="28"/>
      <c r="R25" s="28"/>
      <c r="S25" s="28"/>
      <c r="T25" s="28"/>
      <c r="U25" s="28"/>
      <c r="V25" s="28"/>
      <c r="W25" s="28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72" t="s">
        <v>21</v>
      </c>
      <c r="B26" s="72" t="s">
        <v>33</v>
      </c>
      <c r="C26" s="72" t="s">
        <v>41</v>
      </c>
      <c r="D26" s="72" t="s">
        <v>40</v>
      </c>
      <c r="E26" s="72" t="s">
        <v>25</v>
      </c>
      <c r="F26" s="72" t="s">
        <v>25</v>
      </c>
      <c r="G26" s="72" t="s">
        <v>25</v>
      </c>
      <c r="H26" s="72" t="s">
        <v>36</v>
      </c>
      <c r="I26" s="82">
        <v>44317</v>
      </c>
      <c r="J26" s="83">
        <f ca="1">EFEITO!$J$26*EFEITO!$Y$26</f>
        <v>3552.8489309131364</v>
      </c>
      <c r="K26" s="83">
        <f ca="1">EFEITO!$L$26*EFEITO!$Z$26</f>
        <v>1753.2534034330354</v>
      </c>
      <c r="L26" s="83">
        <f>EFEITO!$N$26*EFEITO!$AA$26</f>
        <v>3680.3715483773876</v>
      </c>
      <c r="M26" s="83">
        <f ca="1">$J$26-EFEITO!$K$26*EFEITO!$Y$26</f>
        <v>0</v>
      </c>
      <c r="N26" s="83">
        <f ca="1">$K$26-EFEITO!$M$26*EFEITO!$Z$26</f>
        <v>0</v>
      </c>
      <c r="O26" s="83">
        <f>$L$26-EFEITO!$O$26*EFEITO!$AA$26</f>
        <v>0</v>
      </c>
      <c r="P26" s="28"/>
      <c r="Q26" s="28"/>
      <c r="R26" s="28"/>
      <c r="S26" s="28"/>
      <c r="T26" s="28"/>
      <c r="U26" s="28"/>
      <c r="V26" s="28"/>
      <c r="W26" s="28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72" t="s">
        <v>21</v>
      </c>
      <c r="B27" s="72" t="s">
        <v>33</v>
      </c>
      <c r="C27" s="72" t="s">
        <v>41</v>
      </c>
      <c r="D27" s="72" t="s">
        <v>40</v>
      </c>
      <c r="E27" s="72" t="s">
        <v>25</v>
      </c>
      <c r="F27" s="72" t="s">
        <v>25</v>
      </c>
      <c r="G27" s="72" t="s">
        <v>25</v>
      </c>
      <c r="H27" s="72" t="s">
        <v>36</v>
      </c>
      <c r="I27" s="82">
        <v>44348</v>
      </c>
      <c r="J27" s="83">
        <f ca="1">EFEITO!$J$27*EFEITO!$Y$27</f>
        <v>3552.8489309131364</v>
      </c>
      <c r="K27" s="83">
        <f ca="1">EFEITO!$L$27*EFEITO!$Z$27</f>
        <v>1146.0569551630433</v>
      </c>
      <c r="L27" s="83">
        <f>EFEITO!$N$27*EFEITO!$AA$27</f>
        <v>2405.7648497034193</v>
      </c>
      <c r="M27" s="83">
        <f ca="1">$J$27-EFEITO!$K$27*EFEITO!$Y$27</f>
        <v>0</v>
      </c>
      <c r="N27" s="83">
        <f ca="1">$K$27-EFEITO!$M$27*EFEITO!$Z$27</f>
        <v>0</v>
      </c>
      <c r="O27" s="83">
        <f>$L$27-EFEITO!$O$27*EFEITO!$AA$27</f>
        <v>0</v>
      </c>
      <c r="P27" s="28"/>
      <c r="Q27" s="28"/>
      <c r="R27" s="28"/>
      <c r="S27" s="28"/>
      <c r="T27" s="28"/>
      <c r="U27" s="28"/>
      <c r="V27" s="28"/>
      <c r="W27" s="28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72" t="s">
        <v>21</v>
      </c>
      <c r="B28" s="72" t="s">
        <v>33</v>
      </c>
      <c r="C28" s="72" t="s">
        <v>41</v>
      </c>
      <c r="D28" s="72" t="s">
        <v>40</v>
      </c>
      <c r="E28" s="72" t="s">
        <v>25</v>
      </c>
      <c r="F28" s="72" t="s">
        <v>25</v>
      </c>
      <c r="G28" s="72" t="s">
        <v>25</v>
      </c>
      <c r="H28" s="72" t="s">
        <v>36</v>
      </c>
      <c r="I28" s="82">
        <v>44378</v>
      </c>
      <c r="J28" s="83">
        <f ca="1">EFEITO!$J$28*EFEITO!$Y$28</f>
        <v>3552.8489309131364</v>
      </c>
      <c r="K28" s="83">
        <f ca="1">EFEITO!$L$28*EFEITO!$Z$28</f>
        <v>1306.0092173581131</v>
      </c>
      <c r="L28" s="83">
        <f>EFEITO!$N$28*EFEITO!$AA$28</f>
        <v>2741.5313474205414</v>
      </c>
      <c r="M28" s="83">
        <f ca="1">$J$28-EFEITO!$K$28*EFEITO!$Y$28</f>
        <v>0</v>
      </c>
      <c r="N28" s="83">
        <f ca="1">$K$28-EFEITO!$M$28*EFEITO!$Z$28</f>
        <v>0</v>
      </c>
      <c r="O28" s="83">
        <f>$L$28-EFEITO!$O$28*EFEITO!$AA$28</f>
        <v>0</v>
      </c>
      <c r="P28" s="28"/>
      <c r="Q28" s="28"/>
      <c r="R28" s="28"/>
      <c r="S28" s="28"/>
      <c r="T28" s="28"/>
      <c r="U28" s="28"/>
      <c r="V28" s="28"/>
      <c r="W28" s="28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72" t="s">
        <v>21</v>
      </c>
      <c r="B29" s="72" t="s">
        <v>33</v>
      </c>
      <c r="C29" s="72" t="s">
        <v>41</v>
      </c>
      <c r="D29" s="72" t="s">
        <v>40</v>
      </c>
      <c r="E29" s="72" t="s">
        <v>25</v>
      </c>
      <c r="F29" s="72" t="s">
        <v>25</v>
      </c>
      <c r="G29" s="72" t="s">
        <v>25</v>
      </c>
      <c r="H29" s="72" t="s">
        <v>35</v>
      </c>
      <c r="I29" s="82">
        <v>44317</v>
      </c>
      <c r="J29" s="83">
        <f ca="1">EFEITO!$J$29*EFEITO!$Y$29</f>
        <v>7759.0121308137468</v>
      </c>
      <c r="K29" s="83">
        <f ca="1">EFEITO!$L$29*EFEITO!$Z$29</f>
        <v>135.36737873346866</v>
      </c>
      <c r="L29" s="83">
        <f>EFEITO!$N$29*EFEITO!$AA$29</f>
        <v>284.15872360125314</v>
      </c>
      <c r="M29" s="83">
        <f ca="1">$J$29-EFEITO!$K$29*EFEITO!$Y$29</f>
        <v>0</v>
      </c>
      <c r="N29" s="83">
        <f ca="1">$K$29-EFEITO!$M$29*EFEITO!$Z$29</f>
        <v>0</v>
      </c>
      <c r="O29" s="83">
        <f>$L$29-EFEITO!$O$29*EFEITO!$AA$29</f>
        <v>0</v>
      </c>
      <c r="P29" s="28"/>
      <c r="Q29" s="28"/>
      <c r="R29" s="28"/>
      <c r="S29" s="28"/>
      <c r="T29" s="28"/>
      <c r="U29" s="28"/>
      <c r="V29" s="28"/>
      <c r="W29" s="28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72" t="s">
        <v>21</v>
      </c>
      <c r="B30" s="72" t="s">
        <v>33</v>
      </c>
      <c r="C30" s="72" t="s">
        <v>41</v>
      </c>
      <c r="D30" s="72" t="s">
        <v>40</v>
      </c>
      <c r="E30" s="72" t="s">
        <v>25</v>
      </c>
      <c r="F30" s="72" t="s">
        <v>25</v>
      </c>
      <c r="G30" s="72" t="s">
        <v>25</v>
      </c>
      <c r="H30" s="72" t="s">
        <v>35</v>
      </c>
      <c r="I30" s="82">
        <v>44348</v>
      </c>
      <c r="J30" s="83">
        <f ca="1">EFEITO!$J$30*EFEITO!$Y$30</f>
        <v>7759.0121308137468</v>
      </c>
      <c r="K30" s="83">
        <f ca="1">EFEITO!$L$30*EFEITO!$Z$30</f>
        <v>16.356473486697844</v>
      </c>
      <c r="L30" s="83">
        <f>EFEITO!$N$30*EFEITO!$AA$30</f>
        <v>34.334968085251496</v>
      </c>
      <c r="M30" s="83">
        <f ca="1">$J$30-EFEITO!$K$30*EFEITO!$Y$30</f>
        <v>0</v>
      </c>
      <c r="N30" s="83">
        <f ca="1">$K$30-EFEITO!$M$30*EFEITO!$Z$30</f>
        <v>0</v>
      </c>
      <c r="O30" s="83">
        <f>$L$30-EFEITO!$O$30*EFEITO!$AA$30</f>
        <v>0</v>
      </c>
      <c r="P30" s="28"/>
      <c r="Q30" s="28"/>
      <c r="R30" s="28"/>
      <c r="S30" s="28"/>
      <c r="T30" s="28"/>
      <c r="U30" s="28"/>
      <c r="V30" s="28"/>
      <c r="W30" s="28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72" t="s">
        <v>21</v>
      </c>
      <c r="B31" s="72" t="s">
        <v>33</v>
      </c>
      <c r="C31" s="72" t="s">
        <v>41</v>
      </c>
      <c r="D31" s="72" t="s">
        <v>40</v>
      </c>
      <c r="E31" s="72" t="s">
        <v>25</v>
      </c>
      <c r="F31" s="72" t="s">
        <v>25</v>
      </c>
      <c r="G31" s="72" t="s">
        <v>25</v>
      </c>
      <c r="H31" s="72" t="s">
        <v>35</v>
      </c>
      <c r="I31" s="82">
        <v>44378</v>
      </c>
      <c r="J31" s="83">
        <f ca="1">EFEITO!$J$31*EFEITO!$Y$31</f>
        <v>7759.0121308137468</v>
      </c>
      <c r="K31" s="83">
        <f ca="1">EFEITO!$L$31*EFEITO!$Z$31</f>
        <v>55.290901172825237</v>
      </c>
      <c r="L31" s="83">
        <f>EFEITO!$N$31*EFEITO!$AA$31</f>
        <v>116.06483076670905</v>
      </c>
      <c r="M31" s="83">
        <f ca="1">$J$31-EFEITO!$K$31*EFEITO!$Y$31</f>
        <v>0</v>
      </c>
      <c r="N31" s="83">
        <f ca="1">$K$31-EFEITO!$M$31*EFEITO!$Z$31</f>
        <v>0</v>
      </c>
      <c r="O31" s="83">
        <f>$L$31-EFEITO!$O$31*EFEITO!$AA$31</f>
        <v>0</v>
      </c>
      <c r="P31" s="28"/>
      <c r="Q31" s="28"/>
      <c r="R31" s="28"/>
      <c r="S31" s="28"/>
      <c r="T31" s="28"/>
      <c r="U31" s="28"/>
      <c r="V31" s="28"/>
      <c r="W31" s="28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72" t="s">
        <v>21</v>
      </c>
      <c r="B32" s="72" t="s">
        <v>33</v>
      </c>
      <c r="C32" s="72" t="s">
        <v>34</v>
      </c>
      <c r="D32" s="72" t="s">
        <v>42</v>
      </c>
      <c r="E32" s="72" t="s">
        <v>25</v>
      </c>
      <c r="F32" s="72" t="s">
        <v>25</v>
      </c>
      <c r="G32" s="72" t="s">
        <v>25</v>
      </c>
      <c r="H32" s="72" t="s">
        <v>36</v>
      </c>
      <c r="I32" s="82">
        <v>44317</v>
      </c>
      <c r="J32" s="83">
        <f>EFEITO!$J$32*EFEITO!$Y$32</f>
        <v>0</v>
      </c>
      <c r="K32" s="83">
        <f ca="1">EFEITO!$L$32*EFEITO!$Z$32</f>
        <v>75157.995671376601</v>
      </c>
      <c r="L32" s="83">
        <f>EFEITO!$N$32*EFEITO!$AA$32</f>
        <v>157769.17835173063</v>
      </c>
      <c r="M32" s="83">
        <f>$J$32-EFEITO!$K$32*EFEITO!$Y$32</f>
        <v>0</v>
      </c>
      <c r="N32" s="83">
        <f ca="1">$K$32-EFEITO!$M$32*EFEITO!$Z$32</f>
        <v>0</v>
      </c>
      <c r="O32" s="83">
        <f>$L$32-EFEITO!$O$32*EFEITO!$AA$32</f>
        <v>0</v>
      </c>
      <c r="P32" s="28"/>
      <c r="Q32" s="28"/>
      <c r="R32" s="28"/>
      <c r="S32" s="28"/>
      <c r="T32" s="28"/>
      <c r="U32" s="28"/>
      <c r="V32" s="28"/>
      <c r="W32" s="28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72" t="s">
        <v>21</v>
      </c>
      <c r="B33" s="72" t="s">
        <v>33</v>
      </c>
      <c r="C33" s="72" t="s">
        <v>34</v>
      </c>
      <c r="D33" s="72" t="s">
        <v>42</v>
      </c>
      <c r="E33" s="72" t="s">
        <v>25</v>
      </c>
      <c r="F33" s="72" t="s">
        <v>25</v>
      </c>
      <c r="G33" s="72" t="s">
        <v>25</v>
      </c>
      <c r="H33" s="72" t="s">
        <v>36</v>
      </c>
      <c r="I33" s="82">
        <v>44348</v>
      </c>
      <c r="J33" s="83">
        <f>EFEITO!$J$33*EFEITO!$Y$33</f>
        <v>0</v>
      </c>
      <c r="K33" s="83">
        <f ca="1">EFEITO!$L$33*EFEITO!$Z$33</f>
        <v>74768.551048052221</v>
      </c>
      <c r="L33" s="83">
        <f>EFEITO!$N$33*EFEITO!$AA$33</f>
        <v>156951.66908094008</v>
      </c>
      <c r="M33" s="83">
        <f>$J$33-EFEITO!$K$33*EFEITO!$Y$33</f>
        <v>0</v>
      </c>
      <c r="N33" s="83">
        <f ca="1">$K$33-EFEITO!$M$33*EFEITO!$Z$33</f>
        <v>0</v>
      </c>
      <c r="O33" s="83">
        <f>$L$33-EFEITO!$O$33*EFEITO!$AA$33</f>
        <v>0</v>
      </c>
      <c r="P33" s="28"/>
      <c r="Q33" s="28"/>
      <c r="R33" s="28"/>
      <c r="S33" s="28"/>
      <c r="T33" s="28"/>
      <c r="U33" s="28"/>
      <c r="V33" s="28"/>
      <c r="W33" s="28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72" t="s">
        <v>21</v>
      </c>
      <c r="B34" s="72" t="s">
        <v>33</v>
      </c>
      <c r="C34" s="72" t="s">
        <v>34</v>
      </c>
      <c r="D34" s="72" t="s">
        <v>42</v>
      </c>
      <c r="E34" s="72" t="s">
        <v>25</v>
      </c>
      <c r="F34" s="72" t="s">
        <v>25</v>
      </c>
      <c r="G34" s="72" t="s">
        <v>25</v>
      </c>
      <c r="H34" s="72" t="s">
        <v>36</v>
      </c>
      <c r="I34" s="82">
        <v>44378</v>
      </c>
      <c r="J34" s="83">
        <f>EFEITO!$J$34*EFEITO!$Y$34</f>
        <v>0</v>
      </c>
      <c r="K34" s="83">
        <f ca="1">EFEITO!$L$34*EFEITO!$Z$34</f>
        <v>77650.702161456735</v>
      </c>
      <c r="L34" s="83">
        <f>EFEITO!$N$34*EFEITO!$AA$34</f>
        <v>163001.78535912777</v>
      </c>
      <c r="M34" s="83">
        <f>$J$34-EFEITO!$K$34*EFEITO!$Y$34</f>
        <v>0</v>
      </c>
      <c r="N34" s="83">
        <f ca="1">$K$34-EFEITO!$M$34*EFEITO!$Z$34</f>
        <v>0</v>
      </c>
      <c r="O34" s="83">
        <f>$L$34-EFEITO!$O$34*EFEITO!$AA$34</f>
        <v>0</v>
      </c>
      <c r="P34" s="28"/>
      <c r="Q34" s="28"/>
      <c r="R34" s="28"/>
      <c r="S34" s="28"/>
      <c r="T34" s="28"/>
      <c r="U34" s="28"/>
      <c r="V34" s="28"/>
      <c r="W34" s="28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72" t="s">
        <v>21</v>
      </c>
      <c r="B35" s="72" t="s">
        <v>33</v>
      </c>
      <c r="C35" s="72" t="s">
        <v>34</v>
      </c>
      <c r="D35" s="72" t="s">
        <v>42</v>
      </c>
      <c r="E35" s="72" t="s">
        <v>25</v>
      </c>
      <c r="F35" s="72" t="s">
        <v>25</v>
      </c>
      <c r="G35" s="72" t="s">
        <v>25</v>
      </c>
      <c r="H35" s="72" t="s">
        <v>36</v>
      </c>
      <c r="I35" s="82">
        <v>44409</v>
      </c>
      <c r="J35" s="83">
        <f>EFEITO!$J$35*EFEITO!$Y$35</f>
        <v>0</v>
      </c>
      <c r="K35" s="83">
        <f ca="1">EFEITO!$L$35*EFEITO!$Z$35</f>
        <v>77564.404203183352</v>
      </c>
      <c r="L35" s="83">
        <f>EFEITO!$N$35*EFEITO!$AA$35</f>
        <v>162820.63153978225</v>
      </c>
      <c r="M35" s="83">
        <f>$J$35-EFEITO!$K$35*EFEITO!$Y$35</f>
        <v>0</v>
      </c>
      <c r="N35" s="83">
        <f ca="1">$K$35-EFEITO!$M$35*EFEITO!$Z$35</f>
        <v>0</v>
      </c>
      <c r="O35" s="83">
        <f>$L$35-EFEITO!$O$35*EFEITO!$AA$35</f>
        <v>0</v>
      </c>
      <c r="P35" s="28"/>
      <c r="Q35" s="28"/>
      <c r="R35" s="28"/>
      <c r="S35" s="28"/>
      <c r="T35" s="28"/>
      <c r="U35" s="28"/>
      <c r="V35" s="28"/>
      <c r="W35" s="28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72" t="s">
        <v>21</v>
      </c>
      <c r="B36" s="72" t="s">
        <v>33</v>
      </c>
      <c r="C36" s="72" t="s">
        <v>34</v>
      </c>
      <c r="D36" s="72" t="s">
        <v>42</v>
      </c>
      <c r="E36" s="72" t="s">
        <v>25</v>
      </c>
      <c r="F36" s="72" t="s">
        <v>25</v>
      </c>
      <c r="G36" s="72" t="s">
        <v>25</v>
      </c>
      <c r="H36" s="72" t="s">
        <v>36</v>
      </c>
      <c r="I36" s="82">
        <v>44440</v>
      </c>
      <c r="J36" s="83">
        <f>EFEITO!$J$36*EFEITO!$Y$36</f>
        <v>0</v>
      </c>
      <c r="K36" s="83">
        <f ca="1">EFEITO!$L$36*EFEITO!$Z$36</f>
        <v>77920.634147218792</v>
      </c>
      <c r="L36" s="83">
        <f>EFEITO!$N$36*EFEITO!$AA$36</f>
        <v>163568.41765452237</v>
      </c>
      <c r="M36" s="83">
        <f>$J$36-EFEITO!$K$36*EFEITO!$Y$36</f>
        <v>0</v>
      </c>
      <c r="N36" s="83">
        <f ca="1">$K$36-EFEITO!$M$36*EFEITO!$Z$36</f>
        <v>0</v>
      </c>
      <c r="O36" s="83">
        <f>$L$36-EFEITO!$O$36*EFEITO!$AA$36</f>
        <v>0</v>
      </c>
      <c r="P36" s="28"/>
      <c r="Q36" s="28"/>
      <c r="R36" s="28"/>
      <c r="S36" s="28"/>
      <c r="T36" s="28"/>
      <c r="U36" s="28"/>
      <c r="V36" s="28"/>
      <c r="W36" s="28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72" t="s">
        <v>21</v>
      </c>
      <c r="B37" s="72" t="s">
        <v>33</v>
      </c>
      <c r="C37" s="72" t="s">
        <v>34</v>
      </c>
      <c r="D37" s="72" t="s">
        <v>42</v>
      </c>
      <c r="E37" s="72" t="s">
        <v>25</v>
      </c>
      <c r="F37" s="72" t="s">
        <v>25</v>
      </c>
      <c r="G37" s="72" t="s">
        <v>25</v>
      </c>
      <c r="H37" s="72" t="s">
        <v>36</v>
      </c>
      <c r="I37" s="82">
        <v>44470</v>
      </c>
      <c r="J37" s="83">
        <f>EFEITO!$J$37*EFEITO!$Y$37</f>
        <v>0</v>
      </c>
      <c r="K37" s="83">
        <f ca="1">EFEITO!$L$37*EFEITO!$Z$37</f>
        <v>77886.917735614305</v>
      </c>
      <c r="L37" s="83">
        <f>EFEITO!$N$37*EFEITO!$AA$37</f>
        <v>163497.64127859205</v>
      </c>
      <c r="M37" s="83">
        <f>$J$37-EFEITO!$K$37*EFEITO!$Y$37</f>
        <v>0</v>
      </c>
      <c r="N37" s="83">
        <f ca="1">$K$37-EFEITO!$M$37*EFEITO!$Z$37</f>
        <v>0</v>
      </c>
      <c r="O37" s="83">
        <f>$L$37-EFEITO!$O$37*EFEITO!$AA$37</f>
        <v>0</v>
      </c>
      <c r="P37" s="28"/>
      <c r="Q37" s="28"/>
      <c r="R37" s="28"/>
      <c r="S37" s="28"/>
      <c r="T37" s="28"/>
      <c r="U37" s="28"/>
      <c r="V37" s="28"/>
      <c r="W37" s="28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72" t="s">
        <v>21</v>
      </c>
      <c r="B38" s="72" t="s">
        <v>33</v>
      </c>
      <c r="C38" s="72" t="s">
        <v>34</v>
      </c>
      <c r="D38" s="72" t="s">
        <v>42</v>
      </c>
      <c r="E38" s="72" t="s">
        <v>25</v>
      </c>
      <c r="F38" s="72" t="s">
        <v>25</v>
      </c>
      <c r="G38" s="72" t="s">
        <v>25</v>
      </c>
      <c r="H38" s="72" t="s">
        <v>36</v>
      </c>
      <c r="I38" s="82">
        <v>44501</v>
      </c>
      <c r="J38" s="83">
        <f>EFEITO!$J$38*EFEITO!$Y$38</f>
        <v>0</v>
      </c>
      <c r="K38" s="83">
        <f ca="1">EFEITO!$L$38*EFEITO!$Z$38</f>
        <v>77536.407539976062</v>
      </c>
      <c r="L38" s="83">
        <f>EFEITO!$N$38*EFEITO!$AA$38</f>
        <v>162761.86187048297</v>
      </c>
      <c r="M38" s="83">
        <f>$J$38-EFEITO!$K$38*EFEITO!$Y$38</f>
        <v>0</v>
      </c>
      <c r="N38" s="83">
        <f ca="1">$K$38-EFEITO!$M$38*EFEITO!$Z$38</f>
        <v>0</v>
      </c>
      <c r="O38" s="83">
        <f>$L$38-EFEITO!$O$38*EFEITO!$AA$38</f>
        <v>0</v>
      </c>
      <c r="P38" s="28"/>
      <c r="Q38" s="28"/>
      <c r="R38" s="28"/>
      <c r="S38" s="28"/>
      <c r="T38" s="28"/>
      <c r="U38" s="28"/>
      <c r="V38" s="28"/>
      <c r="W38" s="28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72" t="s">
        <v>21</v>
      </c>
      <c r="B39" s="72" t="s">
        <v>33</v>
      </c>
      <c r="C39" s="72" t="s">
        <v>34</v>
      </c>
      <c r="D39" s="72" t="s">
        <v>42</v>
      </c>
      <c r="E39" s="72" t="s">
        <v>25</v>
      </c>
      <c r="F39" s="72" t="s">
        <v>25</v>
      </c>
      <c r="G39" s="72" t="s">
        <v>25</v>
      </c>
      <c r="H39" s="72" t="s">
        <v>36</v>
      </c>
      <c r="I39" s="82">
        <v>44531</v>
      </c>
      <c r="J39" s="83">
        <f>EFEITO!$J$39*EFEITO!$Y$39</f>
        <v>0</v>
      </c>
      <c r="K39" s="83">
        <f ca="1">EFEITO!$L$39*EFEITO!$Z$39</f>
        <v>77930.769139992757</v>
      </c>
      <c r="L39" s="83">
        <f>EFEITO!$N$39*EFEITO!$AA$39</f>
        <v>163589.69269609667</v>
      </c>
      <c r="M39" s="83">
        <f>$J$39-EFEITO!$K$39*EFEITO!$Y$39</f>
        <v>0</v>
      </c>
      <c r="N39" s="83">
        <f ca="1">$K$39-EFEITO!$M$39*EFEITO!$Z$39</f>
        <v>0</v>
      </c>
      <c r="O39" s="83">
        <f>$L$39-EFEITO!$O$39*EFEITO!$AA$39</f>
        <v>0</v>
      </c>
      <c r="P39" s="28"/>
      <c r="Q39" s="28"/>
      <c r="R39" s="28"/>
      <c r="S39" s="28"/>
      <c r="T39" s="28"/>
      <c r="U39" s="28"/>
      <c r="V39" s="28"/>
      <c r="W39" s="28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72" t="s">
        <v>28</v>
      </c>
      <c r="B40" s="72" t="s">
        <v>33</v>
      </c>
      <c r="C40" s="72" t="s">
        <v>34</v>
      </c>
      <c r="D40" s="72" t="s">
        <v>42</v>
      </c>
      <c r="E40" s="72" t="s">
        <v>25</v>
      </c>
      <c r="F40" s="72" t="s">
        <v>25</v>
      </c>
      <c r="G40" s="72" t="s">
        <v>25</v>
      </c>
      <c r="H40" s="72" t="s">
        <v>36</v>
      </c>
      <c r="I40" s="82">
        <v>44531</v>
      </c>
      <c r="J40" s="83">
        <f>EFEITO!$J$40*EFEITO!$Y$40</f>
        <v>0</v>
      </c>
      <c r="K40" s="83">
        <f ca="1">EFEITO!$L$40*EFEITO!$Z$40</f>
        <v>1919.5274928039453</v>
      </c>
      <c r="L40" s="83">
        <f>EFEITO!$N$40*EFEITO!$AA$40</f>
        <v>4029.4086165814474</v>
      </c>
      <c r="M40" s="83">
        <f>$J$40-EFEITO!$K$40*EFEITO!$Y$40</f>
        <v>0</v>
      </c>
      <c r="N40" s="83">
        <f ca="1">$K$40-EFEITO!$M$40*EFEITO!$Z$40</f>
        <v>0</v>
      </c>
      <c r="O40" s="83">
        <f>$L$40-EFEITO!$O$40*EFEITO!$AA$40</f>
        <v>0</v>
      </c>
      <c r="P40" s="28"/>
      <c r="Q40" s="28"/>
      <c r="R40" s="28"/>
      <c r="S40" s="28"/>
      <c r="T40" s="28"/>
      <c r="U40" s="28"/>
      <c r="V40" s="28"/>
      <c r="W40" s="28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72" t="s">
        <v>21</v>
      </c>
      <c r="B41" s="72" t="s">
        <v>33</v>
      </c>
      <c r="C41" s="72" t="s">
        <v>34</v>
      </c>
      <c r="D41" s="72" t="s">
        <v>42</v>
      </c>
      <c r="E41" s="72" t="s">
        <v>25</v>
      </c>
      <c r="F41" s="72" t="s">
        <v>25</v>
      </c>
      <c r="G41" s="72" t="s">
        <v>25</v>
      </c>
      <c r="H41" s="72" t="s">
        <v>36</v>
      </c>
      <c r="I41" s="82">
        <v>44562</v>
      </c>
      <c r="J41" s="83">
        <f>EFEITO!$J$41*EFEITO!$Y$41</f>
        <v>0</v>
      </c>
      <c r="K41" s="83">
        <f ca="1">EFEITO!$L$41*EFEITO!$Z$41</f>
        <v>86003.341057688347</v>
      </c>
      <c r="L41" s="83">
        <f>EFEITO!$N$41*EFEITO!$AA$41</f>
        <v>180535.36863201219</v>
      </c>
      <c r="M41" s="83">
        <f>$J$41-EFEITO!$K$41*EFEITO!$Y$41</f>
        <v>0</v>
      </c>
      <c r="N41" s="83">
        <f ca="1">$K$41-EFEITO!$M$41*EFEITO!$Z$41</f>
        <v>0</v>
      </c>
      <c r="O41" s="83">
        <f>$L$41-EFEITO!$O$41*EFEITO!$AA$41</f>
        <v>0</v>
      </c>
      <c r="P41" s="28"/>
      <c r="Q41" s="28"/>
      <c r="R41" s="28"/>
      <c r="S41" s="28"/>
      <c r="T41" s="28"/>
      <c r="U41" s="28"/>
      <c r="V41" s="28"/>
      <c r="W41" s="28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72" t="s">
        <v>21</v>
      </c>
      <c r="B42" s="72" t="s">
        <v>33</v>
      </c>
      <c r="C42" s="72" t="s">
        <v>34</v>
      </c>
      <c r="D42" s="72" t="s">
        <v>42</v>
      </c>
      <c r="E42" s="72" t="s">
        <v>25</v>
      </c>
      <c r="F42" s="72" t="s">
        <v>25</v>
      </c>
      <c r="G42" s="72" t="s">
        <v>25</v>
      </c>
      <c r="H42" s="72" t="s">
        <v>36</v>
      </c>
      <c r="I42" s="82">
        <v>44593</v>
      </c>
      <c r="J42" s="83">
        <f>EFEITO!$J$42*EFEITO!$Y$42</f>
        <v>0</v>
      </c>
      <c r="K42" s="83">
        <f ca="1">EFEITO!$L$42*EFEITO!$Z$42</f>
        <v>81883.115282450235</v>
      </c>
      <c r="L42" s="83">
        <f>EFEITO!$N$42*EFEITO!$AA$42</f>
        <v>171886.32697814456</v>
      </c>
      <c r="M42" s="83">
        <f>$J$42-EFEITO!$K$42*EFEITO!$Y$42</f>
        <v>0</v>
      </c>
      <c r="N42" s="83">
        <f ca="1">$K$42-EFEITO!$M$42*EFEITO!$Z$42</f>
        <v>0</v>
      </c>
      <c r="O42" s="83">
        <f>$L$42-EFEITO!$O$42*EFEITO!$AA$42</f>
        <v>0</v>
      </c>
      <c r="P42" s="28"/>
      <c r="Q42" s="28"/>
      <c r="R42" s="28"/>
      <c r="S42" s="28"/>
      <c r="T42" s="28"/>
      <c r="U42" s="28"/>
      <c r="V42" s="28"/>
      <c r="W42" s="28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72" t="s">
        <v>21</v>
      </c>
      <c r="B43" s="72" t="s">
        <v>33</v>
      </c>
      <c r="C43" s="72" t="s">
        <v>34</v>
      </c>
      <c r="D43" s="72" t="s">
        <v>42</v>
      </c>
      <c r="E43" s="72" t="s">
        <v>25</v>
      </c>
      <c r="F43" s="72" t="s">
        <v>25</v>
      </c>
      <c r="G43" s="72" t="s">
        <v>25</v>
      </c>
      <c r="H43" s="72" t="s">
        <v>36</v>
      </c>
      <c r="I43" s="82">
        <v>44621</v>
      </c>
      <c r="J43" s="83">
        <f>EFEITO!$J$43*EFEITO!$Y$43</f>
        <v>0</v>
      </c>
      <c r="K43" s="83">
        <f ca="1">EFEITO!$L$43*EFEITO!$Z$43</f>
        <v>95518.493729032823</v>
      </c>
      <c r="L43" s="83">
        <f>EFEITO!$N$43*EFEITO!$AA$43</f>
        <v>200509.26236666128</v>
      </c>
      <c r="M43" s="83">
        <f>$J$43-EFEITO!$K$43*EFEITO!$Y$43</f>
        <v>0</v>
      </c>
      <c r="N43" s="83">
        <f ca="1">$K$43-EFEITO!$M$43*EFEITO!$Z$43</f>
        <v>0</v>
      </c>
      <c r="O43" s="83">
        <f>$L$43-EFEITO!$O$43*EFEITO!$AA$43</f>
        <v>0</v>
      </c>
      <c r="P43" s="28"/>
      <c r="Q43" s="28"/>
      <c r="R43" s="28"/>
      <c r="S43" s="28"/>
      <c r="T43" s="28"/>
      <c r="U43" s="28"/>
      <c r="V43" s="28"/>
      <c r="W43" s="28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72" t="s">
        <v>28</v>
      </c>
      <c r="B44" s="72" t="s">
        <v>33</v>
      </c>
      <c r="C44" s="72" t="s">
        <v>34</v>
      </c>
      <c r="D44" s="72" t="s">
        <v>42</v>
      </c>
      <c r="E44" s="72" t="s">
        <v>25</v>
      </c>
      <c r="F44" s="72" t="s">
        <v>25</v>
      </c>
      <c r="G44" s="72" t="s">
        <v>25</v>
      </c>
      <c r="H44" s="72" t="s">
        <v>36</v>
      </c>
      <c r="I44" s="82">
        <v>44621</v>
      </c>
      <c r="J44" s="83">
        <f>EFEITO!$J$44*EFEITO!$Y$44</f>
        <v>0</v>
      </c>
      <c r="K44" s="83">
        <f ca="1">EFEITO!$L$44*EFEITO!$Z$44</f>
        <v>2729.1227571639342</v>
      </c>
      <c r="L44" s="83">
        <f>EFEITO!$N$44*EFEITO!$AA$44</f>
        <v>5728.8842148134045</v>
      </c>
      <c r="M44" s="83">
        <f>$J$44-EFEITO!$K$44*EFEITO!$Y$44</f>
        <v>0</v>
      </c>
      <c r="N44" s="83">
        <f ca="1">$K$44-EFEITO!$M$44*EFEITO!$Z$44</f>
        <v>0</v>
      </c>
      <c r="O44" s="83">
        <f>$L$44-EFEITO!$O$44*EFEITO!$AA$44</f>
        <v>0</v>
      </c>
      <c r="P44" s="28"/>
      <c r="Q44" s="28"/>
      <c r="R44" s="28"/>
      <c r="S44" s="28"/>
      <c r="T44" s="28"/>
      <c r="U44" s="28"/>
      <c r="V44" s="28"/>
      <c r="W44" s="28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72" t="s">
        <v>21</v>
      </c>
      <c r="B45" s="72" t="s">
        <v>33</v>
      </c>
      <c r="C45" s="72" t="s">
        <v>34</v>
      </c>
      <c r="D45" s="72" t="s">
        <v>42</v>
      </c>
      <c r="E45" s="72" t="s">
        <v>25</v>
      </c>
      <c r="F45" s="72" t="s">
        <v>25</v>
      </c>
      <c r="G45" s="72" t="s">
        <v>25</v>
      </c>
      <c r="H45" s="72" t="s">
        <v>36</v>
      </c>
      <c r="I45" s="82">
        <v>44652</v>
      </c>
      <c r="J45" s="83">
        <f>EFEITO!$J$45*EFEITO!$Y$45</f>
        <v>0</v>
      </c>
      <c r="K45" s="83">
        <f ca="1">EFEITO!$L$45*EFEITO!$Z$45</f>
        <v>81542.439040196623</v>
      </c>
      <c r="L45" s="83">
        <f>EFEITO!$N$45*EFEITO!$AA$45</f>
        <v>171171.19067968181</v>
      </c>
      <c r="M45" s="83">
        <f>$J$45-EFEITO!$K$45*EFEITO!$Y$45</f>
        <v>0</v>
      </c>
      <c r="N45" s="83">
        <f ca="1">$K$45-EFEITO!$M$45*EFEITO!$Z$45</f>
        <v>0</v>
      </c>
      <c r="O45" s="83">
        <f>$L$45-EFEITO!$O$45*EFEITO!$AA$45</f>
        <v>0</v>
      </c>
      <c r="P45" s="28"/>
      <c r="Q45" s="28"/>
      <c r="R45" s="28"/>
      <c r="S45" s="28"/>
      <c r="T45" s="28"/>
      <c r="U45" s="28"/>
      <c r="V45" s="28"/>
      <c r="W45" s="28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72" t="s">
        <v>21</v>
      </c>
      <c r="B46" s="72" t="s">
        <v>33</v>
      </c>
      <c r="C46" s="72" t="s">
        <v>34</v>
      </c>
      <c r="D46" s="72" t="s">
        <v>42</v>
      </c>
      <c r="E46" s="72" t="s">
        <v>25</v>
      </c>
      <c r="F46" s="72" t="s">
        <v>25</v>
      </c>
      <c r="G46" s="72" t="s">
        <v>25</v>
      </c>
      <c r="H46" s="72" t="s">
        <v>25</v>
      </c>
      <c r="I46" s="82">
        <v>44317</v>
      </c>
      <c r="J46" s="83">
        <f ca="1">EFEITO!$J$46*EFEITO!$Y$46</f>
        <v>60264.99149008996</v>
      </c>
      <c r="K46" s="83">
        <f>EFEITO!$L$46*EFEITO!$Z$46</f>
        <v>0</v>
      </c>
      <c r="L46" s="83">
        <f>EFEITO!$N$46*EFEITO!$AA$46</f>
        <v>0</v>
      </c>
      <c r="M46" s="83">
        <f ca="1">$J$46-EFEITO!$K$46*EFEITO!$Y$46</f>
        <v>0</v>
      </c>
      <c r="N46" s="83">
        <f>$K$46-EFEITO!$M$46*EFEITO!$Z$46</f>
        <v>0</v>
      </c>
      <c r="O46" s="83">
        <f>$L$46-EFEITO!$O$46*EFEITO!$AA$46</f>
        <v>0</v>
      </c>
      <c r="P46" s="28"/>
      <c r="Q46" s="28"/>
      <c r="R46" s="28"/>
      <c r="S46" s="28"/>
      <c r="T46" s="28"/>
      <c r="U46" s="28"/>
      <c r="V46" s="28"/>
      <c r="W46" s="28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72" t="s">
        <v>21</v>
      </c>
      <c r="B47" s="72" t="s">
        <v>33</v>
      </c>
      <c r="C47" s="72" t="s">
        <v>34</v>
      </c>
      <c r="D47" s="72" t="s">
        <v>42</v>
      </c>
      <c r="E47" s="72" t="s">
        <v>25</v>
      </c>
      <c r="F47" s="72" t="s">
        <v>25</v>
      </c>
      <c r="G47" s="72" t="s">
        <v>25</v>
      </c>
      <c r="H47" s="72" t="s">
        <v>25</v>
      </c>
      <c r="I47" s="82">
        <v>44348</v>
      </c>
      <c r="J47" s="83">
        <f ca="1">EFEITO!$J$47*EFEITO!$Y$47</f>
        <v>60782.07278989422</v>
      </c>
      <c r="K47" s="83">
        <f>EFEITO!$L$47*EFEITO!$Z$47</f>
        <v>0</v>
      </c>
      <c r="L47" s="83">
        <f>EFEITO!$N$47*EFEITO!$AA$47</f>
        <v>0</v>
      </c>
      <c r="M47" s="83">
        <f ca="1">$J$47-EFEITO!$K$47*EFEITO!$Y$47</f>
        <v>0</v>
      </c>
      <c r="N47" s="83">
        <f>$K$47-EFEITO!$M$47*EFEITO!$Z$47</f>
        <v>0</v>
      </c>
      <c r="O47" s="83">
        <f>$L$47-EFEITO!$O$47*EFEITO!$AA$47</f>
        <v>0</v>
      </c>
      <c r="P47" s="28"/>
      <c r="Q47" s="28"/>
      <c r="R47" s="28"/>
      <c r="S47" s="28"/>
      <c r="T47" s="28"/>
      <c r="U47" s="28"/>
      <c r="V47" s="28"/>
      <c r="W47" s="28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72" t="s">
        <v>21</v>
      </c>
      <c r="B48" s="72" t="s">
        <v>33</v>
      </c>
      <c r="C48" s="72" t="s">
        <v>34</v>
      </c>
      <c r="D48" s="72" t="s">
        <v>42</v>
      </c>
      <c r="E48" s="72" t="s">
        <v>25</v>
      </c>
      <c r="F48" s="72" t="s">
        <v>25</v>
      </c>
      <c r="G48" s="72" t="s">
        <v>25</v>
      </c>
      <c r="H48" s="72" t="s">
        <v>25</v>
      </c>
      <c r="I48" s="82">
        <v>44378</v>
      </c>
      <c r="J48" s="83">
        <f ca="1">EFEITO!$J$48*EFEITO!$Y$48</f>
        <v>60248.311448160792</v>
      </c>
      <c r="K48" s="83">
        <f>EFEITO!$L$48*EFEITO!$Z$48</f>
        <v>0</v>
      </c>
      <c r="L48" s="83">
        <f>EFEITO!$N$48*EFEITO!$AA$48</f>
        <v>0</v>
      </c>
      <c r="M48" s="83">
        <f ca="1">$J$48-EFEITO!$K$48*EFEITO!$Y$48</f>
        <v>0</v>
      </c>
      <c r="N48" s="83">
        <f>$K$48-EFEITO!$M$48*EFEITO!$Z$48</f>
        <v>0</v>
      </c>
      <c r="O48" s="83">
        <f>$L$48-EFEITO!$O$48*EFEITO!$AA$48</f>
        <v>0</v>
      </c>
      <c r="P48" s="28"/>
      <c r="Q48" s="28"/>
      <c r="R48" s="28"/>
      <c r="S48" s="28"/>
      <c r="T48" s="28"/>
      <c r="U48" s="28"/>
      <c r="V48" s="28"/>
      <c r="W48" s="28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72" t="s">
        <v>21</v>
      </c>
      <c r="B49" s="72" t="s">
        <v>33</v>
      </c>
      <c r="C49" s="72" t="s">
        <v>34</v>
      </c>
      <c r="D49" s="72" t="s">
        <v>42</v>
      </c>
      <c r="E49" s="72" t="s">
        <v>25</v>
      </c>
      <c r="F49" s="72" t="s">
        <v>25</v>
      </c>
      <c r="G49" s="72" t="s">
        <v>25</v>
      </c>
      <c r="H49" s="72" t="s">
        <v>25</v>
      </c>
      <c r="I49" s="82">
        <v>44409</v>
      </c>
      <c r="J49" s="83">
        <f ca="1">EFEITO!$J$49*EFEITO!$Y$49</f>
        <v>60398.431825523316</v>
      </c>
      <c r="K49" s="83">
        <f>EFEITO!$L$49*EFEITO!$Z$49</f>
        <v>0</v>
      </c>
      <c r="L49" s="83">
        <f>EFEITO!$N$49*EFEITO!$AA$49</f>
        <v>0</v>
      </c>
      <c r="M49" s="83">
        <f ca="1">$J$49-EFEITO!$K$49*EFEITO!$Y$49</f>
        <v>0</v>
      </c>
      <c r="N49" s="83">
        <f>$K$49-EFEITO!$M$49*EFEITO!$Z$49</f>
        <v>0</v>
      </c>
      <c r="O49" s="83">
        <f>$L$49-EFEITO!$O$49*EFEITO!$AA$49</f>
        <v>0</v>
      </c>
      <c r="P49" s="28"/>
      <c r="Q49" s="28"/>
      <c r="R49" s="28"/>
      <c r="S49" s="28"/>
      <c r="T49" s="28"/>
      <c r="U49" s="28"/>
      <c r="V49" s="28"/>
      <c r="W49" s="28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72" t="s">
        <v>28</v>
      </c>
      <c r="B50" s="72" t="s">
        <v>33</v>
      </c>
      <c r="C50" s="72" t="s">
        <v>34</v>
      </c>
      <c r="D50" s="72" t="s">
        <v>42</v>
      </c>
      <c r="E50" s="72" t="s">
        <v>25</v>
      </c>
      <c r="F50" s="72" t="s">
        <v>25</v>
      </c>
      <c r="G50" s="72" t="s">
        <v>25</v>
      </c>
      <c r="H50" s="72" t="s">
        <v>25</v>
      </c>
      <c r="I50" s="82">
        <v>44409</v>
      </c>
      <c r="J50" s="83">
        <f ca="1">EFEITO!$J$50*EFEITO!$Y$50</f>
        <v>1000.8025157501793</v>
      </c>
      <c r="K50" s="83">
        <f>EFEITO!$L$50*EFEITO!$Z$50</f>
        <v>0</v>
      </c>
      <c r="L50" s="83">
        <f>EFEITO!$N$50*EFEITO!$AA$50</f>
        <v>0</v>
      </c>
      <c r="M50" s="83">
        <f ca="1">$J$50-EFEITO!$K$50*EFEITO!$Y$50</f>
        <v>0</v>
      </c>
      <c r="N50" s="83">
        <f>$K$50-EFEITO!$M$50*EFEITO!$Z$50</f>
        <v>0</v>
      </c>
      <c r="O50" s="83">
        <f>$L$50-EFEITO!$O$50*EFEITO!$AA$50</f>
        <v>0</v>
      </c>
      <c r="P50" s="28"/>
      <c r="Q50" s="28"/>
      <c r="R50" s="28"/>
      <c r="S50" s="28"/>
      <c r="T50" s="28"/>
      <c r="U50" s="28"/>
      <c r="V50" s="28"/>
      <c r="W50" s="28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72" t="s">
        <v>21</v>
      </c>
      <c r="B51" s="72" t="s">
        <v>33</v>
      </c>
      <c r="C51" s="72" t="s">
        <v>34</v>
      </c>
      <c r="D51" s="72" t="s">
        <v>42</v>
      </c>
      <c r="E51" s="72" t="s">
        <v>25</v>
      </c>
      <c r="F51" s="72" t="s">
        <v>25</v>
      </c>
      <c r="G51" s="72" t="s">
        <v>25</v>
      </c>
      <c r="H51" s="72" t="s">
        <v>25</v>
      </c>
      <c r="I51" s="82">
        <v>44440</v>
      </c>
      <c r="J51" s="83">
        <f ca="1">EFEITO!$J$51*EFEITO!$Y$51</f>
        <v>60898.833083398407</v>
      </c>
      <c r="K51" s="83">
        <f>EFEITO!$L$51*EFEITO!$Z$51</f>
        <v>0</v>
      </c>
      <c r="L51" s="83">
        <f>EFEITO!$N$51*EFEITO!$AA$51</f>
        <v>0</v>
      </c>
      <c r="M51" s="83">
        <f ca="1">$J$51-EFEITO!$K$51*EFEITO!$Y$51</f>
        <v>0</v>
      </c>
      <c r="N51" s="83">
        <f>$K$51-EFEITO!$M$51*EFEITO!$Z$51</f>
        <v>0</v>
      </c>
      <c r="O51" s="83">
        <f>$L$51-EFEITO!$O$51*EFEITO!$AA$51</f>
        <v>0</v>
      </c>
      <c r="P51" s="28"/>
      <c r="Q51" s="28"/>
      <c r="R51" s="28"/>
      <c r="S51" s="28"/>
      <c r="T51" s="28"/>
      <c r="U51" s="28"/>
      <c r="V51" s="28"/>
      <c r="W51" s="28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72" t="s">
        <v>28</v>
      </c>
      <c r="B52" s="72" t="s">
        <v>33</v>
      </c>
      <c r="C52" s="72" t="s">
        <v>34</v>
      </c>
      <c r="D52" s="72" t="s">
        <v>42</v>
      </c>
      <c r="E52" s="72" t="s">
        <v>25</v>
      </c>
      <c r="F52" s="72" t="s">
        <v>25</v>
      </c>
      <c r="G52" s="72" t="s">
        <v>25</v>
      </c>
      <c r="H52" s="72" t="s">
        <v>25</v>
      </c>
      <c r="I52" s="82">
        <v>44440</v>
      </c>
      <c r="J52" s="83">
        <f ca="1">EFEITO!$J$52*EFEITO!$Y$52</f>
        <v>1067.5226834668579</v>
      </c>
      <c r="K52" s="83">
        <f>EFEITO!$L$52*EFEITO!$Z$52</f>
        <v>0</v>
      </c>
      <c r="L52" s="83">
        <f>EFEITO!$N$52*EFEITO!$AA$52</f>
        <v>0</v>
      </c>
      <c r="M52" s="83">
        <f ca="1">$J$52-EFEITO!$K$52*EFEITO!$Y$52</f>
        <v>0</v>
      </c>
      <c r="N52" s="83">
        <f>$K$52-EFEITO!$M$52*EFEITO!$Z$52</f>
        <v>0</v>
      </c>
      <c r="O52" s="83">
        <f>$L$52-EFEITO!$O$52*EFEITO!$AA$52</f>
        <v>0</v>
      </c>
      <c r="P52" s="28"/>
      <c r="Q52" s="28"/>
      <c r="R52" s="28"/>
      <c r="S52" s="28"/>
      <c r="T52" s="28"/>
      <c r="U52" s="28"/>
      <c r="V52" s="28"/>
      <c r="W52" s="28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72" t="s">
        <v>21</v>
      </c>
      <c r="B53" s="72" t="s">
        <v>33</v>
      </c>
      <c r="C53" s="72" t="s">
        <v>34</v>
      </c>
      <c r="D53" s="72" t="s">
        <v>42</v>
      </c>
      <c r="E53" s="72" t="s">
        <v>25</v>
      </c>
      <c r="F53" s="72" t="s">
        <v>25</v>
      </c>
      <c r="G53" s="72" t="s">
        <v>25</v>
      </c>
      <c r="H53" s="72" t="s">
        <v>25</v>
      </c>
      <c r="I53" s="82">
        <v>44470</v>
      </c>
      <c r="J53" s="83">
        <f ca="1">EFEITO!$J$53*EFEITO!$Y$53</f>
        <v>61566.034760565191</v>
      </c>
      <c r="K53" s="83">
        <f>EFEITO!$L$53*EFEITO!$Z$53</f>
        <v>0</v>
      </c>
      <c r="L53" s="83">
        <f>EFEITO!$N$53*EFEITO!$AA$53</f>
        <v>0</v>
      </c>
      <c r="M53" s="83">
        <f ca="1">$J$53-EFEITO!$K$53*EFEITO!$Y$53</f>
        <v>0</v>
      </c>
      <c r="N53" s="83">
        <f>$K$53-EFEITO!$M$53*EFEITO!$Z$53</f>
        <v>0</v>
      </c>
      <c r="O53" s="83">
        <f>$L$53-EFEITO!$O$53*EFEITO!$AA$53</f>
        <v>0</v>
      </c>
      <c r="P53" s="28"/>
      <c r="Q53" s="28"/>
      <c r="R53" s="28"/>
      <c r="S53" s="28"/>
      <c r="T53" s="28"/>
      <c r="U53" s="28"/>
      <c r="V53" s="28"/>
      <c r="W53" s="28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72" t="s">
        <v>28</v>
      </c>
      <c r="B54" s="72" t="s">
        <v>33</v>
      </c>
      <c r="C54" s="72" t="s">
        <v>34</v>
      </c>
      <c r="D54" s="72" t="s">
        <v>42</v>
      </c>
      <c r="E54" s="72" t="s">
        <v>25</v>
      </c>
      <c r="F54" s="72" t="s">
        <v>25</v>
      </c>
      <c r="G54" s="72" t="s">
        <v>25</v>
      </c>
      <c r="H54" s="72" t="s">
        <v>25</v>
      </c>
      <c r="I54" s="82">
        <v>44470</v>
      </c>
      <c r="J54" s="83">
        <f ca="1">EFEITO!$J$54*EFEITO!$Y$54</f>
        <v>1050.8426415376882</v>
      </c>
      <c r="K54" s="83">
        <f>EFEITO!$L$54*EFEITO!$Z$54</f>
        <v>0</v>
      </c>
      <c r="L54" s="83">
        <f>EFEITO!$N$54*EFEITO!$AA$54</f>
        <v>0</v>
      </c>
      <c r="M54" s="83">
        <f ca="1">$J$54-EFEITO!$K$54*EFEITO!$Y$54</f>
        <v>0</v>
      </c>
      <c r="N54" s="83">
        <f>$K$54-EFEITO!$M$54*EFEITO!$Z$54</f>
        <v>0</v>
      </c>
      <c r="O54" s="83">
        <f>$L$54-EFEITO!$O$54*EFEITO!$AA$54</f>
        <v>0</v>
      </c>
      <c r="P54" s="28"/>
      <c r="Q54" s="28"/>
      <c r="R54" s="28"/>
      <c r="S54" s="28"/>
      <c r="T54" s="28"/>
      <c r="U54" s="28"/>
      <c r="V54" s="28"/>
      <c r="W54" s="28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72" t="s">
        <v>21</v>
      </c>
      <c r="B55" s="72" t="s">
        <v>33</v>
      </c>
      <c r="C55" s="72" t="s">
        <v>34</v>
      </c>
      <c r="D55" s="72" t="s">
        <v>42</v>
      </c>
      <c r="E55" s="72" t="s">
        <v>25</v>
      </c>
      <c r="F55" s="72" t="s">
        <v>25</v>
      </c>
      <c r="G55" s="72" t="s">
        <v>25</v>
      </c>
      <c r="H55" s="72" t="s">
        <v>25</v>
      </c>
      <c r="I55" s="82">
        <v>44501</v>
      </c>
      <c r="J55" s="83">
        <f ca="1">EFEITO!$J$55*EFEITO!$Y$55</f>
        <v>63801.160379073925</v>
      </c>
      <c r="K55" s="83">
        <f>EFEITO!$L$55*EFEITO!$Z$55</f>
        <v>0</v>
      </c>
      <c r="L55" s="83">
        <f>EFEITO!$N$55*EFEITO!$AA$55</f>
        <v>0</v>
      </c>
      <c r="M55" s="83">
        <f ca="1">$J$55-EFEITO!$K$55*EFEITO!$Y$55</f>
        <v>0</v>
      </c>
      <c r="N55" s="83">
        <f>$K$55-EFEITO!$M$55*EFEITO!$Z$55</f>
        <v>0</v>
      </c>
      <c r="O55" s="83">
        <f>$L$55-EFEITO!$O$55*EFEITO!$AA$55</f>
        <v>0</v>
      </c>
      <c r="P55" s="28"/>
      <c r="Q55" s="28"/>
      <c r="R55" s="28"/>
      <c r="S55" s="28"/>
      <c r="T55" s="28"/>
      <c r="U55" s="28"/>
      <c r="V55" s="28"/>
      <c r="W55" s="28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72" t="s">
        <v>28</v>
      </c>
      <c r="B56" s="72" t="s">
        <v>33</v>
      </c>
      <c r="C56" s="72" t="s">
        <v>34</v>
      </c>
      <c r="D56" s="72" t="s">
        <v>42</v>
      </c>
      <c r="E56" s="72" t="s">
        <v>25</v>
      </c>
      <c r="F56" s="72" t="s">
        <v>25</v>
      </c>
      <c r="G56" s="72" t="s">
        <v>25</v>
      </c>
      <c r="H56" s="72" t="s">
        <v>25</v>
      </c>
      <c r="I56" s="82">
        <v>44501</v>
      </c>
      <c r="J56" s="83">
        <f ca="1">EFEITO!$J$56*EFEITO!$Y$56</f>
        <v>1100.8827673251972</v>
      </c>
      <c r="K56" s="83">
        <f>EFEITO!$L$56*EFEITO!$Z$56</f>
        <v>0</v>
      </c>
      <c r="L56" s="83">
        <f>EFEITO!$N$56*EFEITO!$AA$56</f>
        <v>0</v>
      </c>
      <c r="M56" s="83">
        <f ca="1">$J$56-EFEITO!$K$56*EFEITO!$Y$56</f>
        <v>0</v>
      </c>
      <c r="N56" s="83">
        <f>$K$56-EFEITO!$M$56*EFEITO!$Z$56</f>
        <v>0</v>
      </c>
      <c r="O56" s="83">
        <f>$L$56-EFEITO!$O$56*EFEITO!$AA$56</f>
        <v>0</v>
      </c>
      <c r="P56" s="28"/>
      <c r="Q56" s="28"/>
      <c r="R56" s="28"/>
      <c r="S56" s="28"/>
      <c r="T56" s="28"/>
      <c r="U56" s="28"/>
      <c r="V56" s="28"/>
      <c r="W56" s="28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72" t="s">
        <v>21</v>
      </c>
      <c r="B57" s="72" t="s">
        <v>33</v>
      </c>
      <c r="C57" s="72" t="s">
        <v>34</v>
      </c>
      <c r="D57" s="72" t="s">
        <v>42</v>
      </c>
      <c r="E57" s="72" t="s">
        <v>25</v>
      </c>
      <c r="F57" s="72" t="s">
        <v>25</v>
      </c>
      <c r="G57" s="72" t="s">
        <v>25</v>
      </c>
      <c r="H57" s="72" t="s">
        <v>25</v>
      </c>
      <c r="I57" s="82">
        <v>44531</v>
      </c>
      <c r="J57" s="83">
        <f ca="1">EFEITO!$J$57*EFEITO!$Y$57</f>
        <v>65619.284949353416</v>
      </c>
      <c r="K57" s="83">
        <f>EFEITO!$L$57*EFEITO!$Z$57</f>
        <v>0</v>
      </c>
      <c r="L57" s="83">
        <f>EFEITO!$N$57*EFEITO!$AA$57</f>
        <v>0</v>
      </c>
      <c r="M57" s="83">
        <f ca="1">$J$57-EFEITO!$K$57*EFEITO!$Y$57</f>
        <v>0</v>
      </c>
      <c r="N57" s="83">
        <f>$K$57-EFEITO!$M$57*EFEITO!$Z$57</f>
        <v>0</v>
      </c>
      <c r="O57" s="83">
        <f>$L$57-EFEITO!$O$57*EFEITO!$AA$57</f>
        <v>0</v>
      </c>
      <c r="P57" s="28"/>
      <c r="Q57" s="28"/>
      <c r="R57" s="28"/>
      <c r="S57" s="28"/>
      <c r="T57" s="28"/>
      <c r="U57" s="28"/>
      <c r="V57" s="28"/>
      <c r="W57" s="28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72" t="s">
        <v>28</v>
      </c>
      <c r="B58" s="72" t="s">
        <v>33</v>
      </c>
      <c r="C58" s="72" t="s">
        <v>34</v>
      </c>
      <c r="D58" s="72" t="s">
        <v>42</v>
      </c>
      <c r="E58" s="72" t="s">
        <v>25</v>
      </c>
      <c r="F58" s="72" t="s">
        <v>25</v>
      </c>
      <c r="G58" s="72" t="s">
        <v>25</v>
      </c>
      <c r="H58" s="72" t="s">
        <v>25</v>
      </c>
      <c r="I58" s="82">
        <v>44531</v>
      </c>
      <c r="J58" s="83">
        <f ca="1">EFEITO!$J$58*EFEITO!$Y$58</f>
        <v>1050.8426415376882</v>
      </c>
      <c r="K58" s="83">
        <f>EFEITO!$L$58*EFEITO!$Z$58</f>
        <v>0</v>
      </c>
      <c r="L58" s="83">
        <f>EFEITO!$N$58*EFEITO!$AA$58</f>
        <v>0</v>
      </c>
      <c r="M58" s="83">
        <f ca="1">$J$58-EFEITO!$K$58*EFEITO!$Y$58</f>
        <v>0</v>
      </c>
      <c r="N58" s="83">
        <f>$K$58-EFEITO!$M$58*EFEITO!$Z$58</f>
        <v>0</v>
      </c>
      <c r="O58" s="83">
        <f>$L$58-EFEITO!$O$58*EFEITO!$AA$58</f>
        <v>0</v>
      </c>
      <c r="P58" s="28"/>
      <c r="Q58" s="28"/>
      <c r="R58" s="28"/>
      <c r="S58" s="28"/>
      <c r="T58" s="28"/>
      <c r="U58" s="28"/>
      <c r="V58" s="28"/>
      <c r="W58" s="28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72" t="s">
        <v>21</v>
      </c>
      <c r="B59" s="72" t="s">
        <v>33</v>
      </c>
      <c r="C59" s="72" t="s">
        <v>34</v>
      </c>
      <c r="D59" s="72" t="s">
        <v>42</v>
      </c>
      <c r="E59" s="72" t="s">
        <v>25</v>
      </c>
      <c r="F59" s="72" t="s">
        <v>25</v>
      </c>
      <c r="G59" s="72" t="s">
        <v>25</v>
      </c>
      <c r="H59" s="72" t="s">
        <v>25</v>
      </c>
      <c r="I59" s="82">
        <v>44562</v>
      </c>
      <c r="J59" s="83">
        <f ca="1">EFEITO!$J$59*EFEITO!$Y$59</f>
        <v>68788.492915895651</v>
      </c>
      <c r="K59" s="83">
        <f>EFEITO!$L$59*EFEITO!$Z$59</f>
        <v>0</v>
      </c>
      <c r="L59" s="83">
        <f>EFEITO!$N$59*EFEITO!$AA$59</f>
        <v>0</v>
      </c>
      <c r="M59" s="83">
        <f ca="1">$J$59-EFEITO!$K$59*EFEITO!$Y$59</f>
        <v>0</v>
      </c>
      <c r="N59" s="83">
        <f>$K$59-EFEITO!$M$59*EFEITO!$Z$59</f>
        <v>0</v>
      </c>
      <c r="O59" s="83">
        <f>$L$59-EFEITO!$O$59*EFEITO!$AA$59</f>
        <v>0</v>
      </c>
      <c r="P59" s="28"/>
      <c r="Q59" s="28"/>
      <c r="R59" s="28"/>
      <c r="S59" s="28"/>
      <c r="T59" s="28"/>
      <c r="U59" s="28"/>
      <c r="V59" s="28"/>
      <c r="W59" s="28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72" t="s">
        <v>21</v>
      </c>
      <c r="B60" s="72" t="s">
        <v>33</v>
      </c>
      <c r="C60" s="72" t="s">
        <v>34</v>
      </c>
      <c r="D60" s="72" t="s">
        <v>42</v>
      </c>
      <c r="E60" s="72" t="s">
        <v>25</v>
      </c>
      <c r="F60" s="72" t="s">
        <v>25</v>
      </c>
      <c r="G60" s="72" t="s">
        <v>25</v>
      </c>
      <c r="H60" s="72" t="s">
        <v>25</v>
      </c>
      <c r="I60" s="82">
        <v>44593</v>
      </c>
      <c r="J60" s="83">
        <f ca="1">EFEITO!$J$60*EFEITO!$Y$60</f>
        <v>69705.895221999992</v>
      </c>
      <c r="K60" s="83">
        <f>EFEITO!$L$60*EFEITO!$Z$60</f>
        <v>0</v>
      </c>
      <c r="L60" s="83">
        <f>EFEITO!$N$60*EFEITO!$AA$60</f>
        <v>0</v>
      </c>
      <c r="M60" s="83">
        <f ca="1">$J$60-EFEITO!$K$60*EFEITO!$Y$60</f>
        <v>0</v>
      </c>
      <c r="N60" s="83">
        <f>$K$60-EFEITO!$M$60*EFEITO!$Z$60</f>
        <v>0</v>
      </c>
      <c r="O60" s="83">
        <f>$L$60-EFEITO!$O$60*EFEITO!$AA$60</f>
        <v>0</v>
      </c>
      <c r="P60" s="28"/>
      <c r="Q60" s="28"/>
      <c r="R60" s="28"/>
      <c r="S60" s="28"/>
      <c r="T60" s="28"/>
      <c r="U60" s="28"/>
      <c r="V60" s="28"/>
      <c r="W60" s="28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72" t="s">
        <v>21</v>
      </c>
      <c r="B61" s="72" t="s">
        <v>33</v>
      </c>
      <c r="C61" s="72" t="s">
        <v>34</v>
      </c>
      <c r="D61" s="72" t="s">
        <v>42</v>
      </c>
      <c r="E61" s="72" t="s">
        <v>25</v>
      </c>
      <c r="F61" s="72" t="s">
        <v>25</v>
      </c>
      <c r="G61" s="72" t="s">
        <v>25</v>
      </c>
      <c r="H61" s="72" t="s">
        <v>25</v>
      </c>
      <c r="I61" s="82">
        <v>44621</v>
      </c>
      <c r="J61" s="83">
        <f ca="1">EFEITO!$J$61*EFEITO!$Y$61</f>
        <v>70589.937444245981</v>
      </c>
      <c r="K61" s="83">
        <f>EFEITO!$L$61*EFEITO!$Z$61</f>
        <v>0</v>
      </c>
      <c r="L61" s="83">
        <f>EFEITO!$N$61*EFEITO!$AA$61</f>
        <v>0</v>
      </c>
      <c r="M61" s="83">
        <f ca="1">$J$61-EFEITO!$K$61*EFEITO!$Y$61</f>
        <v>0</v>
      </c>
      <c r="N61" s="83">
        <f>$K$61-EFEITO!$M$61*EFEITO!$Z$61</f>
        <v>0</v>
      </c>
      <c r="O61" s="83">
        <f>$L$61-EFEITO!$O$61*EFEITO!$AA$61</f>
        <v>0</v>
      </c>
      <c r="P61" s="28"/>
      <c r="Q61" s="28"/>
      <c r="R61" s="28"/>
      <c r="S61" s="28"/>
      <c r="T61" s="28"/>
      <c r="U61" s="28"/>
      <c r="V61" s="28"/>
      <c r="W61" s="28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72" t="s">
        <v>28</v>
      </c>
      <c r="B62" s="72" t="s">
        <v>33</v>
      </c>
      <c r="C62" s="72" t="s">
        <v>34</v>
      </c>
      <c r="D62" s="72" t="s">
        <v>42</v>
      </c>
      <c r="E62" s="72" t="s">
        <v>25</v>
      </c>
      <c r="F62" s="72" t="s">
        <v>25</v>
      </c>
      <c r="G62" s="72" t="s">
        <v>25</v>
      </c>
      <c r="H62" s="72" t="s">
        <v>25</v>
      </c>
      <c r="I62" s="82">
        <v>44621</v>
      </c>
      <c r="J62" s="83">
        <f ca="1">EFEITO!$J$62*EFEITO!$Y$62</f>
        <v>1351.0833962627421</v>
      </c>
      <c r="K62" s="83">
        <f>EFEITO!$L$62*EFEITO!$Z$62</f>
        <v>0</v>
      </c>
      <c r="L62" s="83">
        <f>EFEITO!$N$62*EFEITO!$AA$62</f>
        <v>0</v>
      </c>
      <c r="M62" s="83">
        <f ca="1">$J$62-EFEITO!$K$62*EFEITO!$Y$62</f>
        <v>0</v>
      </c>
      <c r="N62" s="83">
        <f>$K$62-EFEITO!$M$62*EFEITO!$Z$62</f>
        <v>0</v>
      </c>
      <c r="O62" s="83">
        <f>$L$62-EFEITO!$O$62*EFEITO!$AA$62</f>
        <v>0</v>
      </c>
      <c r="P62" s="28"/>
      <c r="Q62" s="28"/>
      <c r="R62" s="28"/>
      <c r="S62" s="28"/>
      <c r="T62" s="28"/>
      <c r="U62" s="28"/>
      <c r="V62" s="28"/>
      <c r="W62" s="28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72" t="s">
        <v>21</v>
      </c>
      <c r="B63" s="72" t="s">
        <v>33</v>
      </c>
      <c r="C63" s="72" t="s">
        <v>34</v>
      </c>
      <c r="D63" s="72" t="s">
        <v>42</v>
      </c>
      <c r="E63" s="72" t="s">
        <v>25</v>
      </c>
      <c r="F63" s="72" t="s">
        <v>25</v>
      </c>
      <c r="G63" s="72" t="s">
        <v>25</v>
      </c>
      <c r="H63" s="72" t="s">
        <v>25</v>
      </c>
      <c r="I63" s="82">
        <v>44652</v>
      </c>
      <c r="J63" s="83">
        <f ca="1">EFEITO!$J$63*EFEITO!$Y$63</f>
        <v>72024.42105015456</v>
      </c>
      <c r="K63" s="83">
        <f>EFEITO!$L$63*EFEITO!$Z$63</f>
        <v>0</v>
      </c>
      <c r="L63" s="83">
        <f>EFEITO!$N$63*EFEITO!$AA$63</f>
        <v>0</v>
      </c>
      <c r="M63" s="83">
        <f ca="1">$J$63-EFEITO!$K$63*EFEITO!$Y$63</f>
        <v>0</v>
      </c>
      <c r="N63" s="83">
        <f>$K$63-EFEITO!$M$63*EFEITO!$Z$63</f>
        <v>0</v>
      </c>
      <c r="O63" s="83">
        <f>$L$63-EFEITO!$O$63*EFEITO!$AA$63</f>
        <v>0</v>
      </c>
      <c r="P63" s="28"/>
      <c r="Q63" s="28"/>
      <c r="R63" s="28"/>
      <c r="S63" s="28"/>
      <c r="T63" s="28"/>
      <c r="U63" s="28"/>
      <c r="V63" s="28"/>
      <c r="W63" s="28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72" t="s">
        <v>21</v>
      </c>
      <c r="B64" s="72" t="s">
        <v>33</v>
      </c>
      <c r="C64" s="72" t="s">
        <v>34</v>
      </c>
      <c r="D64" s="72" t="s">
        <v>42</v>
      </c>
      <c r="E64" s="72" t="s">
        <v>25</v>
      </c>
      <c r="F64" s="72" t="s">
        <v>25</v>
      </c>
      <c r="G64" s="72" t="s">
        <v>25</v>
      </c>
      <c r="H64" s="72" t="s">
        <v>35</v>
      </c>
      <c r="I64" s="82">
        <v>44317</v>
      </c>
      <c r="J64" s="83">
        <f>EFEITO!$J$64*EFEITO!$Y$64</f>
        <v>0</v>
      </c>
      <c r="K64" s="83">
        <f ca="1">EFEITO!$L$64*EFEITO!$Z$64</f>
        <v>45704.410231508191</v>
      </c>
      <c r="L64" s="83">
        <f>EFEITO!$N$64*EFEITO!$AA$64</f>
        <v>9859.8232278187243</v>
      </c>
      <c r="M64" s="83">
        <f>$J$64-EFEITO!$K$64*EFEITO!$Y$64</f>
        <v>0</v>
      </c>
      <c r="N64" s="83">
        <f ca="1">$K$64-EFEITO!$M$64*EFEITO!$Z$64</f>
        <v>0</v>
      </c>
      <c r="O64" s="83">
        <f>$L$64-EFEITO!$O$64*EFEITO!$AA$64</f>
        <v>0</v>
      </c>
      <c r="P64" s="28"/>
      <c r="Q64" s="28"/>
      <c r="R64" s="28"/>
      <c r="S64" s="28"/>
      <c r="T64" s="28"/>
      <c r="U64" s="28"/>
      <c r="V64" s="28"/>
      <c r="W64" s="28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72" t="s">
        <v>21</v>
      </c>
      <c r="B65" s="72" t="s">
        <v>33</v>
      </c>
      <c r="C65" s="72" t="s">
        <v>34</v>
      </c>
      <c r="D65" s="72" t="s">
        <v>42</v>
      </c>
      <c r="E65" s="72" t="s">
        <v>25</v>
      </c>
      <c r="F65" s="72" t="s">
        <v>25</v>
      </c>
      <c r="G65" s="72" t="s">
        <v>25</v>
      </c>
      <c r="H65" s="72" t="s">
        <v>35</v>
      </c>
      <c r="I65" s="82">
        <v>44348</v>
      </c>
      <c r="J65" s="83">
        <f>EFEITO!$J$65*EFEITO!$Y$65</f>
        <v>0</v>
      </c>
      <c r="K65" s="83">
        <f ca="1">EFEITO!$L$65*EFEITO!$Z$65</f>
        <v>46810.697549750774</v>
      </c>
      <c r="L65" s="83">
        <f>EFEITO!$N$65*EFEITO!$AA$65</f>
        <v>10098.48285260762</v>
      </c>
      <c r="M65" s="83">
        <f>$J$65-EFEITO!$K$65*EFEITO!$Y$65</f>
        <v>0</v>
      </c>
      <c r="N65" s="83">
        <f ca="1">$K$65-EFEITO!$M$65*EFEITO!$Z$65</f>
        <v>0</v>
      </c>
      <c r="O65" s="83">
        <f>$L$65-EFEITO!$O$65*EFEITO!$AA$65</f>
        <v>0</v>
      </c>
      <c r="P65" s="28"/>
      <c r="Q65" s="28"/>
      <c r="R65" s="28"/>
      <c r="S65" s="28"/>
      <c r="T65" s="28"/>
      <c r="U65" s="28"/>
      <c r="V65" s="28"/>
      <c r="W65" s="28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72" t="s">
        <v>21</v>
      </c>
      <c r="B66" s="72" t="s">
        <v>33</v>
      </c>
      <c r="C66" s="72" t="s">
        <v>34</v>
      </c>
      <c r="D66" s="72" t="s">
        <v>42</v>
      </c>
      <c r="E66" s="72" t="s">
        <v>25</v>
      </c>
      <c r="F66" s="72" t="s">
        <v>25</v>
      </c>
      <c r="G66" s="72" t="s">
        <v>25</v>
      </c>
      <c r="H66" s="72" t="s">
        <v>35</v>
      </c>
      <c r="I66" s="82">
        <v>44378</v>
      </c>
      <c r="J66" s="83">
        <f>EFEITO!$J$66*EFEITO!$Y$66</f>
        <v>0</v>
      </c>
      <c r="K66" s="83">
        <f ca="1">EFEITO!$L$66*EFEITO!$Z$66</f>
        <v>53904.411024624875</v>
      </c>
      <c r="L66" s="83">
        <f>EFEITO!$N$66*EFEITO!$AA$66</f>
        <v>11628.811338125117</v>
      </c>
      <c r="M66" s="83">
        <f>$J$66-EFEITO!$K$66*EFEITO!$Y$66</f>
        <v>0</v>
      </c>
      <c r="N66" s="83">
        <f ca="1">$K$66-EFEITO!$M$66*EFEITO!$Z$66</f>
        <v>0</v>
      </c>
      <c r="O66" s="83">
        <f>$L$66-EFEITO!$O$66*EFEITO!$AA$66</f>
        <v>0</v>
      </c>
      <c r="P66" s="28"/>
      <c r="Q66" s="28"/>
      <c r="R66" s="28"/>
      <c r="S66" s="28"/>
      <c r="T66" s="28"/>
      <c r="U66" s="28"/>
      <c r="V66" s="28"/>
      <c r="W66" s="28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72" t="s">
        <v>21</v>
      </c>
      <c r="B67" s="72" t="s">
        <v>33</v>
      </c>
      <c r="C67" s="72" t="s">
        <v>34</v>
      </c>
      <c r="D67" s="72" t="s">
        <v>42</v>
      </c>
      <c r="E67" s="72" t="s">
        <v>25</v>
      </c>
      <c r="F67" s="72" t="s">
        <v>25</v>
      </c>
      <c r="G67" s="72" t="s">
        <v>25</v>
      </c>
      <c r="H67" s="72" t="s">
        <v>35</v>
      </c>
      <c r="I67" s="82">
        <v>44409</v>
      </c>
      <c r="J67" s="83">
        <f>EFEITO!$J$67*EFEITO!$Y$67</f>
        <v>0</v>
      </c>
      <c r="K67" s="83">
        <f ca="1">EFEITO!$L$67*EFEITO!$Z$67</f>
        <v>49516.365827641501</v>
      </c>
      <c r="L67" s="83">
        <f>EFEITO!$N$67*EFEITO!$AA$67</f>
        <v>10682.177310056895</v>
      </c>
      <c r="M67" s="83">
        <f>$J$67-EFEITO!$K$67*EFEITO!$Y$67</f>
        <v>0</v>
      </c>
      <c r="N67" s="83">
        <f ca="1">$K$67-EFEITO!$M$67*EFEITO!$Z$67</f>
        <v>0</v>
      </c>
      <c r="O67" s="83">
        <f>$L$67-EFEITO!$O$67*EFEITO!$AA$67</f>
        <v>0</v>
      </c>
      <c r="P67" s="28"/>
      <c r="Q67" s="28"/>
      <c r="R67" s="28"/>
      <c r="S67" s="28"/>
      <c r="T67" s="28"/>
      <c r="U67" s="28"/>
      <c r="V67" s="28"/>
      <c r="W67" s="28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72" t="s">
        <v>21</v>
      </c>
      <c r="B68" s="72" t="s">
        <v>33</v>
      </c>
      <c r="C68" s="72" t="s">
        <v>34</v>
      </c>
      <c r="D68" s="72" t="s">
        <v>42</v>
      </c>
      <c r="E68" s="72" t="s">
        <v>25</v>
      </c>
      <c r="F68" s="72" t="s">
        <v>25</v>
      </c>
      <c r="G68" s="72" t="s">
        <v>25</v>
      </c>
      <c r="H68" s="72" t="s">
        <v>35</v>
      </c>
      <c r="I68" s="82">
        <v>44440</v>
      </c>
      <c r="J68" s="83">
        <f>EFEITO!$J$68*EFEITO!$Y$68</f>
        <v>0</v>
      </c>
      <c r="K68" s="83">
        <f ca="1">EFEITO!$L$68*EFEITO!$Z$68</f>
        <v>49571.045518569641</v>
      </c>
      <c r="L68" s="83">
        <f>EFEITO!$N$68*EFEITO!$AA$68</f>
        <v>10693.973372711951</v>
      </c>
      <c r="M68" s="83">
        <f>$J$68-EFEITO!$K$68*EFEITO!$Y$68</f>
        <v>0</v>
      </c>
      <c r="N68" s="83">
        <f ca="1">$K$68-EFEITO!$M$68*EFEITO!$Z$68</f>
        <v>0</v>
      </c>
      <c r="O68" s="83">
        <f>$L$68-EFEITO!$O$68*EFEITO!$AA$68</f>
        <v>0</v>
      </c>
      <c r="P68" s="28"/>
      <c r="Q68" s="28"/>
      <c r="R68" s="28"/>
      <c r="S68" s="28"/>
      <c r="T68" s="28"/>
      <c r="U68" s="28"/>
      <c r="V68" s="28"/>
      <c r="W68" s="28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72" t="s">
        <v>21</v>
      </c>
      <c r="B69" s="72" t="s">
        <v>33</v>
      </c>
      <c r="C69" s="72" t="s">
        <v>34</v>
      </c>
      <c r="D69" s="72" t="s">
        <v>42</v>
      </c>
      <c r="E69" s="72" t="s">
        <v>25</v>
      </c>
      <c r="F69" s="72" t="s">
        <v>25</v>
      </c>
      <c r="G69" s="72" t="s">
        <v>25</v>
      </c>
      <c r="H69" s="72" t="s">
        <v>35</v>
      </c>
      <c r="I69" s="82">
        <v>44470</v>
      </c>
      <c r="J69" s="83">
        <f>EFEITO!$J$69*EFEITO!$Y$69</f>
        <v>0</v>
      </c>
      <c r="K69" s="83">
        <f ca="1">EFEITO!$L$69*EFEITO!$Z$69</f>
        <v>42811.268727578114</v>
      </c>
      <c r="L69" s="83">
        <f>EFEITO!$N$69*EFEITO!$AA$69</f>
        <v>9235.6851269806848</v>
      </c>
      <c r="M69" s="83">
        <f>$J$69-EFEITO!$K$69*EFEITO!$Y$69</f>
        <v>0</v>
      </c>
      <c r="N69" s="83">
        <f ca="1">$K$69-EFEITO!$M$69*EFEITO!$Z$69</f>
        <v>0</v>
      </c>
      <c r="O69" s="83">
        <f>$L$69-EFEITO!$O$69*EFEITO!$AA$69</f>
        <v>0</v>
      </c>
      <c r="P69" s="28"/>
      <c r="Q69" s="28"/>
      <c r="R69" s="28"/>
      <c r="S69" s="28"/>
      <c r="T69" s="28"/>
      <c r="U69" s="28"/>
      <c r="V69" s="28"/>
      <c r="W69" s="28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72" t="s">
        <v>28</v>
      </c>
      <c r="B70" s="72" t="s">
        <v>33</v>
      </c>
      <c r="C70" s="72" t="s">
        <v>34</v>
      </c>
      <c r="D70" s="72" t="s">
        <v>42</v>
      </c>
      <c r="E70" s="72" t="s">
        <v>25</v>
      </c>
      <c r="F70" s="72" t="s">
        <v>25</v>
      </c>
      <c r="G70" s="72" t="s">
        <v>25</v>
      </c>
      <c r="H70" s="72" t="s">
        <v>35</v>
      </c>
      <c r="I70" s="82">
        <v>44470</v>
      </c>
      <c r="J70" s="83">
        <f>EFEITO!$J$70*EFEITO!$Y$70</f>
        <v>0</v>
      </c>
      <c r="K70" s="83">
        <f ca="1">EFEITO!$L$70*EFEITO!$Z$70</f>
        <v>66.39676755560069</v>
      </c>
      <c r="L70" s="83">
        <f>EFEITO!$N$70*EFEITO!$AA$70</f>
        <v>14.323790366853386</v>
      </c>
      <c r="M70" s="83">
        <f>$J$70-EFEITO!$K$70*EFEITO!$Y$70</f>
        <v>0</v>
      </c>
      <c r="N70" s="83">
        <f ca="1">$K$70-EFEITO!$M$70*EFEITO!$Z$70</f>
        <v>0</v>
      </c>
      <c r="O70" s="83">
        <f>$L$70-EFEITO!$O$70*EFEITO!$AA$70</f>
        <v>0</v>
      </c>
      <c r="P70" s="28"/>
      <c r="Q70" s="28"/>
      <c r="R70" s="28"/>
      <c r="S70" s="28"/>
      <c r="T70" s="28"/>
      <c r="U70" s="28"/>
      <c r="V70" s="28"/>
      <c r="W70" s="28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72" t="s">
        <v>21</v>
      </c>
      <c r="B71" s="72" t="s">
        <v>33</v>
      </c>
      <c r="C71" s="72" t="s">
        <v>34</v>
      </c>
      <c r="D71" s="72" t="s">
        <v>42</v>
      </c>
      <c r="E71" s="72" t="s">
        <v>25</v>
      </c>
      <c r="F71" s="72" t="s">
        <v>25</v>
      </c>
      <c r="G71" s="72" t="s">
        <v>25</v>
      </c>
      <c r="H71" s="72" t="s">
        <v>35</v>
      </c>
      <c r="I71" s="82">
        <v>44501</v>
      </c>
      <c r="J71" s="83">
        <f>EFEITO!$J$71*EFEITO!$Y$71</f>
        <v>0</v>
      </c>
      <c r="K71" s="83">
        <f ca="1">EFEITO!$L$71*EFEITO!$Z$71</f>
        <v>49935.251317073154</v>
      </c>
      <c r="L71" s="83">
        <f>EFEITO!$N$71*EFEITO!$AA$71</f>
        <v>10772.54357575366</v>
      </c>
      <c r="M71" s="83">
        <f>$J$71-EFEITO!$K$71*EFEITO!$Y$71</f>
        <v>0</v>
      </c>
      <c r="N71" s="83">
        <f ca="1">$K$71-EFEITO!$M$71*EFEITO!$Z$71</f>
        <v>0</v>
      </c>
      <c r="O71" s="83">
        <f>$L$71-EFEITO!$O$71*EFEITO!$AA$71</f>
        <v>0</v>
      </c>
      <c r="P71" s="28"/>
      <c r="Q71" s="28"/>
      <c r="R71" s="28"/>
      <c r="S71" s="28"/>
      <c r="T71" s="28"/>
      <c r="U71" s="28"/>
      <c r="V71" s="28"/>
      <c r="W71" s="28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72" t="s">
        <v>21</v>
      </c>
      <c r="B72" s="72" t="s">
        <v>33</v>
      </c>
      <c r="C72" s="72" t="s">
        <v>34</v>
      </c>
      <c r="D72" s="72" t="s">
        <v>42</v>
      </c>
      <c r="E72" s="72" t="s">
        <v>25</v>
      </c>
      <c r="F72" s="72" t="s">
        <v>25</v>
      </c>
      <c r="G72" s="72" t="s">
        <v>25</v>
      </c>
      <c r="H72" s="72" t="s">
        <v>35</v>
      </c>
      <c r="I72" s="82">
        <v>44531</v>
      </c>
      <c r="J72" s="83">
        <f>EFEITO!$J$72*EFEITO!$Y$72</f>
        <v>0</v>
      </c>
      <c r="K72" s="83">
        <f ca="1">EFEITO!$L$72*EFEITO!$Z$72</f>
        <v>48761.590808222682</v>
      </c>
      <c r="L72" s="83">
        <f>EFEITO!$N$72*EFEITO!$AA$72</f>
        <v>10519.349516621929</v>
      </c>
      <c r="M72" s="83">
        <f>$J$72-EFEITO!$K$72*EFEITO!$Y$72</f>
        <v>0</v>
      </c>
      <c r="N72" s="83">
        <f ca="1">$K$72-EFEITO!$M$72*EFEITO!$Z$72</f>
        <v>0</v>
      </c>
      <c r="O72" s="83">
        <f>$L$72-EFEITO!$O$72*EFEITO!$AA$72</f>
        <v>0</v>
      </c>
      <c r="P72" s="28"/>
      <c r="Q72" s="28"/>
      <c r="R72" s="28"/>
      <c r="S72" s="28"/>
      <c r="T72" s="28"/>
      <c r="U72" s="28"/>
      <c r="V72" s="28"/>
      <c r="W72" s="28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72" t="s">
        <v>28</v>
      </c>
      <c r="B73" s="72" t="s">
        <v>33</v>
      </c>
      <c r="C73" s="72" t="s">
        <v>34</v>
      </c>
      <c r="D73" s="72" t="s">
        <v>42</v>
      </c>
      <c r="E73" s="72" t="s">
        <v>25</v>
      </c>
      <c r="F73" s="72" t="s">
        <v>25</v>
      </c>
      <c r="G73" s="72" t="s">
        <v>25</v>
      </c>
      <c r="H73" s="72" t="s">
        <v>35</v>
      </c>
      <c r="I73" s="82">
        <v>44531</v>
      </c>
      <c r="J73" s="83">
        <f>EFEITO!$J$73*EFEITO!$Y$73</f>
        <v>0</v>
      </c>
      <c r="K73" s="83">
        <f ca="1">EFEITO!$L$73*EFEITO!$Z$73</f>
        <v>2767.1829301848875</v>
      </c>
      <c r="L73" s="83">
        <f>EFEITO!$N$73*EFEITO!$AA$73</f>
        <v>596.96502793621312</v>
      </c>
      <c r="M73" s="83">
        <f>$J$73-EFEITO!$K$73*EFEITO!$Y$73</f>
        <v>0</v>
      </c>
      <c r="N73" s="83">
        <f ca="1">$K$73-EFEITO!$M$73*EFEITO!$Z$73</f>
        <v>0</v>
      </c>
      <c r="O73" s="83">
        <f>$L$73-EFEITO!$O$73*EFEITO!$AA$73</f>
        <v>0</v>
      </c>
      <c r="P73" s="28"/>
      <c r="Q73" s="28"/>
      <c r="R73" s="28"/>
      <c r="S73" s="28"/>
      <c r="T73" s="28"/>
      <c r="U73" s="28"/>
      <c r="V73" s="28"/>
      <c r="W73" s="28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72" t="s">
        <v>21</v>
      </c>
      <c r="B74" s="72" t="s">
        <v>33</v>
      </c>
      <c r="C74" s="72" t="s">
        <v>34</v>
      </c>
      <c r="D74" s="72" t="s">
        <v>42</v>
      </c>
      <c r="E74" s="72" t="s">
        <v>25</v>
      </c>
      <c r="F74" s="72" t="s">
        <v>25</v>
      </c>
      <c r="G74" s="72" t="s">
        <v>25</v>
      </c>
      <c r="H74" s="72" t="s">
        <v>35</v>
      </c>
      <c r="I74" s="82">
        <v>44562</v>
      </c>
      <c r="J74" s="83">
        <f>EFEITO!$J$74*EFEITO!$Y$74</f>
        <v>0</v>
      </c>
      <c r="K74" s="83">
        <f ca="1">EFEITO!$L$74*EFEITO!$Z$74</f>
        <v>49484.143866915991</v>
      </c>
      <c r="L74" s="83">
        <f>EFEITO!$N$74*EFEITO!$AA$74</f>
        <v>10675.226058849452</v>
      </c>
      <c r="M74" s="83">
        <f>$J$74-EFEITO!$K$74*EFEITO!$Y$74</f>
        <v>0</v>
      </c>
      <c r="N74" s="83">
        <f ca="1">$K$74-EFEITO!$M$74*EFEITO!$Z$74</f>
        <v>0</v>
      </c>
      <c r="O74" s="83">
        <f>$L$74-EFEITO!$O$74*EFEITO!$AA$74</f>
        <v>0</v>
      </c>
      <c r="P74" s="28"/>
      <c r="Q74" s="28"/>
      <c r="R74" s="28"/>
      <c r="S74" s="28"/>
      <c r="T74" s="28"/>
      <c r="U74" s="28"/>
      <c r="V74" s="28"/>
      <c r="W74" s="28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72" t="s">
        <v>21</v>
      </c>
      <c r="B75" s="72" t="s">
        <v>33</v>
      </c>
      <c r="C75" s="72" t="s">
        <v>34</v>
      </c>
      <c r="D75" s="72" t="s">
        <v>42</v>
      </c>
      <c r="E75" s="72" t="s">
        <v>25</v>
      </c>
      <c r="F75" s="72" t="s">
        <v>25</v>
      </c>
      <c r="G75" s="72" t="s">
        <v>25</v>
      </c>
      <c r="H75" s="72" t="s">
        <v>35</v>
      </c>
      <c r="I75" s="82">
        <v>44593</v>
      </c>
      <c r="J75" s="83">
        <f>EFEITO!$J$75*EFEITO!$Y$75</f>
        <v>0</v>
      </c>
      <c r="K75" s="83">
        <f ca="1">EFEITO!$L$75*EFEITO!$Z$75</f>
        <v>49479.261751654543</v>
      </c>
      <c r="L75" s="83">
        <f>EFEITO!$N$75*EFEITO!$AA$75</f>
        <v>10674.172838969534</v>
      </c>
      <c r="M75" s="83">
        <f>$J$75-EFEITO!$K$75*EFEITO!$Y$75</f>
        <v>0</v>
      </c>
      <c r="N75" s="83">
        <f ca="1">$K$75-EFEITO!$M$75*EFEITO!$Z$75</f>
        <v>0</v>
      </c>
      <c r="O75" s="83">
        <f>$L$75-EFEITO!$O$75*EFEITO!$AA$75</f>
        <v>0</v>
      </c>
      <c r="P75" s="28"/>
      <c r="Q75" s="28"/>
      <c r="R75" s="28"/>
      <c r="S75" s="28"/>
      <c r="T75" s="28"/>
      <c r="U75" s="28"/>
      <c r="V75" s="28"/>
      <c r="W75" s="28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72" t="s">
        <v>21</v>
      </c>
      <c r="B76" s="72" t="s">
        <v>33</v>
      </c>
      <c r="C76" s="72" t="s">
        <v>34</v>
      </c>
      <c r="D76" s="72" t="s">
        <v>42</v>
      </c>
      <c r="E76" s="72" t="s">
        <v>25</v>
      </c>
      <c r="F76" s="72" t="s">
        <v>25</v>
      </c>
      <c r="G76" s="72" t="s">
        <v>25</v>
      </c>
      <c r="H76" s="72" t="s">
        <v>35</v>
      </c>
      <c r="I76" s="82">
        <v>44621</v>
      </c>
      <c r="J76" s="83">
        <f>EFEITO!$J$76*EFEITO!$Y$76</f>
        <v>0</v>
      </c>
      <c r="K76" s="83">
        <f ca="1">EFEITO!$L$76*EFEITO!$Z$76</f>
        <v>63201.911328513539</v>
      </c>
      <c r="L76" s="83">
        <f>EFEITO!$N$76*EFEITO!$AA$76</f>
        <v>13634.563277436555</v>
      </c>
      <c r="M76" s="83">
        <f>$J$76-EFEITO!$K$76*EFEITO!$Y$76</f>
        <v>0</v>
      </c>
      <c r="N76" s="83">
        <f ca="1">$K$76-EFEITO!$M$76*EFEITO!$Z$76</f>
        <v>0</v>
      </c>
      <c r="O76" s="83">
        <f>$L$76-EFEITO!$O$76*EFEITO!$AA$76</f>
        <v>0</v>
      </c>
      <c r="P76" s="28"/>
      <c r="Q76" s="28"/>
      <c r="R76" s="28"/>
      <c r="S76" s="28"/>
      <c r="T76" s="28"/>
      <c r="U76" s="28"/>
      <c r="V76" s="28"/>
      <c r="W76" s="28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72" t="s">
        <v>28</v>
      </c>
      <c r="B77" s="72" t="s">
        <v>33</v>
      </c>
      <c r="C77" s="72" t="s">
        <v>34</v>
      </c>
      <c r="D77" s="72" t="s">
        <v>42</v>
      </c>
      <c r="E77" s="72" t="s">
        <v>25</v>
      </c>
      <c r="F77" s="72" t="s">
        <v>25</v>
      </c>
      <c r="G77" s="72" t="s">
        <v>25</v>
      </c>
      <c r="H77" s="72" t="s">
        <v>35</v>
      </c>
      <c r="I77" s="82">
        <v>44621</v>
      </c>
      <c r="J77" s="83">
        <f>EFEITO!$J$77*EFEITO!$Y$77</f>
        <v>0</v>
      </c>
      <c r="K77" s="83">
        <f ca="1">EFEITO!$L$77*EFEITO!$Z$77</f>
        <v>4589.1883457547528</v>
      </c>
      <c r="L77" s="83">
        <f>EFEITO!$N$77*EFEITO!$AA$77</f>
        <v>990.02668712074865</v>
      </c>
      <c r="M77" s="83">
        <f>$J$77-EFEITO!$K$77*EFEITO!$Y$77</f>
        <v>0</v>
      </c>
      <c r="N77" s="83">
        <f ca="1">$K$77-EFEITO!$M$77*EFEITO!$Z$77</f>
        <v>0</v>
      </c>
      <c r="O77" s="83">
        <f>$L$77-EFEITO!$O$77*EFEITO!$AA$77</f>
        <v>0</v>
      </c>
      <c r="P77" s="28"/>
      <c r="Q77" s="28"/>
      <c r="R77" s="28"/>
      <c r="S77" s="28"/>
      <c r="T77" s="28"/>
      <c r="U77" s="28"/>
      <c r="V77" s="28"/>
      <c r="W77" s="28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72" t="s">
        <v>21</v>
      </c>
      <c r="B78" s="72" t="s">
        <v>33</v>
      </c>
      <c r="C78" s="72" t="s">
        <v>34</v>
      </c>
      <c r="D78" s="72" t="s">
        <v>42</v>
      </c>
      <c r="E78" s="72" t="s">
        <v>25</v>
      </c>
      <c r="F78" s="72" t="s">
        <v>25</v>
      </c>
      <c r="G78" s="72" t="s">
        <v>25</v>
      </c>
      <c r="H78" s="72" t="s">
        <v>35</v>
      </c>
      <c r="I78" s="82">
        <v>44652</v>
      </c>
      <c r="J78" s="83">
        <f>EFEITO!$J$78*EFEITO!$Y$78</f>
        <v>0</v>
      </c>
      <c r="K78" s="83">
        <f ca="1">EFEITO!$L$78*EFEITO!$Z$78</f>
        <v>48188.43047652948</v>
      </c>
      <c r="L78" s="83">
        <f>EFEITO!$N$78*EFEITO!$AA$78</f>
        <v>10395.701502719827</v>
      </c>
      <c r="M78" s="83">
        <f>$J$78-EFEITO!$K$78*EFEITO!$Y$78</f>
        <v>0</v>
      </c>
      <c r="N78" s="83">
        <f ca="1">$K$78-EFEITO!$M$78*EFEITO!$Z$78</f>
        <v>0</v>
      </c>
      <c r="O78" s="83">
        <f>$L$78-EFEITO!$O$78*EFEITO!$AA$78</f>
        <v>0</v>
      </c>
      <c r="P78" s="28"/>
      <c r="Q78" s="28"/>
      <c r="R78" s="28"/>
      <c r="S78" s="28"/>
      <c r="T78" s="28"/>
      <c r="U78" s="28"/>
      <c r="V78" s="28"/>
      <c r="W78" s="28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72" t="s">
        <v>21</v>
      </c>
      <c r="B79" s="72" t="s">
        <v>33</v>
      </c>
      <c r="C79" s="72" t="s">
        <v>34</v>
      </c>
      <c r="D79" s="72" t="s">
        <v>40</v>
      </c>
      <c r="E79" s="72" t="s">
        <v>25</v>
      </c>
      <c r="F79" s="72" t="s">
        <v>57</v>
      </c>
      <c r="G79" s="72" t="s">
        <v>25</v>
      </c>
      <c r="H79" s="72" t="s">
        <v>36</v>
      </c>
      <c r="I79" s="82">
        <v>44317</v>
      </c>
      <c r="J79" s="83">
        <f>EFEITO!$J$79*EFEITO!$Y$79</f>
        <v>0</v>
      </c>
      <c r="K79" s="83">
        <f ca="1">EFEITO!$L$79*EFEITO!$Z$79</f>
        <v>242261.95029219452</v>
      </c>
      <c r="L79" s="83">
        <f>EFEITO!$N$79*EFEITO!$AA$79</f>
        <v>0</v>
      </c>
      <c r="M79" s="83">
        <f>$J$79-EFEITO!$K$79*EFEITO!$Y$79</f>
        <v>0</v>
      </c>
      <c r="N79" s="83">
        <f ca="1">$K$79-EFEITO!$M$79*EFEITO!$Z$79</f>
        <v>0</v>
      </c>
      <c r="O79" s="83">
        <f>$L$79-EFEITO!$O$79*EFEITO!$AA$79</f>
        <v>0</v>
      </c>
      <c r="P79" s="28"/>
      <c r="Q79" s="28"/>
      <c r="R79" s="28"/>
      <c r="S79" s="28"/>
      <c r="T79" s="28"/>
      <c r="U79" s="28"/>
      <c r="V79" s="28"/>
      <c r="W79" s="28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72" t="s">
        <v>21</v>
      </c>
      <c r="B80" s="72" t="s">
        <v>33</v>
      </c>
      <c r="C80" s="72" t="s">
        <v>34</v>
      </c>
      <c r="D80" s="72" t="s">
        <v>40</v>
      </c>
      <c r="E80" s="72" t="s">
        <v>25</v>
      </c>
      <c r="F80" s="72" t="s">
        <v>57</v>
      </c>
      <c r="G80" s="72" t="s">
        <v>25</v>
      </c>
      <c r="H80" s="72" t="s">
        <v>36</v>
      </c>
      <c r="I80" s="82">
        <v>44348</v>
      </c>
      <c r="J80" s="83">
        <f>EFEITO!$J$80*EFEITO!$Y$80</f>
        <v>0</v>
      </c>
      <c r="K80" s="83">
        <f ca="1">EFEITO!$L$80*EFEITO!$Z$80</f>
        <v>278656.10726472829</v>
      </c>
      <c r="L80" s="83">
        <f>EFEITO!$N$80*EFEITO!$AA$80</f>
        <v>0</v>
      </c>
      <c r="M80" s="83">
        <f>$J$80-EFEITO!$K$80*EFEITO!$Y$80</f>
        <v>0</v>
      </c>
      <c r="N80" s="83">
        <f ca="1">$K$80-EFEITO!$M$80*EFEITO!$Z$80</f>
        <v>0</v>
      </c>
      <c r="O80" s="83">
        <f>$L$80-EFEITO!$O$80*EFEITO!$AA$80</f>
        <v>0</v>
      </c>
      <c r="P80" s="28"/>
      <c r="Q80" s="28"/>
      <c r="R80" s="28"/>
      <c r="S80" s="28"/>
      <c r="T80" s="28"/>
      <c r="U80" s="28"/>
      <c r="V80" s="28"/>
      <c r="W80" s="28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72" t="s">
        <v>21</v>
      </c>
      <c r="B81" s="72" t="s">
        <v>33</v>
      </c>
      <c r="C81" s="72" t="s">
        <v>34</v>
      </c>
      <c r="D81" s="72" t="s">
        <v>40</v>
      </c>
      <c r="E81" s="72" t="s">
        <v>25</v>
      </c>
      <c r="F81" s="72" t="s">
        <v>57</v>
      </c>
      <c r="G81" s="72" t="s">
        <v>25</v>
      </c>
      <c r="H81" s="72" t="s">
        <v>36</v>
      </c>
      <c r="I81" s="82">
        <v>44378</v>
      </c>
      <c r="J81" s="83">
        <f>EFEITO!$J$81*EFEITO!$Y$81</f>
        <v>0</v>
      </c>
      <c r="K81" s="83">
        <f ca="1">EFEITO!$L$81*EFEITO!$Z$81</f>
        <v>308336.08239066729</v>
      </c>
      <c r="L81" s="83">
        <f>EFEITO!$N$81*EFEITO!$AA$81</f>
        <v>0</v>
      </c>
      <c r="M81" s="83">
        <f>$J$81-EFEITO!$K$81*EFEITO!$Y$81</f>
        <v>0</v>
      </c>
      <c r="N81" s="83">
        <f ca="1">$K$81-EFEITO!$M$81*EFEITO!$Z$81</f>
        <v>0</v>
      </c>
      <c r="O81" s="83">
        <f>$L$81-EFEITO!$O$81*EFEITO!$AA$81</f>
        <v>0</v>
      </c>
      <c r="P81" s="28"/>
      <c r="Q81" s="28"/>
      <c r="R81" s="28"/>
      <c r="S81" s="28"/>
      <c r="T81" s="28"/>
      <c r="U81" s="28"/>
      <c r="V81" s="28"/>
      <c r="W81" s="28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72" t="s">
        <v>21</v>
      </c>
      <c r="B82" s="72" t="s">
        <v>33</v>
      </c>
      <c r="C82" s="72" t="s">
        <v>34</v>
      </c>
      <c r="D82" s="72" t="s">
        <v>40</v>
      </c>
      <c r="E82" s="72" t="s">
        <v>25</v>
      </c>
      <c r="F82" s="72" t="s">
        <v>57</v>
      </c>
      <c r="G82" s="72" t="s">
        <v>25</v>
      </c>
      <c r="H82" s="72" t="s">
        <v>36</v>
      </c>
      <c r="I82" s="82">
        <v>44409</v>
      </c>
      <c r="J82" s="83">
        <f>EFEITO!$J$82*EFEITO!$Y$82</f>
        <v>0</v>
      </c>
      <c r="K82" s="83">
        <f ca="1">EFEITO!$L$82*EFEITO!$Z$82</f>
        <v>318667.05180708447</v>
      </c>
      <c r="L82" s="83">
        <f>EFEITO!$N$82*EFEITO!$AA$82</f>
        <v>0</v>
      </c>
      <c r="M82" s="83">
        <f>$J$82-EFEITO!$K$82*EFEITO!$Y$82</f>
        <v>0</v>
      </c>
      <c r="N82" s="83">
        <f ca="1">$K$82-EFEITO!$M$82*EFEITO!$Z$82</f>
        <v>0</v>
      </c>
      <c r="O82" s="83">
        <f>$L$82-EFEITO!$O$82*EFEITO!$AA$82</f>
        <v>0</v>
      </c>
      <c r="P82" s="28"/>
      <c r="Q82" s="28"/>
      <c r="R82" s="28"/>
      <c r="S82" s="28"/>
      <c r="T82" s="28"/>
      <c r="U82" s="28"/>
      <c r="V82" s="28"/>
      <c r="W82" s="28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72" t="s">
        <v>21</v>
      </c>
      <c r="B83" s="72" t="s">
        <v>33</v>
      </c>
      <c r="C83" s="72" t="s">
        <v>34</v>
      </c>
      <c r="D83" s="72" t="s">
        <v>40</v>
      </c>
      <c r="E83" s="72" t="s">
        <v>25</v>
      </c>
      <c r="F83" s="72" t="s">
        <v>57</v>
      </c>
      <c r="G83" s="72" t="s">
        <v>25</v>
      </c>
      <c r="H83" s="72" t="s">
        <v>36</v>
      </c>
      <c r="I83" s="82">
        <v>44440</v>
      </c>
      <c r="J83" s="83">
        <f>EFEITO!$J$83*EFEITO!$Y$83</f>
        <v>0</v>
      </c>
      <c r="K83" s="83">
        <f ca="1">EFEITO!$L$83*EFEITO!$Z$83</f>
        <v>319327.1308414127</v>
      </c>
      <c r="L83" s="83">
        <f>EFEITO!$N$83*EFEITO!$AA$83</f>
        <v>0</v>
      </c>
      <c r="M83" s="83">
        <f>$J$83-EFEITO!$K$83*EFEITO!$Y$83</f>
        <v>0</v>
      </c>
      <c r="N83" s="83">
        <f ca="1">$K$83-EFEITO!$M$83*EFEITO!$Z$83</f>
        <v>0</v>
      </c>
      <c r="O83" s="83">
        <f>$L$83-EFEITO!$O$83*EFEITO!$AA$83</f>
        <v>0</v>
      </c>
      <c r="P83" s="28"/>
      <c r="Q83" s="28"/>
      <c r="R83" s="28"/>
      <c r="S83" s="28"/>
      <c r="T83" s="28"/>
      <c r="U83" s="28"/>
      <c r="V83" s="28"/>
      <c r="W83" s="28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72" t="s">
        <v>21</v>
      </c>
      <c r="B84" s="72" t="s">
        <v>33</v>
      </c>
      <c r="C84" s="72" t="s">
        <v>34</v>
      </c>
      <c r="D84" s="72" t="s">
        <v>40</v>
      </c>
      <c r="E84" s="72" t="s">
        <v>25</v>
      </c>
      <c r="F84" s="72" t="s">
        <v>57</v>
      </c>
      <c r="G84" s="72" t="s">
        <v>25</v>
      </c>
      <c r="H84" s="72" t="s">
        <v>36</v>
      </c>
      <c r="I84" s="82">
        <v>44470</v>
      </c>
      <c r="J84" s="83">
        <f>EFEITO!$J$84*EFEITO!$Y$84</f>
        <v>0</v>
      </c>
      <c r="K84" s="83">
        <f ca="1">EFEITO!$L$84*EFEITO!$Z$84</f>
        <v>320427.12877000892</v>
      </c>
      <c r="L84" s="83">
        <f>EFEITO!$N$84*EFEITO!$AA$84</f>
        <v>0</v>
      </c>
      <c r="M84" s="83">
        <f>$J$84-EFEITO!$K$84*EFEITO!$Y$84</f>
        <v>0</v>
      </c>
      <c r="N84" s="83">
        <f ca="1">$K$84-EFEITO!$M$84*EFEITO!$Z$84</f>
        <v>0</v>
      </c>
      <c r="O84" s="83">
        <f>$L$84-EFEITO!$O$84*EFEITO!$AA$84</f>
        <v>0</v>
      </c>
      <c r="P84" s="28"/>
      <c r="Q84" s="28"/>
      <c r="R84" s="28"/>
      <c r="S84" s="28"/>
      <c r="T84" s="28"/>
      <c r="U84" s="28"/>
      <c r="V84" s="28"/>
      <c r="W84" s="28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72" t="s">
        <v>21</v>
      </c>
      <c r="B85" s="72" t="s">
        <v>33</v>
      </c>
      <c r="C85" s="72" t="s">
        <v>34</v>
      </c>
      <c r="D85" s="72" t="s">
        <v>40</v>
      </c>
      <c r="E85" s="72" t="s">
        <v>25</v>
      </c>
      <c r="F85" s="72" t="s">
        <v>57</v>
      </c>
      <c r="G85" s="72" t="s">
        <v>25</v>
      </c>
      <c r="H85" s="72" t="s">
        <v>36</v>
      </c>
      <c r="I85" s="82">
        <v>44501</v>
      </c>
      <c r="J85" s="83">
        <f>EFEITO!$J$85*EFEITO!$Y$85</f>
        <v>0</v>
      </c>
      <c r="K85" s="83">
        <f ca="1">EFEITO!$L$85*EFEITO!$Z$85</f>
        <v>333598.90655702987</v>
      </c>
      <c r="L85" s="83">
        <f>EFEITO!$N$85*EFEITO!$AA$85</f>
        <v>0</v>
      </c>
      <c r="M85" s="83">
        <f>$J$85-EFEITO!$K$85*EFEITO!$Y$85</f>
        <v>0</v>
      </c>
      <c r="N85" s="83">
        <f ca="1">$K$85-EFEITO!$M$85*EFEITO!$Z$85</f>
        <v>0</v>
      </c>
      <c r="O85" s="83">
        <f>$L$85-EFEITO!$O$85*EFEITO!$AA$85</f>
        <v>0</v>
      </c>
      <c r="P85" s="28"/>
      <c r="Q85" s="28"/>
      <c r="R85" s="28"/>
      <c r="S85" s="28"/>
      <c r="T85" s="28"/>
      <c r="U85" s="28"/>
      <c r="V85" s="28"/>
      <c r="W85" s="28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72" t="s">
        <v>21</v>
      </c>
      <c r="B86" s="72" t="s">
        <v>33</v>
      </c>
      <c r="C86" s="72" t="s">
        <v>34</v>
      </c>
      <c r="D86" s="72" t="s">
        <v>40</v>
      </c>
      <c r="E86" s="72" t="s">
        <v>25</v>
      </c>
      <c r="F86" s="72" t="s">
        <v>57</v>
      </c>
      <c r="G86" s="72" t="s">
        <v>25</v>
      </c>
      <c r="H86" s="72" t="s">
        <v>36</v>
      </c>
      <c r="I86" s="82">
        <v>44531</v>
      </c>
      <c r="J86" s="83">
        <f>EFEITO!$J$86*EFEITO!$Y$86</f>
        <v>0</v>
      </c>
      <c r="K86" s="83">
        <f ca="1">EFEITO!$L$86*EFEITO!$Z$86</f>
        <v>322930.47198517853</v>
      </c>
      <c r="L86" s="83">
        <f>EFEITO!$N$86*EFEITO!$AA$86</f>
        <v>0</v>
      </c>
      <c r="M86" s="83">
        <f>$J$86-EFEITO!$K$86*EFEITO!$Y$86</f>
        <v>0</v>
      </c>
      <c r="N86" s="83">
        <f ca="1">$K$86-EFEITO!$M$86*EFEITO!$Z$86</f>
        <v>0</v>
      </c>
      <c r="O86" s="83">
        <f>$L$86-EFEITO!$O$86*EFEITO!$AA$86</f>
        <v>0</v>
      </c>
      <c r="P86" s="28"/>
      <c r="Q86" s="28"/>
      <c r="R86" s="28"/>
      <c r="S86" s="28"/>
      <c r="T86" s="28"/>
      <c r="U86" s="28"/>
      <c r="V86" s="28"/>
      <c r="W86" s="28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72" t="s">
        <v>21</v>
      </c>
      <c r="B87" s="72" t="s">
        <v>33</v>
      </c>
      <c r="C87" s="72" t="s">
        <v>34</v>
      </c>
      <c r="D87" s="72" t="s">
        <v>40</v>
      </c>
      <c r="E87" s="72" t="s">
        <v>25</v>
      </c>
      <c r="F87" s="72" t="s">
        <v>57</v>
      </c>
      <c r="G87" s="72" t="s">
        <v>25</v>
      </c>
      <c r="H87" s="72" t="s">
        <v>36</v>
      </c>
      <c r="I87" s="82">
        <v>44562</v>
      </c>
      <c r="J87" s="83">
        <f>EFEITO!$J$87*EFEITO!$Y$87</f>
        <v>0</v>
      </c>
      <c r="K87" s="83">
        <f ca="1">EFEITO!$L$87*EFEITO!$Z$87</f>
        <v>323333.16234163329</v>
      </c>
      <c r="L87" s="83">
        <f>EFEITO!$N$87*EFEITO!$AA$87</f>
        <v>0</v>
      </c>
      <c r="M87" s="83">
        <f>$J$87-EFEITO!$K$87*EFEITO!$Y$87</f>
        <v>0</v>
      </c>
      <c r="N87" s="83">
        <f ca="1">$K$87-EFEITO!$M$87*EFEITO!$Z$87</f>
        <v>161666.58117081664</v>
      </c>
      <c r="O87" s="83">
        <f>$L$87-EFEITO!$O$87*EFEITO!$AA$87</f>
        <v>0</v>
      </c>
      <c r="P87" s="28"/>
      <c r="Q87" s="28"/>
      <c r="R87" s="28"/>
      <c r="S87" s="28"/>
      <c r="T87" s="28"/>
      <c r="U87" s="28"/>
      <c r="V87" s="28"/>
      <c r="W87" s="28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72" t="s">
        <v>21</v>
      </c>
      <c r="B88" s="72" t="s">
        <v>33</v>
      </c>
      <c r="C88" s="72" t="s">
        <v>34</v>
      </c>
      <c r="D88" s="72" t="s">
        <v>40</v>
      </c>
      <c r="E88" s="72" t="s">
        <v>25</v>
      </c>
      <c r="F88" s="72" t="s">
        <v>57</v>
      </c>
      <c r="G88" s="72" t="s">
        <v>25</v>
      </c>
      <c r="H88" s="72" t="s">
        <v>36</v>
      </c>
      <c r="I88" s="82">
        <v>44593</v>
      </c>
      <c r="J88" s="83">
        <f>EFEITO!$J$88*EFEITO!$Y$88</f>
        <v>0</v>
      </c>
      <c r="K88" s="83">
        <f ca="1">EFEITO!$L$88*EFEITO!$Z$88</f>
        <v>305562.40580388316</v>
      </c>
      <c r="L88" s="83">
        <f>EFEITO!$N$88*EFEITO!$AA$88</f>
        <v>0</v>
      </c>
      <c r="M88" s="83">
        <f>$J$88-EFEITO!$K$88*EFEITO!$Y$88</f>
        <v>0</v>
      </c>
      <c r="N88" s="83">
        <f ca="1">$K$88-EFEITO!$M$88*EFEITO!$Z$88</f>
        <v>0</v>
      </c>
      <c r="O88" s="83">
        <f>$L$88-EFEITO!$O$88*EFEITO!$AA$88</f>
        <v>0</v>
      </c>
      <c r="P88" s="28"/>
      <c r="Q88" s="28"/>
      <c r="R88" s="28"/>
      <c r="S88" s="28"/>
      <c r="T88" s="28"/>
      <c r="U88" s="28"/>
      <c r="V88" s="28"/>
      <c r="W88" s="28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72" t="s">
        <v>21</v>
      </c>
      <c r="B89" s="72" t="s">
        <v>33</v>
      </c>
      <c r="C89" s="72" t="s">
        <v>34</v>
      </c>
      <c r="D89" s="72" t="s">
        <v>40</v>
      </c>
      <c r="E89" s="72" t="s">
        <v>25</v>
      </c>
      <c r="F89" s="72" t="s">
        <v>57</v>
      </c>
      <c r="G89" s="72" t="s">
        <v>25</v>
      </c>
      <c r="H89" s="72" t="s">
        <v>36</v>
      </c>
      <c r="I89" s="82">
        <v>44621</v>
      </c>
      <c r="J89" s="83">
        <f>EFEITO!$J$89*EFEITO!$Y$89</f>
        <v>0</v>
      </c>
      <c r="K89" s="83">
        <f ca="1">EFEITO!$L$89*EFEITO!$Z$89</f>
        <v>373829.81054652005</v>
      </c>
      <c r="L89" s="83">
        <f>EFEITO!$N$89*EFEITO!$AA$89</f>
        <v>0</v>
      </c>
      <c r="M89" s="83">
        <f>$J$89-EFEITO!$K$89*EFEITO!$Y$89</f>
        <v>0</v>
      </c>
      <c r="N89" s="83">
        <f ca="1">$K$89-EFEITO!$M$89*EFEITO!$Z$89</f>
        <v>0</v>
      </c>
      <c r="O89" s="83">
        <f>$L$89-EFEITO!$O$89*EFEITO!$AA$89</f>
        <v>0</v>
      </c>
      <c r="P89" s="28"/>
      <c r="Q89" s="28"/>
      <c r="R89" s="28"/>
      <c r="S89" s="28"/>
      <c r="T89" s="28"/>
      <c r="U89" s="28"/>
      <c r="V89" s="28"/>
      <c r="W89" s="28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72" t="s">
        <v>59</v>
      </c>
      <c r="B90" s="72" t="s">
        <v>33</v>
      </c>
      <c r="C90" s="72" t="s">
        <v>34</v>
      </c>
      <c r="D90" s="72" t="s">
        <v>40</v>
      </c>
      <c r="E90" s="72" t="s">
        <v>25</v>
      </c>
      <c r="F90" s="72" t="s">
        <v>57</v>
      </c>
      <c r="G90" s="72" t="s">
        <v>25</v>
      </c>
      <c r="H90" s="72" t="s">
        <v>36</v>
      </c>
      <c r="I90" s="82">
        <v>44652</v>
      </c>
      <c r="J90" s="83">
        <f>EFEITO!$J$90*EFEITO!$Y$90</f>
        <v>0</v>
      </c>
      <c r="K90" s="83">
        <f ca="1">EFEITO!$L$90*EFEITO!$Z$90</f>
        <v>373829.81054652005</v>
      </c>
      <c r="L90" s="83">
        <f>EFEITO!$N$90*EFEITO!$AA$90</f>
        <v>0</v>
      </c>
      <c r="M90" s="83">
        <f>$J$90-EFEITO!$K$90*EFEITO!$Y$90</f>
        <v>0</v>
      </c>
      <c r="N90" s="83">
        <f ca="1">$K$90-EFEITO!$M$90*EFEITO!$Z$90</f>
        <v>0</v>
      </c>
      <c r="O90" s="83">
        <f>$L$90-EFEITO!$O$90*EFEITO!$AA$90</f>
        <v>0</v>
      </c>
      <c r="P90" s="28"/>
      <c r="Q90" s="28"/>
      <c r="R90" s="28"/>
      <c r="S90" s="28"/>
      <c r="T90" s="28"/>
      <c r="U90" s="28"/>
      <c r="V90" s="28"/>
      <c r="W90" s="28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72" t="s">
        <v>21</v>
      </c>
      <c r="B91" s="72" t="s">
        <v>33</v>
      </c>
      <c r="C91" s="72" t="s">
        <v>34</v>
      </c>
      <c r="D91" s="72" t="s">
        <v>40</v>
      </c>
      <c r="E91" s="72" t="s">
        <v>25</v>
      </c>
      <c r="F91" s="72" t="s">
        <v>57</v>
      </c>
      <c r="G91" s="72" t="s">
        <v>25</v>
      </c>
      <c r="H91" s="72" t="s">
        <v>25</v>
      </c>
      <c r="I91" s="82">
        <v>44317</v>
      </c>
      <c r="J91" s="83">
        <f ca="1">EFEITO!$J$91*EFEITO!$Y$91</f>
        <v>124266.31237231393</v>
      </c>
      <c r="K91" s="83">
        <f>EFEITO!$L$91*EFEITO!$Z$91</f>
        <v>0</v>
      </c>
      <c r="L91" s="83">
        <f>EFEITO!$N$91*EFEITO!$AA$91</f>
        <v>0</v>
      </c>
      <c r="M91" s="83">
        <f ca="1">$J$91-EFEITO!$K$91*EFEITO!$Y$91</f>
        <v>62133.156186156964</v>
      </c>
      <c r="N91" s="83">
        <f>$K$91-EFEITO!$M$91*EFEITO!$Z$91</f>
        <v>0</v>
      </c>
      <c r="O91" s="83">
        <f>$L$91-EFEITO!$O$91*EFEITO!$AA$91</f>
        <v>0</v>
      </c>
      <c r="P91" s="28"/>
      <c r="Q91" s="28"/>
      <c r="R91" s="28"/>
      <c r="S91" s="28"/>
      <c r="T91" s="28"/>
      <c r="U91" s="28"/>
      <c r="V91" s="28"/>
      <c r="W91" s="28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72" t="s">
        <v>21</v>
      </c>
      <c r="B92" s="72" t="s">
        <v>33</v>
      </c>
      <c r="C92" s="72" t="s">
        <v>34</v>
      </c>
      <c r="D92" s="72" t="s">
        <v>40</v>
      </c>
      <c r="E92" s="72" t="s">
        <v>25</v>
      </c>
      <c r="F92" s="72" t="s">
        <v>57</v>
      </c>
      <c r="G92" s="72" t="s">
        <v>25</v>
      </c>
      <c r="H92" s="72" t="s">
        <v>25</v>
      </c>
      <c r="I92" s="82">
        <v>44348</v>
      </c>
      <c r="J92" s="83">
        <f ca="1">EFEITO!$J$92*EFEITO!$Y$92</f>
        <v>143114.75975227563</v>
      </c>
      <c r="K92" s="83">
        <f>EFEITO!$L$92*EFEITO!$Z$92</f>
        <v>0</v>
      </c>
      <c r="L92" s="83">
        <f>EFEITO!$N$92*EFEITO!$AA$92</f>
        <v>0</v>
      </c>
      <c r="M92" s="83">
        <f ca="1">$J$92-EFEITO!$K$92*EFEITO!$Y$92</f>
        <v>71557.379876137813</v>
      </c>
      <c r="N92" s="83">
        <f>$K$92-EFEITO!$M$92*EFEITO!$Z$92</f>
        <v>0</v>
      </c>
      <c r="O92" s="83">
        <f>$L$92-EFEITO!$O$92*EFEITO!$AA$92</f>
        <v>0</v>
      </c>
      <c r="P92" s="28"/>
      <c r="Q92" s="28"/>
      <c r="R92" s="28"/>
      <c r="S92" s="28"/>
      <c r="T92" s="28"/>
      <c r="U92" s="28"/>
      <c r="V92" s="28"/>
      <c r="W92" s="28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72" t="s">
        <v>21</v>
      </c>
      <c r="B93" s="72" t="s">
        <v>33</v>
      </c>
      <c r="C93" s="72" t="s">
        <v>34</v>
      </c>
      <c r="D93" s="72" t="s">
        <v>40</v>
      </c>
      <c r="E93" s="72" t="s">
        <v>25</v>
      </c>
      <c r="F93" s="72" t="s">
        <v>57</v>
      </c>
      <c r="G93" s="72" t="s">
        <v>25</v>
      </c>
      <c r="H93" s="72" t="s">
        <v>25</v>
      </c>
      <c r="I93" s="82">
        <v>44378</v>
      </c>
      <c r="J93" s="83">
        <f ca="1">EFEITO!$J$93*EFEITO!$Y$93</f>
        <v>159294.40042357019</v>
      </c>
      <c r="K93" s="83">
        <f>EFEITO!$L$93*EFEITO!$Z$93</f>
        <v>0</v>
      </c>
      <c r="L93" s="83">
        <f>EFEITO!$N$93*EFEITO!$AA$93</f>
        <v>0</v>
      </c>
      <c r="M93" s="83">
        <f ca="1">$J$93-EFEITO!$K$93*EFEITO!$Y$93</f>
        <v>79647.200211785093</v>
      </c>
      <c r="N93" s="83">
        <f>$K$93-EFEITO!$M$93*EFEITO!$Z$93</f>
        <v>0</v>
      </c>
      <c r="O93" s="83">
        <f>$L$93-EFEITO!$O$93*EFEITO!$AA$93</f>
        <v>0</v>
      </c>
      <c r="P93" s="28"/>
      <c r="Q93" s="28"/>
      <c r="R93" s="28"/>
      <c r="S93" s="28"/>
      <c r="T93" s="28"/>
      <c r="U93" s="28"/>
      <c r="V93" s="28"/>
      <c r="W93" s="28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72" t="s">
        <v>21</v>
      </c>
      <c r="B94" s="72" t="s">
        <v>33</v>
      </c>
      <c r="C94" s="72" t="s">
        <v>34</v>
      </c>
      <c r="D94" s="72" t="s">
        <v>40</v>
      </c>
      <c r="E94" s="72" t="s">
        <v>25</v>
      </c>
      <c r="F94" s="72" t="s">
        <v>57</v>
      </c>
      <c r="G94" s="72" t="s">
        <v>25</v>
      </c>
      <c r="H94" s="72" t="s">
        <v>25</v>
      </c>
      <c r="I94" s="82">
        <v>44409</v>
      </c>
      <c r="J94" s="83">
        <f ca="1">EFEITO!$J$94*EFEITO!$Y$94</f>
        <v>159294.40042357019</v>
      </c>
      <c r="K94" s="83">
        <f>EFEITO!$L$94*EFEITO!$Z$94</f>
        <v>0</v>
      </c>
      <c r="L94" s="83">
        <f>EFEITO!$N$94*EFEITO!$AA$94</f>
        <v>0</v>
      </c>
      <c r="M94" s="83">
        <f ca="1">$J$94-EFEITO!$K$94*EFEITO!$Y$94</f>
        <v>79647.200211785093</v>
      </c>
      <c r="N94" s="83">
        <f>$K$94-EFEITO!$M$94*EFEITO!$Z$94</f>
        <v>0</v>
      </c>
      <c r="O94" s="83">
        <f>$L$94-EFEITO!$O$94*EFEITO!$AA$94</f>
        <v>0</v>
      </c>
      <c r="P94" s="28"/>
      <c r="Q94" s="28"/>
      <c r="R94" s="28"/>
      <c r="S94" s="28"/>
      <c r="T94" s="28"/>
      <c r="U94" s="28"/>
      <c r="V94" s="28"/>
      <c r="W94" s="28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72" t="s">
        <v>21</v>
      </c>
      <c r="B95" s="72" t="s">
        <v>33</v>
      </c>
      <c r="C95" s="72" t="s">
        <v>34</v>
      </c>
      <c r="D95" s="72" t="s">
        <v>40</v>
      </c>
      <c r="E95" s="72" t="s">
        <v>25</v>
      </c>
      <c r="F95" s="72" t="s">
        <v>57</v>
      </c>
      <c r="G95" s="72" t="s">
        <v>25</v>
      </c>
      <c r="H95" s="72" t="s">
        <v>25</v>
      </c>
      <c r="I95" s="82">
        <v>44440</v>
      </c>
      <c r="J95" s="83">
        <f ca="1">EFEITO!$J$95*EFEITO!$Y$95</f>
        <v>162346.84809660824</v>
      </c>
      <c r="K95" s="83">
        <f>EFEITO!$L$95*EFEITO!$Z$95</f>
        <v>0</v>
      </c>
      <c r="L95" s="83">
        <f>EFEITO!$N$95*EFEITO!$AA$95</f>
        <v>0</v>
      </c>
      <c r="M95" s="83">
        <f ca="1">$J$95-EFEITO!$K$95*EFEITO!$Y$95</f>
        <v>81173.424048304121</v>
      </c>
      <c r="N95" s="83">
        <f>$K$95-EFEITO!$M$95*EFEITO!$Z$95</f>
        <v>0</v>
      </c>
      <c r="O95" s="83">
        <f>$L$95-EFEITO!$O$95*EFEITO!$AA$95</f>
        <v>0</v>
      </c>
      <c r="P95" s="28"/>
      <c r="Q95" s="28"/>
      <c r="R95" s="28"/>
      <c r="S95" s="28"/>
      <c r="T95" s="28"/>
      <c r="U95" s="28"/>
      <c r="V95" s="28"/>
      <c r="W95" s="28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72" t="s">
        <v>21</v>
      </c>
      <c r="B96" s="72" t="s">
        <v>33</v>
      </c>
      <c r="C96" s="72" t="s">
        <v>34</v>
      </c>
      <c r="D96" s="72" t="s">
        <v>40</v>
      </c>
      <c r="E96" s="72" t="s">
        <v>25</v>
      </c>
      <c r="F96" s="72" t="s">
        <v>57</v>
      </c>
      <c r="G96" s="72" t="s">
        <v>25</v>
      </c>
      <c r="H96" s="72" t="s">
        <v>25</v>
      </c>
      <c r="I96" s="82">
        <v>44470</v>
      </c>
      <c r="J96" s="83">
        <f ca="1">EFEITO!$J$96*EFEITO!$Y$96</f>
        <v>163247.5703607834</v>
      </c>
      <c r="K96" s="83">
        <f>EFEITO!$L$96*EFEITO!$Z$96</f>
        <v>0</v>
      </c>
      <c r="L96" s="83">
        <f>EFEITO!$N$96*EFEITO!$AA$96</f>
        <v>0</v>
      </c>
      <c r="M96" s="83">
        <f ca="1">$J$96-EFEITO!$K$96*EFEITO!$Y$96</f>
        <v>81623.7851803917</v>
      </c>
      <c r="N96" s="83">
        <f>$K$96-EFEITO!$M$96*EFEITO!$Z$96</f>
        <v>0</v>
      </c>
      <c r="O96" s="83">
        <f>$L$96-EFEITO!$O$96*EFEITO!$AA$96</f>
        <v>0</v>
      </c>
      <c r="P96" s="28"/>
      <c r="Q96" s="28"/>
      <c r="R96" s="28"/>
      <c r="S96" s="28"/>
      <c r="T96" s="28"/>
      <c r="U96" s="28"/>
      <c r="V96" s="28"/>
      <c r="W96" s="28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72" t="s">
        <v>21</v>
      </c>
      <c r="B97" s="72" t="s">
        <v>33</v>
      </c>
      <c r="C97" s="72" t="s">
        <v>34</v>
      </c>
      <c r="D97" s="72" t="s">
        <v>40</v>
      </c>
      <c r="E97" s="72" t="s">
        <v>25</v>
      </c>
      <c r="F97" s="72" t="s">
        <v>57</v>
      </c>
      <c r="G97" s="72" t="s">
        <v>25</v>
      </c>
      <c r="H97" s="72" t="s">
        <v>25</v>
      </c>
      <c r="I97" s="82">
        <v>44501</v>
      </c>
      <c r="J97" s="83">
        <f ca="1">EFEITO!$J$97*EFEITO!$Y$97</f>
        <v>172421.59342182672</v>
      </c>
      <c r="K97" s="83">
        <f>EFEITO!$L$97*EFEITO!$Z$97</f>
        <v>0</v>
      </c>
      <c r="L97" s="83">
        <f>EFEITO!$N$97*EFEITO!$AA$97</f>
        <v>0</v>
      </c>
      <c r="M97" s="83">
        <f ca="1">$J$97-EFEITO!$K$97*EFEITO!$Y$97</f>
        <v>86210.796710913361</v>
      </c>
      <c r="N97" s="83">
        <f>$K$97-EFEITO!$M$97*EFEITO!$Z$97</f>
        <v>0</v>
      </c>
      <c r="O97" s="83">
        <f>$L$97-EFEITO!$O$97*EFEITO!$AA$97</f>
        <v>0</v>
      </c>
      <c r="P97" s="28"/>
      <c r="Q97" s="28"/>
      <c r="R97" s="28"/>
      <c r="S97" s="28"/>
      <c r="T97" s="28"/>
      <c r="U97" s="28"/>
      <c r="V97" s="28"/>
      <c r="W97" s="28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72" t="s">
        <v>21</v>
      </c>
      <c r="B98" s="72" t="s">
        <v>33</v>
      </c>
      <c r="C98" s="72" t="s">
        <v>34</v>
      </c>
      <c r="D98" s="72" t="s">
        <v>40</v>
      </c>
      <c r="E98" s="72" t="s">
        <v>25</v>
      </c>
      <c r="F98" s="72" t="s">
        <v>57</v>
      </c>
      <c r="G98" s="72" t="s">
        <v>25</v>
      </c>
      <c r="H98" s="72" t="s">
        <v>25</v>
      </c>
      <c r="I98" s="82">
        <v>44531</v>
      </c>
      <c r="J98" s="83">
        <f ca="1">EFEITO!$J$98*EFEITO!$Y$98</f>
        <v>172972.03480548933</v>
      </c>
      <c r="K98" s="83">
        <f>EFEITO!$L$98*EFEITO!$Z$98</f>
        <v>0</v>
      </c>
      <c r="L98" s="83">
        <f>EFEITO!$N$98*EFEITO!$AA$98</f>
        <v>0</v>
      </c>
      <c r="M98" s="83">
        <f ca="1">$J$98-EFEITO!$K$98*EFEITO!$Y$98</f>
        <v>86486.017402744663</v>
      </c>
      <c r="N98" s="83">
        <f>$K$98-EFEITO!$M$98*EFEITO!$Z$98</f>
        <v>0</v>
      </c>
      <c r="O98" s="83">
        <f>$L$98-EFEITO!$O$98*EFEITO!$AA$98</f>
        <v>0</v>
      </c>
      <c r="P98" s="28"/>
      <c r="Q98" s="28"/>
      <c r="R98" s="28"/>
      <c r="S98" s="28"/>
      <c r="T98" s="28"/>
      <c r="U98" s="28"/>
      <c r="V98" s="28"/>
      <c r="W98" s="28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72" t="s">
        <v>21</v>
      </c>
      <c r="B99" s="72" t="s">
        <v>33</v>
      </c>
      <c r="C99" s="72" t="s">
        <v>34</v>
      </c>
      <c r="D99" s="72" t="s">
        <v>40</v>
      </c>
      <c r="E99" s="72" t="s">
        <v>25</v>
      </c>
      <c r="F99" s="72" t="s">
        <v>57</v>
      </c>
      <c r="G99" s="72" t="s">
        <v>25</v>
      </c>
      <c r="H99" s="72" t="s">
        <v>25</v>
      </c>
      <c r="I99" s="82">
        <v>44562</v>
      </c>
      <c r="J99" s="83">
        <f ca="1">EFEITO!$J$99*EFEITO!$Y$99</f>
        <v>170503.38859997221</v>
      </c>
      <c r="K99" s="83">
        <f>EFEITO!$L$99*EFEITO!$Z$99</f>
        <v>0</v>
      </c>
      <c r="L99" s="83">
        <f>EFEITO!$N$99*EFEITO!$AA$99</f>
        <v>0</v>
      </c>
      <c r="M99" s="83">
        <f ca="1">$J$99-EFEITO!$K$99*EFEITO!$Y$99</f>
        <v>85251.694299986106</v>
      </c>
      <c r="N99" s="83">
        <f>$K$99-EFEITO!$M$99*EFEITO!$Z$99</f>
        <v>0</v>
      </c>
      <c r="O99" s="83">
        <f>$L$99-EFEITO!$O$99*EFEITO!$AA$99</f>
        <v>0</v>
      </c>
      <c r="P99" s="28"/>
      <c r="Q99" s="28"/>
      <c r="R99" s="28"/>
      <c r="S99" s="28"/>
      <c r="T99" s="28"/>
      <c r="U99" s="28"/>
      <c r="V99" s="28"/>
      <c r="W99" s="28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72" t="s">
        <v>21</v>
      </c>
      <c r="B100" s="72" t="s">
        <v>33</v>
      </c>
      <c r="C100" s="72" t="s">
        <v>34</v>
      </c>
      <c r="D100" s="72" t="s">
        <v>40</v>
      </c>
      <c r="E100" s="72" t="s">
        <v>25</v>
      </c>
      <c r="F100" s="72" t="s">
        <v>57</v>
      </c>
      <c r="G100" s="72" t="s">
        <v>25</v>
      </c>
      <c r="H100" s="72" t="s">
        <v>25</v>
      </c>
      <c r="I100" s="82">
        <v>44593</v>
      </c>
      <c r="J100" s="83">
        <f ca="1">EFEITO!$J$100*EFEITO!$Y$100</f>
        <v>169002.18482634693</v>
      </c>
      <c r="K100" s="83">
        <f>EFEITO!$L$100*EFEITO!$Z$100</f>
        <v>0</v>
      </c>
      <c r="L100" s="83">
        <f>EFEITO!$N$100*EFEITO!$AA$100</f>
        <v>0</v>
      </c>
      <c r="M100" s="83">
        <f ca="1">$J$100-EFEITO!$K$100*EFEITO!$Y$100</f>
        <v>84501.092413173465</v>
      </c>
      <c r="N100" s="83">
        <f>$K$100-EFEITO!$M$100*EFEITO!$Z$100</f>
        <v>0</v>
      </c>
      <c r="O100" s="83">
        <f>$L$100-EFEITO!$O$100*EFEITO!$AA$100</f>
        <v>0</v>
      </c>
      <c r="P100" s="28"/>
      <c r="Q100" s="28"/>
      <c r="R100" s="28"/>
      <c r="S100" s="28"/>
      <c r="T100" s="28"/>
      <c r="U100" s="28"/>
      <c r="V100" s="28"/>
      <c r="W100" s="28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72" t="s">
        <v>21</v>
      </c>
      <c r="B101" s="72" t="s">
        <v>33</v>
      </c>
      <c r="C101" s="72" t="s">
        <v>34</v>
      </c>
      <c r="D101" s="72" t="s">
        <v>40</v>
      </c>
      <c r="E101" s="72" t="s">
        <v>25</v>
      </c>
      <c r="F101" s="72" t="s">
        <v>57</v>
      </c>
      <c r="G101" s="72" t="s">
        <v>25</v>
      </c>
      <c r="H101" s="72" t="s">
        <v>25</v>
      </c>
      <c r="I101" s="82">
        <v>44621</v>
      </c>
      <c r="J101" s="83">
        <f ca="1">EFEITO!$J$101*EFEITO!$Y$101</f>
        <v>172021.27241552665</v>
      </c>
      <c r="K101" s="83">
        <f>EFEITO!$L$101*EFEITO!$Z$101</f>
        <v>0</v>
      </c>
      <c r="L101" s="83">
        <f>EFEITO!$N$101*EFEITO!$AA$101</f>
        <v>0</v>
      </c>
      <c r="M101" s="83">
        <f ca="1">$J$101-EFEITO!$K$101*EFEITO!$Y$101</f>
        <v>86010.636207763324</v>
      </c>
      <c r="N101" s="83">
        <f>$K$101-EFEITO!$M$101*EFEITO!$Z$101</f>
        <v>0</v>
      </c>
      <c r="O101" s="83">
        <f>$L$101-EFEITO!$O$101*EFEITO!$AA$101</f>
        <v>0</v>
      </c>
      <c r="P101" s="28"/>
      <c r="Q101" s="28"/>
      <c r="R101" s="28"/>
      <c r="S101" s="28"/>
      <c r="T101" s="28"/>
      <c r="U101" s="28"/>
      <c r="V101" s="28"/>
      <c r="W101" s="28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72" t="s">
        <v>59</v>
      </c>
      <c r="B102" s="72" t="s">
        <v>33</v>
      </c>
      <c r="C102" s="72" t="s">
        <v>34</v>
      </c>
      <c r="D102" s="72" t="s">
        <v>40</v>
      </c>
      <c r="E102" s="72" t="s">
        <v>25</v>
      </c>
      <c r="F102" s="72" t="s">
        <v>57</v>
      </c>
      <c r="G102" s="72" t="s">
        <v>25</v>
      </c>
      <c r="H102" s="72" t="s">
        <v>25</v>
      </c>
      <c r="I102" s="82">
        <v>44652</v>
      </c>
      <c r="J102" s="83">
        <f ca="1">EFEITO!$J$102*EFEITO!$Y$102</f>
        <v>172021.27241552665</v>
      </c>
      <c r="K102" s="83">
        <f>EFEITO!$L$102*EFEITO!$Z$102</f>
        <v>0</v>
      </c>
      <c r="L102" s="83">
        <f>EFEITO!$N$102*EFEITO!$AA$102</f>
        <v>0</v>
      </c>
      <c r="M102" s="83">
        <f ca="1">$J$102-EFEITO!$K$102*EFEITO!$Y$102</f>
        <v>86010.636207763324</v>
      </c>
      <c r="N102" s="83">
        <f>$K$102-EFEITO!$M$102*EFEITO!$Z$102</f>
        <v>0</v>
      </c>
      <c r="O102" s="83">
        <f>$L$102-EFEITO!$O$102*EFEITO!$AA$102</f>
        <v>0</v>
      </c>
      <c r="P102" s="28"/>
      <c r="Q102" s="28"/>
      <c r="R102" s="28"/>
      <c r="S102" s="28"/>
      <c r="T102" s="28"/>
      <c r="U102" s="28"/>
      <c r="V102" s="28"/>
      <c r="W102" s="28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72" t="s">
        <v>21</v>
      </c>
      <c r="B103" s="72" t="s">
        <v>33</v>
      </c>
      <c r="C103" s="72" t="s">
        <v>34</v>
      </c>
      <c r="D103" s="72" t="s">
        <v>40</v>
      </c>
      <c r="E103" s="72" t="s">
        <v>25</v>
      </c>
      <c r="F103" s="72" t="s">
        <v>57</v>
      </c>
      <c r="G103" s="72" t="s">
        <v>25</v>
      </c>
      <c r="H103" s="72" t="s">
        <v>35</v>
      </c>
      <c r="I103" s="82">
        <v>44317</v>
      </c>
      <c r="J103" s="83">
        <f>EFEITO!$J$103*EFEITO!$Y$103</f>
        <v>0</v>
      </c>
      <c r="K103" s="83">
        <f ca="1">EFEITO!$L$103*EFEITO!$Z$103</f>
        <v>161382.22565914891</v>
      </c>
      <c r="L103" s="83">
        <f>EFEITO!$N$103*EFEITO!$AA$103</f>
        <v>0</v>
      </c>
      <c r="M103" s="83">
        <f>$J$103-EFEITO!$K$103*EFEITO!$Y$103</f>
        <v>0</v>
      </c>
      <c r="N103" s="83">
        <f ca="1">$K$103-EFEITO!$M$103*EFEITO!$Z$103</f>
        <v>80691.112829574457</v>
      </c>
      <c r="O103" s="83">
        <f>$L$103-EFEITO!$O$103*EFEITO!$AA$103</f>
        <v>0</v>
      </c>
      <c r="P103" s="28"/>
      <c r="Q103" s="28"/>
      <c r="R103" s="28"/>
      <c r="S103" s="28"/>
      <c r="T103" s="28"/>
      <c r="U103" s="28"/>
      <c r="V103" s="28"/>
      <c r="W103" s="28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72" t="s">
        <v>21</v>
      </c>
      <c r="B104" s="72" t="s">
        <v>33</v>
      </c>
      <c r="C104" s="72" t="s">
        <v>34</v>
      </c>
      <c r="D104" s="72" t="s">
        <v>40</v>
      </c>
      <c r="E104" s="72" t="s">
        <v>25</v>
      </c>
      <c r="F104" s="72" t="s">
        <v>57</v>
      </c>
      <c r="G104" s="72" t="s">
        <v>25</v>
      </c>
      <c r="H104" s="72" t="s">
        <v>35</v>
      </c>
      <c r="I104" s="82">
        <v>44348</v>
      </c>
      <c r="J104" s="83">
        <f>EFEITO!$J$104*EFEITO!$Y$104</f>
        <v>0</v>
      </c>
      <c r="K104" s="83">
        <f ca="1">EFEITO!$L$104*EFEITO!$Z$104</f>
        <v>196986.51583778748</v>
      </c>
      <c r="L104" s="83">
        <f>EFEITO!$N$104*EFEITO!$AA$104</f>
        <v>0</v>
      </c>
      <c r="M104" s="83">
        <f>$J$104-EFEITO!$K$104*EFEITO!$Y$104</f>
        <v>0</v>
      </c>
      <c r="N104" s="83">
        <f ca="1">$K$104-EFEITO!$M$104*EFEITO!$Z$104</f>
        <v>98493.257918893738</v>
      </c>
      <c r="O104" s="83">
        <f>$L$104-EFEITO!$O$104*EFEITO!$AA$104</f>
        <v>0</v>
      </c>
      <c r="P104" s="28"/>
      <c r="Q104" s="28"/>
      <c r="R104" s="28"/>
      <c r="S104" s="28"/>
      <c r="T104" s="28"/>
      <c r="U104" s="28"/>
      <c r="V104" s="28"/>
      <c r="W104" s="28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72" t="s">
        <v>21</v>
      </c>
      <c r="B105" s="72" t="s">
        <v>33</v>
      </c>
      <c r="C105" s="72" t="s">
        <v>34</v>
      </c>
      <c r="D105" s="72" t="s">
        <v>40</v>
      </c>
      <c r="E105" s="72" t="s">
        <v>25</v>
      </c>
      <c r="F105" s="72" t="s">
        <v>57</v>
      </c>
      <c r="G105" s="72" t="s">
        <v>25</v>
      </c>
      <c r="H105" s="72" t="s">
        <v>35</v>
      </c>
      <c r="I105" s="82">
        <v>44378</v>
      </c>
      <c r="J105" s="83">
        <f>EFEITO!$J$105*EFEITO!$Y$105</f>
        <v>0</v>
      </c>
      <c r="K105" s="83">
        <f ca="1">EFEITO!$L$105*EFEITO!$Z$105</f>
        <v>238942.43797156107</v>
      </c>
      <c r="L105" s="83">
        <f>EFEITO!$N$105*EFEITO!$AA$105</f>
        <v>0</v>
      </c>
      <c r="M105" s="83">
        <f>$J$105-EFEITO!$K$105*EFEITO!$Y$105</f>
        <v>0</v>
      </c>
      <c r="N105" s="83">
        <f ca="1">$K$105-EFEITO!$M$105*EFEITO!$Z$105</f>
        <v>119471.21898578054</v>
      </c>
      <c r="O105" s="83">
        <f>$L$105-EFEITO!$O$105*EFEITO!$AA$105</f>
        <v>0</v>
      </c>
      <c r="P105" s="28"/>
      <c r="Q105" s="28"/>
      <c r="R105" s="28"/>
      <c r="S105" s="28"/>
      <c r="T105" s="28"/>
      <c r="U105" s="28"/>
      <c r="V105" s="28"/>
      <c r="W105" s="28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72" t="s">
        <v>21</v>
      </c>
      <c r="B106" s="72" t="s">
        <v>33</v>
      </c>
      <c r="C106" s="72" t="s">
        <v>34</v>
      </c>
      <c r="D106" s="72" t="s">
        <v>40</v>
      </c>
      <c r="E106" s="72" t="s">
        <v>25</v>
      </c>
      <c r="F106" s="72" t="s">
        <v>57</v>
      </c>
      <c r="G106" s="72" t="s">
        <v>25</v>
      </c>
      <c r="H106" s="72" t="s">
        <v>35</v>
      </c>
      <c r="I106" s="82">
        <v>44409</v>
      </c>
      <c r="J106" s="83">
        <f>EFEITO!$J$106*EFEITO!$Y$106</f>
        <v>0</v>
      </c>
      <c r="K106" s="83">
        <f ca="1">EFEITO!$L$106*EFEITO!$Z$106</f>
        <v>253005.8591936687</v>
      </c>
      <c r="L106" s="83">
        <f>EFEITO!$N$106*EFEITO!$AA$106</f>
        <v>0</v>
      </c>
      <c r="M106" s="83">
        <f>$J$106-EFEITO!$K$106*EFEITO!$Y$106</f>
        <v>0</v>
      </c>
      <c r="N106" s="83">
        <f ca="1">$K$106-EFEITO!$M$106*EFEITO!$Z$106</f>
        <v>126502.92959683435</v>
      </c>
      <c r="O106" s="83">
        <f>$L$106-EFEITO!$O$106*EFEITO!$AA$106</f>
        <v>0</v>
      </c>
      <c r="P106" s="28"/>
      <c r="Q106" s="28"/>
      <c r="R106" s="28"/>
      <c r="S106" s="28"/>
      <c r="T106" s="28"/>
      <c r="U106" s="28"/>
      <c r="V106" s="28"/>
      <c r="W106" s="28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72" t="s">
        <v>21</v>
      </c>
      <c r="B107" s="72" t="s">
        <v>33</v>
      </c>
      <c r="C107" s="72" t="s">
        <v>34</v>
      </c>
      <c r="D107" s="72" t="s">
        <v>40</v>
      </c>
      <c r="E107" s="72" t="s">
        <v>25</v>
      </c>
      <c r="F107" s="72" t="s">
        <v>57</v>
      </c>
      <c r="G107" s="72" t="s">
        <v>25</v>
      </c>
      <c r="H107" s="72" t="s">
        <v>35</v>
      </c>
      <c r="I107" s="82">
        <v>44440</v>
      </c>
      <c r="J107" s="83">
        <f>EFEITO!$J$107*EFEITO!$Y$107</f>
        <v>0</v>
      </c>
      <c r="K107" s="83">
        <f ca="1">EFEITO!$L$107*EFEITO!$Z$107</f>
        <v>245613.36026479441</v>
      </c>
      <c r="L107" s="83">
        <f>EFEITO!$N$107*EFEITO!$AA$107</f>
        <v>0</v>
      </c>
      <c r="M107" s="83">
        <f>$J$107-EFEITO!$K$107*EFEITO!$Y$107</f>
        <v>0</v>
      </c>
      <c r="N107" s="83">
        <f ca="1">$K$107-EFEITO!$M$107*EFEITO!$Z$107</f>
        <v>122806.6801323972</v>
      </c>
      <c r="O107" s="83">
        <f>$L$107-EFEITO!$O$107*EFEITO!$AA$107</f>
        <v>0</v>
      </c>
      <c r="P107" s="28"/>
      <c r="Q107" s="28"/>
      <c r="R107" s="28"/>
      <c r="S107" s="28"/>
      <c r="T107" s="28"/>
      <c r="U107" s="28"/>
      <c r="V107" s="28"/>
      <c r="W107" s="28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72" t="s">
        <v>21</v>
      </c>
      <c r="B108" s="72" t="s">
        <v>33</v>
      </c>
      <c r="C108" s="72" t="s">
        <v>34</v>
      </c>
      <c r="D108" s="72" t="s">
        <v>40</v>
      </c>
      <c r="E108" s="72" t="s">
        <v>25</v>
      </c>
      <c r="F108" s="72" t="s">
        <v>57</v>
      </c>
      <c r="G108" s="72" t="s">
        <v>25</v>
      </c>
      <c r="H108" s="72" t="s">
        <v>35</v>
      </c>
      <c r="I108" s="82">
        <v>44470</v>
      </c>
      <c r="J108" s="83">
        <f>EFEITO!$J$108*EFEITO!$Y$108</f>
        <v>0</v>
      </c>
      <c r="K108" s="83">
        <f ca="1">EFEITO!$L$108*EFEITO!$Z$108</f>
        <v>239914.95533164017</v>
      </c>
      <c r="L108" s="83">
        <f>EFEITO!$N$108*EFEITO!$AA$108</f>
        <v>0</v>
      </c>
      <c r="M108" s="83">
        <f>$J$108-EFEITO!$K$108*EFEITO!$Y$108</f>
        <v>0</v>
      </c>
      <c r="N108" s="83">
        <f ca="1">$K$108-EFEITO!$M$108*EFEITO!$Z$108</f>
        <v>119957.47766582009</v>
      </c>
      <c r="O108" s="83">
        <f>$L$108-EFEITO!$O$108*EFEITO!$AA$108</f>
        <v>0</v>
      </c>
      <c r="P108" s="28"/>
      <c r="Q108" s="28"/>
      <c r="R108" s="28"/>
      <c r="S108" s="28"/>
      <c r="T108" s="28"/>
      <c r="U108" s="28"/>
      <c r="V108" s="28"/>
      <c r="W108" s="28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72" t="s">
        <v>21</v>
      </c>
      <c r="B109" s="72" t="s">
        <v>33</v>
      </c>
      <c r="C109" s="72" t="s">
        <v>34</v>
      </c>
      <c r="D109" s="72" t="s">
        <v>40</v>
      </c>
      <c r="E109" s="72" t="s">
        <v>25</v>
      </c>
      <c r="F109" s="72" t="s">
        <v>57</v>
      </c>
      <c r="G109" s="72" t="s">
        <v>25</v>
      </c>
      <c r="H109" s="72" t="s">
        <v>35</v>
      </c>
      <c r="I109" s="82">
        <v>44501</v>
      </c>
      <c r="J109" s="83">
        <f>EFEITO!$J$109*EFEITO!$Y$109</f>
        <v>0</v>
      </c>
      <c r="K109" s="83">
        <f ca="1">EFEITO!$L$109*EFEITO!$Z$109</f>
        <v>261159.96810332785</v>
      </c>
      <c r="L109" s="83">
        <f>EFEITO!$N$109*EFEITO!$AA$109</f>
        <v>0</v>
      </c>
      <c r="M109" s="83">
        <f>$J$109-EFEITO!$K$109*EFEITO!$Y$109</f>
        <v>0</v>
      </c>
      <c r="N109" s="83">
        <f ca="1">$K$109-EFEITO!$M$109*EFEITO!$Z$109</f>
        <v>130579.98405166392</v>
      </c>
      <c r="O109" s="83">
        <f>$L$109-EFEITO!$O$109*EFEITO!$AA$109</f>
        <v>0</v>
      </c>
      <c r="P109" s="28"/>
      <c r="Q109" s="28"/>
      <c r="R109" s="28"/>
      <c r="S109" s="28"/>
      <c r="T109" s="28"/>
      <c r="U109" s="28"/>
      <c r="V109" s="28"/>
      <c r="W109" s="28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72" t="s">
        <v>21</v>
      </c>
      <c r="B110" s="72" t="s">
        <v>33</v>
      </c>
      <c r="C110" s="72" t="s">
        <v>34</v>
      </c>
      <c r="D110" s="72" t="s">
        <v>40</v>
      </c>
      <c r="E110" s="72" t="s">
        <v>25</v>
      </c>
      <c r="F110" s="72" t="s">
        <v>57</v>
      </c>
      <c r="G110" s="72" t="s">
        <v>25</v>
      </c>
      <c r="H110" s="72" t="s">
        <v>35</v>
      </c>
      <c r="I110" s="82">
        <v>44531</v>
      </c>
      <c r="J110" s="83">
        <f>EFEITO!$J$110*EFEITO!$Y$110</f>
        <v>0</v>
      </c>
      <c r="K110" s="83">
        <f ca="1">EFEITO!$L$110*EFEITO!$Z$110</f>
        <v>246379.85236084065</v>
      </c>
      <c r="L110" s="83">
        <f>EFEITO!$N$110*EFEITO!$AA$110</f>
        <v>0</v>
      </c>
      <c r="M110" s="83">
        <f>$J$110-EFEITO!$K$110*EFEITO!$Y$110</f>
        <v>0</v>
      </c>
      <c r="N110" s="83">
        <f ca="1">$K$110-EFEITO!$M$110*EFEITO!$Z$110</f>
        <v>123189.92618042033</v>
      </c>
      <c r="O110" s="83">
        <f>$L$110-EFEITO!$O$110*EFEITO!$AA$110</f>
        <v>0</v>
      </c>
      <c r="P110" s="28"/>
      <c r="Q110" s="28"/>
      <c r="R110" s="28"/>
      <c r="S110" s="28"/>
      <c r="T110" s="28"/>
      <c r="U110" s="28"/>
      <c r="V110" s="28"/>
      <c r="W110" s="28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72" t="s">
        <v>21</v>
      </c>
      <c r="B111" s="72" t="s">
        <v>33</v>
      </c>
      <c r="C111" s="72" t="s">
        <v>34</v>
      </c>
      <c r="D111" s="72" t="s">
        <v>40</v>
      </c>
      <c r="E111" s="72" t="s">
        <v>25</v>
      </c>
      <c r="F111" s="72" t="s">
        <v>57</v>
      </c>
      <c r="G111" s="72" t="s">
        <v>25</v>
      </c>
      <c r="H111" s="72" t="s">
        <v>35</v>
      </c>
      <c r="I111" s="82">
        <v>44562</v>
      </c>
      <c r="J111" s="83">
        <f>EFEITO!$J$111*EFEITO!$Y$111</f>
        <v>0</v>
      </c>
      <c r="K111" s="83">
        <f ca="1">EFEITO!$L$111*EFEITO!$Z$111</f>
        <v>250339.24783786951</v>
      </c>
      <c r="L111" s="83">
        <f>EFEITO!$N$111*EFEITO!$AA$111</f>
        <v>0</v>
      </c>
      <c r="M111" s="83">
        <f>$J$111-EFEITO!$K$111*EFEITO!$Y$111</f>
        <v>0</v>
      </c>
      <c r="N111" s="83">
        <f ca="1">$K$111-EFEITO!$M$111*EFEITO!$Z$111</f>
        <v>125169.62391893475</v>
      </c>
      <c r="O111" s="83">
        <f>$L$111-EFEITO!$O$111*EFEITO!$AA$111</f>
        <v>0</v>
      </c>
      <c r="P111" s="28"/>
      <c r="Q111" s="28"/>
      <c r="R111" s="28"/>
      <c r="S111" s="28"/>
      <c r="T111" s="28"/>
      <c r="U111" s="28"/>
      <c r="V111" s="28"/>
      <c r="W111" s="28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72" t="s">
        <v>21</v>
      </c>
      <c r="B112" s="72" t="s">
        <v>33</v>
      </c>
      <c r="C112" s="72" t="s">
        <v>34</v>
      </c>
      <c r="D112" s="72" t="s">
        <v>40</v>
      </c>
      <c r="E112" s="72" t="s">
        <v>25</v>
      </c>
      <c r="F112" s="72" t="s">
        <v>57</v>
      </c>
      <c r="G112" s="72" t="s">
        <v>25</v>
      </c>
      <c r="H112" s="72" t="s">
        <v>35</v>
      </c>
      <c r="I112" s="82">
        <v>44593</v>
      </c>
      <c r="J112" s="83">
        <f>EFEITO!$J$112*EFEITO!$Y$112</f>
        <v>0</v>
      </c>
      <c r="K112" s="83">
        <f ca="1">EFEITO!$L$112*EFEITO!$Z$112</f>
        <v>236882.1853312329</v>
      </c>
      <c r="L112" s="83">
        <f>EFEITO!$N$112*EFEITO!$AA$112</f>
        <v>0</v>
      </c>
      <c r="M112" s="83">
        <f>$J$112-EFEITO!$K$112*EFEITO!$Y$112</f>
        <v>0</v>
      </c>
      <c r="N112" s="83">
        <f ca="1">$K$112-EFEITO!$M$112*EFEITO!$Z$112</f>
        <v>118441.09266561645</v>
      </c>
      <c r="O112" s="83">
        <f>$L$112-EFEITO!$O$112*EFEITO!$AA$112</f>
        <v>0</v>
      </c>
      <c r="P112" s="28"/>
      <c r="Q112" s="28"/>
      <c r="R112" s="28"/>
      <c r="S112" s="28"/>
      <c r="T112" s="28"/>
      <c r="U112" s="28"/>
      <c r="V112" s="28"/>
      <c r="W112" s="28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72" t="s">
        <v>21</v>
      </c>
      <c r="B113" s="72" t="s">
        <v>33</v>
      </c>
      <c r="C113" s="72" t="s">
        <v>34</v>
      </c>
      <c r="D113" s="72" t="s">
        <v>40</v>
      </c>
      <c r="E113" s="72" t="s">
        <v>25</v>
      </c>
      <c r="F113" s="72" t="s">
        <v>57</v>
      </c>
      <c r="G113" s="72" t="s">
        <v>25</v>
      </c>
      <c r="H113" s="72" t="s">
        <v>35</v>
      </c>
      <c r="I113" s="82">
        <v>44621</v>
      </c>
      <c r="J113" s="83">
        <f>EFEITO!$J$113*EFEITO!$Y$113</f>
        <v>0</v>
      </c>
      <c r="K113" s="83">
        <f ca="1">EFEITO!$L$113*EFEITO!$Z$113</f>
        <v>251580.28153732783</v>
      </c>
      <c r="L113" s="83">
        <f>EFEITO!$N$113*EFEITO!$AA$113</f>
        <v>0</v>
      </c>
      <c r="M113" s="83">
        <f>$J$113-EFEITO!$K$113*EFEITO!$Y$113</f>
        <v>0</v>
      </c>
      <c r="N113" s="83">
        <f ca="1">$K$113-EFEITO!$M$113*EFEITO!$Z$113</f>
        <v>125790.14076866391</v>
      </c>
      <c r="O113" s="83">
        <f>$L$113-EFEITO!$O$113*EFEITO!$AA$113</f>
        <v>0</v>
      </c>
      <c r="P113" s="28"/>
      <c r="Q113" s="28"/>
      <c r="R113" s="28"/>
      <c r="S113" s="28"/>
      <c r="T113" s="28"/>
      <c r="U113" s="28"/>
      <c r="V113" s="28"/>
      <c r="W113" s="28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72" t="s">
        <v>59</v>
      </c>
      <c r="B114" s="72" t="s">
        <v>33</v>
      </c>
      <c r="C114" s="72" t="s">
        <v>34</v>
      </c>
      <c r="D114" s="72" t="s">
        <v>40</v>
      </c>
      <c r="E114" s="72" t="s">
        <v>25</v>
      </c>
      <c r="F114" s="72" t="s">
        <v>57</v>
      </c>
      <c r="G114" s="72" t="s">
        <v>25</v>
      </c>
      <c r="H114" s="72" t="s">
        <v>35</v>
      </c>
      <c r="I114" s="82">
        <v>44652</v>
      </c>
      <c r="J114" s="83">
        <f>EFEITO!$J$114*EFEITO!$Y$114</f>
        <v>0</v>
      </c>
      <c r="K114" s="83">
        <f ca="1">EFEITO!$L$114*EFEITO!$Z$114</f>
        <v>251580.28153732783</v>
      </c>
      <c r="L114" s="83">
        <f>EFEITO!$N$114*EFEITO!$AA$114</f>
        <v>0</v>
      </c>
      <c r="M114" s="83">
        <f>$J$114-EFEITO!$K$114*EFEITO!$Y$114</f>
        <v>0</v>
      </c>
      <c r="N114" s="83">
        <f ca="1">$K$114-EFEITO!$M$114*EFEITO!$Z$114</f>
        <v>125790.14076866391</v>
      </c>
      <c r="O114" s="83">
        <f>$L$114-EFEITO!$O$114*EFEITO!$AA$114</f>
        <v>0</v>
      </c>
      <c r="P114" s="28"/>
      <c r="Q114" s="28"/>
      <c r="R114" s="28"/>
      <c r="S114" s="28"/>
      <c r="T114" s="28"/>
      <c r="U114" s="28"/>
      <c r="V114" s="28"/>
      <c r="W114" s="28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72" t="s">
        <v>21</v>
      </c>
      <c r="B115" s="72" t="s">
        <v>33</v>
      </c>
      <c r="C115" s="72" t="s">
        <v>34</v>
      </c>
      <c r="D115" s="72" t="s">
        <v>40</v>
      </c>
      <c r="E115" s="72" t="s">
        <v>25</v>
      </c>
      <c r="F115" s="72" t="s">
        <v>25</v>
      </c>
      <c r="G115" s="72" t="s">
        <v>25</v>
      </c>
      <c r="H115" s="72" t="s">
        <v>36</v>
      </c>
      <c r="I115" s="82">
        <v>44317</v>
      </c>
      <c r="J115" s="83">
        <f>EFEITO!$J$115*EFEITO!$Y$115</f>
        <v>0</v>
      </c>
      <c r="K115" s="83">
        <f ca="1">EFEITO!$L$115*EFEITO!$Z$115</f>
        <v>122084.81845117583</v>
      </c>
      <c r="L115" s="83">
        <f>EFEITO!$N$115*EFEITO!$AA$115</f>
        <v>256276.41243229315</v>
      </c>
      <c r="M115" s="83">
        <f>$J$115-EFEITO!$K$115*EFEITO!$Y$115</f>
        <v>0</v>
      </c>
      <c r="N115" s="83">
        <f ca="1">$K$115-EFEITO!$M$115*EFEITO!$Z$115</f>
        <v>0</v>
      </c>
      <c r="O115" s="83">
        <f>$L$115-EFEITO!$O$115*EFEITO!$AA$115</f>
        <v>0</v>
      </c>
      <c r="P115" s="28"/>
      <c r="Q115" s="28"/>
      <c r="R115" s="28"/>
      <c r="S115" s="28"/>
      <c r="T115" s="28"/>
      <c r="U115" s="28"/>
      <c r="V115" s="28"/>
      <c r="W115" s="28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72" t="s">
        <v>28</v>
      </c>
      <c r="B116" s="72" t="s">
        <v>33</v>
      </c>
      <c r="C116" s="72" t="s">
        <v>34</v>
      </c>
      <c r="D116" s="72" t="s">
        <v>40</v>
      </c>
      <c r="E116" s="72" t="s">
        <v>25</v>
      </c>
      <c r="F116" s="72" t="s">
        <v>25</v>
      </c>
      <c r="G116" s="72" t="s">
        <v>25</v>
      </c>
      <c r="H116" s="72" t="s">
        <v>36</v>
      </c>
      <c r="I116" s="82">
        <v>44317</v>
      </c>
      <c r="J116" s="83">
        <f>EFEITO!$J$116*EFEITO!$Y$116</f>
        <v>0</v>
      </c>
      <c r="K116" s="83">
        <f ca="1">EFEITO!$L$116*EFEITO!$Z$116</f>
        <v>1974.015622271902</v>
      </c>
      <c r="L116" s="83">
        <f>EFEITO!$N$116*EFEITO!$AA$116</f>
        <v>4143.7882955402911</v>
      </c>
      <c r="M116" s="83">
        <f>$J$116-EFEITO!$K$116*EFEITO!$Y$116</f>
        <v>0</v>
      </c>
      <c r="N116" s="83">
        <f ca="1">$K$116-EFEITO!$M$116*EFEITO!$Z$116</f>
        <v>0</v>
      </c>
      <c r="O116" s="83">
        <f>$L$116-EFEITO!$O$116*EFEITO!$AA$116</f>
        <v>0</v>
      </c>
      <c r="P116" s="28"/>
      <c r="Q116" s="28"/>
      <c r="R116" s="28"/>
      <c r="S116" s="28"/>
      <c r="T116" s="28"/>
      <c r="U116" s="28"/>
      <c r="V116" s="28"/>
      <c r="W116" s="28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72" t="s">
        <v>21</v>
      </c>
      <c r="B117" s="72" t="s">
        <v>33</v>
      </c>
      <c r="C117" s="72" t="s">
        <v>34</v>
      </c>
      <c r="D117" s="72" t="s">
        <v>40</v>
      </c>
      <c r="E117" s="72" t="s">
        <v>25</v>
      </c>
      <c r="F117" s="72" t="s">
        <v>25</v>
      </c>
      <c r="G117" s="72" t="s">
        <v>25</v>
      </c>
      <c r="H117" s="72" t="s">
        <v>36</v>
      </c>
      <c r="I117" s="82">
        <v>44348</v>
      </c>
      <c r="J117" s="83">
        <f>EFEITO!$J$117*EFEITO!$Y$117</f>
        <v>0</v>
      </c>
      <c r="K117" s="83">
        <f ca="1">EFEITO!$L$117*EFEITO!$Z$117</f>
        <v>73981.834777280979</v>
      </c>
      <c r="L117" s="83">
        <f>EFEITO!$N$117*EFEITO!$AA$117</f>
        <v>155300.22030923227</v>
      </c>
      <c r="M117" s="83">
        <f>$J$117-EFEITO!$K$117*EFEITO!$Y$117</f>
        <v>0</v>
      </c>
      <c r="N117" s="83">
        <f ca="1">$K$117-EFEITO!$M$117*EFEITO!$Z$117</f>
        <v>0</v>
      </c>
      <c r="O117" s="83">
        <f>$L$117-EFEITO!$O$117*EFEITO!$AA$117</f>
        <v>0</v>
      </c>
      <c r="P117" s="28"/>
      <c r="Q117" s="28"/>
      <c r="R117" s="28"/>
      <c r="S117" s="28"/>
      <c r="T117" s="28"/>
      <c r="U117" s="28"/>
      <c r="V117" s="28"/>
      <c r="W117" s="28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72" t="s">
        <v>28</v>
      </c>
      <c r="B118" s="72" t="s">
        <v>33</v>
      </c>
      <c r="C118" s="72" t="s">
        <v>34</v>
      </c>
      <c r="D118" s="72" t="s">
        <v>40</v>
      </c>
      <c r="E118" s="72" t="s">
        <v>25</v>
      </c>
      <c r="F118" s="72" t="s">
        <v>25</v>
      </c>
      <c r="G118" s="72" t="s">
        <v>25</v>
      </c>
      <c r="H118" s="72" t="s">
        <v>36</v>
      </c>
      <c r="I118" s="82">
        <v>44348</v>
      </c>
      <c r="J118" s="83">
        <f>EFEITO!$J$118*EFEITO!$Y$118</f>
        <v>0</v>
      </c>
      <c r="K118" s="83">
        <f ca="1">EFEITO!$L$118*EFEITO!$Z$118</f>
        <v>1973.5138899563592</v>
      </c>
      <c r="L118" s="83">
        <f>EFEITO!$N$118*EFEITO!$AA$118</f>
        <v>4142.7350756603755</v>
      </c>
      <c r="M118" s="83">
        <f>$J$118-EFEITO!$K$118*EFEITO!$Y$118</f>
        <v>0</v>
      </c>
      <c r="N118" s="83">
        <f ca="1">$K$118-EFEITO!$M$118*EFEITO!$Z$118</f>
        <v>0</v>
      </c>
      <c r="O118" s="83">
        <f>$L$118-EFEITO!$O$118*EFEITO!$AA$118</f>
        <v>0</v>
      </c>
      <c r="P118" s="28"/>
      <c r="Q118" s="28"/>
      <c r="R118" s="28"/>
      <c r="S118" s="28"/>
      <c r="T118" s="28"/>
      <c r="U118" s="28"/>
      <c r="V118" s="28"/>
      <c r="W118" s="28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72" t="s">
        <v>21</v>
      </c>
      <c r="B119" s="72" t="s">
        <v>33</v>
      </c>
      <c r="C119" s="72" t="s">
        <v>34</v>
      </c>
      <c r="D119" s="72" t="s">
        <v>40</v>
      </c>
      <c r="E119" s="72" t="s">
        <v>25</v>
      </c>
      <c r="F119" s="72" t="s">
        <v>25</v>
      </c>
      <c r="G119" s="72" t="s">
        <v>25</v>
      </c>
      <c r="H119" s="72" t="s">
        <v>36</v>
      </c>
      <c r="I119" s="82">
        <v>44378</v>
      </c>
      <c r="J119" s="83">
        <f>EFEITO!$J$119*EFEITO!$Y$119</f>
        <v>0</v>
      </c>
      <c r="K119" s="83">
        <f ca="1">EFEITO!$L$119*EFEITO!$Z$119</f>
        <v>53780.385863651842</v>
      </c>
      <c r="L119" s="83">
        <f>EFEITO!$N$119*EFEITO!$AA$119</f>
        <v>112894.00699623486</v>
      </c>
      <c r="M119" s="83">
        <f>$J$119-EFEITO!$K$119*EFEITO!$Y$119</f>
        <v>0</v>
      </c>
      <c r="N119" s="83">
        <f ca="1">$K$119-EFEITO!$M$119*EFEITO!$Z$119</f>
        <v>0</v>
      </c>
      <c r="O119" s="83">
        <f>$L$119-EFEITO!$O$119*EFEITO!$AA$119</f>
        <v>0</v>
      </c>
      <c r="P119" s="28"/>
      <c r="Q119" s="28"/>
      <c r="R119" s="28"/>
      <c r="S119" s="28"/>
      <c r="T119" s="28"/>
      <c r="U119" s="28"/>
      <c r="V119" s="28"/>
      <c r="W119" s="28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72" t="s">
        <v>28</v>
      </c>
      <c r="B120" s="72" t="s">
        <v>33</v>
      </c>
      <c r="C120" s="72" t="s">
        <v>34</v>
      </c>
      <c r="D120" s="72" t="s">
        <v>40</v>
      </c>
      <c r="E120" s="72" t="s">
        <v>25</v>
      </c>
      <c r="F120" s="72" t="s">
        <v>25</v>
      </c>
      <c r="G120" s="72" t="s">
        <v>25</v>
      </c>
      <c r="H120" s="72" t="s">
        <v>36</v>
      </c>
      <c r="I120" s="82">
        <v>44378</v>
      </c>
      <c r="J120" s="83">
        <f>EFEITO!$J$120*EFEITO!$Y$120</f>
        <v>0</v>
      </c>
      <c r="K120" s="83">
        <f ca="1">EFEITO!$L$120*EFEITO!$Z$120</f>
        <v>2787.0226663775825</v>
      </c>
      <c r="L120" s="83">
        <f>EFEITO!$N$120*EFEITO!$AA$120</f>
        <v>5850.4257889556748</v>
      </c>
      <c r="M120" s="83">
        <f>$J$120-EFEITO!$K$120*EFEITO!$Y$120</f>
        <v>0</v>
      </c>
      <c r="N120" s="83">
        <f ca="1">$K$120-EFEITO!$M$120*EFEITO!$Z$120</f>
        <v>0</v>
      </c>
      <c r="O120" s="83">
        <f>$L$120-EFEITO!$O$120*EFEITO!$AA$120</f>
        <v>0</v>
      </c>
      <c r="P120" s="28"/>
      <c r="Q120" s="28"/>
      <c r="R120" s="28"/>
      <c r="S120" s="28"/>
      <c r="T120" s="28"/>
      <c r="U120" s="28"/>
      <c r="V120" s="28"/>
      <c r="W120" s="28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72" t="s">
        <v>21</v>
      </c>
      <c r="B121" s="72" t="s">
        <v>33</v>
      </c>
      <c r="C121" s="72" t="s">
        <v>34</v>
      </c>
      <c r="D121" s="72" t="s">
        <v>40</v>
      </c>
      <c r="E121" s="72" t="s">
        <v>25</v>
      </c>
      <c r="F121" s="72" t="s">
        <v>25</v>
      </c>
      <c r="G121" s="72" t="s">
        <v>25</v>
      </c>
      <c r="H121" s="72" t="s">
        <v>36</v>
      </c>
      <c r="I121" s="82">
        <v>44409</v>
      </c>
      <c r="J121" s="83">
        <f>EFEITO!$J$121*EFEITO!$Y$121</f>
        <v>0</v>
      </c>
      <c r="K121" s="83">
        <f ca="1">EFEITO!$L$121*EFEITO!$Z$121</f>
        <v>58035.677978234096</v>
      </c>
      <c r="L121" s="83">
        <f>EFEITO!$N$121*EFEITO!$AA$121</f>
        <v>121826.5754417758</v>
      </c>
      <c r="M121" s="83">
        <f>$J$121-EFEITO!$K$121*EFEITO!$Y$121</f>
        <v>0</v>
      </c>
      <c r="N121" s="83">
        <f ca="1">$K$121-EFEITO!$M$121*EFEITO!$Z$121</f>
        <v>0</v>
      </c>
      <c r="O121" s="83">
        <f>$L$121-EFEITO!$O$121*EFEITO!$AA$121</f>
        <v>0</v>
      </c>
      <c r="P121" s="28"/>
      <c r="Q121" s="28"/>
      <c r="R121" s="28"/>
      <c r="S121" s="28"/>
      <c r="T121" s="28"/>
      <c r="U121" s="28"/>
      <c r="V121" s="28"/>
      <c r="W121" s="28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72" t="s">
        <v>28</v>
      </c>
      <c r="B122" s="72" t="s">
        <v>33</v>
      </c>
      <c r="C122" s="72" t="s">
        <v>34</v>
      </c>
      <c r="D122" s="72" t="s">
        <v>40</v>
      </c>
      <c r="E122" s="72" t="s">
        <v>25</v>
      </c>
      <c r="F122" s="72" t="s">
        <v>25</v>
      </c>
      <c r="G122" s="72" t="s">
        <v>25</v>
      </c>
      <c r="H122" s="72" t="s">
        <v>36</v>
      </c>
      <c r="I122" s="82">
        <v>44409</v>
      </c>
      <c r="J122" s="83">
        <f>EFEITO!$J$122*EFEITO!$Y$122</f>
        <v>0</v>
      </c>
      <c r="K122" s="83">
        <f ca="1">EFEITO!$L$122*EFEITO!$Z$122</f>
        <v>5263.1719900447979</v>
      </c>
      <c r="L122" s="83">
        <f>EFEITO!$N$122*EFEITO!$AA$122</f>
        <v>11048.276540315588</v>
      </c>
      <c r="M122" s="83">
        <f>$J$122-EFEITO!$K$122*EFEITO!$Y$122</f>
        <v>0</v>
      </c>
      <c r="N122" s="83">
        <f ca="1">$K$122-EFEITO!$M$122*EFEITO!$Z$122</f>
        <v>0</v>
      </c>
      <c r="O122" s="83">
        <f>$L$122-EFEITO!$O$122*EFEITO!$AA$122</f>
        <v>0</v>
      </c>
      <c r="P122" s="28"/>
      <c r="Q122" s="28"/>
      <c r="R122" s="28"/>
      <c r="S122" s="28"/>
      <c r="T122" s="28"/>
      <c r="U122" s="28"/>
      <c r="V122" s="28"/>
      <c r="W122" s="28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72" t="s">
        <v>21</v>
      </c>
      <c r="B123" s="72" t="s">
        <v>33</v>
      </c>
      <c r="C123" s="72" t="s">
        <v>34</v>
      </c>
      <c r="D123" s="72" t="s">
        <v>40</v>
      </c>
      <c r="E123" s="72" t="s">
        <v>25</v>
      </c>
      <c r="F123" s="72" t="s">
        <v>25</v>
      </c>
      <c r="G123" s="72" t="s">
        <v>25</v>
      </c>
      <c r="H123" s="72" t="s">
        <v>36</v>
      </c>
      <c r="I123" s="82">
        <v>44440</v>
      </c>
      <c r="J123" s="83">
        <f>EFEITO!$J$123*EFEITO!$Y$123</f>
        <v>0</v>
      </c>
      <c r="K123" s="83">
        <f ca="1">EFEITO!$L$123*EFEITO!$Z$123</f>
        <v>57410.920898920107</v>
      </c>
      <c r="L123" s="83">
        <f>EFEITO!$N$123*EFEITO!$AA$123</f>
        <v>120515.10604730478</v>
      </c>
      <c r="M123" s="83">
        <f>$J$123-EFEITO!$K$123*EFEITO!$Y$123</f>
        <v>0</v>
      </c>
      <c r="N123" s="83">
        <f ca="1">$K$123-EFEITO!$M$123*EFEITO!$Z$123</f>
        <v>0</v>
      </c>
      <c r="O123" s="83">
        <f>$L$123-EFEITO!$O$123*EFEITO!$AA$123</f>
        <v>0</v>
      </c>
      <c r="P123" s="28"/>
      <c r="Q123" s="28"/>
      <c r="R123" s="28"/>
      <c r="S123" s="28"/>
      <c r="T123" s="28"/>
      <c r="U123" s="28"/>
      <c r="V123" s="28"/>
      <c r="W123" s="28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72" t="s">
        <v>28</v>
      </c>
      <c r="B124" s="72" t="s">
        <v>33</v>
      </c>
      <c r="C124" s="72" t="s">
        <v>34</v>
      </c>
      <c r="D124" s="72" t="s">
        <v>40</v>
      </c>
      <c r="E124" s="72" t="s">
        <v>25</v>
      </c>
      <c r="F124" s="72" t="s">
        <v>25</v>
      </c>
      <c r="G124" s="72" t="s">
        <v>25</v>
      </c>
      <c r="H124" s="72" t="s">
        <v>36</v>
      </c>
      <c r="I124" s="82">
        <v>44440</v>
      </c>
      <c r="J124" s="83">
        <f>EFEITO!$J$124*EFEITO!$Y$124</f>
        <v>0</v>
      </c>
      <c r="K124" s="83">
        <f ca="1">EFEITO!$L$124*EFEITO!$Z$124</f>
        <v>1980.7388353001766</v>
      </c>
      <c r="L124" s="83">
        <f>EFEITO!$N$124*EFEITO!$AA$124</f>
        <v>4157.9014419311616</v>
      </c>
      <c r="M124" s="83">
        <f>$J$124-EFEITO!$K$124*EFEITO!$Y$124</f>
        <v>0</v>
      </c>
      <c r="N124" s="83">
        <f ca="1">$K$124-EFEITO!$M$124*EFEITO!$Z$124</f>
        <v>0</v>
      </c>
      <c r="O124" s="83">
        <f>$L$124-EFEITO!$O$124*EFEITO!$AA$124</f>
        <v>0</v>
      </c>
      <c r="P124" s="28"/>
      <c r="Q124" s="28"/>
      <c r="R124" s="28"/>
      <c r="S124" s="28"/>
      <c r="T124" s="28"/>
      <c r="U124" s="28"/>
      <c r="V124" s="28"/>
      <c r="W124" s="28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72" t="s">
        <v>21</v>
      </c>
      <c r="B125" s="72" t="s">
        <v>33</v>
      </c>
      <c r="C125" s="72" t="s">
        <v>34</v>
      </c>
      <c r="D125" s="72" t="s">
        <v>40</v>
      </c>
      <c r="E125" s="72" t="s">
        <v>25</v>
      </c>
      <c r="F125" s="72" t="s">
        <v>25</v>
      </c>
      <c r="G125" s="72" t="s">
        <v>25</v>
      </c>
      <c r="H125" s="72" t="s">
        <v>36</v>
      </c>
      <c r="I125" s="82">
        <v>44470</v>
      </c>
      <c r="J125" s="83">
        <f>EFEITO!$J$125*EFEITO!$Y$125</f>
        <v>0</v>
      </c>
      <c r="K125" s="83">
        <f ca="1">EFEITO!$L$125*EFEITO!$Z$125</f>
        <v>56927.752679052319</v>
      </c>
      <c r="L125" s="83">
        <f>EFEITO!$N$125*EFEITO!$AA$125</f>
        <v>119500.85530294599</v>
      </c>
      <c r="M125" s="83">
        <f>$J$125-EFEITO!$K$125*EFEITO!$Y$125</f>
        <v>0</v>
      </c>
      <c r="N125" s="83">
        <f ca="1">$K$125-EFEITO!$M$125*EFEITO!$Z$125</f>
        <v>0</v>
      </c>
      <c r="O125" s="83">
        <f>$L$125-EFEITO!$O$125*EFEITO!$AA$125</f>
        <v>0</v>
      </c>
      <c r="P125" s="28"/>
      <c r="Q125" s="28"/>
      <c r="R125" s="28"/>
      <c r="S125" s="28"/>
      <c r="T125" s="28"/>
      <c r="U125" s="28"/>
      <c r="V125" s="28"/>
      <c r="W125" s="28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72" t="s">
        <v>28</v>
      </c>
      <c r="B126" s="72" t="s">
        <v>33</v>
      </c>
      <c r="C126" s="72" t="s">
        <v>34</v>
      </c>
      <c r="D126" s="72" t="s">
        <v>40</v>
      </c>
      <c r="E126" s="72" t="s">
        <v>25</v>
      </c>
      <c r="F126" s="72" t="s">
        <v>25</v>
      </c>
      <c r="G126" s="72" t="s">
        <v>25</v>
      </c>
      <c r="H126" s="72" t="s">
        <v>36</v>
      </c>
      <c r="I126" s="82">
        <v>44470</v>
      </c>
      <c r="J126" s="83">
        <f>EFEITO!$J$126*EFEITO!$Y$126</f>
        <v>0</v>
      </c>
      <c r="K126" s="83">
        <f ca="1">EFEITO!$L$126*EFEITO!$Z$126</f>
        <v>2907.1373827185475</v>
      </c>
      <c r="L126" s="83">
        <f>EFEITO!$N$126*EFEITO!$AA$126</f>
        <v>6102.5666282074908</v>
      </c>
      <c r="M126" s="83">
        <f>$J$126-EFEITO!$K$126*EFEITO!$Y$126</f>
        <v>0</v>
      </c>
      <c r="N126" s="83">
        <f ca="1">$K$126-EFEITO!$M$126*EFEITO!$Z$126</f>
        <v>0</v>
      </c>
      <c r="O126" s="83">
        <f>$L$126-EFEITO!$O$126*EFEITO!$AA$126</f>
        <v>0</v>
      </c>
      <c r="P126" s="28"/>
      <c r="Q126" s="28"/>
      <c r="R126" s="28"/>
      <c r="S126" s="28"/>
      <c r="T126" s="28"/>
      <c r="U126" s="28"/>
      <c r="V126" s="28"/>
      <c r="W126" s="28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72" t="s">
        <v>21</v>
      </c>
      <c r="B127" s="72" t="s">
        <v>33</v>
      </c>
      <c r="C127" s="72" t="s">
        <v>34</v>
      </c>
      <c r="D127" s="72" t="s">
        <v>40</v>
      </c>
      <c r="E127" s="72" t="s">
        <v>25</v>
      </c>
      <c r="F127" s="72" t="s">
        <v>25</v>
      </c>
      <c r="G127" s="72" t="s">
        <v>25</v>
      </c>
      <c r="H127" s="72" t="s">
        <v>36</v>
      </c>
      <c r="I127" s="82">
        <v>44501</v>
      </c>
      <c r="J127" s="83">
        <f>EFEITO!$J$127*EFEITO!$Y$127</f>
        <v>0</v>
      </c>
      <c r="K127" s="83">
        <f ca="1">EFEITO!$L$127*EFEITO!$Z$127</f>
        <v>43702.289534268253</v>
      </c>
      <c r="L127" s="83">
        <f>EFEITO!$N$127*EFEITO!$AA$127</f>
        <v>91738.400556320368</v>
      </c>
      <c r="M127" s="83">
        <f>$J$127-EFEITO!$K$127*EFEITO!$Y$127</f>
        <v>0</v>
      </c>
      <c r="N127" s="83">
        <f ca="1">$K$127-EFEITO!$M$127*EFEITO!$Z$127</f>
        <v>0</v>
      </c>
      <c r="O127" s="83">
        <f>$L$127-EFEITO!$O$127*EFEITO!$AA$127</f>
        <v>0</v>
      </c>
      <c r="P127" s="28"/>
      <c r="Q127" s="28"/>
      <c r="R127" s="28"/>
      <c r="S127" s="28"/>
      <c r="T127" s="28"/>
      <c r="U127" s="28"/>
      <c r="V127" s="28"/>
      <c r="W127" s="28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72" t="s">
        <v>28</v>
      </c>
      <c r="B128" s="72" t="s">
        <v>33</v>
      </c>
      <c r="C128" s="72" t="s">
        <v>34</v>
      </c>
      <c r="D128" s="72" t="s">
        <v>40</v>
      </c>
      <c r="E128" s="72" t="s">
        <v>25</v>
      </c>
      <c r="F128" s="72" t="s">
        <v>25</v>
      </c>
      <c r="G128" s="72" t="s">
        <v>25</v>
      </c>
      <c r="H128" s="72" t="s">
        <v>36</v>
      </c>
      <c r="I128" s="82">
        <v>44501</v>
      </c>
      <c r="J128" s="83">
        <f>EFEITO!$J$128*EFEITO!$Y$128</f>
        <v>0</v>
      </c>
      <c r="K128" s="83">
        <f ca="1">EFEITO!$L$128*EFEITO!$Z$128</f>
        <v>2854.6561825127624</v>
      </c>
      <c r="L128" s="83">
        <f>EFEITO!$N$128*EFEITO!$AA$128</f>
        <v>5992.3998287683098</v>
      </c>
      <c r="M128" s="83">
        <f>$J$128-EFEITO!$K$128*EFEITO!$Y$128</f>
        <v>0</v>
      </c>
      <c r="N128" s="83">
        <f ca="1">$K$128-EFEITO!$M$128*EFEITO!$Z$128</f>
        <v>0</v>
      </c>
      <c r="O128" s="83">
        <f>$L$128-EFEITO!$O$128*EFEITO!$AA$128</f>
        <v>0</v>
      </c>
      <c r="P128" s="28"/>
      <c r="Q128" s="28"/>
      <c r="R128" s="28"/>
      <c r="S128" s="28"/>
      <c r="T128" s="28"/>
      <c r="U128" s="28"/>
      <c r="V128" s="28"/>
      <c r="W128" s="28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72" t="s">
        <v>21</v>
      </c>
      <c r="B129" s="72" t="s">
        <v>33</v>
      </c>
      <c r="C129" s="72" t="s">
        <v>34</v>
      </c>
      <c r="D129" s="72" t="s">
        <v>40</v>
      </c>
      <c r="E129" s="72" t="s">
        <v>25</v>
      </c>
      <c r="F129" s="72" t="s">
        <v>25</v>
      </c>
      <c r="G129" s="72" t="s">
        <v>25</v>
      </c>
      <c r="H129" s="72" t="s">
        <v>36</v>
      </c>
      <c r="I129" s="82">
        <v>44531</v>
      </c>
      <c r="J129" s="83">
        <f>EFEITO!$J$129*EFEITO!$Y$129</f>
        <v>0</v>
      </c>
      <c r="K129" s="83">
        <f ca="1">EFEITO!$L$129*EFEITO!$Z$129</f>
        <v>39093.276137228262</v>
      </c>
      <c r="L129" s="83">
        <f>EFEITO!$N$129*EFEITO!$AA$129</f>
        <v>82063.312095438858</v>
      </c>
      <c r="M129" s="83">
        <f>$J$129-EFEITO!$K$129*EFEITO!$Y$129</f>
        <v>0</v>
      </c>
      <c r="N129" s="83">
        <f ca="1">$K$129-EFEITO!$M$129*EFEITO!$Z$129</f>
        <v>0</v>
      </c>
      <c r="O129" s="83">
        <f>$L$129-EFEITO!$O$129*EFEITO!$AA$129</f>
        <v>0</v>
      </c>
      <c r="P129" s="28"/>
      <c r="Q129" s="28"/>
      <c r="R129" s="28"/>
      <c r="S129" s="28"/>
      <c r="T129" s="28"/>
      <c r="U129" s="28"/>
      <c r="V129" s="28"/>
      <c r="W129" s="28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72" t="s">
        <v>28</v>
      </c>
      <c r="B130" s="72" t="s">
        <v>33</v>
      </c>
      <c r="C130" s="72" t="s">
        <v>34</v>
      </c>
      <c r="D130" s="72" t="s">
        <v>40</v>
      </c>
      <c r="E130" s="72" t="s">
        <v>25</v>
      </c>
      <c r="F130" s="72" t="s">
        <v>25</v>
      </c>
      <c r="G130" s="72" t="s">
        <v>25</v>
      </c>
      <c r="H130" s="72" t="s">
        <v>36</v>
      </c>
      <c r="I130" s="82">
        <v>44531</v>
      </c>
      <c r="J130" s="83">
        <f>EFEITO!$J$130*EFEITO!$Y$130</f>
        <v>0</v>
      </c>
      <c r="K130" s="83">
        <f ca="1">EFEITO!$L$130*EFEITO!$Z$130</f>
        <v>3687.9332121663756</v>
      </c>
      <c r="L130" s="83">
        <f>EFEITO!$N$130*EFEITO!$AA$130</f>
        <v>7741.5874053322887</v>
      </c>
      <c r="M130" s="83">
        <f>$J$130-EFEITO!$K$130*EFEITO!$Y$130</f>
        <v>0</v>
      </c>
      <c r="N130" s="83">
        <f ca="1">$K$130-EFEITO!$M$130*EFEITO!$Z$130</f>
        <v>0</v>
      </c>
      <c r="O130" s="83">
        <f>$L$130-EFEITO!$O$130*EFEITO!$AA$130</f>
        <v>0</v>
      </c>
      <c r="P130" s="28"/>
      <c r="Q130" s="28"/>
      <c r="R130" s="28"/>
      <c r="S130" s="28"/>
      <c r="T130" s="28"/>
      <c r="U130" s="28"/>
      <c r="V130" s="28"/>
      <c r="W130" s="28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72" t="s">
        <v>21</v>
      </c>
      <c r="B131" s="72" t="s">
        <v>33</v>
      </c>
      <c r="C131" s="72" t="s">
        <v>34</v>
      </c>
      <c r="D131" s="72" t="s">
        <v>40</v>
      </c>
      <c r="E131" s="72" t="s">
        <v>25</v>
      </c>
      <c r="F131" s="72" t="s">
        <v>25</v>
      </c>
      <c r="G131" s="72" t="s">
        <v>25</v>
      </c>
      <c r="H131" s="72" t="s">
        <v>36</v>
      </c>
      <c r="I131" s="82">
        <v>44562</v>
      </c>
      <c r="J131" s="83">
        <f>EFEITO!$J$131*EFEITO!$Y$131</f>
        <v>0</v>
      </c>
      <c r="K131" s="83">
        <f ca="1">EFEITO!$L$131*EFEITO!$Z$131</f>
        <v>40370.084533821777</v>
      </c>
      <c r="L131" s="83">
        <f>EFEITO!$N$131*EFEITO!$AA$131</f>
        <v>84743.546045848299</v>
      </c>
      <c r="M131" s="83">
        <f>$J$131-EFEITO!$K$131*EFEITO!$Y$131</f>
        <v>0</v>
      </c>
      <c r="N131" s="83">
        <f ca="1">$K$131-EFEITO!$M$131*EFEITO!$Z$131</f>
        <v>0</v>
      </c>
      <c r="O131" s="83">
        <f>$L$131-EFEITO!$O$131*EFEITO!$AA$131</f>
        <v>0</v>
      </c>
      <c r="P131" s="28"/>
      <c r="Q131" s="28"/>
      <c r="R131" s="28"/>
      <c r="S131" s="28"/>
      <c r="T131" s="28"/>
      <c r="U131" s="28"/>
      <c r="V131" s="28"/>
      <c r="W131" s="28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72" t="s">
        <v>28</v>
      </c>
      <c r="B132" s="72" t="s">
        <v>33</v>
      </c>
      <c r="C132" s="72" t="s">
        <v>34</v>
      </c>
      <c r="D132" s="72" t="s">
        <v>40</v>
      </c>
      <c r="E132" s="72" t="s">
        <v>25</v>
      </c>
      <c r="F132" s="72" t="s">
        <v>25</v>
      </c>
      <c r="G132" s="72" t="s">
        <v>25</v>
      </c>
      <c r="H132" s="72" t="s">
        <v>36</v>
      </c>
      <c r="I132" s="82">
        <v>44562</v>
      </c>
      <c r="J132" s="83">
        <f>EFEITO!$J$132*EFEITO!$Y$132</f>
        <v>0</v>
      </c>
      <c r="K132" s="83">
        <f ca="1">EFEITO!$L$132*EFEITO!$Z$132</f>
        <v>4198.1949770734836</v>
      </c>
      <c r="L132" s="83">
        <f>EFEITO!$N$132*EFEITO!$AA$132</f>
        <v>8812.7120232065463</v>
      </c>
      <c r="M132" s="83">
        <f>$J$132-EFEITO!$K$132*EFEITO!$Y$132</f>
        <v>0</v>
      </c>
      <c r="N132" s="83">
        <f ca="1">$K$132-EFEITO!$M$132*EFEITO!$Z$132</f>
        <v>0</v>
      </c>
      <c r="O132" s="83">
        <f>$L$132-EFEITO!$O$132*EFEITO!$AA$132</f>
        <v>0</v>
      </c>
      <c r="P132" s="28"/>
      <c r="Q132" s="28"/>
      <c r="R132" s="28"/>
      <c r="S132" s="28"/>
      <c r="T132" s="28"/>
      <c r="U132" s="28"/>
      <c r="V132" s="28"/>
      <c r="W132" s="28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72" t="s">
        <v>21</v>
      </c>
      <c r="B133" s="72" t="s">
        <v>33</v>
      </c>
      <c r="C133" s="72" t="s">
        <v>34</v>
      </c>
      <c r="D133" s="72" t="s">
        <v>40</v>
      </c>
      <c r="E133" s="72" t="s">
        <v>25</v>
      </c>
      <c r="F133" s="72" t="s">
        <v>25</v>
      </c>
      <c r="G133" s="72" t="s">
        <v>25</v>
      </c>
      <c r="H133" s="72" t="s">
        <v>36</v>
      </c>
      <c r="I133" s="82">
        <v>44593</v>
      </c>
      <c r="J133" s="83">
        <f>EFEITO!$J$133*EFEITO!$Y$133</f>
        <v>0</v>
      </c>
      <c r="K133" s="83">
        <f ca="1">EFEITO!$L$133*EFEITO!$Z$133</f>
        <v>39785.666732677433</v>
      </c>
      <c r="L133" s="83">
        <f>EFEITO!$N$133*EFEITO!$AA$133</f>
        <v>83516.755529722504</v>
      </c>
      <c r="M133" s="83">
        <f>$J$133-EFEITO!$K$133*EFEITO!$Y$133</f>
        <v>0</v>
      </c>
      <c r="N133" s="83">
        <f ca="1">$K$133-EFEITO!$M$133*EFEITO!$Z$133</f>
        <v>0</v>
      </c>
      <c r="O133" s="83">
        <f>$L$133-EFEITO!$O$133*EFEITO!$AA$133</f>
        <v>0</v>
      </c>
      <c r="P133" s="28"/>
      <c r="Q133" s="28"/>
      <c r="R133" s="28"/>
      <c r="S133" s="28"/>
      <c r="T133" s="28"/>
      <c r="U133" s="28"/>
      <c r="V133" s="28"/>
      <c r="W133" s="28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72" t="s">
        <v>28</v>
      </c>
      <c r="B134" s="72" t="s">
        <v>33</v>
      </c>
      <c r="C134" s="72" t="s">
        <v>34</v>
      </c>
      <c r="D134" s="72" t="s">
        <v>40</v>
      </c>
      <c r="E134" s="72" t="s">
        <v>25</v>
      </c>
      <c r="F134" s="72" t="s">
        <v>25</v>
      </c>
      <c r="G134" s="72" t="s">
        <v>25</v>
      </c>
      <c r="H134" s="72" t="s">
        <v>36</v>
      </c>
      <c r="I134" s="82">
        <v>44593</v>
      </c>
      <c r="J134" s="83">
        <f>EFEITO!$J$134*EFEITO!$Y$134</f>
        <v>0</v>
      </c>
      <c r="K134" s="83">
        <f ca="1">EFEITO!$L$134*EFEITO!$Z$134</f>
        <v>4007.9380830196237</v>
      </c>
      <c r="L134" s="83">
        <f>EFEITO!$N$134*EFEITO!$AA$134</f>
        <v>8413.3310447425156</v>
      </c>
      <c r="M134" s="83">
        <f>$J$134-EFEITO!$K$134*EFEITO!$Y$134</f>
        <v>0</v>
      </c>
      <c r="N134" s="83">
        <f ca="1">$K$134-EFEITO!$M$134*EFEITO!$Z$134</f>
        <v>0</v>
      </c>
      <c r="O134" s="83">
        <f>$L$134-EFEITO!$O$134*EFEITO!$AA$134</f>
        <v>0</v>
      </c>
      <c r="P134" s="28"/>
      <c r="Q134" s="28"/>
      <c r="R134" s="28"/>
      <c r="S134" s="28"/>
      <c r="T134" s="28"/>
      <c r="U134" s="28"/>
      <c r="V134" s="28"/>
      <c r="W134" s="28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72" t="s">
        <v>21</v>
      </c>
      <c r="B135" s="72" t="s">
        <v>33</v>
      </c>
      <c r="C135" s="72" t="s">
        <v>34</v>
      </c>
      <c r="D135" s="72" t="s">
        <v>40</v>
      </c>
      <c r="E135" s="72" t="s">
        <v>25</v>
      </c>
      <c r="F135" s="72" t="s">
        <v>25</v>
      </c>
      <c r="G135" s="72" t="s">
        <v>25</v>
      </c>
      <c r="H135" s="72" t="s">
        <v>36</v>
      </c>
      <c r="I135" s="82">
        <v>44621</v>
      </c>
      <c r="J135" s="83">
        <f>EFEITO!$J$135*EFEITO!$Y$135</f>
        <v>0</v>
      </c>
      <c r="K135" s="83">
        <f ca="1">EFEITO!$L$135*EFEITO!$Z$135</f>
        <v>46253.89939819312</v>
      </c>
      <c r="L135" s="83">
        <f>EFEITO!$N$135*EFEITO!$AA$135</f>
        <v>97094.655577619604</v>
      </c>
      <c r="M135" s="83">
        <f>$J$135-EFEITO!$K$135*EFEITO!$Y$135</f>
        <v>0</v>
      </c>
      <c r="N135" s="83">
        <f ca="1">$K$135-EFEITO!$M$135*EFEITO!$Z$135</f>
        <v>0</v>
      </c>
      <c r="O135" s="83">
        <f>$L$135-EFEITO!$O$135*EFEITO!$AA$135</f>
        <v>0</v>
      </c>
      <c r="P135" s="28"/>
      <c r="Q135" s="28"/>
      <c r="R135" s="28"/>
      <c r="S135" s="28"/>
      <c r="T135" s="28"/>
      <c r="U135" s="28"/>
      <c r="V135" s="28"/>
      <c r="W135" s="28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72" t="s">
        <v>28</v>
      </c>
      <c r="B136" s="72" t="s">
        <v>33</v>
      </c>
      <c r="C136" s="72" t="s">
        <v>34</v>
      </c>
      <c r="D136" s="72" t="s">
        <v>40</v>
      </c>
      <c r="E136" s="72" t="s">
        <v>25</v>
      </c>
      <c r="F136" s="72" t="s">
        <v>25</v>
      </c>
      <c r="G136" s="72" t="s">
        <v>25</v>
      </c>
      <c r="H136" s="72" t="s">
        <v>36</v>
      </c>
      <c r="I136" s="82">
        <v>44621</v>
      </c>
      <c r="J136" s="83">
        <f>EFEITO!$J$136*EFEITO!$Y$136</f>
        <v>0</v>
      </c>
      <c r="K136" s="83">
        <f ca="1">EFEITO!$L$136*EFEITO!$Z$136</f>
        <v>4992.8386184302944</v>
      </c>
      <c r="L136" s="83">
        <f>EFEITO!$N$136*EFEITO!$AA$136</f>
        <v>10480.801669017015</v>
      </c>
      <c r="M136" s="83">
        <f>$J$136-EFEITO!$K$136*EFEITO!$Y$136</f>
        <v>0</v>
      </c>
      <c r="N136" s="83">
        <f ca="1">$K$136-EFEITO!$M$136*EFEITO!$Z$136</f>
        <v>0</v>
      </c>
      <c r="O136" s="83">
        <f>$L$136-EFEITO!$O$136*EFEITO!$AA$136</f>
        <v>0</v>
      </c>
      <c r="P136" s="28"/>
      <c r="Q136" s="28"/>
      <c r="R136" s="28"/>
      <c r="S136" s="28"/>
      <c r="T136" s="28"/>
      <c r="U136" s="28"/>
      <c r="V136" s="28"/>
      <c r="W136" s="28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72" t="s">
        <v>21</v>
      </c>
      <c r="B137" s="72" t="s">
        <v>33</v>
      </c>
      <c r="C137" s="72" t="s">
        <v>34</v>
      </c>
      <c r="D137" s="72" t="s">
        <v>40</v>
      </c>
      <c r="E137" s="72" t="s">
        <v>25</v>
      </c>
      <c r="F137" s="72" t="s">
        <v>25</v>
      </c>
      <c r="G137" s="72" t="s">
        <v>25</v>
      </c>
      <c r="H137" s="72" t="s">
        <v>36</v>
      </c>
      <c r="I137" s="82">
        <v>44652</v>
      </c>
      <c r="J137" s="83">
        <f>EFEITO!$J$137*EFEITO!$Y$137</f>
        <v>0</v>
      </c>
      <c r="K137" s="83">
        <f ca="1">EFEITO!$L$137*EFEITO!$Z$137</f>
        <v>40224.481815851235</v>
      </c>
      <c r="L137" s="83">
        <f>EFEITO!$N$137*EFEITO!$AA$137</f>
        <v>84437.90163669677</v>
      </c>
      <c r="M137" s="83">
        <f>$J$137-EFEITO!$K$137*EFEITO!$Y$137</f>
        <v>0</v>
      </c>
      <c r="N137" s="83">
        <f ca="1">$K$137-EFEITO!$M$137*EFEITO!$Z$137</f>
        <v>0</v>
      </c>
      <c r="O137" s="83">
        <f>$L$137-EFEITO!$O$137*EFEITO!$AA$137</f>
        <v>0</v>
      </c>
      <c r="P137" s="28"/>
      <c r="Q137" s="28"/>
      <c r="R137" s="28"/>
      <c r="S137" s="28"/>
      <c r="T137" s="28"/>
      <c r="U137" s="28"/>
      <c r="V137" s="28"/>
      <c r="W137" s="28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72" t="s">
        <v>21</v>
      </c>
      <c r="B138" s="72" t="s">
        <v>33</v>
      </c>
      <c r="C138" s="72" t="s">
        <v>34</v>
      </c>
      <c r="D138" s="72" t="s">
        <v>40</v>
      </c>
      <c r="E138" s="72" t="s">
        <v>25</v>
      </c>
      <c r="F138" s="72" t="s">
        <v>25</v>
      </c>
      <c r="G138" s="72" t="s">
        <v>25</v>
      </c>
      <c r="H138" s="72" t="s">
        <v>25</v>
      </c>
      <c r="I138" s="82">
        <v>44317</v>
      </c>
      <c r="J138" s="83">
        <f ca="1">EFEITO!$J$138*EFEITO!$Y$138</f>
        <v>99746.650736434531</v>
      </c>
      <c r="K138" s="83">
        <f>EFEITO!$L$138*EFEITO!$Z$138</f>
        <v>0</v>
      </c>
      <c r="L138" s="83">
        <f>EFEITO!$N$138*EFEITO!$AA$138</f>
        <v>0</v>
      </c>
      <c r="M138" s="83">
        <f ca="1">$J$138-EFEITO!$K$138*EFEITO!$Y$138</f>
        <v>0</v>
      </c>
      <c r="N138" s="83">
        <f>$K$138-EFEITO!$M$138*EFEITO!$Z$138</f>
        <v>0</v>
      </c>
      <c r="O138" s="83">
        <f>$L$138-EFEITO!$O$138*EFEITO!$AA$138</f>
        <v>0</v>
      </c>
      <c r="P138" s="28"/>
      <c r="Q138" s="28"/>
      <c r="R138" s="28"/>
      <c r="S138" s="28"/>
      <c r="T138" s="28"/>
      <c r="U138" s="28"/>
      <c r="V138" s="28"/>
      <c r="W138" s="28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72" t="s">
        <v>28</v>
      </c>
      <c r="B139" s="72" t="s">
        <v>33</v>
      </c>
      <c r="C139" s="72" t="s">
        <v>34</v>
      </c>
      <c r="D139" s="72" t="s">
        <v>40</v>
      </c>
      <c r="E139" s="72" t="s">
        <v>25</v>
      </c>
      <c r="F139" s="72" t="s">
        <v>25</v>
      </c>
      <c r="G139" s="72" t="s">
        <v>25</v>
      </c>
      <c r="H139" s="72" t="s">
        <v>25</v>
      </c>
      <c r="I139" s="82">
        <v>44317</v>
      </c>
      <c r="J139" s="83">
        <f ca="1">EFEITO!$J$139*EFEITO!$Y$139</f>
        <v>5004.012578750896</v>
      </c>
      <c r="K139" s="83">
        <f>EFEITO!$L$139*EFEITO!$Z$139</f>
        <v>0</v>
      </c>
      <c r="L139" s="83">
        <f>EFEITO!$N$139*EFEITO!$AA$139</f>
        <v>0</v>
      </c>
      <c r="M139" s="83">
        <f ca="1">$J$139-EFEITO!$K$139*EFEITO!$Y$139</f>
        <v>0</v>
      </c>
      <c r="N139" s="83">
        <f>$K$139-EFEITO!$M$139*EFEITO!$Z$139</f>
        <v>0</v>
      </c>
      <c r="O139" s="83">
        <f>$L$139-EFEITO!$O$139*EFEITO!$AA$139</f>
        <v>0</v>
      </c>
      <c r="P139" s="28"/>
      <c r="Q139" s="28"/>
      <c r="R139" s="28"/>
      <c r="S139" s="28"/>
      <c r="T139" s="28"/>
      <c r="U139" s="28"/>
      <c r="V139" s="28"/>
      <c r="W139" s="28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72" t="s">
        <v>21</v>
      </c>
      <c r="B140" s="72" t="s">
        <v>33</v>
      </c>
      <c r="C140" s="72" t="s">
        <v>34</v>
      </c>
      <c r="D140" s="72" t="s">
        <v>40</v>
      </c>
      <c r="E140" s="72" t="s">
        <v>25</v>
      </c>
      <c r="F140" s="72" t="s">
        <v>25</v>
      </c>
      <c r="G140" s="72" t="s">
        <v>25</v>
      </c>
      <c r="H140" s="72" t="s">
        <v>25</v>
      </c>
      <c r="I140" s="82">
        <v>44348</v>
      </c>
      <c r="J140" s="83">
        <f ca="1">EFEITO!$J$140*EFEITO!$Y$140</f>
        <v>82482.807339743944</v>
      </c>
      <c r="K140" s="83">
        <f>EFEITO!$L$140*EFEITO!$Z$140</f>
        <v>0</v>
      </c>
      <c r="L140" s="83">
        <f>EFEITO!$N$140*EFEITO!$AA$140</f>
        <v>0</v>
      </c>
      <c r="M140" s="83">
        <f ca="1">$J$140-EFEITO!$K$140*EFEITO!$Y$140</f>
        <v>0</v>
      </c>
      <c r="N140" s="83">
        <f>$K$140-EFEITO!$M$140*EFEITO!$Z$140</f>
        <v>0</v>
      </c>
      <c r="O140" s="83">
        <f>$L$140-EFEITO!$O$140*EFEITO!$AA$140</f>
        <v>0</v>
      </c>
      <c r="P140" s="28"/>
      <c r="Q140" s="28"/>
      <c r="R140" s="28"/>
      <c r="S140" s="28"/>
      <c r="T140" s="28"/>
      <c r="U140" s="28"/>
      <c r="V140" s="28"/>
      <c r="W140" s="28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72" t="s">
        <v>28</v>
      </c>
      <c r="B141" s="72" t="s">
        <v>33</v>
      </c>
      <c r="C141" s="72" t="s">
        <v>34</v>
      </c>
      <c r="D141" s="72" t="s">
        <v>40</v>
      </c>
      <c r="E141" s="72" t="s">
        <v>25</v>
      </c>
      <c r="F141" s="72" t="s">
        <v>25</v>
      </c>
      <c r="G141" s="72" t="s">
        <v>25</v>
      </c>
      <c r="H141" s="72" t="s">
        <v>25</v>
      </c>
      <c r="I141" s="82">
        <v>44348</v>
      </c>
      <c r="J141" s="83">
        <f ca="1">EFEITO!$J$141*EFEITO!$Y$141</f>
        <v>5004.012578750896</v>
      </c>
      <c r="K141" s="83">
        <f>EFEITO!$L$141*EFEITO!$Z$141</f>
        <v>0</v>
      </c>
      <c r="L141" s="83">
        <f>EFEITO!$N$141*EFEITO!$AA$141</f>
        <v>0</v>
      </c>
      <c r="M141" s="83">
        <f ca="1">$J$141-EFEITO!$K$141*EFEITO!$Y$141</f>
        <v>0</v>
      </c>
      <c r="N141" s="83">
        <f>$K$141-EFEITO!$M$141*EFEITO!$Z$141</f>
        <v>0</v>
      </c>
      <c r="O141" s="83">
        <f>$L$141-EFEITO!$O$141*EFEITO!$AA$141</f>
        <v>0</v>
      </c>
      <c r="P141" s="28"/>
      <c r="Q141" s="28"/>
      <c r="R141" s="28"/>
      <c r="S141" s="28"/>
      <c r="T141" s="28"/>
      <c r="U141" s="28"/>
      <c r="V141" s="28"/>
      <c r="W141" s="28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72" t="s">
        <v>21</v>
      </c>
      <c r="B142" s="72" t="s">
        <v>33</v>
      </c>
      <c r="C142" s="72" t="s">
        <v>34</v>
      </c>
      <c r="D142" s="72" t="s">
        <v>40</v>
      </c>
      <c r="E142" s="72" t="s">
        <v>25</v>
      </c>
      <c r="F142" s="72" t="s">
        <v>25</v>
      </c>
      <c r="G142" s="72" t="s">
        <v>25</v>
      </c>
      <c r="H142" s="72" t="s">
        <v>25</v>
      </c>
      <c r="I142" s="82">
        <v>44378</v>
      </c>
      <c r="J142" s="83">
        <f ca="1">EFEITO!$J$142*EFEITO!$Y$142</f>
        <v>64368.281804665698</v>
      </c>
      <c r="K142" s="83">
        <f>EFEITO!$L$142*EFEITO!$Z$142</f>
        <v>0</v>
      </c>
      <c r="L142" s="83">
        <f>EFEITO!$N$142*EFEITO!$AA$142</f>
        <v>0</v>
      </c>
      <c r="M142" s="83">
        <f ca="1">$J$142-EFEITO!$K$142*EFEITO!$Y$142</f>
        <v>0</v>
      </c>
      <c r="N142" s="83">
        <f>$K$142-EFEITO!$M$142*EFEITO!$Z$142</f>
        <v>0</v>
      </c>
      <c r="O142" s="83">
        <f>$L$142-EFEITO!$O$142*EFEITO!$AA$142</f>
        <v>0</v>
      </c>
      <c r="P142" s="28"/>
      <c r="Q142" s="28"/>
      <c r="R142" s="28"/>
      <c r="S142" s="28"/>
      <c r="T142" s="28"/>
      <c r="U142" s="28"/>
      <c r="V142" s="28"/>
      <c r="W142" s="28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72" t="s">
        <v>28</v>
      </c>
      <c r="B143" s="72" t="s">
        <v>33</v>
      </c>
      <c r="C143" s="72" t="s">
        <v>34</v>
      </c>
      <c r="D143" s="72" t="s">
        <v>40</v>
      </c>
      <c r="E143" s="72" t="s">
        <v>25</v>
      </c>
      <c r="F143" s="72" t="s">
        <v>25</v>
      </c>
      <c r="G143" s="72" t="s">
        <v>25</v>
      </c>
      <c r="H143" s="72" t="s">
        <v>25</v>
      </c>
      <c r="I143" s="82">
        <v>44378</v>
      </c>
      <c r="J143" s="83">
        <f ca="1">EFEITO!$J$143*EFEITO!$Y$143</f>
        <v>5004.012578750896</v>
      </c>
      <c r="K143" s="83">
        <f>EFEITO!$L$143*EFEITO!$Z$143</f>
        <v>0</v>
      </c>
      <c r="L143" s="83">
        <f>EFEITO!$N$143*EFEITO!$AA$143</f>
        <v>0</v>
      </c>
      <c r="M143" s="83">
        <f ca="1">$J$143-EFEITO!$K$143*EFEITO!$Y$143</f>
        <v>0</v>
      </c>
      <c r="N143" s="83">
        <f>$K$143-EFEITO!$M$143*EFEITO!$Z$143</f>
        <v>0</v>
      </c>
      <c r="O143" s="83">
        <f>$L$143-EFEITO!$O$143*EFEITO!$AA$143</f>
        <v>0</v>
      </c>
      <c r="P143" s="28"/>
      <c r="Q143" s="28"/>
      <c r="R143" s="28"/>
      <c r="S143" s="28"/>
      <c r="T143" s="28"/>
      <c r="U143" s="28"/>
      <c r="V143" s="28"/>
      <c r="W143" s="28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72" t="s">
        <v>21</v>
      </c>
      <c r="B144" s="72" t="s">
        <v>33</v>
      </c>
      <c r="C144" s="72" t="s">
        <v>34</v>
      </c>
      <c r="D144" s="72" t="s">
        <v>40</v>
      </c>
      <c r="E144" s="72" t="s">
        <v>25</v>
      </c>
      <c r="F144" s="72" t="s">
        <v>25</v>
      </c>
      <c r="G144" s="72" t="s">
        <v>25</v>
      </c>
      <c r="H144" s="72" t="s">
        <v>25</v>
      </c>
      <c r="I144" s="82">
        <v>44409</v>
      </c>
      <c r="J144" s="83">
        <f ca="1">EFEITO!$J$144*EFEITO!$Y$144</f>
        <v>67020.408471403673</v>
      </c>
      <c r="K144" s="83">
        <f>EFEITO!$L$144*EFEITO!$Z$144</f>
        <v>0</v>
      </c>
      <c r="L144" s="83">
        <f>EFEITO!$N$144*EFEITO!$AA$144</f>
        <v>0</v>
      </c>
      <c r="M144" s="83">
        <f ca="1">$J$144-EFEITO!$K$144*EFEITO!$Y$144</f>
        <v>0</v>
      </c>
      <c r="N144" s="83">
        <f>$K$144-EFEITO!$M$144*EFEITO!$Z$144</f>
        <v>0</v>
      </c>
      <c r="O144" s="83">
        <f>$L$144-EFEITO!$O$144*EFEITO!$AA$144</f>
        <v>0</v>
      </c>
      <c r="P144" s="28"/>
      <c r="Q144" s="28"/>
      <c r="R144" s="28"/>
      <c r="S144" s="28"/>
      <c r="T144" s="28"/>
      <c r="U144" s="28"/>
      <c r="V144" s="28"/>
      <c r="W144" s="28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72" t="s">
        <v>28</v>
      </c>
      <c r="B145" s="72" t="s">
        <v>33</v>
      </c>
      <c r="C145" s="72" t="s">
        <v>34</v>
      </c>
      <c r="D145" s="72" t="s">
        <v>40</v>
      </c>
      <c r="E145" s="72" t="s">
        <v>25</v>
      </c>
      <c r="F145" s="72" t="s">
        <v>25</v>
      </c>
      <c r="G145" s="72" t="s">
        <v>25</v>
      </c>
      <c r="H145" s="72" t="s">
        <v>25</v>
      </c>
      <c r="I145" s="82">
        <v>44409</v>
      </c>
      <c r="J145" s="83">
        <f ca="1">EFEITO!$J$145*EFEITO!$Y$145</f>
        <v>5004.012578750896</v>
      </c>
      <c r="K145" s="83">
        <f>EFEITO!$L$145*EFEITO!$Z$145</f>
        <v>0</v>
      </c>
      <c r="L145" s="83">
        <f>EFEITO!$N$145*EFEITO!$AA$145</f>
        <v>0</v>
      </c>
      <c r="M145" s="83">
        <f ca="1">$J$145-EFEITO!$K$145*EFEITO!$Y$145</f>
        <v>0</v>
      </c>
      <c r="N145" s="83">
        <f>$K$145-EFEITO!$M$145*EFEITO!$Z$145</f>
        <v>0</v>
      </c>
      <c r="O145" s="83">
        <f>$L$145-EFEITO!$O$145*EFEITO!$AA$145</f>
        <v>0</v>
      </c>
      <c r="P145" s="28"/>
      <c r="Q145" s="28"/>
      <c r="R145" s="28"/>
      <c r="S145" s="28"/>
      <c r="T145" s="28"/>
      <c r="U145" s="28"/>
      <c r="V145" s="28"/>
      <c r="W145" s="28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72" t="s">
        <v>21</v>
      </c>
      <c r="B146" s="72" t="s">
        <v>33</v>
      </c>
      <c r="C146" s="72" t="s">
        <v>34</v>
      </c>
      <c r="D146" s="72" t="s">
        <v>40</v>
      </c>
      <c r="E146" s="72" t="s">
        <v>25</v>
      </c>
      <c r="F146" s="72" t="s">
        <v>25</v>
      </c>
      <c r="G146" s="72" t="s">
        <v>25</v>
      </c>
      <c r="H146" s="72" t="s">
        <v>25</v>
      </c>
      <c r="I146" s="82">
        <v>44440</v>
      </c>
      <c r="J146" s="83">
        <f ca="1">EFEITO!$J$146*EFEITO!$Y$146</f>
        <v>66686.807632820273</v>
      </c>
      <c r="K146" s="83">
        <f>EFEITO!$L$146*EFEITO!$Z$146</f>
        <v>0</v>
      </c>
      <c r="L146" s="83">
        <f>EFEITO!$N$146*EFEITO!$AA$146</f>
        <v>0</v>
      </c>
      <c r="M146" s="83">
        <f ca="1">$J$146-EFEITO!$K$146*EFEITO!$Y$146</f>
        <v>0</v>
      </c>
      <c r="N146" s="83">
        <f>$K$146-EFEITO!$M$146*EFEITO!$Z$146</f>
        <v>0</v>
      </c>
      <c r="O146" s="83">
        <f>$L$146-EFEITO!$O$146*EFEITO!$AA$146</f>
        <v>0</v>
      </c>
      <c r="P146" s="28"/>
      <c r="Q146" s="28"/>
      <c r="R146" s="28"/>
      <c r="S146" s="28"/>
      <c r="T146" s="28"/>
      <c r="U146" s="28"/>
      <c r="V146" s="28"/>
      <c r="W146" s="28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72" t="s">
        <v>28</v>
      </c>
      <c r="B147" s="72" t="s">
        <v>33</v>
      </c>
      <c r="C147" s="72" t="s">
        <v>34</v>
      </c>
      <c r="D147" s="72" t="s">
        <v>40</v>
      </c>
      <c r="E147" s="72" t="s">
        <v>25</v>
      </c>
      <c r="F147" s="72" t="s">
        <v>25</v>
      </c>
      <c r="G147" s="72" t="s">
        <v>25</v>
      </c>
      <c r="H147" s="72" t="s">
        <v>25</v>
      </c>
      <c r="I147" s="82">
        <v>44440</v>
      </c>
      <c r="J147" s="83">
        <f ca="1">EFEITO!$J$147*EFEITO!$Y$147</f>
        <v>5004.012578750896</v>
      </c>
      <c r="K147" s="83">
        <f>EFEITO!$L$147*EFEITO!$Z$147</f>
        <v>0</v>
      </c>
      <c r="L147" s="83">
        <f>EFEITO!$N$147*EFEITO!$AA$147</f>
        <v>0</v>
      </c>
      <c r="M147" s="83">
        <f ca="1">$J$147-EFEITO!$K$147*EFEITO!$Y$147</f>
        <v>0</v>
      </c>
      <c r="N147" s="83">
        <f>$K$147-EFEITO!$M$147*EFEITO!$Z$147</f>
        <v>0</v>
      </c>
      <c r="O147" s="83">
        <f>$L$147-EFEITO!$O$147*EFEITO!$AA$147</f>
        <v>0</v>
      </c>
      <c r="P147" s="28"/>
      <c r="Q147" s="28"/>
      <c r="R147" s="28"/>
      <c r="S147" s="28"/>
      <c r="T147" s="28"/>
      <c r="U147" s="28"/>
      <c r="V147" s="28"/>
      <c r="W147" s="28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72" t="s">
        <v>21</v>
      </c>
      <c r="B148" s="72" t="s">
        <v>33</v>
      </c>
      <c r="C148" s="72" t="s">
        <v>34</v>
      </c>
      <c r="D148" s="72" t="s">
        <v>40</v>
      </c>
      <c r="E148" s="72" t="s">
        <v>25</v>
      </c>
      <c r="F148" s="72" t="s">
        <v>25</v>
      </c>
      <c r="G148" s="72" t="s">
        <v>25</v>
      </c>
      <c r="H148" s="72" t="s">
        <v>25</v>
      </c>
      <c r="I148" s="82">
        <v>44470</v>
      </c>
      <c r="J148" s="83">
        <f ca="1">EFEITO!$J$148*EFEITO!$Y$148</f>
        <v>70106.216228300051</v>
      </c>
      <c r="K148" s="83">
        <f>EFEITO!$L$148*EFEITO!$Z$148</f>
        <v>0</v>
      </c>
      <c r="L148" s="83">
        <f>EFEITO!$N$148*EFEITO!$AA$148</f>
        <v>0</v>
      </c>
      <c r="M148" s="83">
        <f ca="1">$J$148-EFEITO!$K$148*EFEITO!$Y$148</f>
        <v>0</v>
      </c>
      <c r="N148" s="83">
        <f>$K$148-EFEITO!$M$148*EFEITO!$Z$148</f>
        <v>0</v>
      </c>
      <c r="O148" s="83">
        <f>$L$148-EFEITO!$O$148*EFEITO!$AA$148</f>
        <v>0</v>
      </c>
      <c r="P148" s="28"/>
      <c r="Q148" s="28"/>
      <c r="R148" s="28"/>
      <c r="S148" s="28"/>
      <c r="T148" s="28"/>
      <c r="U148" s="28"/>
      <c r="V148" s="28"/>
      <c r="W148" s="28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72" t="s">
        <v>28</v>
      </c>
      <c r="B149" s="72" t="s">
        <v>33</v>
      </c>
      <c r="C149" s="72" t="s">
        <v>34</v>
      </c>
      <c r="D149" s="72" t="s">
        <v>40</v>
      </c>
      <c r="E149" s="72" t="s">
        <v>25</v>
      </c>
      <c r="F149" s="72" t="s">
        <v>25</v>
      </c>
      <c r="G149" s="72" t="s">
        <v>25</v>
      </c>
      <c r="H149" s="72" t="s">
        <v>25</v>
      </c>
      <c r="I149" s="82">
        <v>44470</v>
      </c>
      <c r="J149" s="83">
        <f ca="1">EFEITO!$J$149*EFEITO!$Y$149</f>
        <v>5754.6144655635308</v>
      </c>
      <c r="K149" s="83">
        <f>EFEITO!$L$149*EFEITO!$Z$149</f>
        <v>0</v>
      </c>
      <c r="L149" s="83">
        <f>EFEITO!$N$149*EFEITO!$AA$149</f>
        <v>0</v>
      </c>
      <c r="M149" s="83">
        <f ca="1">$J$149-EFEITO!$K$149*EFEITO!$Y$149</f>
        <v>0</v>
      </c>
      <c r="N149" s="83">
        <f>$K$149-EFEITO!$M$149*EFEITO!$Z$149</f>
        <v>0</v>
      </c>
      <c r="O149" s="83">
        <f>$L$149-EFEITO!$O$149*EFEITO!$AA$149</f>
        <v>0</v>
      </c>
      <c r="P149" s="28"/>
      <c r="Q149" s="28"/>
      <c r="R149" s="28"/>
      <c r="S149" s="28"/>
      <c r="T149" s="28"/>
      <c r="U149" s="28"/>
      <c r="V149" s="28"/>
      <c r="W149" s="28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72" t="s">
        <v>21</v>
      </c>
      <c r="B150" s="72" t="s">
        <v>33</v>
      </c>
      <c r="C150" s="72" t="s">
        <v>34</v>
      </c>
      <c r="D150" s="72" t="s">
        <v>40</v>
      </c>
      <c r="E150" s="72" t="s">
        <v>25</v>
      </c>
      <c r="F150" s="72" t="s">
        <v>25</v>
      </c>
      <c r="G150" s="72" t="s">
        <v>25</v>
      </c>
      <c r="H150" s="72" t="s">
        <v>25</v>
      </c>
      <c r="I150" s="82">
        <v>44501</v>
      </c>
      <c r="J150" s="83">
        <f ca="1">EFEITO!$J$150*EFEITO!$Y$150</f>
        <v>62333.316689307001</v>
      </c>
      <c r="K150" s="83">
        <f>EFEITO!$L$150*EFEITO!$Z$150</f>
        <v>0</v>
      </c>
      <c r="L150" s="83">
        <f>EFEITO!$N$150*EFEITO!$AA$150</f>
        <v>0</v>
      </c>
      <c r="M150" s="83">
        <f ca="1">$J$150-EFEITO!$K$150*EFEITO!$Y$150</f>
        <v>0</v>
      </c>
      <c r="N150" s="83">
        <f>$K$150-EFEITO!$M$150*EFEITO!$Z$150</f>
        <v>0</v>
      </c>
      <c r="O150" s="83">
        <f>$L$150-EFEITO!$O$150*EFEITO!$AA$150</f>
        <v>0</v>
      </c>
      <c r="P150" s="28"/>
      <c r="Q150" s="28"/>
      <c r="R150" s="28"/>
      <c r="S150" s="28"/>
      <c r="T150" s="28"/>
      <c r="U150" s="28"/>
      <c r="V150" s="28"/>
      <c r="W150" s="28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72" t="s">
        <v>28</v>
      </c>
      <c r="B151" s="72" t="s">
        <v>33</v>
      </c>
      <c r="C151" s="72" t="s">
        <v>34</v>
      </c>
      <c r="D151" s="72" t="s">
        <v>40</v>
      </c>
      <c r="E151" s="72" t="s">
        <v>25</v>
      </c>
      <c r="F151" s="72" t="s">
        <v>25</v>
      </c>
      <c r="G151" s="72" t="s">
        <v>25</v>
      </c>
      <c r="H151" s="72" t="s">
        <v>25</v>
      </c>
      <c r="I151" s="82">
        <v>44501</v>
      </c>
      <c r="J151" s="83">
        <f ca="1">EFEITO!$J$151*EFEITO!$Y$151</f>
        <v>5821.3346332802093</v>
      </c>
      <c r="K151" s="83">
        <f>EFEITO!$L$151*EFEITO!$Z$151</f>
        <v>0</v>
      </c>
      <c r="L151" s="83">
        <f>EFEITO!$N$151*EFEITO!$AA$151</f>
        <v>0</v>
      </c>
      <c r="M151" s="83">
        <f ca="1">$J$151-EFEITO!$K$151*EFEITO!$Y$151</f>
        <v>0</v>
      </c>
      <c r="N151" s="83">
        <f>$K$151-EFEITO!$M$151*EFEITO!$Z$151</f>
        <v>0</v>
      </c>
      <c r="O151" s="83">
        <f>$L$151-EFEITO!$O$151*EFEITO!$AA$151</f>
        <v>0</v>
      </c>
      <c r="P151" s="28"/>
      <c r="Q151" s="28"/>
      <c r="R151" s="28"/>
      <c r="S151" s="28"/>
      <c r="T151" s="28"/>
      <c r="U151" s="28"/>
      <c r="V151" s="28"/>
      <c r="W151" s="28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72" t="s">
        <v>21</v>
      </c>
      <c r="B152" s="72" t="s">
        <v>33</v>
      </c>
      <c r="C152" s="72" t="s">
        <v>34</v>
      </c>
      <c r="D152" s="72" t="s">
        <v>40</v>
      </c>
      <c r="E152" s="72" t="s">
        <v>25</v>
      </c>
      <c r="F152" s="72" t="s">
        <v>25</v>
      </c>
      <c r="G152" s="72" t="s">
        <v>25</v>
      </c>
      <c r="H152" s="72" t="s">
        <v>25</v>
      </c>
      <c r="I152" s="82">
        <v>44531</v>
      </c>
      <c r="J152" s="83">
        <f ca="1">EFEITO!$J$152*EFEITO!$Y$152</f>
        <v>61749.51522178606</v>
      </c>
      <c r="K152" s="83">
        <f>EFEITO!$L$152*EFEITO!$Z$152</f>
        <v>0</v>
      </c>
      <c r="L152" s="83">
        <f>EFEITO!$N$152*EFEITO!$AA$152</f>
        <v>0</v>
      </c>
      <c r="M152" s="83">
        <f ca="1">$J$152-EFEITO!$K$152*EFEITO!$Y$152</f>
        <v>0</v>
      </c>
      <c r="N152" s="83">
        <f>$K$152-EFEITO!$M$152*EFEITO!$Z$152</f>
        <v>0</v>
      </c>
      <c r="O152" s="83">
        <f>$L$152-EFEITO!$O$152*EFEITO!$AA$152</f>
        <v>0</v>
      </c>
      <c r="P152" s="28"/>
      <c r="Q152" s="28"/>
      <c r="R152" s="28"/>
      <c r="S152" s="28"/>
      <c r="T152" s="28"/>
      <c r="U152" s="28"/>
      <c r="V152" s="28"/>
      <c r="W152" s="28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72" t="s">
        <v>28</v>
      </c>
      <c r="B153" s="72" t="s">
        <v>33</v>
      </c>
      <c r="C153" s="72" t="s">
        <v>34</v>
      </c>
      <c r="D153" s="72" t="s">
        <v>40</v>
      </c>
      <c r="E153" s="72" t="s">
        <v>25</v>
      </c>
      <c r="F153" s="72" t="s">
        <v>25</v>
      </c>
      <c r="G153" s="72" t="s">
        <v>25</v>
      </c>
      <c r="H153" s="72" t="s">
        <v>25</v>
      </c>
      <c r="I153" s="82">
        <v>44531</v>
      </c>
      <c r="J153" s="83">
        <f ca="1">EFEITO!$J$153*EFEITO!$Y$153</f>
        <v>6004.8150945010757</v>
      </c>
      <c r="K153" s="83">
        <f>EFEITO!$L$153*EFEITO!$Z$153</f>
        <v>0</v>
      </c>
      <c r="L153" s="83">
        <f>EFEITO!$N$153*EFEITO!$AA$153</f>
        <v>0</v>
      </c>
      <c r="M153" s="83">
        <f ca="1">$J$153-EFEITO!$K$153*EFEITO!$Y$153</f>
        <v>0</v>
      </c>
      <c r="N153" s="83">
        <f>$K$153-EFEITO!$M$153*EFEITO!$Z$153</f>
        <v>0</v>
      </c>
      <c r="O153" s="83">
        <f>$L$153-EFEITO!$O$153*EFEITO!$AA$153</f>
        <v>0</v>
      </c>
      <c r="P153" s="28"/>
      <c r="Q153" s="28"/>
      <c r="R153" s="28"/>
      <c r="S153" s="28"/>
      <c r="T153" s="28"/>
      <c r="U153" s="28"/>
      <c r="V153" s="28"/>
      <c r="W153" s="28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72" t="s">
        <v>21</v>
      </c>
      <c r="B154" s="72" t="s">
        <v>33</v>
      </c>
      <c r="C154" s="72" t="s">
        <v>34</v>
      </c>
      <c r="D154" s="72" t="s">
        <v>40</v>
      </c>
      <c r="E154" s="72" t="s">
        <v>25</v>
      </c>
      <c r="F154" s="72" t="s">
        <v>25</v>
      </c>
      <c r="G154" s="72" t="s">
        <v>25</v>
      </c>
      <c r="H154" s="72" t="s">
        <v>25</v>
      </c>
      <c r="I154" s="82">
        <v>44562</v>
      </c>
      <c r="J154" s="83">
        <f ca="1">EFEITO!$J$154*EFEITO!$Y$154</f>
        <v>61482.634550919349</v>
      </c>
      <c r="K154" s="83">
        <f>EFEITO!$L$154*EFEITO!$Z$154</f>
        <v>0</v>
      </c>
      <c r="L154" s="83">
        <f>EFEITO!$N$154*EFEITO!$AA$154</f>
        <v>0</v>
      </c>
      <c r="M154" s="83">
        <f ca="1">$J$154-EFEITO!$K$154*EFEITO!$Y$154</f>
        <v>0</v>
      </c>
      <c r="N154" s="83">
        <f>$K$154-EFEITO!$M$154*EFEITO!$Z$154</f>
        <v>0</v>
      </c>
      <c r="O154" s="83">
        <f>$L$154-EFEITO!$O$154*EFEITO!$AA$154</f>
        <v>0</v>
      </c>
      <c r="P154" s="28"/>
      <c r="Q154" s="28"/>
      <c r="R154" s="28"/>
      <c r="S154" s="28"/>
      <c r="T154" s="28"/>
      <c r="U154" s="28"/>
      <c r="V154" s="28"/>
      <c r="W154" s="28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72" t="s">
        <v>28</v>
      </c>
      <c r="B155" s="72" t="s">
        <v>33</v>
      </c>
      <c r="C155" s="72" t="s">
        <v>34</v>
      </c>
      <c r="D155" s="72" t="s">
        <v>40</v>
      </c>
      <c r="E155" s="72" t="s">
        <v>25</v>
      </c>
      <c r="F155" s="72" t="s">
        <v>25</v>
      </c>
      <c r="G155" s="72" t="s">
        <v>25</v>
      </c>
      <c r="H155" s="72" t="s">
        <v>25</v>
      </c>
      <c r="I155" s="82">
        <v>44562</v>
      </c>
      <c r="J155" s="83">
        <f ca="1">EFEITO!$J$155*EFEITO!$Y$155</f>
        <v>6038.1751783594145</v>
      </c>
      <c r="K155" s="83">
        <f>EFEITO!$L$155*EFEITO!$Z$155</f>
        <v>0</v>
      </c>
      <c r="L155" s="83">
        <f>EFEITO!$N$155*EFEITO!$AA$155</f>
        <v>0</v>
      </c>
      <c r="M155" s="83">
        <f ca="1">$J$155-EFEITO!$K$155*EFEITO!$Y$155</f>
        <v>0</v>
      </c>
      <c r="N155" s="83">
        <f>$K$155-EFEITO!$M$155*EFEITO!$Z$155</f>
        <v>0</v>
      </c>
      <c r="O155" s="83">
        <f>$L$155-EFEITO!$O$155*EFEITO!$AA$155</f>
        <v>0</v>
      </c>
      <c r="P155" s="28"/>
      <c r="Q155" s="28"/>
      <c r="R155" s="28"/>
      <c r="S155" s="28"/>
      <c r="T155" s="28"/>
      <c r="U155" s="28"/>
      <c r="V155" s="28"/>
      <c r="W155" s="28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72" t="s">
        <v>21</v>
      </c>
      <c r="B156" s="72" t="s">
        <v>33</v>
      </c>
      <c r="C156" s="72" t="s">
        <v>34</v>
      </c>
      <c r="D156" s="72" t="s">
        <v>40</v>
      </c>
      <c r="E156" s="72" t="s">
        <v>25</v>
      </c>
      <c r="F156" s="72" t="s">
        <v>25</v>
      </c>
      <c r="G156" s="72" t="s">
        <v>25</v>
      </c>
      <c r="H156" s="72" t="s">
        <v>25</v>
      </c>
      <c r="I156" s="82">
        <v>44593</v>
      </c>
      <c r="J156" s="83">
        <f ca="1">EFEITO!$J$156*EFEITO!$Y$156</f>
        <v>60114.871112727436</v>
      </c>
      <c r="K156" s="83">
        <f>EFEITO!$L$156*EFEITO!$Z$156</f>
        <v>0</v>
      </c>
      <c r="L156" s="83">
        <f>EFEITO!$N$156*EFEITO!$AA$156</f>
        <v>0</v>
      </c>
      <c r="M156" s="83">
        <f ca="1">$J$156-EFEITO!$K$156*EFEITO!$Y$156</f>
        <v>0</v>
      </c>
      <c r="N156" s="83">
        <f>$K$156-EFEITO!$M$156*EFEITO!$Z$156</f>
        <v>0</v>
      </c>
      <c r="O156" s="83">
        <f>$L$156-EFEITO!$O$156*EFEITO!$AA$156</f>
        <v>0</v>
      </c>
      <c r="P156" s="28"/>
      <c r="Q156" s="28"/>
      <c r="R156" s="28"/>
      <c r="S156" s="28"/>
      <c r="T156" s="28"/>
      <c r="U156" s="28"/>
      <c r="V156" s="28"/>
      <c r="W156" s="28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72" t="s">
        <v>28</v>
      </c>
      <c r="B157" s="72" t="s">
        <v>33</v>
      </c>
      <c r="C157" s="72" t="s">
        <v>34</v>
      </c>
      <c r="D157" s="72" t="s">
        <v>40</v>
      </c>
      <c r="E157" s="72" t="s">
        <v>25</v>
      </c>
      <c r="F157" s="72" t="s">
        <v>25</v>
      </c>
      <c r="G157" s="72" t="s">
        <v>25</v>
      </c>
      <c r="H157" s="72" t="s">
        <v>25</v>
      </c>
      <c r="I157" s="82">
        <v>44593</v>
      </c>
      <c r="J157" s="83">
        <f ca="1">EFEITO!$J$157*EFEITO!$Y$157</f>
        <v>6071.5352622177543</v>
      </c>
      <c r="K157" s="83">
        <f>EFEITO!$L$157*EFEITO!$Z$157</f>
        <v>0</v>
      </c>
      <c r="L157" s="83">
        <f>EFEITO!$N$157*EFEITO!$AA$157</f>
        <v>0</v>
      </c>
      <c r="M157" s="83">
        <f ca="1">$J$157-EFEITO!$K$157*EFEITO!$Y$157</f>
        <v>0</v>
      </c>
      <c r="N157" s="83">
        <f>$K$157-EFEITO!$M$157*EFEITO!$Z$157</f>
        <v>0</v>
      </c>
      <c r="O157" s="83">
        <f>$L$157-EFEITO!$O$157*EFEITO!$AA$157</f>
        <v>0</v>
      </c>
      <c r="P157" s="28"/>
      <c r="Q157" s="28"/>
      <c r="R157" s="28"/>
      <c r="S157" s="28"/>
      <c r="T157" s="28"/>
      <c r="U157" s="28"/>
      <c r="V157" s="28"/>
      <c r="W157" s="28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72" t="s">
        <v>21</v>
      </c>
      <c r="B158" s="72" t="s">
        <v>33</v>
      </c>
      <c r="C158" s="72" t="s">
        <v>34</v>
      </c>
      <c r="D158" s="72" t="s">
        <v>40</v>
      </c>
      <c r="E158" s="72" t="s">
        <v>25</v>
      </c>
      <c r="F158" s="72" t="s">
        <v>25</v>
      </c>
      <c r="G158" s="72" t="s">
        <v>25</v>
      </c>
      <c r="H158" s="72" t="s">
        <v>25</v>
      </c>
      <c r="I158" s="82">
        <v>44621</v>
      </c>
      <c r="J158" s="83">
        <f ca="1">EFEITO!$J$158*EFEITO!$Y$158</f>
        <v>61082.313544619275</v>
      </c>
      <c r="K158" s="83">
        <f>EFEITO!$L$158*EFEITO!$Z$158</f>
        <v>0</v>
      </c>
      <c r="L158" s="83">
        <f>EFEITO!$N$158*EFEITO!$AA$158</f>
        <v>0</v>
      </c>
      <c r="M158" s="83">
        <f ca="1">$J$158-EFEITO!$K$158*EFEITO!$Y$158</f>
        <v>0</v>
      </c>
      <c r="N158" s="83">
        <f>$K$158-EFEITO!$M$158*EFEITO!$Z$158</f>
        <v>0</v>
      </c>
      <c r="O158" s="83">
        <f>$L$158-EFEITO!$O$158*EFEITO!$AA$158</f>
        <v>0</v>
      </c>
      <c r="P158" s="28"/>
      <c r="Q158" s="28"/>
      <c r="R158" s="28"/>
      <c r="S158" s="28"/>
      <c r="T158" s="28"/>
      <c r="U158" s="28"/>
      <c r="V158" s="28"/>
      <c r="W158" s="28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72" t="s">
        <v>28</v>
      </c>
      <c r="B159" s="72" t="s">
        <v>33</v>
      </c>
      <c r="C159" s="72" t="s">
        <v>34</v>
      </c>
      <c r="D159" s="72" t="s">
        <v>40</v>
      </c>
      <c r="E159" s="72" t="s">
        <v>25</v>
      </c>
      <c r="F159" s="72" t="s">
        <v>25</v>
      </c>
      <c r="G159" s="72" t="s">
        <v>25</v>
      </c>
      <c r="H159" s="72" t="s">
        <v>25</v>
      </c>
      <c r="I159" s="82">
        <v>44621</v>
      </c>
      <c r="J159" s="83">
        <f ca="1">EFEITO!$J$159*EFEITO!$Y$159</f>
        <v>6188.295555721942</v>
      </c>
      <c r="K159" s="83">
        <f>EFEITO!$L$159*EFEITO!$Z$159</f>
        <v>0</v>
      </c>
      <c r="L159" s="83">
        <f>EFEITO!$N$159*EFEITO!$AA$159</f>
        <v>0</v>
      </c>
      <c r="M159" s="83">
        <f ca="1">$J$159-EFEITO!$K$159*EFEITO!$Y$159</f>
        <v>0</v>
      </c>
      <c r="N159" s="83">
        <f>$K$159-EFEITO!$M$159*EFEITO!$Z$159</f>
        <v>0</v>
      </c>
      <c r="O159" s="83">
        <f>$L$159-EFEITO!$O$159*EFEITO!$AA$159</f>
        <v>0</v>
      </c>
      <c r="P159" s="28"/>
      <c r="Q159" s="28"/>
      <c r="R159" s="28"/>
      <c r="S159" s="28"/>
      <c r="T159" s="28"/>
      <c r="U159" s="28"/>
      <c r="V159" s="28"/>
      <c r="W159" s="28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72" t="s">
        <v>21</v>
      </c>
      <c r="B160" s="72" t="s">
        <v>33</v>
      </c>
      <c r="C160" s="72" t="s">
        <v>34</v>
      </c>
      <c r="D160" s="72" t="s">
        <v>40</v>
      </c>
      <c r="E160" s="72" t="s">
        <v>25</v>
      </c>
      <c r="F160" s="72" t="s">
        <v>25</v>
      </c>
      <c r="G160" s="72" t="s">
        <v>25</v>
      </c>
      <c r="H160" s="72" t="s">
        <v>25</v>
      </c>
      <c r="I160" s="82">
        <v>44652</v>
      </c>
      <c r="J160" s="83">
        <f ca="1">EFEITO!$J$160*EFEITO!$Y$160</f>
        <v>59747.9101902857</v>
      </c>
      <c r="K160" s="83">
        <f>EFEITO!$L$160*EFEITO!$Z$160</f>
        <v>0</v>
      </c>
      <c r="L160" s="83">
        <f>EFEITO!$N$160*EFEITO!$AA$160</f>
        <v>0</v>
      </c>
      <c r="M160" s="83">
        <f ca="1">$J$160-EFEITO!$K$160*EFEITO!$Y$160</f>
        <v>0</v>
      </c>
      <c r="N160" s="83">
        <f>$K$160-EFEITO!$M$160*EFEITO!$Z$160</f>
        <v>0</v>
      </c>
      <c r="O160" s="83">
        <f>$L$160-EFEITO!$O$160*EFEITO!$AA$160</f>
        <v>0</v>
      </c>
      <c r="P160" s="28"/>
      <c r="Q160" s="28"/>
      <c r="R160" s="28"/>
      <c r="S160" s="28"/>
      <c r="T160" s="28"/>
      <c r="U160" s="28"/>
      <c r="V160" s="28"/>
      <c r="W160" s="28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72" t="s">
        <v>21</v>
      </c>
      <c r="B161" s="72" t="s">
        <v>33</v>
      </c>
      <c r="C161" s="72" t="s">
        <v>34</v>
      </c>
      <c r="D161" s="72" t="s">
        <v>40</v>
      </c>
      <c r="E161" s="72" t="s">
        <v>25</v>
      </c>
      <c r="F161" s="72" t="s">
        <v>25</v>
      </c>
      <c r="G161" s="72" t="s">
        <v>25</v>
      </c>
      <c r="H161" s="72" t="s">
        <v>35</v>
      </c>
      <c r="I161" s="82">
        <v>44317</v>
      </c>
      <c r="J161" s="83">
        <f>EFEITO!$J$161*EFEITO!$Y$161</f>
        <v>0</v>
      </c>
      <c r="K161" s="83">
        <f ca="1">EFEITO!$L$161*EFEITO!$Z$161</f>
        <v>93290.387684775837</v>
      </c>
      <c r="L161" s="83">
        <f>EFEITO!$N$161*EFEITO!$AA$161</f>
        <v>20125.557397356955</v>
      </c>
      <c r="M161" s="83">
        <f>$J$161-EFEITO!$K$161*EFEITO!$Y$161</f>
        <v>0</v>
      </c>
      <c r="N161" s="83">
        <f ca="1">$K$161-EFEITO!$M$161*EFEITO!$Z$161</f>
        <v>0</v>
      </c>
      <c r="O161" s="83">
        <f>$L$161-EFEITO!$O$161*EFEITO!$AA$161</f>
        <v>0</v>
      </c>
      <c r="P161" s="28"/>
      <c r="Q161" s="28"/>
      <c r="R161" s="28"/>
      <c r="S161" s="28"/>
      <c r="T161" s="28"/>
      <c r="U161" s="28"/>
      <c r="V161" s="28"/>
      <c r="W161" s="28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72" t="s">
        <v>28</v>
      </c>
      <c r="B162" s="72" t="s">
        <v>33</v>
      </c>
      <c r="C162" s="72" t="s">
        <v>34</v>
      </c>
      <c r="D162" s="72" t="s">
        <v>40</v>
      </c>
      <c r="E162" s="72" t="s">
        <v>25</v>
      </c>
      <c r="F162" s="72" t="s">
        <v>25</v>
      </c>
      <c r="G162" s="72" t="s">
        <v>25</v>
      </c>
      <c r="H162" s="72" t="s">
        <v>35</v>
      </c>
      <c r="I162" s="82">
        <v>44317</v>
      </c>
      <c r="J162" s="83">
        <f>EFEITO!$J$162*EFEITO!$Y$162</f>
        <v>0</v>
      </c>
      <c r="K162" s="83">
        <f ca="1">EFEITO!$L$162*EFEITO!$Z$162</f>
        <v>179.66184162103713</v>
      </c>
      <c r="L162" s="83">
        <f>EFEITO!$N$162*EFEITO!$AA$162</f>
        <v>38.758491580897392</v>
      </c>
      <c r="M162" s="83">
        <f>$J$162-EFEITO!$K$162*EFEITO!$Y$162</f>
        <v>0</v>
      </c>
      <c r="N162" s="83">
        <f ca="1">$K$162-EFEITO!$M$162*EFEITO!$Z$162</f>
        <v>0</v>
      </c>
      <c r="O162" s="83">
        <f>$L$162-EFEITO!$O$162*EFEITO!$AA$162</f>
        <v>0</v>
      </c>
      <c r="P162" s="28"/>
      <c r="Q162" s="28"/>
      <c r="R162" s="28"/>
      <c r="S162" s="28"/>
      <c r="T162" s="28"/>
      <c r="U162" s="28"/>
      <c r="V162" s="28"/>
      <c r="W162" s="28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72" t="s">
        <v>21</v>
      </c>
      <c r="B163" s="72" t="s">
        <v>33</v>
      </c>
      <c r="C163" s="72" t="s">
        <v>34</v>
      </c>
      <c r="D163" s="72" t="s">
        <v>40</v>
      </c>
      <c r="E163" s="72" t="s">
        <v>25</v>
      </c>
      <c r="F163" s="72" t="s">
        <v>25</v>
      </c>
      <c r="G163" s="72" t="s">
        <v>25</v>
      </c>
      <c r="H163" s="72" t="s">
        <v>35</v>
      </c>
      <c r="I163" s="82">
        <v>44348</v>
      </c>
      <c r="J163" s="83">
        <f>EFEITO!$J$163*EFEITO!$Y$163</f>
        <v>0</v>
      </c>
      <c r="K163" s="83">
        <f ca="1">EFEITO!$L$163*EFEITO!$Z$163</f>
        <v>46587.096670776766</v>
      </c>
      <c r="L163" s="83">
        <f>EFEITO!$N$163*EFEITO!$AA$163</f>
        <v>10050.245382107481</v>
      </c>
      <c r="M163" s="83">
        <f>$J$163-EFEITO!$K$163*EFEITO!$Y$163</f>
        <v>0</v>
      </c>
      <c r="N163" s="83">
        <f ca="1">$K$163-EFEITO!$M$163*EFEITO!$Z$163</f>
        <v>0</v>
      </c>
      <c r="O163" s="83">
        <f>$L$163-EFEITO!$O$163*EFEITO!$AA$163</f>
        <v>0</v>
      </c>
      <c r="P163" s="28"/>
      <c r="Q163" s="28"/>
      <c r="R163" s="28"/>
      <c r="S163" s="28"/>
      <c r="T163" s="28"/>
      <c r="U163" s="28"/>
      <c r="V163" s="28"/>
      <c r="W163" s="28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72" t="s">
        <v>28</v>
      </c>
      <c r="B164" s="72" t="s">
        <v>33</v>
      </c>
      <c r="C164" s="72" t="s">
        <v>34</v>
      </c>
      <c r="D164" s="72" t="s">
        <v>40</v>
      </c>
      <c r="E164" s="72" t="s">
        <v>25</v>
      </c>
      <c r="F164" s="72" t="s">
        <v>25</v>
      </c>
      <c r="G164" s="72" t="s">
        <v>25</v>
      </c>
      <c r="H164" s="72" t="s">
        <v>35</v>
      </c>
      <c r="I164" s="82">
        <v>44348</v>
      </c>
      <c r="J164" s="83">
        <f>EFEITO!$J$164*EFEITO!$Y$164</f>
        <v>0</v>
      </c>
      <c r="K164" s="83">
        <f ca="1">EFEITO!$L$164*EFEITO!$Z$164</f>
        <v>184.54395688247837</v>
      </c>
      <c r="L164" s="83">
        <f>EFEITO!$N$164*EFEITO!$AA$164</f>
        <v>39.811711460813086</v>
      </c>
      <c r="M164" s="83">
        <f>$J$164-EFEITO!$K$164*EFEITO!$Y$164</f>
        <v>0</v>
      </c>
      <c r="N164" s="83">
        <f ca="1">$K$164-EFEITO!$M$164*EFEITO!$Z$164</f>
        <v>0</v>
      </c>
      <c r="O164" s="83">
        <f>$L$164-EFEITO!$O$164*EFEITO!$AA$164</f>
        <v>0</v>
      </c>
      <c r="P164" s="28"/>
      <c r="Q164" s="28"/>
      <c r="R164" s="28"/>
      <c r="S164" s="28"/>
      <c r="T164" s="28"/>
      <c r="U164" s="28"/>
      <c r="V164" s="28"/>
      <c r="W164" s="28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72" t="s">
        <v>21</v>
      </c>
      <c r="B165" s="72" t="s">
        <v>33</v>
      </c>
      <c r="C165" s="72" t="s">
        <v>34</v>
      </c>
      <c r="D165" s="72" t="s">
        <v>40</v>
      </c>
      <c r="E165" s="72" t="s">
        <v>25</v>
      </c>
      <c r="F165" s="72" t="s">
        <v>25</v>
      </c>
      <c r="G165" s="72" t="s">
        <v>25</v>
      </c>
      <c r="H165" s="72" t="s">
        <v>35</v>
      </c>
      <c r="I165" s="82">
        <v>44378</v>
      </c>
      <c r="J165" s="83">
        <f>EFEITO!$J$165*EFEITO!$Y$165</f>
        <v>0</v>
      </c>
      <c r="K165" s="83">
        <f ca="1">EFEITO!$L$165*EFEITO!$Z$165</f>
        <v>32357.683529780166</v>
      </c>
      <c r="L165" s="83">
        <f>EFEITO!$N$165*EFEITO!$AA$165</f>
        <v>6980.530720105211</v>
      </c>
      <c r="M165" s="83">
        <f>$J$165-EFEITO!$K$165*EFEITO!$Y$165</f>
        <v>0</v>
      </c>
      <c r="N165" s="83">
        <f ca="1">$K$165-EFEITO!$M$165*EFEITO!$Z$165</f>
        <v>0</v>
      </c>
      <c r="O165" s="83">
        <f>$L$165-EFEITO!$O$165*EFEITO!$AA$165</f>
        <v>0</v>
      </c>
      <c r="P165" s="28"/>
      <c r="Q165" s="28"/>
      <c r="R165" s="28"/>
      <c r="S165" s="28"/>
      <c r="T165" s="28"/>
      <c r="U165" s="28"/>
      <c r="V165" s="28"/>
      <c r="W165" s="28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72" t="s">
        <v>28</v>
      </c>
      <c r="B166" s="72" t="s">
        <v>33</v>
      </c>
      <c r="C166" s="72" t="s">
        <v>34</v>
      </c>
      <c r="D166" s="72" t="s">
        <v>40</v>
      </c>
      <c r="E166" s="72" t="s">
        <v>25</v>
      </c>
      <c r="F166" s="72" t="s">
        <v>25</v>
      </c>
      <c r="G166" s="72" t="s">
        <v>25</v>
      </c>
      <c r="H166" s="72" t="s">
        <v>35</v>
      </c>
      <c r="I166" s="82">
        <v>44378</v>
      </c>
      <c r="J166" s="83">
        <f>EFEITO!$J$166*EFEITO!$Y$166</f>
        <v>0</v>
      </c>
      <c r="K166" s="83">
        <f ca="1">EFEITO!$L$166*EFEITO!$Z$166</f>
        <v>119.12361237916593</v>
      </c>
      <c r="L166" s="83">
        <f>EFEITO!$N$166*EFEITO!$AA$166</f>
        <v>25.698565069942838</v>
      </c>
      <c r="M166" s="83">
        <f>$J$166-EFEITO!$K$166*EFEITO!$Y$166</f>
        <v>0</v>
      </c>
      <c r="N166" s="83">
        <f ca="1">$K$166-EFEITO!$M$166*EFEITO!$Z$166</f>
        <v>0</v>
      </c>
      <c r="O166" s="83">
        <f>$L$166-EFEITO!$O$166*EFEITO!$AA$166</f>
        <v>0</v>
      </c>
      <c r="P166" s="28"/>
      <c r="Q166" s="28"/>
      <c r="R166" s="28"/>
      <c r="S166" s="28"/>
      <c r="T166" s="28"/>
      <c r="U166" s="28"/>
      <c r="V166" s="28"/>
      <c r="W166" s="28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72" t="s">
        <v>21</v>
      </c>
      <c r="B167" s="72" t="s">
        <v>33</v>
      </c>
      <c r="C167" s="72" t="s">
        <v>34</v>
      </c>
      <c r="D167" s="72" t="s">
        <v>40</v>
      </c>
      <c r="E167" s="72" t="s">
        <v>25</v>
      </c>
      <c r="F167" s="72" t="s">
        <v>25</v>
      </c>
      <c r="G167" s="72" t="s">
        <v>25</v>
      </c>
      <c r="H167" s="72" t="s">
        <v>35</v>
      </c>
      <c r="I167" s="82">
        <v>44409</v>
      </c>
      <c r="J167" s="83">
        <f>EFEITO!$J$167*EFEITO!$Y$167</f>
        <v>0</v>
      </c>
      <c r="K167" s="83">
        <f ca="1">EFEITO!$L$167*EFEITO!$Z$167</f>
        <v>36279.974930822042</v>
      </c>
      <c r="L167" s="83">
        <f>EFEITO!$N$167*EFEITO!$AA$167</f>
        <v>7826.6875716294753</v>
      </c>
      <c r="M167" s="83">
        <f>$J$167-EFEITO!$K$167*EFEITO!$Y$167</f>
        <v>0</v>
      </c>
      <c r="N167" s="83">
        <f ca="1">$K$167-EFEITO!$M$167*EFEITO!$Z$167</f>
        <v>0</v>
      </c>
      <c r="O167" s="83">
        <f>$L$167-EFEITO!$O$167*EFEITO!$AA$167</f>
        <v>0</v>
      </c>
      <c r="P167" s="28"/>
      <c r="Q167" s="28"/>
      <c r="R167" s="28"/>
      <c r="S167" s="28"/>
      <c r="T167" s="28"/>
      <c r="U167" s="28"/>
      <c r="V167" s="28"/>
      <c r="W167" s="28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72" t="s">
        <v>28</v>
      </c>
      <c r="B168" s="72" t="s">
        <v>33</v>
      </c>
      <c r="C168" s="72" t="s">
        <v>34</v>
      </c>
      <c r="D168" s="72" t="s">
        <v>40</v>
      </c>
      <c r="E168" s="72" t="s">
        <v>25</v>
      </c>
      <c r="F168" s="72" t="s">
        <v>25</v>
      </c>
      <c r="G168" s="72" t="s">
        <v>25</v>
      </c>
      <c r="H168" s="72" t="s">
        <v>35</v>
      </c>
      <c r="I168" s="82">
        <v>44409</v>
      </c>
      <c r="J168" s="83">
        <f>EFEITO!$J$168*EFEITO!$Y$168</f>
        <v>0</v>
      </c>
      <c r="K168" s="83">
        <f ca="1">EFEITO!$L$168*EFEITO!$Z$168</f>
        <v>94.713036071959806</v>
      </c>
      <c r="L168" s="83">
        <f>EFEITO!$N$168*EFEITO!$AA$168</f>
        <v>20.432465670364387</v>
      </c>
      <c r="M168" s="83">
        <f>$J$168-EFEITO!$K$168*EFEITO!$Y$168</f>
        <v>0</v>
      </c>
      <c r="N168" s="83">
        <f ca="1">$K$168-EFEITO!$M$168*EFEITO!$Z$168</f>
        <v>0</v>
      </c>
      <c r="O168" s="83">
        <f>$L$168-EFEITO!$O$168*EFEITO!$AA$168</f>
        <v>0</v>
      </c>
      <c r="P168" s="28"/>
      <c r="Q168" s="28"/>
      <c r="R168" s="28"/>
      <c r="S168" s="28"/>
      <c r="T168" s="28"/>
      <c r="U168" s="28"/>
      <c r="V168" s="28"/>
      <c r="W168" s="28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72" t="s">
        <v>21</v>
      </c>
      <c r="B169" s="72" t="s">
        <v>33</v>
      </c>
      <c r="C169" s="72" t="s">
        <v>34</v>
      </c>
      <c r="D169" s="72" t="s">
        <v>40</v>
      </c>
      <c r="E169" s="72" t="s">
        <v>25</v>
      </c>
      <c r="F169" s="72" t="s">
        <v>25</v>
      </c>
      <c r="G169" s="72" t="s">
        <v>25</v>
      </c>
      <c r="H169" s="72" t="s">
        <v>35</v>
      </c>
      <c r="I169" s="82">
        <v>44440</v>
      </c>
      <c r="J169" s="83">
        <f>EFEITO!$J$169*EFEITO!$Y$169</f>
        <v>0</v>
      </c>
      <c r="K169" s="83">
        <f ca="1">EFEITO!$L$169*EFEITO!$Z$169</f>
        <v>36924.414145332288</v>
      </c>
      <c r="L169" s="83">
        <f>EFEITO!$N$169*EFEITO!$AA$169</f>
        <v>7965.7125957783473</v>
      </c>
      <c r="M169" s="83">
        <f>$J$169-EFEITO!$K$169*EFEITO!$Y$169</f>
        <v>0</v>
      </c>
      <c r="N169" s="83">
        <f ca="1">$K$169-EFEITO!$M$169*EFEITO!$Z$169</f>
        <v>0</v>
      </c>
      <c r="O169" s="83">
        <f>$L$169-EFEITO!$O$169*EFEITO!$AA$169</f>
        <v>0</v>
      </c>
      <c r="P169" s="28"/>
      <c r="Q169" s="28"/>
      <c r="R169" s="28"/>
      <c r="S169" s="28"/>
      <c r="T169" s="28"/>
      <c r="U169" s="28"/>
      <c r="V169" s="28"/>
      <c r="W169" s="28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72" t="s">
        <v>28</v>
      </c>
      <c r="B170" s="72" t="s">
        <v>33</v>
      </c>
      <c r="C170" s="72" t="s">
        <v>34</v>
      </c>
      <c r="D170" s="72" t="s">
        <v>40</v>
      </c>
      <c r="E170" s="72" t="s">
        <v>25</v>
      </c>
      <c r="F170" s="72" t="s">
        <v>25</v>
      </c>
      <c r="G170" s="72" t="s">
        <v>25</v>
      </c>
      <c r="H170" s="72" t="s">
        <v>35</v>
      </c>
      <c r="I170" s="82">
        <v>44440</v>
      </c>
      <c r="J170" s="83">
        <f>EFEITO!$J$170*EFEITO!$Y$170</f>
        <v>0</v>
      </c>
      <c r="K170" s="83">
        <f ca="1">EFEITO!$L$170*EFEITO!$Z$170</f>
        <v>182.59111077790189</v>
      </c>
      <c r="L170" s="83">
        <f>EFEITO!$N$170*EFEITO!$AA$170</f>
        <v>39.390423508846808</v>
      </c>
      <c r="M170" s="83">
        <f>$J$170-EFEITO!$K$170*EFEITO!$Y$170</f>
        <v>0</v>
      </c>
      <c r="N170" s="83">
        <f ca="1">$K$170-EFEITO!$M$170*EFEITO!$Z$170</f>
        <v>0</v>
      </c>
      <c r="O170" s="83">
        <f>$L$170-EFEITO!$O$170*EFEITO!$AA$170</f>
        <v>0</v>
      </c>
      <c r="P170" s="28"/>
      <c r="Q170" s="28"/>
      <c r="R170" s="28"/>
      <c r="S170" s="28"/>
      <c r="T170" s="28"/>
      <c r="U170" s="28"/>
      <c r="V170" s="28"/>
      <c r="W170" s="28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72" t="s">
        <v>21</v>
      </c>
      <c r="B171" s="72" t="s">
        <v>33</v>
      </c>
      <c r="C171" s="72" t="s">
        <v>34</v>
      </c>
      <c r="D171" s="72" t="s">
        <v>40</v>
      </c>
      <c r="E171" s="72" t="s">
        <v>25</v>
      </c>
      <c r="F171" s="72" t="s">
        <v>25</v>
      </c>
      <c r="G171" s="72" t="s">
        <v>25</v>
      </c>
      <c r="H171" s="72" t="s">
        <v>35</v>
      </c>
      <c r="I171" s="82">
        <v>44470</v>
      </c>
      <c r="J171" s="83">
        <f>EFEITO!$J$171*EFEITO!$Y$171</f>
        <v>0</v>
      </c>
      <c r="K171" s="83">
        <f ca="1">EFEITO!$L$171*EFEITO!$Z$171</f>
        <v>35761.494290056988</v>
      </c>
      <c r="L171" s="83">
        <f>EFEITO!$N$171*EFEITO!$AA$171</f>
        <v>7714.8356203824296</v>
      </c>
      <c r="M171" s="83">
        <f>$J$171-EFEITO!$K$171*EFEITO!$Y$171</f>
        <v>0</v>
      </c>
      <c r="N171" s="83">
        <f ca="1">$K$171-EFEITO!$M$171*EFEITO!$Z$171</f>
        <v>0</v>
      </c>
      <c r="O171" s="83">
        <f>$L$171-EFEITO!$O$171*EFEITO!$AA$171</f>
        <v>0</v>
      </c>
      <c r="P171" s="28"/>
      <c r="Q171" s="28"/>
      <c r="R171" s="28"/>
      <c r="S171" s="28"/>
      <c r="T171" s="28"/>
      <c r="U171" s="28"/>
      <c r="V171" s="28"/>
      <c r="W171" s="28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72" t="s">
        <v>28</v>
      </c>
      <c r="B172" s="72" t="s">
        <v>33</v>
      </c>
      <c r="C172" s="72" t="s">
        <v>34</v>
      </c>
      <c r="D172" s="72" t="s">
        <v>40</v>
      </c>
      <c r="E172" s="72" t="s">
        <v>25</v>
      </c>
      <c r="F172" s="72" t="s">
        <v>25</v>
      </c>
      <c r="G172" s="72" t="s">
        <v>25</v>
      </c>
      <c r="H172" s="72" t="s">
        <v>35</v>
      </c>
      <c r="I172" s="82">
        <v>44470</v>
      </c>
      <c r="J172" s="83">
        <f>EFEITO!$J$172*EFEITO!$Y$172</f>
        <v>0</v>
      </c>
      <c r="K172" s="83">
        <f ca="1">EFEITO!$L$172*EFEITO!$Z$172</f>
        <v>1284.9727368113308</v>
      </c>
      <c r="L172" s="83">
        <f>EFEITO!$N$172*EFEITO!$AA$172</f>
        <v>277.20747239380961</v>
      </c>
      <c r="M172" s="83">
        <f>$J$172-EFEITO!$K$172*EFEITO!$Y$172</f>
        <v>0</v>
      </c>
      <c r="N172" s="83">
        <f ca="1">$K$172-EFEITO!$M$172*EFEITO!$Z$172</f>
        <v>0</v>
      </c>
      <c r="O172" s="83">
        <f>$L$172-EFEITO!$O$172*EFEITO!$AA$172</f>
        <v>0</v>
      </c>
      <c r="P172" s="28"/>
      <c r="Q172" s="28"/>
      <c r="R172" s="28"/>
      <c r="S172" s="28"/>
      <c r="T172" s="28"/>
      <c r="U172" s="28"/>
      <c r="V172" s="28"/>
      <c r="W172" s="28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72" t="s">
        <v>21</v>
      </c>
      <c r="B173" s="72" t="s">
        <v>33</v>
      </c>
      <c r="C173" s="72" t="s">
        <v>34</v>
      </c>
      <c r="D173" s="72" t="s">
        <v>40</v>
      </c>
      <c r="E173" s="72" t="s">
        <v>25</v>
      </c>
      <c r="F173" s="72" t="s">
        <v>25</v>
      </c>
      <c r="G173" s="72" t="s">
        <v>25</v>
      </c>
      <c r="H173" s="72" t="s">
        <v>35</v>
      </c>
      <c r="I173" s="82">
        <v>44501</v>
      </c>
      <c r="J173" s="83">
        <f>EFEITO!$J$173*EFEITO!$Y$173</f>
        <v>0</v>
      </c>
      <c r="K173" s="83">
        <f ca="1">EFEITO!$L$173*EFEITO!$Z$173</f>
        <v>17104.979029985483</v>
      </c>
      <c r="L173" s="83">
        <f>EFEITO!$N$173*EFEITO!$AA$173</f>
        <v>3690.0611712726118</v>
      </c>
      <c r="M173" s="83">
        <f>$J$173-EFEITO!$K$173*EFEITO!$Y$173</f>
        <v>0</v>
      </c>
      <c r="N173" s="83">
        <f ca="1">$K$173-EFEITO!$M$173*EFEITO!$Z$173</f>
        <v>0</v>
      </c>
      <c r="O173" s="83">
        <f>$L$173-EFEITO!$O$173*EFEITO!$AA$173</f>
        <v>0</v>
      </c>
      <c r="P173" s="28"/>
      <c r="Q173" s="28"/>
      <c r="R173" s="28"/>
      <c r="S173" s="28"/>
      <c r="T173" s="28"/>
      <c r="U173" s="28"/>
      <c r="V173" s="28"/>
      <c r="W173" s="28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72" t="s">
        <v>28</v>
      </c>
      <c r="B174" s="72" t="s">
        <v>33</v>
      </c>
      <c r="C174" s="72" t="s">
        <v>34</v>
      </c>
      <c r="D174" s="72" t="s">
        <v>40</v>
      </c>
      <c r="E174" s="72" t="s">
        <v>25</v>
      </c>
      <c r="F174" s="72" t="s">
        <v>25</v>
      </c>
      <c r="G174" s="72" t="s">
        <v>25</v>
      </c>
      <c r="H174" s="72" t="s">
        <v>35</v>
      </c>
      <c r="I174" s="82">
        <v>44501</v>
      </c>
      <c r="J174" s="83">
        <f>EFEITO!$J$174*EFEITO!$Y$174</f>
        <v>0</v>
      </c>
      <c r="K174" s="83">
        <f ca="1">EFEITO!$L$174*EFEITO!$Z$174</f>
        <v>2058.2997942236211</v>
      </c>
      <c r="L174" s="83">
        <f>EFEITO!$N$174*EFEITO!$AA$174</f>
        <v>444.03750137245493</v>
      </c>
      <c r="M174" s="83">
        <f>$J$174-EFEITO!$K$174*EFEITO!$Y$174</f>
        <v>0</v>
      </c>
      <c r="N174" s="83">
        <f ca="1">$K$174-EFEITO!$M$174*EFEITO!$Z$174</f>
        <v>0</v>
      </c>
      <c r="O174" s="83">
        <f>$L$174-EFEITO!$O$174*EFEITO!$AA$174</f>
        <v>0</v>
      </c>
      <c r="P174" s="28"/>
      <c r="Q174" s="28"/>
      <c r="R174" s="28"/>
      <c r="S174" s="28"/>
      <c r="T174" s="28"/>
      <c r="U174" s="28"/>
      <c r="V174" s="28"/>
      <c r="W174" s="28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72" t="s">
        <v>21</v>
      </c>
      <c r="B175" s="72" t="s">
        <v>33</v>
      </c>
      <c r="C175" s="72" t="s">
        <v>34</v>
      </c>
      <c r="D175" s="72" t="s">
        <v>40</v>
      </c>
      <c r="E175" s="72" t="s">
        <v>25</v>
      </c>
      <c r="F175" s="72" t="s">
        <v>25</v>
      </c>
      <c r="G175" s="72" t="s">
        <v>25</v>
      </c>
      <c r="H175" s="72" t="s">
        <v>35</v>
      </c>
      <c r="I175" s="82">
        <v>44531</v>
      </c>
      <c r="J175" s="83">
        <f>EFEITO!$J$175*EFEITO!$Y$175</f>
        <v>0</v>
      </c>
      <c r="K175" s="83">
        <f ca="1">EFEITO!$L$175*EFEITO!$Z$175</f>
        <v>21407.098998367492</v>
      </c>
      <c r="L175" s="83">
        <f>EFEITO!$N$175*EFEITO!$AA$175</f>
        <v>4618.1585294543174</v>
      </c>
      <c r="M175" s="83">
        <f>$J$175-EFEITO!$K$175*EFEITO!$Y$175</f>
        <v>0</v>
      </c>
      <c r="N175" s="83">
        <f ca="1">$K$175-EFEITO!$M$175*EFEITO!$Z$175</f>
        <v>0</v>
      </c>
      <c r="O175" s="83">
        <f>$L$175-EFEITO!$O$175*EFEITO!$AA$175</f>
        <v>0</v>
      </c>
      <c r="P175" s="28"/>
      <c r="Q175" s="28"/>
      <c r="R175" s="28"/>
      <c r="S175" s="28"/>
      <c r="T175" s="28"/>
      <c r="U175" s="28"/>
      <c r="V175" s="28"/>
      <c r="W175" s="28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72" t="s">
        <v>28</v>
      </c>
      <c r="B176" s="72" t="s">
        <v>33</v>
      </c>
      <c r="C176" s="72" t="s">
        <v>34</v>
      </c>
      <c r="D176" s="72" t="s">
        <v>40</v>
      </c>
      <c r="E176" s="72" t="s">
        <v>25</v>
      </c>
      <c r="F176" s="72" t="s">
        <v>25</v>
      </c>
      <c r="G176" s="72" t="s">
        <v>25</v>
      </c>
      <c r="H176" s="72" t="s">
        <v>35</v>
      </c>
      <c r="I176" s="82">
        <v>44531</v>
      </c>
      <c r="J176" s="83">
        <f>EFEITO!$J$176*EFEITO!$Y$176</f>
        <v>0</v>
      </c>
      <c r="K176" s="83">
        <f ca="1">EFEITO!$L$176*EFEITO!$Z$176</f>
        <v>1813.2176080992715</v>
      </c>
      <c r="L176" s="83">
        <f>EFEITO!$N$176*EFEITO!$AA$176</f>
        <v>391.16586340068727</v>
      </c>
      <c r="M176" s="83">
        <f>$J$176-EFEITO!$K$176*EFEITO!$Y$176</f>
        <v>0</v>
      </c>
      <c r="N176" s="83">
        <f ca="1">$K$176-EFEITO!$M$176*EFEITO!$Z$176</f>
        <v>0</v>
      </c>
      <c r="O176" s="83">
        <f>$L$176-EFEITO!$O$176*EFEITO!$AA$176</f>
        <v>0</v>
      </c>
      <c r="P176" s="28"/>
      <c r="Q176" s="28"/>
      <c r="R176" s="28"/>
      <c r="S176" s="28"/>
      <c r="T176" s="28"/>
      <c r="U176" s="28"/>
      <c r="V176" s="28"/>
      <c r="W176" s="28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72" t="s">
        <v>21</v>
      </c>
      <c r="B177" s="72" t="s">
        <v>33</v>
      </c>
      <c r="C177" s="72" t="s">
        <v>34</v>
      </c>
      <c r="D177" s="72" t="s">
        <v>40</v>
      </c>
      <c r="E177" s="72" t="s">
        <v>25</v>
      </c>
      <c r="F177" s="72" t="s">
        <v>25</v>
      </c>
      <c r="G177" s="72" t="s">
        <v>25</v>
      </c>
      <c r="H177" s="72" t="s">
        <v>35</v>
      </c>
      <c r="I177" s="82">
        <v>44562</v>
      </c>
      <c r="J177" s="83">
        <f>EFEITO!$J$177*EFEITO!$Y$177</f>
        <v>0</v>
      </c>
      <c r="K177" s="83">
        <f ca="1">EFEITO!$L$177*EFEITO!$Z$177</f>
        <v>17354.943331371273</v>
      </c>
      <c r="L177" s="83">
        <f>EFEITO!$N$177*EFEITO!$AA$177</f>
        <v>3743.9860291242953</v>
      </c>
      <c r="M177" s="83">
        <f>$J$177-EFEITO!$K$177*EFEITO!$Y$177</f>
        <v>0</v>
      </c>
      <c r="N177" s="83">
        <f ca="1">$K$177-EFEITO!$M$177*EFEITO!$Z$177</f>
        <v>0</v>
      </c>
      <c r="O177" s="83">
        <f>$L$177-EFEITO!$O$177*EFEITO!$AA$177</f>
        <v>0</v>
      </c>
      <c r="P177" s="28"/>
      <c r="Q177" s="28"/>
      <c r="R177" s="28"/>
      <c r="S177" s="28"/>
      <c r="T177" s="28"/>
      <c r="U177" s="28"/>
      <c r="V177" s="28"/>
      <c r="W177" s="28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72" t="s">
        <v>28</v>
      </c>
      <c r="B178" s="72" t="s">
        <v>33</v>
      </c>
      <c r="C178" s="72" t="s">
        <v>34</v>
      </c>
      <c r="D178" s="72" t="s">
        <v>40</v>
      </c>
      <c r="E178" s="72" t="s">
        <v>25</v>
      </c>
      <c r="F178" s="72" t="s">
        <v>25</v>
      </c>
      <c r="G178" s="72" t="s">
        <v>25</v>
      </c>
      <c r="H178" s="72" t="s">
        <v>35</v>
      </c>
      <c r="I178" s="82">
        <v>44562</v>
      </c>
      <c r="J178" s="83">
        <f>EFEITO!$J$178*EFEITO!$Y$178</f>
        <v>0</v>
      </c>
      <c r="K178" s="83">
        <f ca="1">EFEITO!$L$178*EFEITO!$Z$178</f>
        <v>2756.4422766097164</v>
      </c>
      <c r="L178" s="83">
        <f>EFEITO!$N$178*EFEITO!$AA$178</f>
        <v>594.64794420039857</v>
      </c>
      <c r="M178" s="83">
        <f>$J$178-EFEITO!$K$178*EFEITO!$Y$178</f>
        <v>0</v>
      </c>
      <c r="N178" s="83">
        <f ca="1">$K$178-EFEITO!$M$178*EFEITO!$Z$178</f>
        <v>0</v>
      </c>
      <c r="O178" s="83">
        <f>$L$178-EFEITO!$O$178*EFEITO!$AA$178</f>
        <v>0</v>
      </c>
      <c r="P178" s="28"/>
      <c r="Q178" s="28"/>
      <c r="R178" s="28"/>
      <c r="S178" s="28"/>
      <c r="T178" s="28"/>
      <c r="U178" s="28"/>
      <c r="V178" s="28"/>
      <c r="W178" s="28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72" t="s">
        <v>21</v>
      </c>
      <c r="B179" s="72" t="s">
        <v>33</v>
      </c>
      <c r="C179" s="72" t="s">
        <v>34</v>
      </c>
      <c r="D179" s="72" t="s">
        <v>40</v>
      </c>
      <c r="E179" s="72" t="s">
        <v>25</v>
      </c>
      <c r="F179" s="72" t="s">
        <v>25</v>
      </c>
      <c r="G179" s="72" t="s">
        <v>25</v>
      </c>
      <c r="H179" s="72" t="s">
        <v>35</v>
      </c>
      <c r="I179" s="82">
        <v>44593</v>
      </c>
      <c r="J179" s="83">
        <f>EFEITO!$J$179*EFEITO!$Y$179</f>
        <v>0</v>
      </c>
      <c r="K179" s="83">
        <f ca="1">EFEITO!$L$179*EFEITO!$Z$179</f>
        <v>18843.988486110848</v>
      </c>
      <c r="L179" s="83">
        <f>EFEITO!$N$179*EFEITO!$AA$179</f>
        <v>4065.2180924985801</v>
      </c>
      <c r="M179" s="83">
        <f>$J$179-EFEITO!$K$179*EFEITO!$Y$179</f>
        <v>0</v>
      </c>
      <c r="N179" s="83">
        <f ca="1">$K$179-EFEITO!$M$179*EFEITO!$Z$179</f>
        <v>0</v>
      </c>
      <c r="O179" s="83">
        <f>$L$179-EFEITO!$O$179*EFEITO!$AA$179</f>
        <v>0</v>
      </c>
      <c r="P179" s="28"/>
      <c r="Q179" s="28"/>
      <c r="R179" s="28"/>
      <c r="S179" s="28"/>
      <c r="T179" s="28"/>
      <c r="U179" s="28"/>
      <c r="V179" s="28"/>
      <c r="W179" s="28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72" t="s">
        <v>28</v>
      </c>
      <c r="B180" s="72" t="s">
        <v>33</v>
      </c>
      <c r="C180" s="72" t="s">
        <v>34</v>
      </c>
      <c r="D180" s="72" t="s">
        <v>40</v>
      </c>
      <c r="E180" s="72" t="s">
        <v>25</v>
      </c>
      <c r="F180" s="72" t="s">
        <v>25</v>
      </c>
      <c r="G180" s="72" t="s">
        <v>25</v>
      </c>
      <c r="H180" s="72" t="s">
        <v>35</v>
      </c>
      <c r="I180" s="82">
        <v>44593</v>
      </c>
      <c r="J180" s="83">
        <f>EFEITO!$J$180*EFEITO!$Y$180</f>
        <v>0</v>
      </c>
      <c r="K180" s="83">
        <f ca="1">EFEITO!$L$180*EFEITO!$Z$180</f>
        <v>3163.6106894139152</v>
      </c>
      <c r="L180" s="83">
        <f>EFEITO!$N$180*EFEITO!$AA$180</f>
        <v>682.48648218536721</v>
      </c>
      <c r="M180" s="83">
        <f>$J$180-EFEITO!$K$180*EFEITO!$Y$180</f>
        <v>0</v>
      </c>
      <c r="N180" s="83">
        <f ca="1">$K$180-EFEITO!$M$180*EFEITO!$Z$180</f>
        <v>0</v>
      </c>
      <c r="O180" s="83">
        <f>$L$180-EFEITO!$O$180*EFEITO!$AA$180</f>
        <v>0</v>
      </c>
      <c r="P180" s="28"/>
      <c r="Q180" s="28"/>
      <c r="R180" s="28"/>
      <c r="S180" s="28"/>
      <c r="T180" s="28"/>
      <c r="U180" s="28"/>
      <c r="V180" s="28"/>
      <c r="W180" s="28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72" t="s">
        <v>21</v>
      </c>
      <c r="B181" s="72" t="s">
        <v>33</v>
      </c>
      <c r="C181" s="72" t="s">
        <v>34</v>
      </c>
      <c r="D181" s="72" t="s">
        <v>40</v>
      </c>
      <c r="E181" s="72" t="s">
        <v>25</v>
      </c>
      <c r="F181" s="72" t="s">
        <v>25</v>
      </c>
      <c r="G181" s="72" t="s">
        <v>25</v>
      </c>
      <c r="H181" s="72" t="s">
        <v>35</v>
      </c>
      <c r="I181" s="82">
        <v>44621</v>
      </c>
      <c r="J181" s="83">
        <f>EFEITO!$J$181*EFEITO!$Y$181</f>
        <v>0</v>
      </c>
      <c r="K181" s="83">
        <f ca="1">EFEITO!$L$181*EFEITO!$Z$181</f>
        <v>19554.824468176692</v>
      </c>
      <c r="L181" s="83">
        <f>EFEITO!$N$181*EFEITO!$AA$181</f>
        <v>4218.5669070143049</v>
      </c>
      <c r="M181" s="83">
        <f>$J$181-EFEITO!$K$181*EFEITO!$Y$181</f>
        <v>0</v>
      </c>
      <c r="N181" s="83">
        <f ca="1">$K$181-EFEITO!$M$181*EFEITO!$Z$181</f>
        <v>0</v>
      </c>
      <c r="O181" s="83">
        <f>$L$181-EFEITO!$O$181*EFEITO!$AA$181</f>
        <v>0</v>
      </c>
      <c r="P181" s="28"/>
      <c r="Q181" s="28"/>
      <c r="R181" s="28"/>
      <c r="S181" s="28"/>
      <c r="T181" s="28"/>
      <c r="U181" s="28"/>
      <c r="V181" s="28"/>
      <c r="W181" s="28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72" t="s">
        <v>28</v>
      </c>
      <c r="B182" s="72" t="s">
        <v>33</v>
      </c>
      <c r="C182" s="72" t="s">
        <v>34</v>
      </c>
      <c r="D182" s="72" t="s">
        <v>40</v>
      </c>
      <c r="E182" s="72" t="s">
        <v>25</v>
      </c>
      <c r="F182" s="72" t="s">
        <v>25</v>
      </c>
      <c r="G182" s="72" t="s">
        <v>25</v>
      </c>
      <c r="H182" s="72" t="s">
        <v>35</v>
      </c>
      <c r="I182" s="82">
        <v>44621</v>
      </c>
      <c r="J182" s="83">
        <f>EFEITO!$J$182*EFEITO!$Y$182</f>
        <v>0</v>
      </c>
      <c r="K182" s="83">
        <f ca="1">EFEITO!$L$182*EFEITO!$Z$182</f>
        <v>5994.2611179975383</v>
      </c>
      <c r="L182" s="83">
        <f>EFEITO!$N$182*EFEITO!$AA$182</f>
        <v>1293.1433685604843</v>
      </c>
      <c r="M182" s="83">
        <f>$J$182-EFEITO!$K$182*EFEITO!$Y$182</f>
        <v>0</v>
      </c>
      <c r="N182" s="83">
        <f ca="1">$K$182-EFEITO!$M$182*EFEITO!$Z$182</f>
        <v>0</v>
      </c>
      <c r="O182" s="83">
        <f>$L$182-EFEITO!$O$182*EFEITO!$AA$182</f>
        <v>0</v>
      </c>
      <c r="P182" s="28"/>
      <c r="Q182" s="28"/>
      <c r="R182" s="28"/>
      <c r="S182" s="28"/>
      <c r="T182" s="28"/>
      <c r="U182" s="28"/>
      <c r="V182" s="28"/>
      <c r="W182" s="28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72" t="s">
        <v>21</v>
      </c>
      <c r="B183" s="72" t="s">
        <v>33</v>
      </c>
      <c r="C183" s="72" t="s">
        <v>34</v>
      </c>
      <c r="D183" s="72" t="s">
        <v>40</v>
      </c>
      <c r="E183" s="72" t="s">
        <v>25</v>
      </c>
      <c r="F183" s="72" t="s">
        <v>25</v>
      </c>
      <c r="G183" s="72" t="s">
        <v>25</v>
      </c>
      <c r="H183" s="72" t="s">
        <v>35</v>
      </c>
      <c r="I183" s="82">
        <v>44652</v>
      </c>
      <c r="J183" s="83">
        <f>EFEITO!$J$183*EFEITO!$Y$183</f>
        <v>0</v>
      </c>
      <c r="K183" s="83">
        <f ca="1">EFEITO!$L$183*EFEITO!$Z$183</f>
        <v>17053.228608214205</v>
      </c>
      <c r="L183" s="83">
        <f>EFEITO!$N$183*EFEITO!$AA$183</f>
        <v>3678.8970405455052</v>
      </c>
      <c r="M183" s="83">
        <f>$J$183-EFEITO!$K$183*EFEITO!$Y$183</f>
        <v>0</v>
      </c>
      <c r="N183" s="83">
        <f ca="1">$K$183-EFEITO!$M$183*EFEITO!$Z$183</f>
        <v>0</v>
      </c>
      <c r="O183" s="83">
        <f>$L$183-EFEITO!$O$183*EFEITO!$AA$183</f>
        <v>0</v>
      </c>
      <c r="P183" s="28"/>
      <c r="Q183" s="28"/>
      <c r="R183" s="28"/>
      <c r="S183" s="28"/>
      <c r="T183" s="28"/>
      <c r="U183" s="28"/>
      <c r="V183" s="28"/>
      <c r="W183" s="28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72" t="s">
        <v>21</v>
      </c>
      <c r="B184" s="72" t="s">
        <v>33</v>
      </c>
      <c r="C184" s="72" t="s">
        <v>34</v>
      </c>
      <c r="D184" s="72" t="s">
        <v>24</v>
      </c>
      <c r="E184" s="72" t="s">
        <v>24</v>
      </c>
      <c r="F184" s="72" t="s">
        <v>25</v>
      </c>
      <c r="G184" s="72" t="s">
        <v>25</v>
      </c>
      <c r="H184" s="72" t="s">
        <v>36</v>
      </c>
      <c r="I184" s="82">
        <v>44317</v>
      </c>
      <c r="J184" s="83">
        <f>EFEITO!$J$184*EFEITO!$Y$184</f>
        <v>0</v>
      </c>
      <c r="K184" s="83">
        <f ca="1">EFEITO!$L$184*EFEITO!$Z$184</f>
        <v>300.33696408396713</v>
      </c>
      <c r="L184" s="83">
        <f>EFEITO!$N$184*EFEITO!$AA$184</f>
        <v>630.45742011753202</v>
      </c>
      <c r="M184" s="83">
        <f>$J$184-EFEITO!$K$184*EFEITO!$Y$184</f>
        <v>0</v>
      </c>
      <c r="N184" s="83">
        <f ca="1">$K$184-EFEITO!$M$184*EFEITO!$Z$184</f>
        <v>0</v>
      </c>
      <c r="O184" s="83">
        <f>$L$184-EFEITO!$O$184*EFEITO!$AA$184</f>
        <v>0</v>
      </c>
      <c r="P184" s="28"/>
      <c r="Q184" s="28"/>
      <c r="R184" s="28"/>
      <c r="S184" s="28"/>
      <c r="T184" s="28"/>
      <c r="U184" s="28"/>
      <c r="V184" s="28"/>
      <c r="W184" s="28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72" t="s">
        <v>21</v>
      </c>
      <c r="B185" s="72" t="s">
        <v>33</v>
      </c>
      <c r="C185" s="72" t="s">
        <v>34</v>
      </c>
      <c r="D185" s="72" t="s">
        <v>24</v>
      </c>
      <c r="E185" s="72" t="s">
        <v>24</v>
      </c>
      <c r="F185" s="72" t="s">
        <v>25</v>
      </c>
      <c r="G185" s="72" t="s">
        <v>25</v>
      </c>
      <c r="H185" s="72" t="s">
        <v>36</v>
      </c>
      <c r="I185" s="82">
        <v>44348</v>
      </c>
      <c r="J185" s="83">
        <f>EFEITO!$J$185*EFEITO!$Y$185</f>
        <v>0</v>
      </c>
      <c r="K185" s="83">
        <f ca="1">EFEITO!$L$185*EFEITO!$Z$185</f>
        <v>265.4163949221828</v>
      </c>
      <c r="L185" s="83">
        <f>EFEITO!$N$185*EFEITO!$AA$185</f>
        <v>557.15331647540006</v>
      </c>
      <c r="M185" s="83">
        <f>$J$185-EFEITO!$K$185*EFEITO!$Y$185</f>
        <v>0</v>
      </c>
      <c r="N185" s="83">
        <f ca="1">$K$185-EFEITO!$M$185*EFEITO!$Z$185</f>
        <v>0</v>
      </c>
      <c r="O185" s="83">
        <f>$L$185-EFEITO!$O$185*EFEITO!$AA$185</f>
        <v>0</v>
      </c>
      <c r="P185" s="28"/>
      <c r="Q185" s="28"/>
      <c r="R185" s="28"/>
      <c r="S185" s="28"/>
      <c r="T185" s="28"/>
      <c r="U185" s="28"/>
      <c r="V185" s="28"/>
      <c r="W185" s="28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72" t="s">
        <v>21</v>
      </c>
      <c r="B186" s="72" t="s">
        <v>33</v>
      </c>
      <c r="C186" s="72" t="s">
        <v>34</v>
      </c>
      <c r="D186" s="72" t="s">
        <v>24</v>
      </c>
      <c r="E186" s="72" t="s">
        <v>24</v>
      </c>
      <c r="F186" s="72" t="s">
        <v>25</v>
      </c>
      <c r="G186" s="72" t="s">
        <v>25</v>
      </c>
      <c r="H186" s="72" t="s">
        <v>36</v>
      </c>
      <c r="I186" s="82">
        <v>44378</v>
      </c>
      <c r="J186" s="83">
        <f>EFEITO!$J$186*EFEITO!$Y$186</f>
        <v>0</v>
      </c>
      <c r="K186" s="83">
        <f ca="1">EFEITO!$L$186*EFEITO!$Z$186</f>
        <v>445.73898912829344</v>
      </c>
      <c r="L186" s="83">
        <f>EFEITO!$N$186*EFEITO!$AA$186</f>
        <v>935.68054131709903</v>
      </c>
      <c r="M186" s="83">
        <f>$J$186-EFEITO!$K$186*EFEITO!$Y$186</f>
        <v>0</v>
      </c>
      <c r="N186" s="83">
        <f ca="1">$K$186-EFEITO!$M$186*EFEITO!$Z$186</f>
        <v>0</v>
      </c>
      <c r="O186" s="83">
        <f>$L$186-EFEITO!$O$186*EFEITO!$AA$186</f>
        <v>0</v>
      </c>
      <c r="P186" s="28"/>
      <c r="Q186" s="28"/>
      <c r="R186" s="28"/>
      <c r="S186" s="28"/>
      <c r="T186" s="28"/>
      <c r="U186" s="28"/>
      <c r="V186" s="28"/>
      <c r="W186" s="28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72" t="s">
        <v>21</v>
      </c>
      <c r="B187" s="72" t="s">
        <v>33</v>
      </c>
      <c r="C187" s="72" t="s">
        <v>34</v>
      </c>
      <c r="D187" s="72" t="s">
        <v>24</v>
      </c>
      <c r="E187" s="72" t="s">
        <v>24</v>
      </c>
      <c r="F187" s="72" t="s">
        <v>25</v>
      </c>
      <c r="G187" s="72" t="s">
        <v>25</v>
      </c>
      <c r="H187" s="72" t="s">
        <v>36</v>
      </c>
      <c r="I187" s="82">
        <v>44409</v>
      </c>
      <c r="J187" s="83">
        <f>EFEITO!$J$187*EFEITO!$Y$187</f>
        <v>0</v>
      </c>
      <c r="K187" s="83">
        <f ca="1">EFEITO!$L$187*EFEITO!$Z$187</f>
        <v>412.3236169131377</v>
      </c>
      <c r="L187" s="83">
        <f>EFEITO!$N$187*EFEITO!$AA$187</f>
        <v>865.53609731471408</v>
      </c>
      <c r="M187" s="83">
        <f>$J$187-EFEITO!$K$187*EFEITO!$Y$187</f>
        <v>0</v>
      </c>
      <c r="N187" s="83">
        <f ca="1">$K$187-EFEITO!$M$187*EFEITO!$Z$187</f>
        <v>0</v>
      </c>
      <c r="O187" s="83">
        <f>$L$187-EFEITO!$O$187*EFEITO!$AA$187</f>
        <v>0</v>
      </c>
      <c r="P187" s="28"/>
      <c r="Q187" s="28"/>
      <c r="R187" s="28"/>
      <c r="S187" s="28"/>
      <c r="T187" s="28"/>
      <c r="U187" s="28"/>
      <c r="V187" s="28"/>
      <c r="W187" s="28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72" t="s">
        <v>21</v>
      </c>
      <c r="B188" s="72" t="s">
        <v>33</v>
      </c>
      <c r="C188" s="72" t="s">
        <v>34</v>
      </c>
      <c r="D188" s="72" t="s">
        <v>24</v>
      </c>
      <c r="E188" s="72" t="s">
        <v>24</v>
      </c>
      <c r="F188" s="72" t="s">
        <v>25</v>
      </c>
      <c r="G188" s="72" t="s">
        <v>25</v>
      </c>
      <c r="H188" s="72" t="s">
        <v>36</v>
      </c>
      <c r="I188" s="82">
        <v>44440</v>
      </c>
      <c r="J188" s="83">
        <f>EFEITO!$J$188*EFEITO!$Y$188</f>
        <v>0</v>
      </c>
      <c r="K188" s="83">
        <f ca="1">EFEITO!$L$188*EFEITO!$Z$188</f>
        <v>306.65879125980746</v>
      </c>
      <c r="L188" s="83">
        <f>EFEITO!$N$188*EFEITO!$AA$188</f>
        <v>643.72799060446971</v>
      </c>
      <c r="M188" s="83">
        <f>$J$188-EFEITO!$K$188*EFEITO!$Y$188</f>
        <v>0</v>
      </c>
      <c r="N188" s="83">
        <f ca="1">$K$188-EFEITO!$M$188*EFEITO!$Z$188</f>
        <v>0</v>
      </c>
      <c r="O188" s="83">
        <f>$L$188-EFEITO!$O$188*EFEITO!$AA$188</f>
        <v>0</v>
      </c>
      <c r="P188" s="28"/>
      <c r="Q188" s="28"/>
      <c r="R188" s="28"/>
      <c r="S188" s="28"/>
      <c r="T188" s="28"/>
      <c r="U188" s="28"/>
      <c r="V188" s="28"/>
      <c r="W188" s="28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72" t="s">
        <v>21</v>
      </c>
      <c r="B189" s="72" t="s">
        <v>33</v>
      </c>
      <c r="C189" s="72" t="s">
        <v>34</v>
      </c>
      <c r="D189" s="72" t="s">
        <v>24</v>
      </c>
      <c r="E189" s="72" t="s">
        <v>24</v>
      </c>
      <c r="F189" s="72" t="s">
        <v>25</v>
      </c>
      <c r="G189" s="72" t="s">
        <v>25</v>
      </c>
      <c r="H189" s="72" t="s">
        <v>36</v>
      </c>
      <c r="I189" s="82">
        <v>44470</v>
      </c>
      <c r="J189" s="83">
        <f>EFEITO!$J$189*EFEITO!$Y$189</f>
        <v>0</v>
      </c>
      <c r="K189" s="83">
        <f ca="1">EFEITO!$L$189*EFEITO!$Z$189</f>
        <v>547.28960979417207</v>
      </c>
      <c r="L189" s="83">
        <f>EFEITO!$N$189*EFEITO!$AA$189</f>
        <v>1148.8522450120347</v>
      </c>
      <c r="M189" s="83">
        <f>$J$189-EFEITO!$K$189*EFEITO!$Y$189</f>
        <v>0</v>
      </c>
      <c r="N189" s="83">
        <f ca="1">$K$189-EFEITO!$M$189*EFEITO!$Z$189</f>
        <v>0</v>
      </c>
      <c r="O189" s="83">
        <f>$L$189-EFEITO!$O$189*EFEITO!$AA$189</f>
        <v>0</v>
      </c>
      <c r="P189" s="28"/>
      <c r="Q189" s="28"/>
      <c r="R189" s="28"/>
      <c r="S189" s="28"/>
      <c r="T189" s="28"/>
      <c r="U189" s="28"/>
      <c r="V189" s="28"/>
      <c r="W189" s="28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72" t="s">
        <v>21</v>
      </c>
      <c r="B190" s="72" t="s">
        <v>33</v>
      </c>
      <c r="C190" s="72" t="s">
        <v>34</v>
      </c>
      <c r="D190" s="72" t="s">
        <v>24</v>
      </c>
      <c r="E190" s="72" t="s">
        <v>24</v>
      </c>
      <c r="F190" s="72" t="s">
        <v>25</v>
      </c>
      <c r="G190" s="72" t="s">
        <v>25</v>
      </c>
      <c r="H190" s="72" t="s">
        <v>36</v>
      </c>
      <c r="I190" s="82">
        <v>44501</v>
      </c>
      <c r="J190" s="83">
        <f>EFEITO!$J$190*EFEITO!$Y$190</f>
        <v>0</v>
      </c>
      <c r="K190" s="83">
        <f ca="1">EFEITO!$L$190*EFEITO!$Z$190</f>
        <v>513.87423757901638</v>
      </c>
      <c r="L190" s="83">
        <f>EFEITO!$N$190*EFEITO!$AA$190</f>
        <v>1078.7078010096498</v>
      </c>
      <c r="M190" s="83">
        <f>$J$190-EFEITO!$K$190*EFEITO!$Y$190</f>
        <v>0</v>
      </c>
      <c r="N190" s="83">
        <f ca="1">$K$190-EFEITO!$M$190*EFEITO!$Z$190</f>
        <v>0</v>
      </c>
      <c r="O190" s="83">
        <f>$L$190-EFEITO!$O$190*EFEITO!$AA$190</f>
        <v>0</v>
      </c>
      <c r="P190" s="28"/>
      <c r="Q190" s="28"/>
      <c r="R190" s="28"/>
      <c r="S190" s="28"/>
      <c r="T190" s="28"/>
      <c r="U190" s="28"/>
      <c r="V190" s="28"/>
      <c r="W190" s="28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72" t="s">
        <v>21</v>
      </c>
      <c r="B191" s="72" t="s">
        <v>33</v>
      </c>
      <c r="C191" s="72" t="s">
        <v>34</v>
      </c>
      <c r="D191" s="72" t="s">
        <v>24</v>
      </c>
      <c r="E191" s="72" t="s">
        <v>24</v>
      </c>
      <c r="F191" s="72" t="s">
        <v>25</v>
      </c>
      <c r="G191" s="72" t="s">
        <v>25</v>
      </c>
      <c r="H191" s="72" t="s">
        <v>36</v>
      </c>
      <c r="I191" s="82">
        <v>44531</v>
      </c>
      <c r="J191" s="83">
        <f>EFEITO!$J$191*EFEITO!$Y$191</f>
        <v>0</v>
      </c>
      <c r="K191" s="83">
        <f ca="1">EFEITO!$L$191*EFEITO!$Z$191</f>
        <v>353.52058953151231</v>
      </c>
      <c r="L191" s="83">
        <f>EFEITO!$N$191*EFEITO!$AA$191</f>
        <v>742.09872738859519</v>
      </c>
      <c r="M191" s="83">
        <f>$J$191-EFEITO!$K$191*EFEITO!$Y$191</f>
        <v>0</v>
      </c>
      <c r="N191" s="83">
        <f ca="1">$K$191-EFEITO!$M$191*EFEITO!$Z$191</f>
        <v>0</v>
      </c>
      <c r="O191" s="83">
        <f>$L$191-EFEITO!$O$191*EFEITO!$AA$191</f>
        <v>0</v>
      </c>
      <c r="P191" s="28"/>
      <c r="Q191" s="28"/>
      <c r="R191" s="28"/>
      <c r="S191" s="28"/>
      <c r="T191" s="28"/>
      <c r="U191" s="28"/>
      <c r="V191" s="28"/>
      <c r="W191" s="28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72" t="s">
        <v>21</v>
      </c>
      <c r="B192" s="72" t="s">
        <v>33</v>
      </c>
      <c r="C192" s="72" t="s">
        <v>34</v>
      </c>
      <c r="D192" s="72" t="s">
        <v>24</v>
      </c>
      <c r="E192" s="72" t="s">
        <v>24</v>
      </c>
      <c r="F192" s="72" t="s">
        <v>25</v>
      </c>
      <c r="G192" s="72" t="s">
        <v>25</v>
      </c>
      <c r="H192" s="72" t="s">
        <v>36</v>
      </c>
      <c r="I192" s="82">
        <v>44562</v>
      </c>
      <c r="J192" s="83">
        <f>EFEITO!$J$192*EFEITO!$Y$192</f>
        <v>0</v>
      </c>
      <c r="K192" s="83">
        <f ca="1">EFEITO!$L$192*EFEITO!$Z$192</f>
        <v>335.65891909818583</v>
      </c>
      <c r="L192" s="83">
        <f>EFEITO!$N$192*EFEITO!$AA$192</f>
        <v>704.60409966359668</v>
      </c>
      <c r="M192" s="83">
        <f>$J$192-EFEITO!$K$192*EFEITO!$Y$192</f>
        <v>0</v>
      </c>
      <c r="N192" s="83">
        <f ca="1">$K$192-EFEITO!$M$192*EFEITO!$Z$192</f>
        <v>0</v>
      </c>
      <c r="O192" s="83">
        <f>$L$192-EFEITO!$O$192*EFEITO!$AA$192</f>
        <v>0</v>
      </c>
      <c r="P192" s="28"/>
      <c r="Q192" s="28"/>
      <c r="R192" s="28"/>
      <c r="S192" s="28"/>
      <c r="T192" s="28"/>
      <c r="U192" s="28"/>
      <c r="V192" s="28"/>
      <c r="W192" s="28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72" t="s">
        <v>21</v>
      </c>
      <c r="B193" s="72" t="s">
        <v>33</v>
      </c>
      <c r="C193" s="72" t="s">
        <v>34</v>
      </c>
      <c r="D193" s="72" t="s">
        <v>24</v>
      </c>
      <c r="E193" s="72" t="s">
        <v>24</v>
      </c>
      <c r="F193" s="72" t="s">
        <v>25</v>
      </c>
      <c r="G193" s="72" t="s">
        <v>25</v>
      </c>
      <c r="H193" s="72" t="s">
        <v>36</v>
      </c>
      <c r="I193" s="82">
        <v>44593</v>
      </c>
      <c r="J193" s="83">
        <f>EFEITO!$J$193*EFEITO!$Y$193</f>
        <v>0</v>
      </c>
      <c r="K193" s="83">
        <f ca="1">EFEITO!$L$193*EFEITO!$Z$193</f>
        <v>351.91504612177511</v>
      </c>
      <c r="L193" s="83">
        <f>EFEITO!$N$193*EFEITO!$AA$193</f>
        <v>738.72842377286497</v>
      </c>
      <c r="M193" s="83">
        <f>$J$193-EFEITO!$K$193*EFEITO!$Y$193</f>
        <v>0</v>
      </c>
      <c r="N193" s="83">
        <f ca="1">$K$193-EFEITO!$M$193*EFEITO!$Z$193</f>
        <v>0</v>
      </c>
      <c r="O193" s="83">
        <f>$L$193-EFEITO!$O$193*EFEITO!$AA$193</f>
        <v>0</v>
      </c>
      <c r="P193" s="28"/>
      <c r="Q193" s="28"/>
      <c r="R193" s="28"/>
      <c r="S193" s="28"/>
      <c r="T193" s="28"/>
      <c r="U193" s="28"/>
      <c r="V193" s="28"/>
      <c r="W193" s="28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72" t="s">
        <v>21</v>
      </c>
      <c r="B194" s="72" t="s">
        <v>33</v>
      </c>
      <c r="C194" s="72" t="s">
        <v>34</v>
      </c>
      <c r="D194" s="72" t="s">
        <v>24</v>
      </c>
      <c r="E194" s="72" t="s">
        <v>24</v>
      </c>
      <c r="F194" s="72" t="s">
        <v>25</v>
      </c>
      <c r="G194" s="72" t="s">
        <v>25</v>
      </c>
      <c r="H194" s="72" t="s">
        <v>36</v>
      </c>
      <c r="I194" s="82">
        <v>44621</v>
      </c>
      <c r="J194" s="83">
        <f>EFEITO!$J$194*EFEITO!$Y$194</f>
        <v>0</v>
      </c>
      <c r="K194" s="83">
        <f ca="1">EFEITO!$L$194*EFEITO!$Z$194</f>
        <v>440.01924073110456</v>
      </c>
      <c r="L194" s="83">
        <f>EFEITO!$N$194*EFEITO!$AA$194</f>
        <v>923.6738346860601</v>
      </c>
      <c r="M194" s="83">
        <f>$J$194-EFEITO!$K$194*EFEITO!$Y$194</f>
        <v>0</v>
      </c>
      <c r="N194" s="83">
        <f ca="1">$K$194-EFEITO!$M$194*EFEITO!$Z$194</f>
        <v>0</v>
      </c>
      <c r="O194" s="83">
        <f>$L$194-EFEITO!$O$194*EFEITO!$AA$194</f>
        <v>0</v>
      </c>
      <c r="P194" s="28"/>
      <c r="Q194" s="28"/>
      <c r="R194" s="28"/>
      <c r="S194" s="28"/>
      <c r="T194" s="28"/>
      <c r="U194" s="28"/>
      <c r="V194" s="28"/>
      <c r="W194" s="28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72" t="s">
        <v>21</v>
      </c>
      <c r="B195" s="72" t="s">
        <v>33</v>
      </c>
      <c r="C195" s="72" t="s">
        <v>34</v>
      </c>
      <c r="D195" s="72" t="s">
        <v>24</v>
      </c>
      <c r="E195" s="72" t="s">
        <v>24</v>
      </c>
      <c r="F195" s="72" t="s">
        <v>25</v>
      </c>
      <c r="G195" s="72" t="s">
        <v>25</v>
      </c>
      <c r="H195" s="72" t="s">
        <v>36</v>
      </c>
      <c r="I195" s="82">
        <v>44652</v>
      </c>
      <c r="J195" s="83">
        <f>EFEITO!$J$195*EFEITO!$Y$195</f>
        <v>0</v>
      </c>
      <c r="K195" s="83">
        <f ca="1">EFEITO!$L$195*EFEITO!$Z$195</f>
        <v>736.44269275383738</v>
      </c>
      <c r="L195" s="83">
        <f>EFEITO!$N$195*EFEITO!$AA$195</f>
        <v>1545.9161397402499</v>
      </c>
      <c r="M195" s="83">
        <f>$J$195-EFEITO!$K$195*EFEITO!$Y$195</f>
        <v>0</v>
      </c>
      <c r="N195" s="83">
        <f ca="1">$K$195-EFEITO!$M$195*EFEITO!$Z$195</f>
        <v>0</v>
      </c>
      <c r="O195" s="83">
        <f>$L$195-EFEITO!$O$195*EFEITO!$AA$195</f>
        <v>0</v>
      </c>
      <c r="P195" s="28"/>
      <c r="Q195" s="28"/>
      <c r="R195" s="28"/>
      <c r="S195" s="28"/>
      <c r="T195" s="28"/>
      <c r="U195" s="28"/>
      <c r="V195" s="28"/>
      <c r="W195" s="28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72" t="s">
        <v>21</v>
      </c>
      <c r="B196" s="72" t="s">
        <v>33</v>
      </c>
      <c r="C196" s="72" t="s">
        <v>34</v>
      </c>
      <c r="D196" s="72" t="s">
        <v>24</v>
      </c>
      <c r="E196" s="72" t="s">
        <v>24</v>
      </c>
      <c r="F196" s="72" t="s">
        <v>25</v>
      </c>
      <c r="G196" s="72" t="s">
        <v>25</v>
      </c>
      <c r="H196" s="72" t="s">
        <v>25</v>
      </c>
      <c r="I196" s="82">
        <v>44317</v>
      </c>
      <c r="J196" s="83">
        <f ca="1">EFEITO!$J$196*EFEITO!$Y$196</f>
        <v>834.0020964584827</v>
      </c>
      <c r="K196" s="83">
        <f>EFEITO!$L$196*EFEITO!$Z$196</f>
        <v>0</v>
      </c>
      <c r="L196" s="83">
        <f>EFEITO!$N$196*EFEITO!$AA$196</f>
        <v>0</v>
      </c>
      <c r="M196" s="83">
        <f ca="1">$J$196-EFEITO!$K$196*EFEITO!$Y$196</f>
        <v>0</v>
      </c>
      <c r="N196" s="83">
        <f>$K$196-EFEITO!$M$196*EFEITO!$Z$196</f>
        <v>0</v>
      </c>
      <c r="O196" s="83">
        <f>$L$196-EFEITO!$O$196*EFEITO!$AA$196</f>
        <v>0</v>
      </c>
      <c r="P196" s="28"/>
      <c r="Q196" s="28"/>
      <c r="R196" s="28"/>
      <c r="S196" s="28"/>
      <c r="T196" s="28"/>
      <c r="U196" s="28"/>
      <c r="V196" s="28"/>
      <c r="W196" s="28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72" t="s">
        <v>21</v>
      </c>
      <c r="B197" s="72" t="s">
        <v>33</v>
      </c>
      <c r="C197" s="72" t="s">
        <v>34</v>
      </c>
      <c r="D197" s="72" t="s">
        <v>24</v>
      </c>
      <c r="E197" s="72" t="s">
        <v>24</v>
      </c>
      <c r="F197" s="72" t="s">
        <v>25</v>
      </c>
      <c r="G197" s="72" t="s">
        <v>25</v>
      </c>
      <c r="H197" s="72" t="s">
        <v>25</v>
      </c>
      <c r="I197" s="82">
        <v>44348</v>
      </c>
      <c r="J197" s="83">
        <f ca="1">EFEITO!$J$197*EFEITO!$Y$197</f>
        <v>834.0020964584827</v>
      </c>
      <c r="K197" s="83">
        <f>EFEITO!$L$197*EFEITO!$Z$197</f>
        <v>0</v>
      </c>
      <c r="L197" s="83">
        <f>EFEITO!$N$197*EFEITO!$AA$197</f>
        <v>0</v>
      </c>
      <c r="M197" s="83">
        <f ca="1">$J$197-EFEITO!$K$197*EFEITO!$Y$197</f>
        <v>0</v>
      </c>
      <c r="N197" s="83">
        <f>$K$197-EFEITO!$M$197*EFEITO!$Z$197</f>
        <v>0</v>
      </c>
      <c r="O197" s="83">
        <f>$L$197-EFEITO!$O$197*EFEITO!$AA$197</f>
        <v>0</v>
      </c>
      <c r="P197" s="28"/>
      <c r="Q197" s="28"/>
      <c r="R197" s="28"/>
      <c r="S197" s="28"/>
      <c r="T197" s="28"/>
      <c r="U197" s="28"/>
      <c r="V197" s="28"/>
      <c r="W197" s="28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72" t="s">
        <v>21</v>
      </c>
      <c r="B198" s="72" t="s">
        <v>33</v>
      </c>
      <c r="C198" s="72" t="s">
        <v>34</v>
      </c>
      <c r="D198" s="72" t="s">
        <v>24</v>
      </c>
      <c r="E198" s="72" t="s">
        <v>24</v>
      </c>
      <c r="F198" s="72" t="s">
        <v>25</v>
      </c>
      <c r="G198" s="72" t="s">
        <v>25</v>
      </c>
      <c r="H198" s="72" t="s">
        <v>25</v>
      </c>
      <c r="I198" s="82">
        <v>44378</v>
      </c>
      <c r="J198" s="83">
        <f ca="1">EFEITO!$J$198*EFEITO!$Y$198</f>
        <v>834.0020964584827</v>
      </c>
      <c r="K198" s="83">
        <f>EFEITO!$L$198*EFEITO!$Z$198</f>
        <v>0</v>
      </c>
      <c r="L198" s="83">
        <f>EFEITO!$N$198*EFEITO!$AA$198</f>
        <v>0</v>
      </c>
      <c r="M198" s="83">
        <f ca="1">$J$198-EFEITO!$K$198*EFEITO!$Y$198</f>
        <v>0</v>
      </c>
      <c r="N198" s="83">
        <f>$K$198-EFEITO!$M$198*EFEITO!$Z$198</f>
        <v>0</v>
      </c>
      <c r="O198" s="83">
        <f>$L$198-EFEITO!$O$198*EFEITO!$AA$198</f>
        <v>0</v>
      </c>
      <c r="P198" s="28"/>
      <c r="Q198" s="28"/>
      <c r="R198" s="28"/>
      <c r="S198" s="28"/>
      <c r="T198" s="28"/>
      <c r="U198" s="28"/>
      <c r="V198" s="28"/>
      <c r="W198" s="28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72" t="s">
        <v>21</v>
      </c>
      <c r="B199" s="72" t="s">
        <v>33</v>
      </c>
      <c r="C199" s="72" t="s">
        <v>34</v>
      </c>
      <c r="D199" s="72" t="s">
        <v>24</v>
      </c>
      <c r="E199" s="72" t="s">
        <v>24</v>
      </c>
      <c r="F199" s="72" t="s">
        <v>25</v>
      </c>
      <c r="G199" s="72" t="s">
        <v>25</v>
      </c>
      <c r="H199" s="72" t="s">
        <v>25</v>
      </c>
      <c r="I199" s="82">
        <v>44409</v>
      </c>
      <c r="J199" s="83">
        <f ca="1">EFEITO!$J$199*EFEITO!$Y$199</f>
        <v>834.0020964584827</v>
      </c>
      <c r="K199" s="83">
        <f>EFEITO!$L$199*EFEITO!$Z$199</f>
        <v>0</v>
      </c>
      <c r="L199" s="83">
        <f>EFEITO!$N$199*EFEITO!$AA$199</f>
        <v>0</v>
      </c>
      <c r="M199" s="83">
        <f ca="1">$J$199-EFEITO!$K$199*EFEITO!$Y$199</f>
        <v>0</v>
      </c>
      <c r="N199" s="83">
        <f>$K$199-EFEITO!$M$199*EFEITO!$Z$199</f>
        <v>0</v>
      </c>
      <c r="O199" s="83">
        <f>$L$199-EFEITO!$O$199*EFEITO!$AA$199</f>
        <v>0</v>
      </c>
      <c r="P199" s="28"/>
      <c r="Q199" s="28"/>
      <c r="R199" s="28"/>
      <c r="S199" s="28"/>
      <c r="T199" s="28"/>
      <c r="U199" s="28"/>
      <c r="V199" s="28"/>
      <c r="W199" s="28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72" t="s">
        <v>21</v>
      </c>
      <c r="B200" s="72" t="s">
        <v>33</v>
      </c>
      <c r="C200" s="72" t="s">
        <v>34</v>
      </c>
      <c r="D200" s="72" t="s">
        <v>24</v>
      </c>
      <c r="E200" s="72" t="s">
        <v>24</v>
      </c>
      <c r="F200" s="72" t="s">
        <v>25</v>
      </c>
      <c r="G200" s="72" t="s">
        <v>25</v>
      </c>
      <c r="H200" s="72" t="s">
        <v>25</v>
      </c>
      <c r="I200" s="82">
        <v>44440</v>
      </c>
      <c r="J200" s="83">
        <f ca="1">EFEITO!$J$200*EFEITO!$Y$200</f>
        <v>834.0020964584827</v>
      </c>
      <c r="K200" s="83">
        <f>EFEITO!$L$200*EFEITO!$Z$200</f>
        <v>0</v>
      </c>
      <c r="L200" s="83">
        <f>EFEITO!$N$200*EFEITO!$AA$200</f>
        <v>0</v>
      </c>
      <c r="M200" s="83">
        <f ca="1">$J$200-EFEITO!$K$200*EFEITO!$Y$200</f>
        <v>0</v>
      </c>
      <c r="N200" s="83">
        <f>$K$200-EFEITO!$M$200*EFEITO!$Z$200</f>
        <v>0</v>
      </c>
      <c r="O200" s="83">
        <f>$L$200-EFEITO!$O$200*EFEITO!$AA$200</f>
        <v>0</v>
      </c>
      <c r="P200" s="28"/>
      <c r="Q200" s="28"/>
      <c r="R200" s="28"/>
      <c r="S200" s="28"/>
      <c r="T200" s="28"/>
      <c r="U200" s="28"/>
      <c r="V200" s="28"/>
      <c r="W200" s="28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72" t="s">
        <v>21</v>
      </c>
      <c r="B201" s="72" t="s">
        <v>33</v>
      </c>
      <c r="C201" s="72" t="s">
        <v>34</v>
      </c>
      <c r="D201" s="72" t="s">
        <v>24</v>
      </c>
      <c r="E201" s="72" t="s">
        <v>24</v>
      </c>
      <c r="F201" s="72" t="s">
        <v>25</v>
      </c>
      <c r="G201" s="72" t="s">
        <v>25</v>
      </c>
      <c r="H201" s="72" t="s">
        <v>25</v>
      </c>
      <c r="I201" s="82">
        <v>44470</v>
      </c>
      <c r="J201" s="83">
        <f ca="1">EFEITO!$J$201*EFEITO!$Y$201</f>
        <v>834.0020964584827</v>
      </c>
      <c r="K201" s="83">
        <f>EFEITO!$L$201*EFEITO!$Z$201</f>
        <v>0</v>
      </c>
      <c r="L201" s="83">
        <f>EFEITO!$N$201*EFEITO!$AA$201</f>
        <v>0</v>
      </c>
      <c r="M201" s="83">
        <f ca="1">$J$201-EFEITO!$K$201*EFEITO!$Y$201</f>
        <v>0</v>
      </c>
      <c r="N201" s="83">
        <f>$K$201-EFEITO!$M$201*EFEITO!$Z$201</f>
        <v>0</v>
      </c>
      <c r="O201" s="83">
        <f>$L$201-EFEITO!$O$201*EFEITO!$AA$201</f>
        <v>0</v>
      </c>
      <c r="P201" s="28"/>
      <c r="Q201" s="28"/>
      <c r="R201" s="28"/>
      <c r="S201" s="28"/>
      <c r="T201" s="28"/>
      <c r="U201" s="28"/>
      <c r="V201" s="28"/>
      <c r="W201" s="28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72" t="s">
        <v>21</v>
      </c>
      <c r="B202" s="72" t="s">
        <v>33</v>
      </c>
      <c r="C202" s="72" t="s">
        <v>34</v>
      </c>
      <c r="D202" s="72" t="s">
        <v>24</v>
      </c>
      <c r="E202" s="72" t="s">
        <v>24</v>
      </c>
      <c r="F202" s="72" t="s">
        <v>25</v>
      </c>
      <c r="G202" s="72" t="s">
        <v>25</v>
      </c>
      <c r="H202" s="72" t="s">
        <v>25</v>
      </c>
      <c r="I202" s="82">
        <v>44501</v>
      </c>
      <c r="J202" s="83">
        <f ca="1">EFEITO!$J$202*EFEITO!$Y$202</f>
        <v>834.0020964584827</v>
      </c>
      <c r="K202" s="83">
        <f>EFEITO!$L$202*EFEITO!$Z$202</f>
        <v>0</v>
      </c>
      <c r="L202" s="83">
        <f>EFEITO!$N$202*EFEITO!$AA$202</f>
        <v>0</v>
      </c>
      <c r="M202" s="83">
        <f ca="1">$J$202-EFEITO!$K$202*EFEITO!$Y$202</f>
        <v>0</v>
      </c>
      <c r="N202" s="83">
        <f>$K$202-EFEITO!$M$202*EFEITO!$Z$202</f>
        <v>0</v>
      </c>
      <c r="O202" s="83">
        <f>$L$202-EFEITO!$O$202*EFEITO!$AA$202</f>
        <v>0</v>
      </c>
      <c r="P202" s="28"/>
      <c r="Q202" s="28"/>
      <c r="R202" s="28"/>
      <c r="S202" s="28"/>
      <c r="T202" s="28"/>
      <c r="U202" s="28"/>
      <c r="V202" s="28"/>
      <c r="W202" s="28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72" t="s">
        <v>21</v>
      </c>
      <c r="B203" s="72" t="s">
        <v>33</v>
      </c>
      <c r="C203" s="72" t="s">
        <v>34</v>
      </c>
      <c r="D203" s="72" t="s">
        <v>24</v>
      </c>
      <c r="E203" s="72" t="s">
        <v>24</v>
      </c>
      <c r="F203" s="72" t="s">
        <v>25</v>
      </c>
      <c r="G203" s="72" t="s">
        <v>25</v>
      </c>
      <c r="H203" s="72" t="s">
        <v>25</v>
      </c>
      <c r="I203" s="82">
        <v>44531</v>
      </c>
      <c r="J203" s="83">
        <f ca="1">EFEITO!$J$203*EFEITO!$Y$203</f>
        <v>834.0020964584827</v>
      </c>
      <c r="K203" s="83">
        <f>EFEITO!$L$203*EFEITO!$Z$203</f>
        <v>0</v>
      </c>
      <c r="L203" s="83">
        <f>EFEITO!$N$203*EFEITO!$AA$203</f>
        <v>0</v>
      </c>
      <c r="M203" s="83">
        <f ca="1">$J$203-EFEITO!$K$203*EFEITO!$Y$203</f>
        <v>0</v>
      </c>
      <c r="N203" s="83">
        <f>$K$203-EFEITO!$M$203*EFEITO!$Z$203</f>
        <v>0</v>
      </c>
      <c r="O203" s="83">
        <f>$L$203-EFEITO!$O$203*EFEITO!$AA$203</f>
        <v>0</v>
      </c>
      <c r="P203" s="28"/>
      <c r="Q203" s="28"/>
      <c r="R203" s="28"/>
      <c r="S203" s="28"/>
      <c r="T203" s="28"/>
      <c r="U203" s="28"/>
      <c r="V203" s="28"/>
      <c r="W203" s="28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72" t="s">
        <v>21</v>
      </c>
      <c r="B204" s="72" t="s">
        <v>33</v>
      </c>
      <c r="C204" s="72" t="s">
        <v>34</v>
      </c>
      <c r="D204" s="72" t="s">
        <v>24</v>
      </c>
      <c r="E204" s="72" t="s">
        <v>24</v>
      </c>
      <c r="F204" s="72" t="s">
        <v>25</v>
      </c>
      <c r="G204" s="72" t="s">
        <v>25</v>
      </c>
      <c r="H204" s="72" t="s">
        <v>25</v>
      </c>
      <c r="I204" s="82">
        <v>44562</v>
      </c>
      <c r="J204" s="83">
        <f ca="1">EFEITO!$J$204*EFEITO!$Y$204</f>
        <v>834.0020964584827</v>
      </c>
      <c r="K204" s="83">
        <f>EFEITO!$L$204*EFEITO!$Z$204</f>
        <v>0</v>
      </c>
      <c r="L204" s="83">
        <f>EFEITO!$N$204*EFEITO!$AA$204</f>
        <v>0</v>
      </c>
      <c r="M204" s="83">
        <f ca="1">$J$204-EFEITO!$K$204*EFEITO!$Y$204</f>
        <v>0</v>
      </c>
      <c r="N204" s="83">
        <f>$K$204-EFEITO!$M$204*EFEITO!$Z$204</f>
        <v>0</v>
      </c>
      <c r="O204" s="83">
        <f>$L$204-EFEITO!$O$204*EFEITO!$AA$204</f>
        <v>0</v>
      </c>
      <c r="P204" s="28"/>
      <c r="Q204" s="28"/>
      <c r="R204" s="28"/>
      <c r="S204" s="28"/>
      <c r="T204" s="28"/>
      <c r="U204" s="28"/>
      <c r="V204" s="28"/>
      <c r="W204" s="28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72" t="s">
        <v>21</v>
      </c>
      <c r="B205" s="72" t="s">
        <v>33</v>
      </c>
      <c r="C205" s="72" t="s">
        <v>34</v>
      </c>
      <c r="D205" s="72" t="s">
        <v>24</v>
      </c>
      <c r="E205" s="72" t="s">
        <v>24</v>
      </c>
      <c r="F205" s="72" t="s">
        <v>25</v>
      </c>
      <c r="G205" s="72" t="s">
        <v>25</v>
      </c>
      <c r="H205" s="72" t="s">
        <v>25</v>
      </c>
      <c r="I205" s="82">
        <v>44593</v>
      </c>
      <c r="J205" s="83">
        <f ca="1">EFEITO!$J$205*EFEITO!$Y$205</f>
        <v>834.0020964584827</v>
      </c>
      <c r="K205" s="83">
        <f>EFEITO!$L$205*EFEITO!$Z$205</f>
        <v>0</v>
      </c>
      <c r="L205" s="83">
        <f>EFEITO!$N$205*EFEITO!$AA$205</f>
        <v>0</v>
      </c>
      <c r="M205" s="83">
        <f ca="1">$J$205-EFEITO!$K$205*EFEITO!$Y$205</f>
        <v>0</v>
      </c>
      <c r="N205" s="83">
        <f>$K$205-EFEITO!$M$205*EFEITO!$Z$205</f>
        <v>0</v>
      </c>
      <c r="O205" s="83">
        <f>$L$205-EFEITO!$O$205*EFEITO!$AA$205</f>
        <v>0</v>
      </c>
      <c r="P205" s="28"/>
      <c r="Q205" s="28"/>
      <c r="R205" s="28"/>
      <c r="S205" s="28"/>
      <c r="T205" s="28"/>
      <c r="U205" s="28"/>
      <c r="V205" s="28"/>
      <c r="W205" s="28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72" t="s">
        <v>21</v>
      </c>
      <c r="B206" s="72" t="s">
        <v>33</v>
      </c>
      <c r="C206" s="72" t="s">
        <v>34</v>
      </c>
      <c r="D206" s="72" t="s">
        <v>24</v>
      </c>
      <c r="E206" s="72" t="s">
        <v>24</v>
      </c>
      <c r="F206" s="72" t="s">
        <v>25</v>
      </c>
      <c r="G206" s="72" t="s">
        <v>25</v>
      </c>
      <c r="H206" s="72" t="s">
        <v>25</v>
      </c>
      <c r="I206" s="82">
        <v>44621</v>
      </c>
      <c r="J206" s="83">
        <f ca="1">EFEITO!$J$206*EFEITO!$Y$206</f>
        <v>834.0020964584827</v>
      </c>
      <c r="K206" s="83">
        <f>EFEITO!$L$206*EFEITO!$Z$206</f>
        <v>0</v>
      </c>
      <c r="L206" s="83">
        <f>EFEITO!$N$206*EFEITO!$AA$206</f>
        <v>0</v>
      </c>
      <c r="M206" s="83">
        <f ca="1">$J$206-EFEITO!$K$206*EFEITO!$Y$206</f>
        <v>0</v>
      </c>
      <c r="N206" s="83">
        <f>$K$206-EFEITO!$M$206*EFEITO!$Z$206</f>
        <v>0</v>
      </c>
      <c r="O206" s="83">
        <f>$L$206-EFEITO!$O$206*EFEITO!$AA$206</f>
        <v>0</v>
      </c>
      <c r="P206" s="28"/>
      <c r="Q206" s="28"/>
      <c r="R206" s="28"/>
      <c r="S206" s="28"/>
      <c r="T206" s="28"/>
      <c r="U206" s="28"/>
      <c r="V206" s="28"/>
      <c r="W206" s="28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72" t="s">
        <v>21</v>
      </c>
      <c r="B207" s="72" t="s">
        <v>33</v>
      </c>
      <c r="C207" s="72" t="s">
        <v>34</v>
      </c>
      <c r="D207" s="72" t="s">
        <v>24</v>
      </c>
      <c r="E207" s="72" t="s">
        <v>24</v>
      </c>
      <c r="F207" s="72" t="s">
        <v>25</v>
      </c>
      <c r="G207" s="72" t="s">
        <v>25</v>
      </c>
      <c r="H207" s="72" t="s">
        <v>25</v>
      </c>
      <c r="I207" s="82">
        <v>44652</v>
      </c>
      <c r="J207" s="83">
        <f ca="1">EFEITO!$J$207*EFEITO!$Y$207</f>
        <v>850.68213838765234</v>
      </c>
      <c r="K207" s="83">
        <f>EFEITO!$L$207*EFEITO!$Z$207</f>
        <v>0</v>
      </c>
      <c r="L207" s="83">
        <f>EFEITO!$N$207*EFEITO!$AA$207</f>
        <v>0</v>
      </c>
      <c r="M207" s="83">
        <f ca="1">$J$207-EFEITO!$K$207*EFEITO!$Y$207</f>
        <v>0</v>
      </c>
      <c r="N207" s="83">
        <f>$K$207-EFEITO!$M$207*EFEITO!$Z$207</f>
        <v>0</v>
      </c>
      <c r="O207" s="83">
        <f>$L$207-EFEITO!$O$207*EFEITO!$AA$207</f>
        <v>0</v>
      </c>
      <c r="P207" s="28"/>
      <c r="Q207" s="28"/>
      <c r="R207" s="28"/>
      <c r="S207" s="28"/>
      <c r="T207" s="28"/>
      <c r="U207" s="28"/>
      <c r="V207" s="28"/>
      <c r="W207" s="28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72" t="s">
        <v>21</v>
      </c>
      <c r="B208" s="72" t="s">
        <v>33</v>
      </c>
      <c r="C208" s="72" t="s">
        <v>34</v>
      </c>
      <c r="D208" s="72" t="s">
        <v>24</v>
      </c>
      <c r="E208" s="72" t="s">
        <v>24</v>
      </c>
      <c r="F208" s="72" t="s">
        <v>25</v>
      </c>
      <c r="G208" s="72" t="s">
        <v>25</v>
      </c>
      <c r="H208" s="72" t="s">
        <v>35</v>
      </c>
      <c r="I208" s="82">
        <v>44317</v>
      </c>
      <c r="J208" s="83">
        <f>EFEITO!$J$208*EFEITO!$Y$208</f>
        <v>0</v>
      </c>
      <c r="K208" s="83">
        <f ca="1">EFEITO!$L$208*EFEITO!$Z$208</f>
        <v>305.62041536622081</v>
      </c>
      <c r="L208" s="83">
        <f>EFEITO!$N$208*EFEITO!$AA$208</f>
        <v>65.931564482722194</v>
      </c>
      <c r="M208" s="83">
        <f>$J$208-EFEITO!$K$208*EFEITO!$Y$208</f>
        <v>0</v>
      </c>
      <c r="N208" s="83">
        <f ca="1">$K$208-EFEITO!$M$208*EFEITO!$Z$208</f>
        <v>0</v>
      </c>
      <c r="O208" s="83">
        <f>$L$208-EFEITO!$O$208*EFEITO!$AA$208</f>
        <v>0</v>
      </c>
      <c r="P208" s="28"/>
      <c r="Q208" s="28"/>
      <c r="R208" s="28"/>
      <c r="S208" s="28"/>
      <c r="T208" s="28"/>
      <c r="U208" s="28"/>
      <c r="V208" s="28"/>
      <c r="W208" s="28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72" t="s">
        <v>21</v>
      </c>
      <c r="B209" s="72" t="s">
        <v>33</v>
      </c>
      <c r="C209" s="72" t="s">
        <v>34</v>
      </c>
      <c r="D209" s="72" t="s">
        <v>24</v>
      </c>
      <c r="E209" s="72" t="s">
        <v>24</v>
      </c>
      <c r="F209" s="72" t="s">
        <v>25</v>
      </c>
      <c r="G209" s="72" t="s">
        <v>25</v>
      </c>
      <c r="H209" s="72" t="s">
        <v>35</v>
      </c>
      <c r="I209" s="82">
        <v>44348</v>
      </c>
      <c r="J209" s="83">
        <f>EFEITO!$J$209*EFEITO!$Y$209</f>
        <v>0</v>
      </c>
      <c r="K209" s="83">
        <f ca="1">EFEITO!$L$209*EFEITO!$Z$209</f>
        <v>282.18626211130288</v>
      </c>
      <c r="L209" s="83">
        <f>EFEITO!$N$209*EFEITO!$AA$209</f>
        <v>60.876109059126883</v>
      </c>
      <c r="M209" s="83">
        <f>$J$209-EFEITO!$K$209*EFEITO!$Y$209</f>
        <v>0</v>
      </c>
      <c r="N209" s="83">
        <f ca="1">$K$209-EFEITO!$M$209*EFEITO!$Z$209</f>
        <v>0</v>
      </c>
      <c r="O209" s="83">
        <f>$L$209-EFEITO!$O$209*EFEITO!$AA$209</f>
        <v>0</v>
      </c>
      <c r="P209" s="28"/>
      <c r="Q209" s="28"/>
      <c r="R209" s="28"/>
      <c r="S209" s="28"/>
      <c r="T209" s="28"/>
      <c r="U209" s="28"/>
      <c r="V209" s="28"/>
      <c r="W209" s="28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72" t="s">
        <v>21</v>
      </c>
      <c r="B210" s="72" t="s">
        <v>33</v>
      </c>
      <c r="C210" s="72" t="s">
        <v>34</v>
      </c>
      <c r="D210" s="72" t="s">
        <v>24</v>
      </c>
      <c r="E210" s="72" t="s">
        <v>24</v>
      </c>
      <c r="F210" s="72" t="s">
        <v>25</v>
      </c>
      <c r="G210" s="72" t="s">
        <v>25</v>
      </c>
      <c r="H210" s="72" t="s">
        <v>35</v>
      </c>
      <c r="I210" s="82">
        <v>44378</v>
      </c>
      <c r="J210" s="83">
        <f>EFEITO!$J$210*EFEITO!$Y$210</f>
        <v>0</v>
      </c>
      <c r="K210" s="83">
        <f ca="1">EFEITO!$L$210*EFEITO!$Z$210</f>
        <v>419.8619124839455</v>
      </c>
      <c r="L210" s="83">
        <f>EFEITO!$N$210*EFEITO!$AA$210</f>
        <v>90.576909672749338</v>
      </c>
      <c r="M210" s="83">
        <f>$J$210-EFEITO!$K$210*EFEITO!$Y$210</f>
        <v>0</v>
      </c>
      <c r="N210" s="83">
        <f ca="1">$K$210-EFEITO!$M$210*EFEITO!$Z$210</f>
        <v>0</v>
      </c>
      <c r="O210" s="83">
        <f>$L$210-EFEITO!$O$210*EFEITO!$AA$210</f>
        <v>0</v>
      </c>
      <c r="P210" s="28"/>
      <c r="Q210" s="28"/>
      <c r="R210" s="28"/>
      <c r="S210" s="28"/>
      <c r="T210" s="28"/>
      <c r="U210" s="28"/>
      <c r="V210" s="28"/>
      <c r="W210" s="28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72" t="s">
        <v>21</v>
      </c>
      <c r="B211" s="72" t="s">
        <v>33</v>
      </c>
      <c r="C211" s="72" t="s">
        <v>34</v>
      </c>
      <c r="D211" s="72" t="s">
        <v>24</v>
      </c>
      <c r="E211" s="72" t="s">
        <v>24</v>
      </c>
      <c r="F211" s="72" t="s">
        <v>25</v>
      </c>
      <c r="G211" s="72" t="s">
        <v>25</v>
      </c>
      <c r="H211" s="72" t="s">
        <v>35</v>
      </c>
      <c r="I211" s="82">
        <v>44409</v>
      </c>
      <c r="J211" s="83">
        <f>EFEITO!$J$211*EFEITO!$Y$211</f>
        <v>0</v>
      </c>
      <c r="K211" s="83">
        <f ca="1">EFEITO!$L$211*EFEITO!$Z$211</f>
        <v>456.96598847089882</v>
      </c>
      <c r="L211" s="83">
        <f>EFEITO!$N$211*EFEITO!$AA$211</f>
        <v>98.581380760108587</v>
      </c>
      <c r="M211" s="83">
        <f>$J$211-EFEITO!$K$211*EFEITO!$Y$211</f>
        <v>0</v>
      </c>
      <c r="N211" s="83">
        <f ca="1">$K$211-EFEITO!$M$211*EFEITO!$Z$211</f>
        <v>0</v>
      </c>
      <c r="O211" s="83">
        <f>$L$211-EFEITO!$O$211*EFEITO!$AA$211</f>
        <v>0</v>
      </c>
      <c r="P211" s="28"/>
      <c r="Q211" s="28"/>
      <c r="R211" s="28"/>
      <c r="S211" s="28"/>
      <c r="T211" s="28"/>
      <c r="U211" s="28"/>
      <c r="V211" s="28"/>
      <c r="W211" s="28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72" t="s">
        <v>21</v>
      </c>
      <c r="B212" s="72" t="s">
        <v>33</v>
      </c>
      <c r="C212" s="72" t="s">
        <v>34</v>
      </c>
      <c r="D212" s="72" t="s">
        <v>24</v>
      </c>
      <c r="E212" s="72" t="s">
        <v>24</v>
      </c>
      <c r="F212" s="72" t="s">
        <v>25</v>
      </c>
      <c r="G212" s="72" t="s">
        <v>25</v>
      </c>
      <c r="H212" s="72" t="s">
        <v>35</v>
      </c>
      <c r="I212" s="82">
        <v>44440</v>
      </c>
      <c r="J212" s="83">
        <f>EFEITO!$J$212*EFEITO!$Y$212</f>
        <v>0</v>
      </c>
      <c r="K212" s="83">
        <f ca="1">EFEITO!$L$212*EFEITO!$Z$212</f>
        <v>325.14887641198573</v>
      </c>
      <c r="L212" s="83">
        <f>EFEITO!$N$212*EFEITO!$AA$212</f>
        <v>70.144444002384958</v>
      </c>
      <c r="M212" s="83">
        <f>$J$212-EFEITO!$K$212*EFEITO!$Y$212</f>
        <v>0</v>
      </c>
      <c r="N212" s="83">
        <f ca="1">$K$212-EFEITO!$M$212*EFEITO!$Z$212</f>
        <v>0</v>
      </c>
      <c r="O212" s="83">
        <f>$L$212-EFEITO!$O$212*EFEITO!$AA$212</f>
        <v>0</v>
      </c>
      <c r="P212" s="28"/>
      <c r="Q212" s="28"/>
      <c r="R212" s="28"/>
      <c r="S212" s="28"/>
      <c r="T212" s="28"/>
      <c r="U212" s="28"/>
      <c r="V212" s="28"/>
      <c r="W212" s="28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72" t="s">
        <v>21</v>
      </c>
      <c r="B213" s="72" t="s">
        <v>33</v>
      </c>
      <c r="C213" s="72" t="s">
        <v>34</v>
      </c>
      <c r="D213" s="72" t="s">
        <v>24</v>
      </c>
      <c r="E213" s="72" t="s">
        <v>24</v>
      </c>
      <c r="F213" s="72" t="s">
        <v>25</v>
      </c>
      <c r="G213" s="72" t="s">
        <v>25</v>
      </c>
      <c r="H213" s="72" t="s">
        <v>35</v>
      </c>
      <c r="I213" s="82">
        <v>44470</v>
      </c>
      <c r="J213" s="83">
        <f>EFEITO!$J$213*EFEITO!$Y$213</f>
        <v>0</v>
      </c>
      <c r="K213" s="83">
        <f ca="1">EFEITO!$L$213*EFEITO!$Z$213</f>
        <v>489.1879491964109</v>
      </c>
      <c r="L213" s="83">
        <f>EFEITO!$N$213*EFEITO!$AA$213</f>
        <v>105.53263196755213</v>
      </c>
      <c r="M213" s="83">
        <f>$J$213-EFEITO!$K$213*EFEITO!$Y$213</f>
        <v>0</v>
      </c>
      <c r="N213" s="83">
        <f ca="1">$K$213-EFEITO!$M$213*EFEITO!$Z$213</f>
        <v>0</v>
      </c>
      <c r="O213" s="83">
        <f>$L$213-EFEITO!$O$213*EFEITO!$AA$213</f>
        <v>0</v>
      </c>
      <c r="P213" s="28"/>
      <c r="Q213" s="28"/>
      <c r="R213" s="28"/>
      <c r="S213" s="28"/>
      <c r="T213" s="28"/>
      <c r="U213" s="28"/>
      <c r="V213" s="28"/>
      <c r="W213" s="28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72" t="s">
        <v>21</v>
      </c>
      <c r="B214" s="72" t="s">
        <v>33</v>
      </c>
      <c r="C214" s="72" t="s">
        <v>34</v>
      </c>
      <c r="D214" s="72" t="s">
        <v>24</v>
      </c>
      <c r="E214" s="72" t="s">
        <v>24</v>
      </c>
      <c r="F214" s="72" t="s">
        <v>25</v>
      </c>
      <c r="G214" s="72" t="s">
        <v>25</v>
      </c>
      <c r="H214" s="72" t="s">
        <v>35</v>
      </c>
      <c r="I214" s="82">
        <v>44501</v>
      </c>
      <c r="J214" s="83">
        <f>EFEITO!$J$214*EFEITO!$Y$214</f>
        <v>0</v>
      </c>
      <c r="K214" s="83">
        <f ca="1">EFEITO!$L$214*EFEITO!$Z$214</f>
        <v>426.6968738499632</v>
      </c>
      <c r="L214" s="83">
        <f>EFEITO!$N$214*EFEITO!$AA$214</f>
        <v>92.051417504631303</v>
      </c>
      <c r="M214" s="83">
        <f>$J$214-EFEITO!$K$214*EFEITO!$Y$214</f>
        <v>0</v>
      </c>
      <c r="N214" s="83">
        <f ca="1">$K$214-EFEITO!$M$214*EFEITO!$Z$214</f>
        <v>0</v>
      </c>
      <c r="O214" s="83">
        <f>$L$214-EFEITO!$O$214*EFEITO!$AA$214</f>
        <v>0</v>
      </c>
      <c r="P214" s="28"/>
      <c r="Q214" s="28"/>
      <c r="R214" s="28"/>
      <c r="S214" s="28"/>
      <c r="T214" s="28"/>
      <c r="U214" s="28"/>
      <c r="V214" s="28"/>
      <c r="W214" s="28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72" t="s">
        <v>21</v>
      </c>
      <c r="B215" s="72" t="s">
        <v>33</v>
      </c>
      <c r="C215" s="72" t="s">
        <v>34</v>
      </c>
      <c r="D215" s="72" t="s">
        <v>24</v>
      </c>
      <c r="E215" s="72" t="s">
        <v>24</v>
      </c>
      <c r="F215" s="72" t="s">
        <v>25</v>
      </c>
      <c r="G215" s="72" t="s">
        <v>25</v>
      </c>
      <c r="H215" s="72" t="s">
        <v>35</v>
      </c>
      <c r="I215" s="82">
        <v>44531</v>
      </c>
      <c r="J215" s="83">
        <f>EFEITO!$J$215*EFEITO!$Y$215</f>
        <v>0</v>
      </c>
      <c r="K215" s="83">
        <f ca="1">EFEITO!$L$215*EFEITO!$Z$215</f>
        <v>351.51229882376833</v>
      </c>
      <c r="L215" s="83">
        <f>EFEITO!$N$215*EFEITO!$AA$215</f>
        <v>75.831831353929672</v>
      </c>
      <c r="M215" s="83">
        <f>$J$215-EFEITO!$K$215*EFEITO!$Y$215</f>
        <v>0</v>
      </c>
      <c r="N215" s="83">
        <f ca="1">$K$215-EFEITO!$M$215*EFEITO!$Z$215</f>
        <v>0</v>
      </c>
      <c r="O215" s="83">
        <f>$L$215-EFEITO!$O$215*EFEITO!$AA$215</f>
        <v>0</v>
      </c>
      <c r="P215" s="28"/>
      <c r="Q215" s="28"/>
      <c r="R215" s="28"/>
      <c r="S215" s="28"/>
      <c r="T215" s="28"/>
      <c r="U215" s="28"/>
      <c r="V215" s="28"/>
      <c r="W215" s="28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72" t="s">
        <v>21</v>
      </c>
      <c r="B216" s="72" t="s">
        <v>33</v>
      </c>
      <c r="C216" s="72" t="s">
        <v>34</v>
      </c>
      <c r="D216" s="72" t="s">
        <v>24</v>
      </c>
      <c r="E216" s="72" t="s">
        <v>24</v>
      </c>
      <c r="F216" s="72" t="s">
        <v>25</v>
      </c>
      <c r="G216" s="72" t="s">
        <v>25</v>
      </c>
      <c r="H216" s="72" t="s">
        <v>35</v>
      </c>
      <c r="I216" s="82">
        <v>44562</v>
      </c>
      <c r="J216" s="83">
        <f>EFEITO!$J$216*EFEITO!$Y$216</f>
        <v>0</v>
      </c>
      <c r="K216" s="83">
        <f ca="1">EFEITO!$L$216*EFEITO!$Z$216</f>
        <v>328.07814556885046</v>
      </c>
      <c r="L216" s="83">
        <f>EFEITO!$N$216*EFEITO!$AA$216</f>
        <v>70.776375930334368</v>
      </c>
      <c r="M216" s="83">
        <f>$J$216-EFEITO!$K$216*EFEITO!$Y$216</f>
        <v>0</v>
      </c>
      <c r="N216" s="83">
        <f ca="1">$K$216-EFEITO!$M$216*EFEITO!$Z$216</f>
        <v>0</v>
      </c>
      <c r="O216" s="83">
        <f>$L$216-EFEITO!$O$216*EFEITO!$AA$216</f>
        <v>0</v>
      </c>
      <c r="P216" s="28"/>
      <c r="Q216" s="28"/>
      <c r="R216" s="28"/>
      <c r="S216" s="28"/>
      <c r="T216" s="28"/>
      <c r="U216" s="28"/>
      <c r="V216" s="28"/>
      <c r="W216" s="28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72" t="s">
        <v>21</v>
      </c>
      <c r="B217" s="72" t="s">
        <v>33</v>
      </c>
      <c r="C217" s="72" t="s">
        <v>34</v>
      </c>
      <c r="D217" s="72" t="s">
        <v>24</v>
      </c>
      <c r="E217" s="72" t="s">
        <v>24</v>
      </c>
      <c r="F217" s="72" t="s">
        <v>25</v>
      </c>
      <c r="G217" s="72" t="s">
        <v>25</v>
      </c>
      <c r="H217" s="72" t="s">
        <v>35</v>
      </c>
      <c r="I217" s="82">
        <v>44593</v>
      </c>
      <c r="J217" s="83">
        <f>EFEITO!$J$217*EFEITO!$Y$217</f>
        <v>0</v>
      </c>
      <c r="K217" s="83">
        <f ca="1">EFEITO!$L$217*EFEITO!$Z$217</f>
        <v>248.98787833350258</v>
      </c>
      <c r="L217" s="83">
        <f>EFEITO!$N$217*EFEITO!$AA$217</f>
        <v>53.714213875700196</v>
      </c>
      <c r="M217" s="83">
        <f>$J$217-EFEITO!$K$217*EFEITO!$Y$217</f>
        <v>0</v>
      </c>
      <c r="N217" s="83">
        <f ca="1">$K$217-EFEITO!$M$217*EFEITO!$Z$217</f>
        <v>0</v>
      </c>
      <c r="O217" s="83">
        <f>$L$217-EFEITO!$O$217*EFEITO!$AA$217</f>
        <v>0</v>
      </c>
      <c r="P217" s="28"/>
      <c r="Q217" s="28"/>
      <c r="R217" s="28"/>
      <c r="S217" s="28"/>
      <c r="T217" s="28"/>
      <c r="U217" s="28"/>
      <c r="V217" s="28"/>
      <c r="W217" s="28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72" t="s">
        <v>21</v>
      </c>
      <c r="B218" s="72" t="s">
        <v>33</v>
      </c>
      <c r="C218" s="72" t="s">
        <v>34</v>
      </c>
      <c r="D218" s="72" t="s">
        <v>24</v>
      </c>
      <c r="E218" s="72" t="s">
        <v>24</v>
      </c>
      <c r="F218" s="72" t="s">
        <v>25</v>
      </c>
      <c r="G218" s="72" t="s">
        <v>25</v>
      </c>
      <c r="H218" s="72" t="s">
        <v>35</v>
      </c>
      <c r="I218" s="82">
        <v>44621</v>
      </c>
      <c r="J218" s="83">
        <f>EFEITO!$J$218*EFEITO!$Y$218</f>
        <v>0</v>
      </c>
      <c r="K218" s="83">
        <f ca="1">EFEITO!$L$218*EFEITO!$Z$218</f>
        <v>360.30010629436254</v>
      </c>
      <c r="L218" s="83">
        <f>EFEITO!$N$218*EFEITO!$AA$218</f>
        <v>77.72762713777793</v>
      </c>
      <c r="M218" s="83">
        <f>$J$218-EFEITO!$K$218*EFEITO!$Y$218</f>
        <v>0</v>
      </c>
      <c r="N218" s="83">
        <f ca="1">$K$218-EFEITO!$M$218*EFEITO!$Z$218</f>
        <v>0</v>
      </c>
      <c r="O218" s="83">
        <f>$L$218-EFEITO!$O$218*EFEITO!$AA$218</f>
        <v>0</v>
      </c>
      <c r="P218" s="28"/>
      <c r="Q218" s="28"/>
      <c r="R218" s="28"/>
      <c r="S218" s="28"/>
      <c r="T218" s="28"/>
      <c r="U218" s="28"/>
      <c r="V218" s="28"/>
      <c r="W218" s="28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72" t="s">
        <v>21</v>
      </c>
      <c r="B219" s="72" t="s">
        <v>33</v>
      </c>
      <c r="C219" s="72" t="s">
        <v>34</v>
      </c>
      <c r="D219" s="72" t="s">
        <v>24</v>
      </c>
      <c r="E219" s="72" t="s">
        <v>24</v>
      </c>
      <c r="F219" s="72" t="s">
        <v>25</v>
      </c>
      <c r="G219" s="72" t="s">
        <v>25</v>
      </c>
      <c r="H219" s="72" t="s">
        <v>35</v>
      </c>
      <c r="I219" s="82">
        <v>44652</v>
      </c>
      <c r="J219" s="83">
        <f>EFEITO!$J$219*EFEITO!$Y$219</f>
        <v>0</v>
      </c>
      <c r="K219" s="83">
        <f ca="1">EFEITO!$L$219*EFEITO!$Z$219</f>
        <v>550.70260149057037</v>
      </c>
      <c r="L219" s="83">
        <f>EFEITO!$N$219*EFEITO!$AA$219</f>
        <v>118.80320245448982</v>
      </c>
      <c r="M219" s="83">
        <f>$J$219-EFEITO!$K$219*EFEITO!$Y$219</f>
        <v>0</v>
      </c>
      <c r="N219" s="83">
        <f ca="1">$K$219-EFEITO!$M$219*EFEITO!$Z$219</f>
        <v>0</v>
      </c>
      <c r="O219" s="83">
        <f>$L$219-EFEITO!$O$219*EFEITO!$AA$219</f>
        <v>0</v>
      </c>
      <c r="P219" s="28"/>
      <c r="Q219" s="28"/>
      <c r="R219" s="28"/>
      <c r="S219" s="28"/>
      <c r="T219" s="28"/>
      <c r="U219" s="28"/>
      <c r="V219" s="28"/>
      <c r="W219" s="28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72" t="s">
        <v>21</v>
      </c>
      <c r="B220" s="72" t="s">
        <v>33</v>
      </c>
      <c r="C220" s="72" t="s">
        <v>34</v>
      </c>
      <c r="D220" s="72" t="s">
        <v>44</v>
      </c>
      <c r="E220" s="72" t="s">
        <v>53</v>
      </c>
      <c r="F220" s="72" t="s">
        <v>55</v>
      </c>
      <c r="G220" s="72" t="s">
        <v>25</v>
      </c>
      <c r="H220" s="72" t="s">
        <v>36</v>
      </c>
      <c r="I220" s="82">
        <v>44317</v>
      </c>
      <c r="J220" s="83">
        <f>EFEITO!$J$220*EFEITO!$Y$195</f>
        <v>0</v>
      </c>
      <c r="K220" s="83">
        <f ca="1">EFEITO!$L$220*EFEITO!$Z$195</f>
        <v>3549.3547466134323</v>
      </c>
      <c r="L220" s="83">
        <f>EFEITO!$N$220*EFEITO!$AA$195</f>
        <v>7450.6880744995751</v>
      </c>
      <c r="M220" s="83">
        <f>$J$220-EFEITO!$K$220*EFEITO!$Y$220</f>
        <v>0</v>
      </c>
      <c r="N220" s="83">
        <f ca="1">$K$220-EFEITO!$M$220*EFEITO!$Z$220</f>
        <v>2484.5483226294027</v>
      </c>
      <c r="O220" s="83">
        <f>$L$220-EFEITO!$O$220*EFEITO!$AA$220</f>
        <v>5215.4816521497032</v>
      </c>
      <c r="P220" s="28"/>
      <c r="Q220" s="28"/>
      <c r="R220" s="28"/>
      <c r="S220" s="28"/>
      <c r="T220" s="28"/>
      <c r="U220" s="28"/>
      <c r="V220" s="28"/>
      <c r="W220" s="28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72" t="s">
        <v>21</v>
      </c>
      <c r="B221" s="72" t="s">
        <v>33</v>
      </c>
      <c r="C221" s="72" t="s">
        <v>34</v>
      </c>
      <c r="D221" s="72" t="s">
        <v>44</v>
      </c>
      <c r="E221" s="72" t="s">
        <v>53</v>
      </c>
      <c r="F221" s="72" t="s">
        <v>55</v>
      </c>
      <c r="G221" s="72" t="s">
        <v>25</v>
      </c>
      <c r="H221" s="72" t="s">
        <v>36</v>
      </c>
      <c r="I221" s="82">
        <v>44348</v>
      </c>
      <c r="J221" s="83">
        <f>EFEITO!$J$221*EFEITO!$Y$195</f>
        <v>0</v>
      </c>
      <c r="K221" s="83">
        <f ca="1">EFEITO!$L$221*EFEITO!$Z$195</f>
        <v>681.35248450722918</v>
      </c>
      <c r="L221" s="83">
        <f>EFEITO!$N$221*EFEITO!$AA$195</f>
        <v>1430.2725969255071</v>
      </c>
      <c r="M221" s="83">
        <f>$J$221-EFEITO!$K$221*EFEITO!$Y$221</f>
        <v>0</v>
      </c>
      <c r="N221" s="83">
        <f ca="1">$K$221-EFEITO!$M$221*EFEITO!$Z$221</f>
        <v>476.94673915506041</v>
      </c>
      <c r="O221" s="83">
        <f>$L$221-EFEITO!$O$221*EFEITO!$AA$221</f>
        <v>1001.190817847855</v>
      </c>
      <c r="P221" s="28"/>
      <c r="Q221" s="28"/>
      <c r="R221" s="28"/>
      <c r="S221" s="28"/>
      <c r="T221" s="28"/>
      <c r="U221" s="28"/>
      <c r="V221" s="28"/>
      <c r="W221" s="28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72" t="s">
        <v>21</v>
      </c>
      <c r="B222" s="72" t="s">
        <v>33</v>
      </c>
      <c r="C222" s="72" t="s">
        <v>34</v>
      </c>
      <c r="D222" s="72" t="s">
        <v>44</v>
      </c>
      <c r="E222" s="72" t="s">
        <v>53</v>
      </c>
      <c r="F222" s="72" t="s">
        <v>55</v>
      </c>
      <c r="G222" s="72" t="s">
        <v>25</v>
      </c>
      <c r="H222" s="72" t="s">
        <v>36</v>
      </c>
      <c r="I222" s="82">
        <v>44378</v>
      </c>
      <c r="J222" s="83">
        <f>EFEITO!$J$222*EFEITO!$Y$195</f>
        <v>0</v>
      </c>
      <c r="K222" s="83">
        <f ca="1">EFEITO!$L$222*EFEITO!$Z$195</f>
        <v>1628.92413564151</v>
      </c>
      <c r="L222" s="83">
        <f>EFEITO!$N$222*EFEITO!$AA$195</f>
        <v>3419.3836621342793</v>
      </c>
      <c r="M222" s="83">
        <f>$J$222-EFEITO!$K$222*EFEITO!$Y$222</f>
        <v>0</v>
      </c>
      <c r="N222" s="83">
        <f ca="1">$K$222-EFEITO!$M$222*EFEITO!$Z$222</f>
        <v>1140.2468949490572</v>
      </c>
      <c r="O222" s="83">
        <f>$L$222-EFEITO!$O$222*EFEITO!$AA$222</f>
        <v>2393.5685634939955</v>
      </c>
      <c r="P222" s="28"/>
      <c r="Q222" s="28"/>
      <c r="R222" s="28"/>
      <c r="S222" s="28"/>
      <c r="T222" s="28"/>
      <c r="U222" s="28"/>
      <c r="V222" s="28"/>
      <c r="W222" s="28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72" t="s">
        <v>21</v>
      </c>
      <c r="B223" s="72" t="s">
        <v>33</v>
      </c>
      <c r="C223" s="72" t="s">
        <v>34</v>
      </c>
      <c r="D223" s="72" t="s">
        <v>44</v>
      </c>
      <c r="E223" s="72" t="s">
        <v>53</v>
      </c>
      <c r="F223" s="72" t="s">
        <v>55</v>
      </c>
      <c r="G223" s="72" t="s">
        <v>25</v>
      </c>
      <c r="H223" s="72" t="s">
        <v>36</v>
      </c>
      <c r="I223" s="82">
        <v>44409</v>
      </c>
      <c r="J223" s="83">
        <f>EFEITO!$J$223*EFEITO!$Y$195</f>
        <v>0</v>
      </c>
      <c r="K223" s="83">
        <f ca="1">EFEITO!$L$223*EFEITO!$Z$195</f>
        <v>2006.3271833928632</v>
      </c>
      <c r="L223" s="83">
        <f>EFEITO!$N$223*EFEITO!$AA$195</f>
        <v>4211.6156558068615</v>
      </c>
      <c r="M223" s="83">
        <f>$J$223-EFEITO!$K$223*EFEITO!$Y$223</f>
        <v>0</v>
      </c>
      <c r="N223" s="83">
        <f ca="1">$K$223-EFEITO!$M$223*EFEITO!$Z$223</f>
        <v>1404.4290283750042</v>
      </c>
      <c r="O223" s="83">
        <f>$L$223-EFEITO!$O$223*EFEITO!$AA$223</f>
        <v>2948.1309590648034</v>
      </c>
      <c r="P223" s="28"/>
      <c r="Q223" s="28"/>
      <c r="R223" s="28"/>
      <c r="S223" s="28"/>
      <c r="T223" s="28"/>
      <c r="U223" s="28"/>
      <c r="V223" s="28"/>
      <c r="W223" s="28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72" t="s">
        <v>21</v>
      </c>
      <c r="B224" s="72" t="s">
        <v>33</v>
      </c>
      <c r="C224" s="72" t="s">
        <v>34</v>
      </c>
      <c r="D224" s="72" t="s">
        <v>44</v>
      </c>
      <c r="E224" s="72" t="s">
        <v>53</v>
      </c>
      <c r="F224" s="72" t="s">
        <v>55</v>
      </c>
      <c r="G224" s="72" t="s">
        <v>25</v>
      </c>
      <c r="H224" s="72" t="s">
        <v>36</v>
      </c>
      <c r="I224" s="82">
        <v>44440</v>
      </c>
      <c r="J224" s="83">
        <f>EFEITO!$J$224*EFEITO!$Y$195</f>
        <v>0</v>
      </c>
      <c r="K224" s="83">
        <f ca="1">EFEITO!$L$224*EFEITO!$Z$195</f>
        <v>4242.0463814519308</v>
      </c>
      <c r="L224" s="83">
        <f>EFEITO!$N$224*EFEITO!$AA$195</f>
        <v>8904.7634407111764</v>
      </c>
      <c r="M224" s="83">
        <f>$J$224-EFEITO!$K$224*EFEITO!$Y$224</f>
        <v>0</v>
      </c>
      <c r="N224" s="83">
        <f ca="1">$K$224-EFEITO!$M$224*EFEITO!$Z$224</f>
        <v>2969.4324670163514</v>
      </c>
      <c r="O224" s="83">
        <f>$L$224-EFEITO!$O$224*EFEITO!$AA$224</f>
        <v>6233.3344084978235</v>
      </c>
      <c r="P224" s="28"/>
      <c r="Q224" s="28"/>
      <c r="R224" s="28"/>
      <c r="S224" s="28"/>
      <c r="T224" s="28"/>
      <c r="U224" s="28"/>
      <c r="V224" s="28"/>
      <c r="W224" s="28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72" t="s">
        <v>21</v>
      </c>
      <c r="B225" s="72" t="s">
        <v>33</v>
      </c>
      <c r="C225" s="72" t="s">
        <v>34</v>
      </c>
      <c r="D225" s="72" t="s">
        <v>44</v>
      </c>
      <c r="E225" s="72" t="s">
        <v>53</v>
      </c>
      <c r="F225" s="72" t="s">
        <v>55</v>
      </c>
      <c r="G225" s="72" t="s">
        <v>25</v>
      </c>
      <c r="H225" s="72" t="s">
        <v>36</v>
      </c>
      <c r="I225" s="82">
        <v>44470</v>
      </c>
      <c r="J225" s="83">
        <f>EFEITO!$J$225*EFEITO!$Y$195</f>
        <v>0</v>
      </c>
      <c r="K225" s="83">
        <f ca="1">EFEITO!$L$225*EFEITO!$Z$195</f>
        <v>240.83151146058174</v>
      </c>
      <c r="L225" s="83">
        <f>EFEITO!$N$225*EFEITO!$AA$195</f>
        <v>505.54554235953117</v>
      </c>
      <c r="M225" s="83">
        <f>$J$225-EFEITO!$K$225*EFEITO!$Y$225</f>
        <v>0</v>
      </c>
      <c r="N225" s="83">
        <f ca="1">$K$225-EFEITO!$M$225*EFEITO!$Z$225</f>
        <v>168.58205802240721</v>
      </c>
      <c r="O225" s="83">
        <f>$L$225-EFEITO!$O$225*EFEITO!$AA$225</f>
        <v>353.88187965167185</v>
      </c>
      <c r="P225" s="28"/>
      <c r="Q225" s="28"/>
      <c r="R225" s="28"/>
      <c r="S225" s="28"/>
      <c r="T225" s="28"/>
      <c r="U225" s="28"/>
      <c r="V225" s="28"/>
      <c r="W225" s="28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72" t="s">
        <v>21</v>
      </c>
      <c r="B226" s="72" t="s">
        <v>33</v>
      </c>
      <c r="C226" s="72" t="s">
        <v>34</v>
      </c>
      <c r="D226" s="72" t="s">
        <v>44</v>
      </c>
      <c r="E226" s="72" t="s">
        <v>53</v>
      </c>
      <c r="F226" s="72" t="s">
        <v>55</v>
      </c>
      <c r="G226" s="72" t="s">
        <v>25</v>
      </c>
      <c r="H226" s="72" t="s">
        <v>36</v>
      </c>
      <c r="I226" s="82">
        <v>44501</v>
      </c>
      <c r="J226" s="83">
        <f>EFEITO!$J$226*EFEITO!$Y$195</f>
        <v>0</v>
      </c>
      <c r="K226" s="83">
        <f ca="1">EFEITO!$L$226*EFEITO!$Z$195</f>
        <v>3.2110868194744233</v>
      </c>
      <c r="L226" s="83">
        <f>EFEITO!$N$226*EFEITO!$AA$195</f>
        <v>6.740607231460416</v>
      </c>
      <c r="M226" s="83">
        <f>$J$226-EFEITO!$K$226*EFEITO!$Y$226</f>
        <v>0</v>
      </c>
      <c r="N226" s="83">
        <f ca="1">$K$226-EFEITO!$M$226*EFEITO!$Z$226</f>
        <v>2.2477607736320966</v>
      </c>
      <c r="O226" s="83">
        <f>$L$226-EFEITO!$O$226*EFEITO!$AA$226</f>
        <v>4.7184250620222912</v>
      </c>
      <c r="P226" s="28"/>
      <c r="Q226" s="28"/>
      <c r="R226" s="28"/>
      <c r="S226" s="28"/>
      <c r="T226" s="28"/>
      <c r="U226" s="28"/>
      <c r="V226" s="28"/>
      <c r="W226" s="28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72" t="s">
        <v>21</v>
      </c>
      <c r="B227" s="72" t="s">
        <v>33</v>
      </c>
      <c r="C227" s="72" t="s">
        <v>34</v>
      </c>
      <c r="D227" s="72" t="s">
        <v>44</v>
      </c>
      <c r="E227" s="72" t="s">
        <v>53</v>
      </c>
      <c r="F227" s="72" t="s">
        <v>55</v>
      </c>
      <c r="G227" s="72" t="s">
        <v>25</v>
      </c>
      <c r="H227" s="72" t="s">
        <v>36</v>
      </c>
      <c r="I227" s="82">
        <v>44531</v>
      </c>
      <c r="J227" s="83">
        <f>EFEITO!$J$227*EFEITO!$Y$195</f>
        <v>0</v>
      </c>
      <c r="K227" s="83">
        <f ca="1">EFEITO!$L$227*EFEITO!$Z$195</f>
        <v>6.6228665651659986</v>
      </c>
      <c r="L227" s="83">
        <f>EFEITO!$N$227*EFEITO!$AA$195</f>
        <v>13.90250241488711</v>
      </c>
      <c r="M227" s="83">
        <f>$J$227-EFEITO!$K$227*EFEITO!$Y$227</f>
        <v>0</v>
      </c>
      <c r="N227" s="83">
        <f ca="1">$K$227-EFEITO!$M$227*EFEITO!$Z$227</f>
        <v>4.6360065956161991</v>
      </c>
      <c r="O227" s="83">
        <f>$L$227-EFEITO!$O$227*EFEITO!$AA$227</f>
        <v>9.7317516904209764</v>
      </c>
      <c r="P227" s="28"/>
      <c r="Q227" s="28"/>
      <c r="R227" s="28"/>
      <c r="S227" s="28"/>
      <c r="T227" s="28"/>
      <c r="U227" s="28"/>
      <c r="V227" s="28"/>
      <c r="W227" s="28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72" t="s">
        <v>21</v>
      </c>
      <c r="B228" s="72" t="s">
        <v>33</v>
      </c>
      <c r="C228" s="72" t="s">
        <v>34</v>
      </c>
      <c r="D228" s="72" t="s">
        <v>44</v>
      </c>
      <c r="E228" s="72" t="s">
        <v>53</v>
      </c>
      <c r="F228" s="72" t="s">
        <v>55</v>
      </c>
      <c r="G228" s="72" t="s">
        <v>25</v>
      </c>
      <c r="H228" s="72" t="s">
        <v>36</v>
      </c>
      <c r="I228" s="82">
        <v>44562</v>
      </c>
      <c r="J228" s="83">
        <f>EFEITO!$J$228*EFEITO!$Y$195</f>
        <v>0</v>
      </c>
      <c r="K228" s="83">
        <f ca="1">EFEITO!$L$228*EFEITO!$Z$195</f>
        <v>10.235339237074724</v>
      </c>
      <c r="L228" s="83">
        <f>EFEITO!$N$228*EFEITO!$AA$195</f>
        <v>21.485685550280074</v>
      </c>
      <c r="M228" s="83">
        <f>$J$228-EFEITO!$K$228*EFEITO!$Y$228</f>
        <v>0</v>
      </c>
      <c r="N228" s="83">
        <f ca="1">$K$228-EFEITO!$M$228*EFEITO!$Z$228</f>
        <v>7.1647374659523066</v>
      </c>
      <c r="O228" s="83">
        <f>$L$228-EFEITO!$O$228*EFEITO!$AA$228</f>
        <v>15.03997988519605</v>
      </c>
      <c r="P228" s="28"/>
      <c r="Q228" s="28"/>
      <c r="R228" s="28"/>
      <c r="S228" s="28"/>
      <c r="T228" s="28"/>
      <c r="U228" s="28"/>
      <c r="V228" s="28"/>
      <c r="W228" s="28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72" t="s">
        <v>21</v>
      </c>
      <c r="B229" s="72" t="s">
        <v>33</v>
      </c>
      <c r="C229" s="72" t="s">
        <v>34</v>
      </c>
      <c r="D229" s="72" t="s">
        <v>44</v>
      </c>
      <c r="E229" s="72" t="s">
        <v>53</v>
      </c>
      <c r="F229" s="72" t="s">
        <v>55</v>
      </c>
      <c r="G229" s="72" t="s">
        <v>25</v>
      </c>
      <c r="H229" s="72" t="s">
        <v>36</v>
      </c>
      <c r="I229" s="82">
        <v>44593</v>
      </c>
      <c r="J229" s="83">
        <f>EFEITO!$J$229*EFEITO!$Y$195</f>
        <v>0</v>
      </c>
      <c r="K229" s="83">
        <f ca="1">EFEITO!$L$229*EFEITO!$Z$195</f>
        <v>25.789041018903966</v>
      </c>
      <c r="L229" s="83">
        <f>EFEITO!$N$229*EFEITO!$AA$195</f>
        <v>54.135501827666467</v>
      </c>
      <c r="M229" s="83">
        <f>$J$229-EFEITO!$K$229*EFEITO!$Y$229</f>
        <v>0</v>
      </c>
      <c r="N229" s="83">
        <f ca="1">$K$229-EFEITO!$M$229*EFEITO!$Z$229</f>
        <v>18.052328713232775</v>
      </c>
      <c r="O229" s="83">
        <f>$L$229-EFEITO!$O$229*EFEITO!$AA$229</f>
        <v>37.894851279366527</v>
      </c>
      <c r="P229" s="28"/>
      <c r="Q229" s="28"/>
      <c r="R229" s="28"/>
      <c r="S229" s="28"/>
      <c r="T229" s="28"/>
      <c r="U229" s="28"/>
      <c r="V229" s="28"/>
      <c r="W229" s="28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72" t="s">
        <v>21</v>
      </c>
      <c r="B230" s="72" t="s">
        <v>33</v>
      </c>
      <c r="C230" s="72" t="s">
        <v>34</v>
      </c>
      <c r="D230" s="72" t="s">
        <v>44</v>
      </c>
      <c r="E230" s="72" t="s">
        <v>53</v>
      </c>
      <c r="F230" s="72" t="s">
        <v>55</v>
      </c>
      <c r="G230" s="72" t="s">
        <v>25</v>
      </c>
      <c r="H230" s="72" t="s">
        <v>36</v>
      </c>
      <c r="I230" s="82">
        <v>44621</v>
      </c>
      <c r="J230" s="83">
        <f>EFEITO!$J$230*EFEITO!$Y$195</f>
        <v>0</v>
      </c>
      <c r="K230" s="83">
        <f ca="1">EFEITO!$L$230*EFEITO!$Z$195</f>
        <v>341.07762810604891</v>
      </c>
      <c r="L230" s="83">
        <f>EFEITO!$N$230*EFEITO!$AA$195</f>
        <v>715.97887436668611</v>
      </c>
      <c r="M230" s="83">
        <f>$J$230-EFEITO!$K$230*EFEITO!$Y$230</f>
        <v>0</v>
      </c>
      <c r="N230" s="83">
        <f ca="1">$K$230-EFEITO!$M$230*EFEITO!$Z$230</f>
        <v>238.75433967423425</v>
      </c>
      <c r="O230" s="83">
        <f>$L$230-EFEITO!$O$230*EFEITO!$AA$230</f>
        <v>501.18521205668026</v>
      </c>
      <c r="P230" s="28"/>
      <c r="Q230" s="28"/>
      <c r="R230" s="28"/>
      <c r="S230" s="28"/>
      <c r="T230" s="28"/>
      <c r="U230" s="28"/>
      <c r="V230" s="28"/>
      <c r="W230" s="28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72" t="s">
        <v>21</v>
      </c>
      <c r="B231" s="72" t="s">
        <v>33</v>
      </c>
      <c r="C231" s="72" t="s">
        <v>34</v>
      </c>
      <c r="D231" s="72" t="s">
        <v>44</v>
      </c>
      <c r="E231" s="72" t="s">
        <v>53</v>
      </c>
      <c r="F231" s="72" t="s">
        <v>55</v>
      </c>
      <c r="G231" s="72" t="s">
        <v>25</v>
      </c>
      <c r="H231" s="72" t="s">
        <v>36</v>
      </c>
      <c r="I231" s="82">
        <v>44652</v>
      </c>
      <c r="J231" s="83">
        <f>EFEITO!$J$231*EFEITO!$Y$195</f>
        <v>0</v>
      </c>
      <c r="K231" s="83">
        <f ca="1">EFEITO!$L$231*EFEITO!$Z$195</f>
        <v>5.719748397188817</v>
      </c>
      <c r="L231" s="83">
        <f>EFEITO!$N$231*EFEITO!$AA$195</f>
        <v>12.006706631038867</v>
      </c>
      <c r="M231" s="83">
        <f>$J$231-EFEITO!$K$231*EFEITO!$Y$231</f>
        <v>0</v>
      </c>
      <c r="N231" s="83">
        <f ca="1">$K$231-EFEITO!$M$231*EFEITO!$Z$231</f>
        <v>4.003823878032172</v>
      </c>
      <c r="O231" s="83">
        <f>$L$231-EFEITO!$O$231*EFEITO!$AA$231</f>
        <v>8.4046946417272075</v>
      </c>
      <c r="P231" s="28"/>
      <c r="Q231" s="28"/>
      <c r="R231" s="28"/>
      <c r="S231" s="28"/>
      <c r="T231" s="28"/>
      <c r="U231" s="28"/>
      <c r="V231" s="28"/>
      <c r="W231" s="28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72" t="s">
        <v>21</v>
      </c>
      <c r="B232" s="72" t="s">
        <v>33</v>
      </c>
      <c r="C232" s="72" t="s">
        <v>34</v>
      </c>
      <c r="D232" s="72" t="s">
        <v>44</v>
      </c>
      <c r="E232" s="72" t="s">
        <v>53</v>
      </c>
      <c r="F232" s="72" t="s">
        <v>25</v>
      </c>
      <c r="G232" s="72" t="s">
        <v>25</v>
      </c>
      <c r="H232" s="72" t="s">
        <v>36</v>
      </c>
      <c r="I232" s="82">
        <v>44317</v>
      </c>
      <c r="J232" s="83">
        <f>EFEITO!$J$232*EFEITO!$Y$195</f>
        <v>0</v>
      </c>
      <c r="K232" s="83">
        <f ca="1">EFEITO!$L$232*EFEITO!$Z$195</f>
        <v>8161.5792304728993</v>
      </c>
      <c r="L232" s="83">
        <f>EFEITO!$N$232*EFEITO!$AA$195</f>
        <v>17132.517142612549</v>
      </c>
      <c r="M232" s="83">
        <f>$J$232-EFEITO!$K$232*EFEITO!$Y$232</f>
        <v>0</v>
      </c>
      <c r="N232" s="83">
        <f ca="1">$K$232-EFEITO!$M$232*EFEITO!$Z$232</f>
        <v>163.23158460945797</v>
      </c>
      <c r="O232" s="83">
        <f>$L$232-EFEITO!$O$232*EFEITO!$AA$232</f>
        <v>342.65034285225556</v>
      </c>
      <c r="P232" s="28"/>
      <c r="Q232" s="28"/>
      <c r="R232" s="28"/>
      <c r="S232" s="28"/>
      <c r="T232" s="28"/>
      <c r="U232" s="28"/>
      <c r="V232" s="28"/>
      <c r="W232" s="28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72" t="s">
        <v>21</v>
      </c>
      <c r="B233" s="72" t="s">
        <v>33</v>
      </c>
      <c r="C233" s="72" t="s">
        <v>34</v>
      </c>
      <c r="D233" s="72" t="s">
        <v>44</v>
      </c>
      <c r="E233" s="72" t="s">
        <v>53</v>
      </c>
      <c r="F233" s="72" t="s">
        <v>25</v>
      </c>
      <c r="G233" s="72" t="s">
        <v>25</v>
      </c>
      <c r="H233" s="72" t="s">
        <v>36</v>
      </c>
      <c r="I233" s="82">
        <v>44348</v>
      </c>
      <c r="J233" s="83">
        <f>EFEITO!$J$233*EFEITO!$Y$195</f>
        <v>0</v>
      </c>
      <c r="K233" s="83">
        <f ca="1">EFEITO!$L$233*EFEITO!$Z$195</f>
        <v>2650.2504371605937</v>
      </c>
      <c r="L233" s="83">
        <f>EFEITO!$N$233*EFEITO!$AA$195</f>
        <v>5563.318049690658</v>
      </c>
      <c r="M233" s="83">
        <f>$J$233-EFEITO!$K$233*EFEITO!$Y$233</f>
        <v>0</v>
      </c>
      <c r="N233" s="83">
        <f ca="1">$K$233-EFEITO!$M$233*EFEITO!$Z$233</f>
        <v>53.005008743211874</v>
      </c>
      <c r="O233" s="83">
        <f>$L$233-EFEITO!$O$233*EFEITO!$AA$233</f>
        <v>111.26636099381358</v>
      </c>
      <c r="P233" s="28"/>
      <c r="Q233" s="28"/>
      <c r="R233" s="28"/>
      <c r="S233" s="28"/>
      <c r="T233" s="28"/>
      <c r="U233" s="28"/>
      <c r="V233" s="28"/>
      <c r="W233" s="28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72" t="s">
        <v>21</v>
      </c>
      <c r="B234" s="72" t="s">
        <v>33</v>
      </c>
      <c r="C234" s="72" t="s">
        <v>34</v>
      </c>
      <c r="D234" s="72" t="s">
        <v>44</v>
      </c>
      <c r="E234" s="72" t="s">
        <v>53</v>
      </c>
      <c r="F234" s="72" t="s">
        <v>25</v>
      </c>
      <c r="G234" s="72" t="s">
        <v>25</v>
      </c>
      <c r="H234" s="72" t="s">
        <v>36</v>
      </c>
      <c r="I234" s="82">
        <v>44378</v>
      </c>
      <c r="J234" s="83">
        <f>EFEITO!$J$234*EFEITO!$Y$195</f>
        <v>0</v>
      </c>
      <c r="K234" s="83">
        <f ca="1">EFEITO!$L$234*EFEITO!$Z$195</f>
        <v>4230.7072311206621</v>
      </c>
      <c r="L234" s="83">
        <f>EFEITO!$N$234*EFEITO!$AA$195</f>
        <v>8880.9606714250822</v>
      </c>
      <c r="M234" s="83">
        <f>$J$234-EFEITO!$K$234*EFEITO!$Y$234</f>
        <v>0</v>
      </c>
      <c r="N234" s="83">
        <f ca="1">$K$234-EFEITO!$M$234*EFEITO!$Z$234</f>
        <v>84.614144622413733</v>
      </c>
      <c r="O234" s="83">
        <f>$L$234-EFEITO!$O$234*EFEITO!$AA$234</f>
        <v>177.61921342850292</v>
      </c>
      <c r="P234" s="28"/>
      <c r="Q234" s="28"/>
      <c r="R234" s="28"/>
      <c r="S234" s="28"/>
      <c r="T234" s="28"/>
      <c r="U234" s="28"/>
      <c r="V234" s="28"/>
      <c r="W234" s="28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72" t="s">
        <v>21</v>
      </c>
      <c r="B235" s="72" t="s">
        <v>33</v>
      </c>
      <c r="C235" s="72" t="s">
        <v>34</v>
      </c>
      <c r="D235" s="72" t="s">
        <v>44</v>
      </c>
      <c r="E235" s="72" t="s">
        <v>53</v>
      </c>
      <c r="F235" s="72" t="s">
        <v>25</v>
      </c>
      <c r="G235" s="72" t="s">
        <v>25</v>
      </c>
      <c r="H235" s="72" t="s">
        <v>36</v>
      </c>
      <c r="I235" s="82">
        <v>44409</v>
      </c>
      <c r="J235" s="83">
        <f>EFEITO!$J$235*EFEITO!$Y$195</f>
        <v>0</v>
      </c>
      <c r="K235" s="83">
        <f ca="1">EFEITO!$L$235*EFEITO!$Z$195</f>
        <v>6331.5607827618032</v>
      </c>
      <c r="L235" s="83">
        <f>EFEITO!$N$235*EFEITO!$AA$195</f>
        <v>13291.00295260806</v>
      </c>
      <c r="M235" s="83">
        <f>$J$235-EFEITO!$K$235*EFEITO!$Y$235</f>
        <v>0</v>
      </c>
      <c r="N235" s="83">
        <f ca="1">$K$235-EFEITO!$M$235*EFEITO!$Z$235</f>
        <v>126.63121565523579</v>
      </c>
      <c r="O235" s="83">
        <f>$L$235-EFEITO!$O$235*EFEITO!$AA$235</f>
        <v>265.82005905216283</v>
      </c>
      <c r="P235" s="28"/>
      <c r="Q235" s="28"/>
      <c r="R235" s="28"/>
      <c r="S235" s="28"/>
      <c r="T235" s="28"/>
      <c r="U235" s="28"/>
      <c r="V235" s="28"/>
      <c r="W235" s="28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72" t="s">
        <v>21</v>
      </c>
      <c r="B236" s="72" t="s">
        <v>33</v>
      </c>
      <c r="C236" s="72" t="s">
        <v>34</v>
      </c>
      <c r="D236" s="72" t="s">
        <v>44</v>
      </c>
      <c r="E236" s="72" t="s">
        <v>53</v>
      </c>
      <c r="F236" s="72" t="s">
        <v>25</v>
      </c>
      <c r="G236" s="72" t="s">
        <v>25</v>
      </c>
      <c r="H236" s="72" t="s">
        <v>36</v>
      </c>
      <c r="I236" s="82">
        <v>44440</v>
      </c>
      <c r="J236" s="83">
        <f>EFEITO!$J$236*EFEITO!$Y$195</f>
        <v>0</v>
      </c>
      <c r="K236" s="83">
        <f ca="1">EFEITO!$L$236*EFEITO!$Z$195</f>
        <v>7805.5499793636718</v>
      </c>
      <c r="L236" s="83">
        <f>EFEITO!$N$236*EFEITO!$AA$195</f>
        <v>16385.152315824373</v>
      </c>
      <c r="M236" s="83">
        <f>$J$236-EFEITO!$K$236*EFEITO!$Y$236</f>
        <v>0</v>
      </c>
      <c r="N236" s="83">
        <f ca="1">$K$236-EFEITO!$M$236*EFEITO!$Z$236</f>
        <v>156.110999587273</v>
      </c>
      <c r="O236" s="83">
        <f>$L$236-EFEITO!$O$236*EFEITO!$AA$236</f>
        <v>327.70304631648833</v>
      </c>
      <c r="P236" s="28"/>
      <c r="Q236" s="28"/>
      <c r="R236" s="28"/>
      <c r="S236" s="28"/>
      <c r="T236" s="28"/>
      <c r="U236" s="28"/>
      <c r="V236" s="28"/>
      <c r="W236" s="28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72" t="s">
        <v>21</v>
      </c>
      <c r="B237" s="72" t="s">
        <v>33</v>
      </c>
      <c r="C237" s="72" t="s">
        <v>34</v>
      </c>
      <c r="D237" s="72" t="s">
        <v>44</v>
      </c>
      <c r="E237" s="72" t="s">
        <v>53</v>
      </c>
      <c r="F237" s="72" t="s">
        <v>25</v>
      </c>
      <c r="G237" s="72" t="s">
        <v>25</v>
      </c>
      <c r="H237" s="72" t="s">
        <v>36</v>
      </c>
      <c r="I237" s="82">
        <v>44470</v>
      </c>
      <c r="J237" s="83">
        <f>EFEITO!$J$237*EFEITO!$Y$195</f>
        <v>0</v>
      </c>
      <c r="K237" s="83">
        <f ca="1">EFEITO!$L$237*EFEITO!$Z$195</f>
        <v>1089.1605105804808</v>
      </c>
      <c r="L237" s="83">
        <f>EFEITO!$N$237*EFEITO!$AA$195</f>
        <v>2286.3297153209796</v>
      </c>
      <c r="M237" s="83">
        <f>$J$237-EFEITO!$K$237*EFEITO!$Y$237</f>
        <v>0</v>
      </c>
      <c r="N237" s="83">
        <f ca="1">$K$237-EFEITO!$M$237*EFEITO!$Z$237</f>
        <v>21.783210211609457</v>
      </c>
      <c r="O237" s="83">
        <f>$L$237-EFEITO!$O$237*EFEITO!$AA$237</f>
        <v>45.726594306419884</v>
      </c>
      <c r="P237" s="28"/>
      <c r="Q237" s="28"/>
      <c r="R237" s="28"/>
      <c r="S237" s="28"/>
      <c r="T237" s="28"/>
      <c r="U237" s="28"/>
      <c r="V237" s="28"/>
      <c r="W237" s="28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72" t="s">
        <v>21</v>
      </c>
      <c r="B238" s="72" t="s">
        <v>33</v>
      </c>
      <c r="C238" s="72" t="s">
        <v>34</v>
      </c>
      <c r="D238" s="72" t="s">
        <v>44</v>
      </c>
      <c r="E238" s="72" t="s">
        <v>53</v>
      </c>
      <c r="F238" s="72" t="s">
        <v>25</v>
      </c>
      <c r="G238" s="72" t="s">
        <v>25</v>
      </c>
      <c r="H238" s="72" t="s">
        <v>36</v>
      </c>
      <c r="I238" s="82">
        <v>44501</v>
      </c>
      <c r="J238" s="83">
        <f>EFEITO!$J$238*EFEITO!$Y$195</f>
        <v>0</v>
      </c>
      <c r="K238" s="83">
        <f ca="1">EFEITO!$L$238*EFEITO!$Z$195</f>
        <v>1123.1779615742882</v>
      </c>
      <c r="L238" s="83">
        <f>EFEITO!$N$238*EFEITO!$AA$195</f>
        <v>2357.7380231792636</v>
      </c>
      <c r="M238" s="83">
        <f>$J$238-EFEITO!$K$238*EFEITO!$Y$238</f>
        <v>0</v>
      </c>
      <c r="N238" s="83">
        <f ca="1">$K$238-EFEITO!$M$238*EFEITO!$Z$238</f>
        <v>22.46355923148576</v>
      </c>
      <c r="O238" s="83">
        <f>$L$238-EFEITO!$O$238*EFEITO!$AA$238</f>
        <v>47.154760463585262</v>
      </c>
      <c r="P238" s="28"/>
      <c r="Q238" s="28"/>
      <c r="R238" s="28"/>
      <c r="S238" s="28"/>
      <c r="T238" s="28"/>
      <c r="U238" s="28"/>
      <c r="V238" s="28"/>
      <c r="W238" s="28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72" t="s">
        <v>21</v>
      </c>
      <c r="B239" s="72" t="s">
        <v>33</v>
      </c>
      <c r="C239" s="72" t="s">
        <v>34</v>
      </c>
      <c r="D239" s="72" t="s">
        <v>44</v>
      </c>
      <c r="E239" s="72" t="s">
        <v>53</v>
      </c>
      <c r="F239" s="72" t="s">
        <v>25</v>
      </c>
      <c r="G239" s="72" t="s">
        <v>25</v>
      </c>
      <c r="H239" s="72" t="s">
        <v>36</v>
      </c>
      <c r="I239" s="82">
        <v>44531</v>
      </c>
      <c r="J239" s="83">
        <f>EFEITO!$J$239*EFEITO!$Y$195</f>
        <v>0</v>
      </c>
      <c r="K239" s="83">
        <f ca="1">EFEITO!$L$239*EFEITO!$Z$195</f>
        <v>798.55715341804569</v>
      </c>
      <c r="L239" s="83">
        <f>EFEITO!$N$239*EFEITO!$AA$195</f>
        <v>1676.3047608738123</v>
      </c>
      <c r="M239" s="83">
        <f>$J$239-EFEITO!$K$239*EFEITO!$Y$239</f>
        <v>0</v>
      </c>
      <c r="N239" s="83">
        <f ca="1">$K$239-EFEITO!$M$239*EFEITO!$Z$239</f>
        <v>15.971143068360902</v>
      </c>
      <c r="O239" s="83">
        <f>$L$239-EFEITO!$O$239*EFEITO!$AA$239</f>
        <v>33.526095217476268</v>
      </c>
      <c r="P239" s="28"/>
      <c r="Q239" s="28"/>
      <c r="R239" s="28"/>
      <c r="S239" s="28"/>
      <c r="T239" s="28"/>
      <c r="U239" s="28"/>
      <c r="V239" s="28"/>
      <c r="W239" s="28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72" t="s">
        <v>21</v>
      </c>
      <c r="B240" s="72" t="s">
        <v>33</v>
      </c>
      <c r="C240" s="72" t="s">
        <v>34</v>
      </c>
      <c r="D240" s="72" t="s">
        <v>44</v>
      </c>
      <c r="E240" s="72" t="s">
        <v>53</v>
      </c>
      <c r="F240" s="72" t="s">
        <v>25</v>
      </c>
      <c r="G240" s="72" t="s">
        <v>25</v>
      </c>
      <c r="H240" s="72" t="s">
        <v>36</v>
      </c>
      <c r="I240" s="82">
        <v>44562</v>
      </c>
      <c r="J240" s="83">
        <f>EFEITO!$J$240*EFEITO!$Y$195</f>
        <v>0</v>
      </c>
      <c r="K240" s="83">
        <f ca="1">EFEITO!$L$240*EFEITO!$Z$195</f>
        <v>675.03065733138897</v>
      </c>
      <c r="L240" s="83">
        <f>EFEITO!$N$240*EFEITO!$AA$195</f>
        <v>1417.0020264385694</v>
      </c>
      <c r="M240" s="83">
        <f>$J$240-EFEITO!$K$240*EFEITO!$Y$240</f>
        <v>0</v>
      </c>
      <c r="N240" s="83">
        <f ca="1">$K$240-EFEITO!$M$240*EFEITO!$Z$240</f>
        <v>13.500613146627757</v>
      </c>
      <c r="O240" s="83">
        <f>$L$240-EFEITO!$O$240*EFEITO!$AA$240</f>
        <v>28.340040528771397</v>
      </c>
      <c r="P240" s="28"/>
      <c r="Q240" s="28"/>
      <c r="R240" s="28"/>
      <c r="S240" s="28"/>
      <c r="T240" s="28"/>
      <c r="U240" s="28"/>
      <c r="V240" s="28"/>
      <c r="W240" s="28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72" t="s">
        <v>21</v>
      </c>
      <c r="B241" s="72" t="s">
        <v>33</v>
      </c>
      <c r="C241" s="72" t="s">
        <v>34</v>
      </c>
      <c r="D241" s="72" t="s">
        <v>44</v>
      </c>
      <c r="E241" s="72" t="s">
        <v>53</v>
      </c>
      <c r="F241" s="72" t="s">
        <v>25</v>
      </c>
      <c r="G241" s="72" t="s">
        <v>25</v>
      </c>
      <c r="H241" s="72" t="s">
        <v>36</v>
      </c>
      <c r="I241" s="82">
        <v>44593</v>
      </c>
      <c r="J241" s="83">
        <f>EFEITO!$J$241*EFEITO!$Y$195</f>
        <v>0</v>
      </c>
      <c r="K241" s="83">
        <f ca="1">EFEITO!$L$241*EFEITO!$Z$195</f>
        <v>1116.2540556197964</v>
      </c>
      <c r="L241" s="83">
        <f>EFEITO!$N$241*EFEITO!$AA$195</f>
        <v>2343.2035888364271</v>
      </c>
      <c r="M241" s="83">
        <f>$J$241-EFEITO!$K$241*EFEITO!$Y$241</f>
        <v>0</v>
      </c>
      <c r="N241" s="83">
        <f ca="1">$K$241-EFEITO!$M$241*EFEITO!$Z$241</f>
        <v>22.325081112395765</v>
      </c>
      <c r="O241" s="83">
        <f>$L$241-EFEITO!$O$241*EFEITO!$AA$241</f>
        <v>46.864071776728451</v>
      </c>
      <c r="P241" s="28"/>
      <c r="Q241" s="28"/>
      <c r="R241" s="28"/>
      <c r="S241" s="28"/>
      <c r="T241" s="28"/>
      <c r="U241" s="28"/>
      <c r="V241" s="28"/>
      <c r="W241" s="28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72" t="s">
        <v>21</v>
      </c>
      <c r="B242" s="72" t="s">
        <v>33</v>
      </c>
      <c r="C242" s="72" t="s">
        <v>34</v>
      </c>
      <c r="D242" s="72" t="s">
        <v>44</v>
      </c>
      <c r="E242" s="72" t="s">
        <v>53</v>
      </c>
      <c r="F242" s="72" t="s">
        <v>25</v>
      </c>
      <c r="G242" s="72" t="s">
        <v>25</v>
      </c>
      <c r="H242" s="72" t="s">
        <v>36</v>
      </c>
      <c r="I242" s="82">
        <v>44621</v>
      </c>
      <c r="J242" s="83">
        <f>EFEITO!$J$242*EFEITO!$Y$195</f>
        <v>0</v>
      </c>
      <c r="K242" s="83">
        <f ca="1">EFEITO!$L$242*EFEITO!$Z$195</f>
        <v>1872.6656945322402</v>
      </c>
      <c r="L242" s="83">
        <f>EFEITO!$N$242*EFEITO!$AA$195</f>
        <v>3931.0378797973212</v>
      </c>
      <c r="M242" s="83">
        <f>$J$242-EFEITO!$K$242*EFEITO!$Y$242</f>
        <v>0</v>
      </c>
      <c r="N242" s="83">
        <f ca="1">$K$242-EFEITO!$M$242*EFEITO!$Z$242</f>
        <v>37.453313890644722</v>
      </c>
      <c r="O242" s="83">
        <f>$L$242-EFEITO!$O$242*EFEITO!$AA$242</f>
        <v>78.620757595946543</v>
      </c>
      <c r="P242" s="28"/>
      <c r="Q242" s="28"/>
      <c r="R242" s="28"/>
      <c r="S242" s="28"/>
      <c r="T242" s="28"/>
      <c r="U242" s="28"/>
      <c r="V242" s="28"/>
      <c r="W242" s="28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72" t="s">
        <v>21</v>
      </c>
      <c r="B243" s="72" t="s">
        <v>33</v>
      </c>
      <c r="C243" s="72" t="s">
        <v>34</v>
      </c>
      <c r="D243" s="72" t="s">
        <v>44</v>
      </c>
      <c r="E243" s="72" t="s">
        <v>53</v>
      </c>
      <c r="F243" s="72" t="s">
        <v>25</v>
      </c>
      <c r="G243" s="72" t="s">
        <v>25</v>
      </c>
      <c r="H243" s="72" t="s">
        <v>36</v>
      </c>
      <c r="I243" s="82">
        <v>44652</v>
      </c>
      <c r="J243" s="83">
        <f>EFEITO!$J$243*EFEITO!$Y$195</f>
        <v>0</v>
      </c>
      <c r="K243" s="83">
        <f ca="1">EFEITO!$L$243*EFEITO!$Z$195</f>
        <v>716.172707205905</v>
      </c>
      <c r="L243" s="83">
        <f>EFEITO!$N$243*EFEITO!$AA$195</f>
        <v>1503.3660565916559</v>
      </c>
      <c r="M243" s="83">
        <f>$J$243-EFEITO!$K$243*EFEITO!$Y$243</f>
        <v>0</v>
      </c>
      <c r="N243" s="83">
        <f ca="1">$K$243-EFEITO!$M$243*EFEITO!$Z$243</f>
        <v>14.323454144118159</v>
      </c>
      <c r="O243" s="83">
        <f>$L$243-EFEITO!$O$243*EFEITO!$AA$243</f>
        <v>30.067321131833296</v>
      </c>
      <c r="P243" s="28"/>
      <c r="Q243" s="28"/>
      <c r="R243" s="28"/>
      <c r="S243" s="28"/>
      <c r="T243" s="28"/>
      <c r="U243" s="28"/>
      <c r="V243" s="28"/>
      <c r="W243" s="28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72" t="s">
        <v>21</v>
      </c>
      <c r="B244" s="72" t="s">
        <v>33</v>
      </c>
      <c r="C244" s="72" t="s">
        <v>34</v>
      </c>
      <c r="D244" s="72" t="s">
        <v>44</v>
      </c>
      <c r="E244" s="72" t="s">
        <v>53</v>
      </c>
      <c r="F244" s="72" t="s">
        <v>25</v>
      </c>
      <c r="G244" s="72" t="s">
        <v>25</v>
      </c>
      <c r="H244" s="72" t="s">
        <v>25</v>
      </c>
      <c r="I244" s="82">
        <v>44317</v>
      </c>
      <c r="J244" s="83">
        <f ca="1">EFEITO!$J$244*EFEITO!$Y$207</f>
        <v>8123.180419505622</v>
      </c>
      <c r="K244" s="83">
        <f>EFEITO!$L$244*EFEITO!$Z$207</f>
        <v>0</v>
      </c>
      <c r="L244" s="83">
        <f>EFEITO!$N$244*EFEITO!$AA$207</f>
        <v>0</v>
      </c>
      <c r="M244" s="83">
        <f ca="1">$J$244-EFEITO!$K$244*EFEITO!$Y$244</f>
        <v>162.46360839011322</v>
      </c>
      <c r="N244" s="83">
        <f>$K$244-EFEITO!$M$244*EFEITO!$Z$244</f>
        <v>0</v>
      </c>
      <c r="O244" s="83">
        <f>$L$244-EFEITO!$O$244*EFEITO!$AA$244</f>
        <v>0</v>
      </c>
      <c r="P244" s="28"/>
      <c r="Q244" s="28"/>
      <c r="R244" s="28"/>
      <c r="S244" s="28"/>
      <c r="T244" s="28"/>
      <c r="U244" s="28"/>
      <c r="V244" s="28"/>
      <c r="W244" s="28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72" t="s">
        <v>21</v>
      </c>
      <c r="B245" s="72" t="s">
        <v>33</v>
      </c>
      <c r="C245" s="72" t="s">
        <v>34</v>
      </c>
      <c r="D245" s="72" t="s">
        <v>44</v>
      </c>
      <c r="E245" s="72" t="s">
        <v>53</v>
      </c>
      <c r="F245" s="72" t="s">
        <v>25</v>
      </c>
      <c r="G245" s="72" t="s">
        <v>25</v>
      </c>
      <c r="H245" s="72" t="s">
        <v>25</v>
      </c>
      <c r="I245" s="82">
        <v>44348</v>
      </c>
      <c r="J245" s="83">
        <f ca="1">EFEITO!$J$245*EFEITO!$Y$207</f>
        <v>6421.8161427303166</v>
      </c>
      <c r="K245" s="83">
        <f>EFEITO!$L$245*EFEITO!$Z$207</f>
        <v>0</v>
      </c>
      <c r="L245" s="83">
        <f>EFEITO!$N$245*EFEITO!$AA$207</f>
        <v>0</v>
      </c>
      <c r="M245" s="83">
        <f ca="1">$J$245-EFEITO!$K$245*EFEITO!$Y$245</f>
        <v>128.43632285460626</v>
      </c>
      <c r="N245" s="83">
        <f>$K$245-EFEITO!$M$245*EFEITO!$Z$245</f>
        <v>0</v>
      </c>
      <c r="O245" s="83">
        <f>$L$245-EFEITO!$O$245*EFEITO!$AA$245</f>
        <v>0</v>
      </c>
      <c r="P245" s="28"/>
      <c r="Q245" s="28"/>
      <c r="R245" s="28"/>
      <c r="S245" s="28"/>
      <c r="T245" s="28"/>
      <c r="U245" s="28"/>
      <c r="V245" s="28"/>
      <c r="W245" s="28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72" t="s">
        <v>21</v>
      </c>
      <c r="B246" s="72" t="s">
        <v>33</v>
      </c>
      <c r="C246" s="72" t="s">
        <v>34</v>
      </c>
      <c r="D246" s="72" t="s">
        <v>44</v>
      </c>
      <c r="E246" s="72" t="s">
        <v>53</v>
      </c>
      <c r="F246" s="72" t="s">
        <v>25</v>
      </c>
      <c r="G246" s="72" t="s">
        <v>25</v>
      </c>
      <c r="H246" s="72" t="s">
        <v>25</v>
      </c>
      <c r="I246" s="82">
        <v>44378</v>
      </c>
      <c r="J246" s="83">
        <f ca="1">EFEITO!$J$246*EFEITO!$Y$207</f>
        <v>6488.5363104469952</v>
      </c>
      <c r="K246" s="83">
        <f>EFEITO!$L$246*EFEITO!$Z$207</f>
        <v>0</v>
      </c>
      <c r="L246" s="83">
        <f>EFEITO!$N$246*EFEITO!$AA$207</f>
        <v>0</v>
      </c>
      <c r="M246" s="83">
        <f ca="1">$J$246-EFEITO!$K$246*EFEITO!$Y$246</f>
        <v>129.77072620893978</v>
      </c>
      <c r="N246" s="83">
        <f>$K$246-EFEITO!$M$246*EFEITO!$Z$246</f>
        <v>0</v>
      </c>
      <c r="O246" s="83">
        <f>$L$246-EFEITO!$O$246*EFEITO!$AA$246</f>
        <v>0</v>
      </c>
      <c r="P246" s="28"/>
      <c r="Q246" s="28"/>
      <c r="R246" s="28"/>
      <c r="S246" s="28"/>
      <c r="T246" s="28"/>
      <c r="U246" s="28"/>
      <c r="V246" s="28"/>
      <c r="W246" s="28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72" t="s">
        <v>21</v>
      </c>
      <c r="B247" s="72" t="s">
        <v>33</v>
      </c>
      <c r="C247" s="72" t="s">
        <v>34</v>
      </c>
      <c r="D247" s="72" t="s">
        <v>44</v>
      </c>
      <c r="E247" s="72" t="s">
        <v>53</v>
      </c>
      <c r="F247" s="72" t="s">
        <v>25</v>
      </c>
      <c r="G247" s="72" t="s">
        <v>25</v>
      </c>
      <c r="H247" s="72" t="s">
        <v>25</v>
      </c>
      <c r="I247" s="82">
        <v>44409</v>
      </c>
      <c r="J247" s="83">
        <f ca="1">EFEITO!$J$247*EFEITO!$Y$207</f>
        <v>8373.3810484431669</v>
      </c>
      <c r="K247" s="83">
        <f>EFEITO!$L$247*EFEITO!$Z$207</f>
        <v>0</v>
      </c>
      <c r="L247" s="83">
        <f>EFEITO!$N$247*EFEITO!$AA$207</f>
        <v>0</v>
      </c>
      <c r="M247" s="83">
        <f ca="1">$J$247-EFEITO!$K$247*EFEITO!$Y$247</f>
        <v>167.46762096886414</v>
      </c>
      <c r="N247" s="83">
        <f>$K$247-EFEITO!$M$247*EFEITO!$Z$247</f>
        <v>0</v>
      </c>
      <c r="O247" s="83">
        <f>$L$247-EFEITO!$O$247*EFEITO!$AA$247</f>
        <v>0</v>
      </c>
      <c r="P247" s="28"/>
      <c r="Q247" s="28"/>
      <c r="R247" s="28"/>
      <c r="S247" s="28"/>
      <c r="T247" s="28"/>
      <c r="U247" s="28"/>
      <c r="V247" s="28"/>
      <c r="W247" s="28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72" t="s">
        <v>21</v>
      </c>
      <c r="B248" s="72" t="s">
        <v>33</v>
      </c>
      <c r="C248" s="72" t="s">
        <v>34</v>
      </c>
      <c r="D248" s="72" t="s">
        <v>44</v>
      </c>
      <c r="E248" s="72" t="s">
        <v>53</v>
      </c>
      <c r="F248" s="72" t="s">
        <v>25</v>
      </c>
      <c r="G248" s="72" t="s">
        <v>25</v>
      </c>
      <c r="H248" s="72" t="s">
        <v>25</v>
      </c>
      <c r="I248" s="82">
        <v>44440</v>
      </c>
      <c r="J248" s="83">
        <f ca="1">EFEITO!$J$248*EFEITO!$Y$207</f>
        <v>8273.3007968681486</v>
      </c>
      <c r="K248" s="83">
        <f>EFEITO!$L$248*EFEITO!$Z$207</f>
        <v>0</v>
      </c>
      <c r="L248" s="83">
        <f>EFEITO!$N$248*EFEITO!$AA$207</f>
        <v>0</v>
      </c>
      <c r="M248" s="83">
        <f ca="1">$J$248-EFEITO!$K$248*EFEITO!$Y$248</f>
        <v>165.46601593736341</v>
      </c>
      <c r="N248" s="83">
        <f>$K$248-EFEITO!$M$248*EFEITO!$Z$248</f>
        <v>0</v>
      </c>
      <c r="O248" s="83">
        <f>$L$248-EFEITO!$O$248*EFEITO!$AA$248</f>
        <v>0</v>
      </c>
      <c r="P248" s="28"/>
      <c r="Q248" s="28"/>
      <c r="R248" s="28"/>
      <c r="S248" s="28"/>
      <c r="T248" s="28"/>
      <c r="U248" s="28"/>
      <c r="V248" s="28"/>
      <c r="W248" s="28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72" t="s">
        <v>21</v>
      </c>
      <c r="B249" s="72" t="s">
        <v>33</v>
      </c>
      <c r="C249" s="72" t="s">
        <v>34</v>
      </c>
      <c r="D249" s="72" t="s">
        <v>44</v>
      </c>
      <c r="E249" s="72" t="s">
        <v>53</v>
      </c>
      <c r="F249" s="72" t="s">
        <v>25</v>
      </c>
      <c r="G249" s="72" t="s">
        <v>25</v>
      </c>
      <c r="H249" s="72" t="s">
        <v>25</v>
      </c>
      <c r="I249" s="82">
        <v>44470</v>
      </c>
      <c r="J249" s="83">
        <f ca="1">EFEITO!$J$249*EFEITO!$Y$207</f>
        <v>7772.8995389930587</v>
      </c>
      <c r="K249" s="83">
        <f>EFEITO!$L$249*EFEITO!$Z$207</f>
        <v>0</v>
      </c>
      <c r="L249" s="83">
        <f>EFEITO!$N$249*EFEITO!$AA$207</f>
        <v>0</v>
      </c>
      <c r="M249" s="83">
        <f ca="1">$J$249-EFEITO!$K$249*EFEITO!$Y$249</f>
        <v>155.45799077986157</v>
      </c>
      <c r="N249" s="83">
        <f>$K$249-EFEITO!$M$249*EFEITO!$Z$249</f>
        <v>0</v>
      </c>
      <c r="O249" s="83">
        <f>$L$249-EFEITO!$O$249*EFEITO!$AA$249</f>
        <v>0</v>
      </c>
      <c r="P249" s="28"/>
      <c r="Q249" s="28"/>
      <c r="R249" s="28"/>
      <c r="S249" s="28"/>
      <c r="T249" s="28"/>
      <c r="U249" s="28"/>
      <c r="V249" s="28"/>
      <c r="W249" s="28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72" t="s">
        <v>21</v>
      </c>
      <c r="B250" s="72" t="s">
        <v>33</v>
      </c>
      <c r="C250" s="72" t="s">
        <v>34</v>
      </c>
      <c r="D250" s="72" t="s">
        <v>44</v>
      </c>
      <c r="E250" s="72" t="s">
        <v>53</v>
      </c>
      <c r="F250" s="72" t="s">
        <v>25</v>
      </c>
      <c r="G250" s="72" t="s">
        <v>25</v>
      </c>
      <c r="H250" s="72" t="s">
        <v>25</v>
      </c>
      <c r="I250" s="82">
        <v>44501</v>
      </c>
      <c r="J250" s="83">
        <f ca="1">EFEITO!$J$250*EFEITO!$Y$207</f>
        <v>5187.4930399717623</v>
      </c>
      <c r="K250" s="83">
        <f>EFEITO!$L$250*EFEITO!$Z$207</f>
        <v>0</v>
      </c>
      <c r="L250" s="83">
        <f>EFEITO!$N$250*EFEITO!$AA$207</f>
        <v>0</v>
      </c>
      <c r="M250" s="83">
        <f ca="1">$J$250-EFEITO!$K$250*EFEITO!$Y$250</f>
        <v>103.74986079943483</v>
      </c>
      <c r="N250" s="83">
        <f>$K$250-EFEITO!$M$250*EFEITO!$Z$250</f>
        <v>0</v>
      </c>
      <c r="O250" s="83">
        <f>$L$250-EFEITO!$O$250*EFEITO!$AA$250</f>
        <v>0</v>
      </c>
      <c r="P250" s="28"/>
      <c r="Q250" s="28"/>
      <c r="R250" s="28"/>
      <c r="S250" s="28"/>
      <c r="T250" s="28"/>
      <c r="U250" s="28"/>
      <c r="V250" s="28"/>
      <c r="W250" s="28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72" t="s">
        <v>21</v>
      </c>
      <c r="B251" s="72" t="s">
        <v>33</v>
      </c>
      <c r="C251" s="72" t="s">
        <v>34</v>
      </c>
      <c r="D251" s="72" t="s">
        <v>44</v>
      </c>
      <c r="E251" s="72" t="s">
        <v>53</v>
      </c>
      <c r="F251" s="72" t="s">
        <v>25</v>
      </c>
      <c r="G251" s="72" t="s">
        <v>25</v>
      </c>
      <c r="H251" s="72" t="s">
        <v>25</v>
      </c>
      <c r="I251" s="82">
        <v>44531</v>
      </c>
      <c r="J251" s="83">
        <f ca="1">EFEITO!$J$251*EFEITO!$Y$207</f>
        <v>5120.7728722550837</v>
      </c>
      <c r="K251" s="83">
        <f>EFEITO!$L$251*EFEITO!$Z$207</f>
        <v>0</v>
      </c>
      <c r="L251" s="83">
        <f>EFEITO!$N$251*EFEITO!$AA$207</f>
        <v>0</v>
      </c>
      <c r="M251" s="83">
        <f ca="1">$J$251-EFEITO!$K$251*EFEITO!$Y$251</f>
        <v>102.41545744510131</v>
      </c>
      <c r="N251" s="83">
        <f>$K$251-EFEITO!$M$251*EFEITO!$Z$251</f>
        <v>0</v>
      </c>
      <c r="O251" s="83">
        <f>$L$251-EFEITO!$O$251*EFEITO!$AA$251</f>
        <v>0</v>
      </c>
      <c r="P251" s="28"/>
      <c r="Q251" s="28"/>
      <c r="R251" s="28"/>
      <c r="S251" s="28"/>
      <c r="T251" s="28"/>
      <c r="U251" s="28"/>
      <c r="V251" s="28"/>
      <c r="W251" s="28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72" t="s">
        <v>21</v>
      </c>
      <c r="B252" s="72" t="s">
        <v>33</v>
      </c>
      <c r="C252" s="72" t="s">
        <v>34</v>
      </c>
      <c r="D252" s="72" t="s">
        <v>44</v>
      </c>
      <c r="E252" s="72" t="s">
        <v>53</v>
      </c>
      <c r="F252" s="72" t="s">
        <v>25</v>
      </c>
      <c r="G252" s="72" t="s">
        <v>25</v>
      </c>
      <c r="H252" s="72" t="s">
        <v>25</v>
      </c>
      <c r="I252" s="82">
        <v>44562</v>
      </c>
      <c r="J252" s="83">
        <f ca="1">EFEITO!$J$252*EFEITO!$Y$207</f>
        <v>6722.0568974553707</v>
      </c>
      <c r="K252" s="83">
        <f>EFEITO!$L$252*EFEITO!$Z$207</f>
        <v>0</v>
      </c>
      <c r="L252" s="83">
        <f>EFEITO!$N$252*EFEITO!$AA$207</f>
        <v>0</v>
      </c>
      <c r="M252" s="83">
        <f ca="1">$J$252-EFEITO!$K$252*EFEITO!$Y$252</f>
        <v>134.44113794910754</v>
      </c>
      <c r="N252" s="83">
        <f>$K$252-EFEITO!$M$252*EFEITO!$Z$252</f>
        <v>0</v>
      </c>
      <c r="O252" s="83">
        <f>$L$252-EFEITO!$O$252*EFEITO!$AA$252</f>
        <v>0</v>
      </c>
      <c r="P252" s="28"/>
      <c r="Q252" s="28"/>
      <c r="R252" s="28"/>
      <c r="S252" s="28"/>
      <c r="T252" s="28"/>
      <c r="U252" s="28"/>
      <c r="V252" s="28"/>
      <c r="W252" s="28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72" t="s">
        <v>21</v>
      </c>
      <c r="B253" s="72" t="s">
        <v>33</v>
      </c>
      <c r="C253" s="72" t="s">
        <v>34</v>
      </c>
      <c r="D253" s="72" t="s">
        <v>44</v>
      </c>
      <c r="E253" s="72" t="s">
        <v>53</v>
      </c>
      <c r="F253" s="72" t="s">
        <v>25</v>
      </c>
      <c r="G253" s="72" t="s">
        <v>25</v>
      </c>
      <c r="H253" s="72" t="s">
        <v>25</v>
      </c>
      <c r="I253" s="82">
        <v>44593</v>
      </c>
      <c r="J253" s="83">
        <f ca="1">EFEITO!$J$253*EFEITO!$Y$207</f>
        <v>5320.9333754051195</v>
      </c>
      <c r="K253" s="83">
        <f>EFEITO!$L$253*EFEITO!$Z$207</f>
        <v>0</v>
      </c>
      <c r="L253" s="83">
        <f>EFEITO!$N$253*EFEITO!$AA$207</f>
        <v>0</v>
      </c>
      <c r="M253" s="83">
        <f ca="1">$J$253-EFEITO!$K$253*EFEITO!$Y$253</f>
        <v>106.41866750810186</v>
      </c>
      <c r="N253" s="83">
        <f>$K$253-EFEITO!$M$253*EFEITO!$Z$253</f>
        <v>0</v>
      </c>
      <c r="O253" s="83">
        <f>$L$253-EFEITO!$O$253*EFEITO!$AA$253</f>
        <v>0</v>
      </c>
      <c r="P253" s="28"/>
      <c r="Q253" s="28"/>
      <c r="R253" s="28"/>
      <c r="S253" s="28"/>
      <c r="T253" s="28"/>
      <c r="U253" s="28"/>
      <c r="V253" s="28"/>
      <c r="W253" s="28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72" t="s">
        <v>21</v>
      </c>
      <c r="B254" s="72" t="s">
        <v>33</v>
      </c>
      <c r="C254" s="72" t="s">
        <v>34</v>
      </c>
      <c r="D254" s="72" t="s">
        <v>44</v>
      </c>
      <c r="E254" s="72" t="s">
        <v>53</v>
      </c>
      <c r="F254" s="72" t="s">
        <v>25</v>
      </c>
      <c r="G254" s="72" t="s">
        <v>25</v>
      </c>
      <c r="H254" s="72" t="s">
        <v>25</v>
      </c>
      <c r="I254" s="82">
        <v>44621</v>
      </c>
      <c r="J254" s="83">
        <f ca="1">EFEITO!$J$254*EFEITO!$Y$207</f>
        <v>12793.592159673124</v>
      </c>
      <c r="K254" s="83">
        <f>EFEITO!$L$254*EFEITO!$Z$207</f>
        <v>0</v>
      </c>
      <c r="L254" s="83">
        <f>EFEITO!$N$254*EFEITO!$AA$207</f>
        <v>0</v>
      </c>
      <c r="M254" s="83">
        <f ca="1">$J$254-EFEITO!$K$254*EFEITO!$Y$254</f>
        <v>255.87184319346125</v>
      </c>
      <c r="N254" s="83">
        <f>$K$254-EFEITO!$M$254*EFEITO!$Z$254</f>
        <v>0</v>
      </c>
      <c r="O254" s="83">
        <f>$L$254-EFEITO!$O$254*EFEITO!$AA$254</f>
        <v>0</v>
      </c>
      <c r="P254" s="28"/>
      <c r="Q254" s="28"/>
      <c r="R254" s="28"/>
      <c r="S254" s="28"/>
      <c r="T254" s="28"/>
      <c r="U254" s="28"/>
      <c r="V254" s="28"/>
      <c r="W254" s="28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72" t="s">
        <v>21</v>
      </c>
      <c r="B255" s="72" t="s">
        <v>33</v>
      </c>
      <c r="C255" s="72" t="s">
        <v>34</v>
      </c>
      <c r="D255" s="72" t="s">
        <v>44</v>
      </c>
      <c r="E255" s="72" t="s">
        <v>53</v>
      </c>
      <c r="F255" s="72" t="s">
        <v>25</v>
      </c>
      <c r="G255" s="72" t="s">
        <v>25</v>
      </c>
      <c r="H255" s="72" t="s">
        <v>25</v>
      </c>
      <c r="I255" s="82">
        <v>44652</v>
      </c>
      <c r="J255" s="83">
        <f ca="1">EFEITO!$J$255*EFEITO!$Y$207</f>
        <v>6121.5753880052634</v>
      </c>
      <c r="K255" s="83">
        <f>EFEITO!$L$255*EFEITO!$Z$207</f>
        <v>0</v>
      </c>
      <c r="L255" s="83">
        <f>EFEITO!$N$255*EFEITO!$AA$207</f>
        <v>0</v>
      </c>
      <c r="M255" s="83">
        <f ca="1">$J$255-EFEITO!$K$255*EFEITO!$Y$255</f>
        <v>122.43150776010589</v>
      </c>
      <c r="N255" s="83">
        <f>$K$255-EFEITO!$M$255*EFEITO!$Z$255</f>
        <v>0</v>
      </c>
      <c r="O255" s="83">
        <f>$L$255-EFEITO!$O$255*EFEITO!$AA$255</f>
        <v>0</v>
      </c>
      <c r="P255" s="28"/>
      <c r="Q255" s="28"/>
      <c r="R255" s="28"/>
      <c r="S255" s="28"/>
      <c r="T255" s="28"/>
      <c r="U255" s="28"/>
      <c r="V255" s="28"/>
      <c r="W255" s="28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72" t="s">
        <v>21</v>
      </c>
      <c r="B256" s="72" t="s">
        <v>33</v>
      </c>
      <c r="C256" s="72" t="s">
        <v>34</v>
      </c>
      <c r="D256" s="72" t="s">
        <v>44</v>
      </c>
      <c r="E256" s="72" t="s">
        <v>53</v>
      </c>
      <c r="F256" s="72" t="s">
        <v>25</v>
      </c>
      <c r="G256" s="72" t="s">
        <v>25</v>
      </c>
      <c r="H256" s="72" t="s">
        <v>35</v>
      </c>
      <c r="I256" s="82">
        <v>44317</v>
      </c>
      <c r="J256" s="83">
        <f>EFEITO!$J$256*EFEITO!$Y$219</f>
        <v>0</v>
      </c>
      <c r="K256" s="83">
        <f ca="1">EFEITO!$L$256*EFEITO!$Z$219</f>
        <v>2976.1374633745718</v>
      </c>
      <c r="L256" s="83">
        <f>EFEITO!$N$256*EFEITO!$AA$219</f>
        <v>642.04283879660466</v>
      </c>
      <c r="M256" s="83">
        <f>$J$256-EFEITO!$K$256*EFEITO!$Y$256</f>
        <v>0</v>
      </c>
      <c r="N256" s="83">
        <f ca="1">$K$256-EFEITO!$M$256*EFEITO!$Z$256</f>
        <v>59.52274926749169</v>
      </c>
      <c r="O256" s="83">
        <f>$L$256-EFEITO!$O$256*EFEITO!$AA$256</f>
        <v>12.840856775932139</v>
      </c>
      <c r="P256" s="28"/>
      <c r="Q256" s="28"/>
      <c r="R256" s="28"/>
      <c r="S256" s="28"/>
      <c r="T256" s="28"/>
      <c r="U256" s="28"/>
      <c r="V256" s="28"/>
      <c r="W256" s="28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72" t="s">
        <v>21</v>
      </c>
      <c r="B257" s="72" t="s">
        <v>33</v>
      </c>
      <c r="C257" s="72" t="s">
        <v>34</v>
      </c>
      <c r="D257" s="72" t="s">
        <v>44</v>
      </c>
      <c r="E257" s="72" t="s">
        <v>53</v>
      </c>
      <c r="F257" s="72" t="s">
        <v>25</v>
      </c>
      <c r="G257" s="72" t="s">
        <v>25</v>
      </c>
      <c r="H257" s="72" t="s">
        <v>35</v>
      </c>
      <c r="I257" s="82">
        <v>44348</v>
      </c>
      <c r="J257" s="83">
        <f>EFEITO!$J$257*EFEITO!$Y$219</f>
        <v>0</v>
      </c>
      <c r="K257" s="83">
        <f ca="1">EFEITO!$L$257*EFEITO!$Z$219</f>
        <v>335.88952998715638</v>
      </c>
      <c r="L257" s="83">
        <f>EFEITO!$N$257*EFEITO!$AA$219</f>
        <v>72.461527738199464</v>
      </c>
      <c r="M257" s="83">
        <f>$J$257-EFEITO!$K$257*EFEITO!$Y$257</f>
        <v>0</v>
      </c>
      <c r="N257" s="83">
        <f ca="1">$K$257-EFEITO!$M$257*EFEITO!$Z$257</f>
        <v>6.7177905997431822</v>
      </c>
      <c r="O257" s="83">
        <f>$L$257-EFEITO!$O$257*EFEITO!$AA$257</f>
        <v>1.4492305547639859</v>
      </c>
      <c r="P257" s="28"/>
      <c r="Q257" s="28"/>
      <c r="R257" s="28"/>
      <c r="S257" s="28"/>
      <c r="T257" s="28"/>
      <c r="U257" s="28"/>
      <c r="V257" s="28"/>
      <c r="W257" s="28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72" t="s">
        <v>21</v>
      </c>
      <c r="B258" s="72" t="s">
        <v>33</v>
      </c>
      <c r="C258" s="72" t="s">
        <v>34</v>
      </c>
      <c r="D258" s="72" t="s">
        <v>44</v>
      </c>
      <c r="E258" s="72" t="s">
        <v>53</v>
      </c>
      <c r="F258" s="72" t="s">
        <v>25</v>
      </c>
      <c r="G258" s="72" t="s">
        <v>25</v>
      </c>
      <c r="H258" s="72" t="s">
        <v>35</v>
      </c>
      <c r="I258" s="82">
        <v>44378</v>
      </c>
      <c r="J258" s="83">
        <f>EFEITO!$J$258*EFEITO!$Y$219</f>
        <v>0</v>
      </c>
      <c r="K258" s="83">
        <f ca="1">EFEITO!$L$258*EFEITO!$Z$219</f>
        <v>1019.3856665889282</v>
      </c>
      <c r="L258" s="83">
        <f>EFEITO!$N$258*EFEITO!$AA$219</f>
        <v>219.91231092639609</v>
      </c>
      <c r="M258" s="83">
        <f>$J$258-EFEITO!$K$258*EFEITO!$Y$258</f>
        <v>0</v>
      </c>
      <c r="N258" s="83">
        <f ca="1">$K$258-EFEITO!$M$258*EFEITO!$Z$258</f>
        <v>20.387713331778627</v>
      </c>
      <c r="O258" s="83">
        <f>$L$258-EFEITO!$O$258*EFEITO!$AA$258</f>
        <v>4.3982462185279303</v>
      </c>
      <c r="P258" s="28"/>
      <c r="Q258" s="28"/>
      <c r="R258" s="28"/>
      <c r="S258" s="28"/>
      <c r="T258" s="28"/>
      <c r="U258" s="28"/>
      <c r="V258" s="28"/>
      <c r="W258" s="28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72" t="s">
        <v>21</v>
      </c>
      <c r="B259" s="72" t="s">
        <v>33</v>
      </c>
      <c r="C259" s="72" t="s">
        <v>34</v>
      </c>
      <c r="D259" s="72" t="s">
        <v>44</v>
      </c>
      <c r="E259" s="72" t="s">
        <v>53</v>
      </c>
      <c r="F259" s="72" t="s">
        <v>25</v>
      </c>
      <c r="G259" s="72" t="s">
        <v>25</v>
      </c>
      <c r="H259" s="72" t="s">
        <v>35</v>
      </c>
      <c r="I259" s="82">
        <v>44409</v>
      </c>
      <c r="J259" s="83">
        <f>EFEITO!$J$259*EFEITO!$Y$219</f>
        <v>0</v>
      </c>
      <c r="K259" s="83">
        <f ca="1">EFEITO!$L$259*EFEITO!$Z$219</f>
        <v>1929.4119513215728</v>
      </c>
      <c r="L259" s="83">
        <f>EFEITO!$N$259*EFEITO!$AA$219</f>
        <v>416.23249654268068</v>
      </c>
      <c r="M259" s="83">
        <f>$J$259-EFEITO!$K$259*EFEITO!$Y$259</f>
        <v>0</v>
      </c>
      <c r="N259" s="83">
        <f ca="1">$K$259-EFEITO!$M$259*EFEITO!$Z$259</f>
        <v>38.588239026431665</v>
      </c>
      <c r="O259" s="83">
        <f>$L$259-EFEITO!$O$259*EFEITO!$AA$259</f>
        <v>8.3246499308536386</v>
      </c>
      <c r="P259" s="28"/>
      <c r="Q259" s="28"/>
      <c r="R259" s="28"/>
      <c r="S259" s="28"/>
      <c r="T259" s="28"/>
      <c r="U259" s="28"/>
      <c r="V259" s="28"/>
      <c r="W259" s="28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72" t="s">
        <v>21</v>
      </c>
      <c r="B260" s="72" t="s">
        <v>33</v>
      </c>
      <c r="C260" s="72" t="s">
        <v>34</v>
      </c>
      <c r="D260" s="72" t="s">
        <v>44</v>
      </c>
      <c r="E260" s="72" t="s">
        <v>53</v>
      </c>
      <c r="F260" s="72" t="s">
        <v>25</v>
      </c>
      <c r="G260" s="72" t="s">
        <v>25</v>
      </c>
      <c r="H260" s="72" t="s">
        <v>35</v>
      </c>
      <c r="I260" s="82">
        <v>44440</v>
      </c>
      <c r="J260" s="83">
        <f>EFEITO!$J$260*EFEITO!$Y$219</f>
        <v>0</v>
      </c>
      <c r="K260" s="83">
        <f ca="1">EFEITO!$L$260*EFEITO!$Z$219</f>
        <v>2614.8609340279208</v>
      </c>
      <c r="L260" s="83">
        <f>EFEITO!$N$260*EFEITO!$AA$219</f>
        <v>564.10456768284359</v>
      </c>
      <c r="M260" s="83">
        <f>$J$260-EFEITO!$K$260*EFEITO!$Y$260</f>
        <v>0</v>
      </c>
      <c r="N260" s="83">
        <f ca="1">$K$260-EFEITO!$M$260*EFEITO!$Z$260</f>
        <v>52.297218680558672</v>
      </c>
      <c r="O260" s="83">
        <f>$L$260-EFEITO!$O$260*EFEITO!$AA$260</f>
        <v>11.282091353656938</v>
      </c>
      <c r="P260" s="28"/>
      <c r="Q260" s="28"/>
      <c r="R260" s="28"/>
      <c r="S260" s="28"/>
      <c r="T260" s="28"/>
      <c r="U260" s="28"/>
      <c r="V260" s="28"/>
      <c r="W260" s="28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72" t="s">
        <v>21</v>
      </c>
      <c r="B261" s="72" t="s">
        <v>33</v>
      </c>
      <c r="C261" s="72" t="s">
        <v>34</v>
      </c>
      <c r="D261" s="72" t="s">
        <v>44</v>
      </c>
      <c r="E261" s="72" t="s">
        <v>53</v>
      </c>
      <c r="F261" s="72" t="s">
        <v>25</v>
      </c>
      <c r="G261" s="72" t="s">
        <v>25</v>
      </c>
      <c r="H261" s="72" t="s">
        <v>35</v>
      </c>
      <c r="I261" s="82">
        <v>44470</v>
      </c>
      <c r="J261" s="83">
        <f>EFEITO!$J$261*EFEITO!$Y$219</f>
        <v>0</v>
      </c>
      <c r="K261" s="83">
        <f ca="1">EFEITO!$L$261*EFEITO!$Z$219</f>
        <v>15.622768836611925</v>
      </c>
      <c r="L261" s="83">
        <f>EFEITO!$N$261*EFEITO!$AA$219</f>
        <v>3.370303615730208</v>
      </c>
      <c r="M261" s="83">
        <f>$J$261-EFEITO!$K$261*EFEITO!$Y$261</f>
        <v>0</v>
      </c>
      <c r="N261" s="83">
        <f ca="1">$K$261-EFEITO!$M$261*EFEITO!$Z$261</f>
        <v>0.31245537673223822</v>
      </c>
      <c r="O261" s="83">
        <f>$L$261-EFEITO!$O$261*EFEITO!$AA$261</f>
        <v>6.740607231460416E-2</v>
      </c>
      <c r="P261" s="28"/>
      <c r="Q261" s="28"/>
      <c r="R261" s="28"/>
      <c r="S261" s="28"/>
      <c r="T261" s="28"/>
      <c r="U261" s="28"/>
      <c r="V261" s="28"/>
      <c r="W261" s="28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72" t="s">
        <v>21</v>
      </c>
      <c r="B262" s="72" t="s">
        <v>33</v>
      </c>
      <c r="C262" s="72" t="s">
        <v>34</v>
      </c>
      <c r="D262" s="72" t="s">
        <v>44</v>
      </c>
      <c r="E262" s="72" t="s">
        <v>53</v>
      </c>
      <c r="F262" s="72" t="s">
        <v>25</v>
      </c>
      <c r="G262" s="72" t="s">
        <v>25</v>
      </c>
      <c r="H262" s="72" t="s">
        <v>35</v>
      </c>
      <c r="I262" s="82">
        <v>44501</v>
      </c>
      <c r="J262" s="83">
        <f>EFEITO!$J$262*EFEITO!$Y$219</f>
        <v>0</v>
      </c>
      <c r="K262" s="83">
        <f ca="1">EFEITO!$L$262*EFEITO!$Z$219</f>
        <v>17.575614941188416</v>
      </c>
      <c r="L262" s="83">
        <f>EFEITO!$N$262*EFEITO!$AA$219</f>
        <v>3.791591567696484</v>
      </c>
      <c r="M262" s="83">
        <f>$J$262-EFEITO!$K$262*EFEITO!$Y$262</f>
        <v>0</v>
      </c>
      <c r="N262" s="83">
        <f ca="1">$K$262-EFEITO!$M$262*EFEITO!$Z$262</f>
        <v>0.35151229882377066</v>
      </c>
      <c r="O262" s="83">
        <f>$L$262-EFEITO!$O$262*EFEITO!$AA$262</f>
        <v>7.5831831353930124E-2</v>
      </c>
      <c r="P262" s="28"/>
      <c r="Q262" s="28"/>
      <c r="R262" s="28"/>
      <c r="S262" s="28"/>
      <c r="T262" s="28"/>
      <c r="U262" s="28"/>
      <c r="V262" s="28"/>
      <c r="W262" s="28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72" t="s">
        <v>21</v>
      </c>
      <c r="B263" s="72" t="s">
        <v>33</v>
      </c>
      <c r="C263" s="72" t="s">
        <v>34</v>
      </c>
      <c r="D263" s="72" t="s">
        <v>44</v>
      </c>
      <c r="E263" s="72" t="s">
        <v>53</v>
      </c>
      <c r="F263" s="72" t="s">
        <v>25</v>
      </c>
      <c r="G263" s="72" t="s">
        <v>25</v>
      </c>
      <c r="H263" s="72" t="s">
        <v>35</v>
      </c>
      <c r="I263" s="82">
        <v>44531</v>
      </c>
      <c r="J263" s="83">
        <f>EFEITO!$J$263*EFEITO!$Y$219</f>
        <v>0</v>
      </c>
      <c r="K263" s="83">
        <f ca="1">EFEITO!$L$263*EFEITO!$Z$219</f>
        <v>97.64230522882454</v>
      </c>
      <c r="L263" s="83">
        <f>EFEITO!$N$263*EFEITO!$AA$219</f>
        <v>21.064397598313803</v>
      </c>
      <c r="M263" s="83">
        <f>$J$263-EFEITO!$K$263*EFEITO!$Y$263</f>
        <v>0</v>
      </c>
      <c r="N263" s="83">
        <f ca="1">$K$263-EFEITO!$M$263*EFEITO!$Z$263</f>
        <v>1.9528461045764942</v>
      </c>
      <c r="O263" s="83">
        <f>$L$263-EFEITO!$O$263*EFEITO!$AA$263</f>
        <v>0.42128795196627777</v>
      </c>
      <c r="P263" s="28"/>
      <c r="Q263" s="28"/>
      <c r="R263" s="28"/>
      <c r="S263" s="28"/>
      <c r="T263" s="28"/>
      <c r="U263" s="28"/>
      <c r="V263" s="28"/>
      <c r="W263" s="28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72" t="s">
        <v>21</v>
      </c>
      <c r="B264" s="72" t="s">
        <v>33</v>
      </c>
      <c r="C264" s="72" t="s">
        <v>34</v>
      </c>
      <c r="D264" s="72" t="s">
        <v>44</v>
      </c>
      <c r="E264" s="72" t="s">
        <v>53</v>
      </c>
      <c r="F264" s="72" t="s">
        <v>25</v>
      </c>
      <c r="G264" s="72" t="s">
        <v>25</v>
      </c>
      <c r="H264" s="72" t="s">
        <v>35</v>
      </c>
      <c r="I264" s="82">
        <v>44562</v>
      </c>
      <c r="J264" s="83">
        <f>EFEITO!$J$264*EFEITO!$Y$219</f>
        <v>0</v>
      </c>
      <c r="K264" s="83">
        <f ca="1">EFEITO!$L$264*EFEITO!$Z$219</f>
        <v>124.9821506928954</v>
      </c>
      <c r="L264" s="83">
        <f>EFEITO!$N$264*EFEITO!$AA$219</f>
        <v>26.962428925841664</v>
      </c>
      <c r="M264" s="83">
        <f>$J$264-EFEITO!$K$264*EFEITO!$Y$264</f>
        <v>0</v>
      </c>
      <c r="N264" s="83">
        <f ca="1">$K$264-EFEITO!$M$264*EFEITO!$Z$264</f>
        <v>2.4996430138579058</v>
      </c>
      <c r="O264" s="83">
        <f>$L$264-EFEITO!$O$264*EFEITO!$AA$264</f>
        <v>0.53924857851683328</v>
      </c>
      <c r="P264" s="28"/>
      <c r="Q264" s="28"/>
      <c r="R264" s="28"/>
      <c r="S264" s="28"/>
      <c r="T264" s="28"/>
      <c r="U264" s="28"/>
      <c r="V264" s="28"/>
      <c r="W264" s="28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72" t="s">
        <v>21</v>
      </c>
      <c r="B265" s="72" t="s">
        <v>33</v>
      </c>
      <c r="C265" s="72" t="s">
        <v>34</v>
      </c>
      <c r="D265" s="72" t="s">
        <v>44</v>
      </c>
      <c r="E265" s="72" t="s">
        <v>53</v>
      </c>
      <c r="F265" s="72" t="s">
        <v>25</v>
      </c>
      <c r="G265" s="72" t="s">
        <v>25</v>
      </c>
      <c r="H265" s="72" t="s">
        <v>35</v>
      </c>
      <c r="I265" s="82">
        <v>44593</v>
      </c>
      <c r="J265" s="83">
        <f>EFEITO!$J$265*EFEITO!$Y$219</f>
        <v>0</v>
      </c>
      <c r="K265" s="83">
        <f ca="1">EFEITO!$L$265*EFEITO!$Z$219</f>
        <v>193.3317643530726</v>
      </c>
      <c r="L265" s="83">
        <f>EFEITO!$N$265*EFEITO!$AA$219</f>
        <v>41.707507244661329</v>
      </c>
      <c r="M265" s="83">
        <f>$J$265-EFEITO!$K$265*EFEITO!$Y$265</f>
        <v>0</v>
      </c>
      <c r="N265" s="83">
        <f ca="1">$K$265-EFEITO!$M$265*EFEITO!$Z$265</f>
        <v>3.8666352870614844</v>
      </c>
      <c r="O265" s="83">
        <f>$L$265-EFEITO!$O$265*EFEITO!$AA$265</f>
        <v>0.83415014489322914</v>
      </c>
      <c r="P265" s="28"/>
      <c r="Q265" s="28"/>
      <c r="R265" s="28"/>
      <c r="S265" s="28"/>
      <c r="T265" s="28"/>
      <c r="U265" s="28"/>
      <c r="V265" s="28"/>
      <c r="W265" s="28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72" t="s">
        <v>21</v>
      </c>
      <c r="B266" s="72" t="s">
        <v>33</v>
      </c>
      <c r="C266" s="72" t="s">
        <v>34</v>
      </c>
      <c r="D266" s="72" t="s">
        <v>44</v>
      </c>
      <c r="E266" s="72" t="s">
        <v>53</v>
      </c>
      <c r="F266" s="72" t="s">
        <v>25</v>
      </c>
      <c r="G266" s="72" t="s">
        <v>25</v>
      </c>
      <c r="H266" s="72" t="s">
        <v>35</v>
      </c>
      <c r="I266" s="82">
        <v>44621</v>
      </c>
      <c r="J266" s="83">
        <f>EFEITO!$J$266*EFEITO!$Y$219</f>
        <v>0</v>
      </c>
      <c r="K266" s="83">
        <f ca="1">EFEITO!$L$266*EFEITO!$Z$219</f>
        <v>208.9545331896845</v>
      </c>
      <c r="L266" s="83">
        <f>EFEITO!$N$266*EFEITO!$AA$219</f>
        <v>45.07781086039153</v>
      </c>
      <c r="M266" s="83">
        <f>$J$266-EFEITO!$K$266*EFEITO!$Y$266</f>
        <v>0</v>
      </c>
      <c r="N266" s="83">
        <f ca="1">$K$266-EFEITO!$M$266*EFEITO!$Z$266</f>
        <v>4.1790906637936871</v>
      </c>
      <c r="O266" s="83">
        <f>$L$266-EFEITO!$O$266*EFEITO!$AA$266</f>
        <v>0.9015562172078333</v>
      </c>
      <c r="P266" s="28"/>
      <c r="Q266" s="28"/>
      <c r="R266" s="28"/>
      <c r="S266" s="28"/>
      <c r="T266" s="28"/>
      <c r="U266" s="28"/>
      <c r="V266" s="28"/>
      <c r="W266" s="28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72" t="s">
        <v>21</v>
      </c>
      <c r="B267" s="72" t="s">
        <v>33</v>
      </c>
      <c r="C267" s="72" t="s">
        <v>34</v>
      </c>
      <c r="D267" s="72" t="s">
        <v>44</v>
      </c>
      <c r="E267" s="72" t="s">
        <v>53</v>
      </c>
      <c r="F267" s="72" t="s">
        <v>25</v>
      </c>
      <c r="G267" s="72" t="s">
        <v>25</v>
      </c>
      <c r="H267" s="72" t="s">
        <v>35</v>
      </c>
      <c r="I267" s="82">
        <v>44652</v>
      </c>
      <c r="J267" s="83">
        <f>EFEITO!$J$267*EFEITO!$Y$219</f>
        <v>0</v>
      </c>
      <c r="K267" s="83">
        <f ca="1">EFEITO!$L$267*EFEITO!$Z$219</f>
        <v>26.363422411782626</v>
      </c>
      <c r="L267" s="83">
        <f>EFEITO!$N$267*EFEITO!$AA$219</f>
        <v>5.687387351544726</v>
      </c>
      <c r="M267" s="83">
        <f>$J$267-EFEITO!$K$267*EFEITO!$Y$267</f>
        <v>0</v>
      </c>
      <c r="N267" s="83">
        <f ca="1">$K$267-EFEITO!$M$267*EFEITO!$Z$267</f>
        <v>0.527268448235656</v>
      </c>
      <c r="O267" s="83">
        <f>$L$267-EFEITO!$O$267*EFEITO!$AA$267</f>
        <v>0.11374774703089496</v>
      </c>
      <c r="P267" s="28"/>
      <c r="Q267" s="28"/>
      <c r="R267" s="28"/>
      <c r="S267" s="28"/>
      <c r="T267" s="28"/>
      <c r="U267" s="28"/>
      <c r="V267" s="28"/>
      <c r="W267" s="28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72" t="s">
        <v>21</v>
      </c>
      <c r="B268" s="72" t="s">
        <v>33</v>
      </c>
      <c r="C268" s="72" t="s">
        <v>34</v>
      </c>
      <c r="D268" s="72" t="s">
        <v>44</v>
      </c>
      <c r="E268" s="72" t="s">
        <v>25</v>
      </c>
      <c r="F268" s="72" t="s">
        <v>25</v>
      </c>
      <c r="G268" s="72" t="s">
        <v>25</v>
      </c>
      <c r="H268" s="72" t="s">
        <v>36</v>
      </c>
      <c r="I268" s="82">
        <v>44317</v>
      </c>
      <c r="J268" s="83">
        <f>EFEITO!$J$268*EFEITO!$Y$195</f>
        <v>0</v>
      </c>
      <c r="K268" s="83">
        <f ca="1">EFEITO!$L$268*EFEITO!$Z$195</f>
        <v>150249.4616377122</v>
      </c>
      <c r="L268" s="83">
        <f>EFEITO!$N$268*EFEITO!$AA$195</f>
        <v>315398.69974738441</v>
      </c>
      <c r="M268" s="83">
        <f>$J$268-EFEITO!$K$268*EFEITO!$Y$268</f>
        <v>0</v>
      </c>
      <c r="N268" s="83">
        <f ca="1">$K$268-EFEITO!$M$268*EFEITO!$Z$268</f>
        <v>3004.9892327542184</v>
      </c>
      <c r="O268" s="83">
        <f>$L$268-EFEITO!$O$268*EFEITO!$AA$268</f>
        <v>6307.9739949476789</v>
      </c>
      <c r="P268" s="28"/>
      <c r="Q268" s="28"/>
      <c r="R268" s="28"/>
      <c r="S268" s="28"/>
      <c r="T268" s="28"/>
      <c r="U268" s="28"/>
      <c r="V268" s="28"/>
      <c r="W268" s="28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72" t="s">
        <v>21</v>
      </c>
      <c r="B269" s="72" t="s">
        <v>33</v>
      </c>
      <c r="C269" s="72" t="s">
        <v>34</v>
      </c>
      <c r="D269" s="72" t="s">
        <v>44</v>
      </c>
      <c r="E269" s="72" t="s">
        <v>25</v>
      </c>
      <c r="F269" s="72" t="s">
        <v>25</v>
      </c>
      <c r="G269" s="72" t="s">
        <v>25</v>
      </c>
      <c r="H269" s="72" t="s">
        <v>36</v>
      </c>
      <c r="I269" s="82">
        <v>44348</v>
      </c>
      <c r="J269" s="83">
        <f>EFEITO!$J$269*EFEITO!$Y$195</f>
        <v>0</v>
      </c>
      <c r="K269" s="83">
        <f ca="1">EFEITO!$L$269*EFEITO!$Z$195</f>
        <v>148928.30010442471</v>
      </c>
      <c r="L269" s="83">
        <f>EFEITO!$N$269*EFEITO!$AA$195</f>
        <v>312625.36115959042</v>
      </c>
      <c r="M269" s="83">
        <f>$J$269-EFEITO!$K$269*EFEITO!$Y$269</f>
        <v>0</v>
      </c>
      <c r="N269" s="83">
        <f ca="1">$K$269-EFEITO!$M$269*EFEITO!$Z$269</f>
        <v>2978.5660020884825</v>
      </c>
      <c r="O269" s="83">
        <f>$L$269-EFEITO!$O$269*EFEITO!$AA$269</f>
        <v>6252.5072231918457</v>
      </c>
      <c r="P269" s="28"/>
      <c r="Q269" s="28"/>
      <c r="R269" s="28"/>
      <c r="S269" s="28"/>
      <c r="T269" s="28"/>
      <c r="U269" s="28"/>
      <c r="V269" s="28"/>
      <c r="W269" s="28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72" t="s">
        <v>21</v>
      </c>
      <c r="B270" s="72" t="s">
        <v>33</v>
      </c>
      <c r="C270" s="72" t="s">
        <v>34</v>
      </c>
      <c r="D270" s="72" t="s">
        <v>44</v>
      </c>
      <c r="E270" s="72" t="s">
        <v>25</v>
      </c>
      <c r="F270" s="72" t="s">
        <v>25</v>
      </c>
      <c r="G270" s="72" t="s">
        <v>25</v>
      </c>
      <c r="H270" s="72" t="s">
        <v>36</v>
      </c>
      <c r="I270" s="82">
        <v>44378</v>
      </c>
      <c r="J270" s="83">
        <f>EFEITO!$J$270*EFEITO!$Y$195</f>
        <v>0</v>
      </c>
      <c r="K270" s="83">
        <f ca="1">EFEITO!$L$270*EFEITO!$Z$195</f>
        <v>153868.35648325988</v>
      </c>
      <c r="L270" s="83">
        <f>EFEITO!$N$270*EFEITO!$AA$195</f>
        <v>322995.36409724032</v>
      </c>
      <c r="M270" s="83">
        <f>$J$270-EFEITO!$K$270*EFEITO!$Y$270</f>
        <v>0</v>
      </c>
      <c r="N270" s="83">
        <f ca="1">$K$270-EFEITO!$M$270*EFEITO!$Z$270</f>
        <v>3077.3671296651883</v>
      </c>
      <c r="O270" s="83">
        <f>$L$270-EFEITO!$O$270*EFEITO!$AA$270</f>
        <v>6459.9072819448193</v>
      </c>
      <c r="P270" s="28"/>
      <c r="Q270" s="28"/>
      <c r="R270" s="28"/>
      <c r="S270" s="28"/>
      <c r="T270" s="28"/>
      <c r="U270" s="28"/>
      <c r="V270" s="28"/>
      <c r="W270" s="28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72" t="s">
        <v>21</v>
      </c>
      <c r="B271" s="72" t="s">
        <v>33</v>
      </c>
      <c r="C271" s="72" t="s">
        <v>34</v>
      </c>
      <c r="D271" s="72" t="s">
        <v>44</v>
      </c>
      <c r="E271" s="72" t="s">
        <v>25</v>
      </c>
      <c r="F271" s="72" t="s">
        <v>25</v>
      </c>
      <c r="G271" s="72" t="s">
        <v>25</v>
      </c>
      <c r="H271" s="72" t="s">
        <v>36</v>
      </c>
      <c r="I271" s="82">
        <v>44409</v>
      </c>
      <c r="J271" s="83">
        <f>EFEITO!$J$271*EFEITO!$Y$195</f>
        <v>0</v>
      </c>
      <c r="K271" s="83">
        <f ca="1">EFEITO!$L$271*EFEITO!$Z$195</f>
        <v>161082.96614137714</v>
      </c>
      <c r="L271" s="83">
        <f>EFEITO!$N$271*EFEITO!$AA$195</f>
        <v>338140.03403849999</v>
      </c>
      <c r="M271" s="83">
        <f>$J$271-EFEITO!$K$271*EFEITO!$Y$271</f>
        <v>0</v>
      </c>
      <c r="N271" s="83">
        <f ca="1">$K$271-EFEITO!$M$271*EFEITO!$Z$271</f>
        <v>3221.6593228275306</v>
      </c>
      <c r="O271" s="83">
        <f>$L$271-EFEITO!$O$271*EFEITO!$AA$271</f>
        <v>6762.8006807700149</v>
      </c>
      <c r="P271" s="28"/>
      <c r="Q271" s="28"/>
      <c r="R271" s="28"/>
      <c r="S271" s="28"/>
      <c r="T271" s="28"/>
      <c r="U271" s="28"/>
      <c r="V271" s="28"/>
      <c r="W271" s="28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72" t="s">
        <v>28</v>
      </c>
      <c r="B272" s="72" t="s">
        <v>33</v>
      </c>
      <c r="C272" s="72" t="s">
        <v>34</v>
      </c>
      <c r="D272" s="72" t="s">
        <v>44</v>
      </c>
      <c r="E272" s="72" t="s">
        <v>25</v>
      </c>
      <c r="F272" s="72" t="s">
        <v>25</v>
      </c>
      <c r="G272" s="72" t="s">
        <v>25</v>
      </c>
      <c r="H272" s="72" t="s">
        <v>36</v>
      </c>
      <c r="I272" s="82">
        <v>44409</v>
      </c>
      <c r="J272" s="83">
        <f>EFEITO!$J$272*EFEITO!$Y$195</f>
        <v>0</v>
      </c>
      <c r="K272" s="83">
        <f ca="1">EFEITO!$L$272*EFEITO!$Z$195</f>
        <v>688.67777631415527</v>
      </c>
      <c r="L272" s="83">
        <f>EFEITO!$N$272*EFEITO!$AA$195</f>
        <v>1445.6496071722763</v>
      </c>
      <c r="M272" s="83">
        <f>$J$272-EFEITO!$K$272*EFEITO!$Y$272</f>
        <v>0</v>
      </c>
      <c r="N272" s="83">
        <f ca="1">$K$272-EFEITO!$M$272*EFEITO!$Z$272</f>
        <v>13.773555526283076</v>
      </c>
      <c r="O272" s="83">
        <f>$L$272-EFEITO!$O$272*EFEITO!$AA$272</f>
        <v>28.912992143445763</v>
      </c>
      <c r="P272" s="28"/>
      <c r="Q272" s="28"/>
      <c r="R272" s="28"/>
      <c r="S272" s="28"/>
      <c r="T272" s="28"/>
      <c r="U272" s="28"/>
      <c r="V272" s="28"/>
      <c r="W272" s="28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72" t="s">
        <v>21</v>
      </c>
      <c r="B273" s="72" t="s">
        <v>33</v>
      </c>
      <c r="C273" s="72" t="s">
        <v>34</v>
      </c>
      <c r="D273" s="72" t="s">
        <v>44</v>
      </c>
      <c r="E273" s="72" t="s">
        <v>25</v>
      </c>
      <c r="F273" s="72" t="s">
        <v>25</v>
      </c>
      <c r="G273" s="72" t="s">
        <v>25</v>
      </c>
      <c r="H273" s="72" t="s">
        <v>36</v>
      </c>
      <c r="I273" s="82">
        <v>44440</v>
      </c>
      <c r="J273" s="83">
        <f>EFEITO!$J$273*EFEITO!$Y$195</f>
        <v>0</v>
      </c>
      <c r="K273" s="83">
        <f ca="1">EFEITO!$L$273*EFEITO!$Z$195</f>
        <v>199458.96576030532</v>
      </c>
      <c r="L273" s="83">
        <f>EFEITO!$N$273*EFEITO!$AA$195</f>
        <v>418697.66299361136</v>
      </c>
      <c r="M273" s="83">
        <f>$J$273-EFEITO!$K$273*EFEITO!$Y$273</f>
        <v>0</v>
      </c>
      <c r="N273" s="83">
        <f ca="1">$K$273-EFEITO!$M$273*EFEITO!$Z$273</f>
        <v>3989.1793152061</v>
      </c>
      <c r="O273" s="83">
        <f>$L$273-EFEITO!$O$273*EFEITO!$AA$273</f>
        <v>8373.9532598722726</v>
      </c>
      <c r="P273" s="28"/>
      <c r="Q273" s="28"/>
      <c r="R273" s="28"/>
      <c r="S273" s="28"/>
      <c r="T273" s="28"/>
      <c r="U273" s="28"/>
      <c r="V273" s="28"/>
      <c r="W273" s="28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72" t="s">
        <v>28</v>
      </c>
      <c r="B274" s="72" t="s">
        <v>33</v>
      </c>
      <c r="C274" s="72" t="s">
        <v>34</v>
      </c>
      <c r="D274" s="72" t="s">
        <v>44</v>
      </c>
      <c r="E274" s="72" t="s">
        <v>25</v>
      </c>
      <c r="F274" s="72" t="s">
        <v>25</v>
      </c>
      <c r="G274" s="72" t="s">
        <v>25</v>
      </c>
      <c r="H274" s="72" t="s">
        <v>36</v>
      </c>
      <c r="I274" s="82">
        <v>44440</v>
      </c>
      <c r="J274" s="83">
        <f>EFEITO!$J$274*EFEITO!$Y$195</f>
        <v>0</v>
      </c>
      <c r="K274" s="83">
        <f ca="1">EFEITO!$L$274*EFEITO!$Z$195</f>
        <v>1373.1410011777502</v>
      </c>
      <c r="L274" s="83">
        <f>EFEITO!$N$274*EFEITO!$AA$195</f>
        <v>2882.4521673532604</v>
      </c>
      <c r="M274" s="83">
        <f>$J$274-EFEITO!$K$274*EFEITO!$Y$274</f>
        <v>0</v>
      </c>
      <c r="N274" s="83">
        <f ca="1">$K$274-EFEITO!$M$274*EFEITO!$Z$274</f>
        <v>27.462820023554968</v>
      </c>
      <c r="O274" s="83">
        <f>$L$274-EFEITO!$O$274*EFEITO!$AA$274</f>
        <v>57.649043347065344</v>
      </c>
      <c r="P274" s="28"/>
      <c r="Q274" s="28"/>
      <c r="R274" s="28"/>
      <c r="S274" s="28"/>
      <c r="T274" s="28"/>
      <c r="U274" s="28"/>
      <c r="V274" s="28"/>
      <c r="W274" s="28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72" t="s">
        <v>21</v>
      </c>
      <c r="B275" s="72" t="s">
        <v>33</v>
      </c>
      <c r="C275" s="72" t="s">
        <v>34</v>
      </c>
      <c r="D275" s="72" t="s">
        <v>44</v>
      </c>
      <c r="E275" s="72" t="s">
        <v>25</v>
      </c>
      <c r="F275" s="72" t="s">
        <v>25</v>
      </c>
      <c r="G275" s="72" t="s">
        <v>25</v>
      </c>
      <c r="H275" s="72" t="s">
        <v>36</v>
      </c>
      <c r="I275" s="82">
        <v>44470</v>
      </c>
      <c r="J275" s="83">
        <f>EFEITO!$J$275*EFEITO!$Y$195</f>
        <v>0</v>
      </c>
      <c r="K275" s="83">
        <f ca="1">EFEITO!$L$275*EFEITO!$Z$195</f>
        <v>211913.26633609994</v>
      </c>
      <c r="L275" s="83">
        <f>EFEITO!$N$275*EFEITO!$AA$195</f>
        <v>444841.31878480653</v>
      </c>
      <c r="M275" s="83">
        <f>$J$275-EFEITO!$K$275*EFEITO!$Y$275</f>
        <v>0</v>
      </c>
      <c r="N275" s="83">
        <f ca="1">$K$275-EFEITO!$M$275*EFEITO!$Z$275</f>
        <v>4238.2653267219721</v>
      </c>
      <c r="O275" s="83">
        <f>$L$275-EFEITO!$O$275*EFEITO!$AA$275</f>
        <v>8896.8263756961678</v>
      </c>
      <c r="P275" s="28"/>
      <c r="Q275" s="28"/>
      <c r="R275" s="28"/>
      <c r="S275" s="28"/>
      <c r="T275" s="28"/>
      <c r="U275" s="28"/>
      <c r="V275" s="28"/>
      <c r="W275" s="28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72" t="s">
        <v>28</v>
      </c>
      <c r="B276" s="72" t="s">
        <v>33</v>
      </c>
      <c r="C276" s="72" t="s">
        <v>34</v>
      </c>
      <c r="D276" s="72" t="s">
        <v>44</v>
      </c>
      <c r="E276" s="72" t="s">
        <v>25</v>
      </c>
      <c r="F276" s="72" t="s">
        <v>25</v>
      </c>
      <c r="G276" s="72" t="s">
        <v>25</v>
      </c>
      <c r="H276" s="72" t="s">
        <v>36</v>
      </c>
      <c r="I276" s="82">
        <v>44470</v>
      </c>
      <c r="J276" s="83">
        <f>EFEITO!$J$276*EFEITO!$Y$195</f>
        <v>0</v>
      </c>
      <c r="K276" s="83">
        <f ca="1">EFEITO!$L$276*EFEITO!$Z$195</f>
        <v>2291.8128709367611</v>
      </c>
      <c r="L276" s="83">
        <f>EFEITO!$N$276*EFEITO!$AA$195</f>
        <v>4810.8977674788885</v>
      </c>
      <c r="M276" s="83">
        <f>$J$276-EFEITO!$K$276*EFEITO!$Y$276</f>
        <v>0</v>
      </c>
      <c r="N276" s="83">
        <f ca="1">$K$276-EFEITO!$M$276*EFEITO!$Z$276</f>
        <v>45.836257418735386</v>
      </c>
      <c r="O276" s="83">
        <f>$L$276-EFEITO!$O$276*EFEITO!$AA$276</f>
        <v>96.217955349578006</v>
      </c>
      <c r="P276" s="28"/>
      <c r="Q276" s="28"/>
      <c r="R276" s="28"/>
      <c r="S276" s="28"/>
      <c r="T276" s="28"/>
      <c r="U276" s="28"/>
      <c r="V276" s="28"/>
      <c r="W276" s="28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72" t="s">
        <v>21</v>
      </c>
      <c r="B277" s="72" t="s">
        <v>33</v>
      </c>
      <c r="C277" s="72" t="s">
        <v>34</v>
      </c>
      <c r="D277" s="72" t="s">
        <v>44</v>
      </c>
      <c r="E277" s="72" t="s">
        <v>25</v>
      </c>
      <c r="F277" s="72" t="s">
        <v>25</v>
      </c>
      <c r="G277" s="72" t="s">
        <v>25</v>
      </c>
      <c r="H277" s="72" t="s">
        <v>36</v>
      </c>
      <c r="I277" s="82">
        <v>44501</v>
      </c>
      <c r="J277" s="83">
        <f>EFEITO!$J$277*EFEITO!$Y$195</f>
        <v>0</v>
      </c>
      <c r="K277" s="83">
        <f ca="1">EFEITO!$L$277*EFEITO!$Z$195</f>
        <v>221262.84734331531</v>
      </c>
      <c r="L277" s="83">
        <f>EFEITO!$N$277*EFEITO!$AA$195</f>
        <v>464467.64995908347</v>
      </c>
      <c r="M277" s="83">
        <f>$J$277-EFEITO!$K$277*EFEITO!$Y$277</f>
        <v>0</v>
      </c>
      <c r="N277" s="83">
        <f ca="1">$K$277-EFEITO!$M$277*EFEITO!$Z$277</f>
        <v>4425.2569468663132</v>
      </c>
      <c r="O277" s="83">
        <f>$L$277-EFEITO!$O$277*EFEITO!$AA$277</f>
        <v>9289.3529991816613</v>
      </c>
      <c r="P277" s="28"/>
      <c r="Q277" s="28"/>
      <c r="R277" s="28"/>
      <c r="S277" s="28"/>
      <c r="T277" s="28"/>
      <c r="U277" s="28"/>
      <c r="V277" s="28"/>
      <c r="W277" s="28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72" t="s">
        <v>21</v>
      </c>
      <c r="B278" s="72" t="s">
        <v>33</v>
      </c>
      <c r="C278" s="72" t="s">
        <v>34</v>
      </c>
      <c r="D278" s="72" t="s">
        <v>44</v>
      </c>
      <c r="E278" s="72" t="s">
        <v>25</v>
      </c>
      <c r="F278" s="72" t="s">
        <v>25</v>
      </c>
      <c r="G278" s="72" t="s">
        <v>25</v>
      </c>
      <c r="H278" s="72" t="s">
        <v>36</v>
      </c>
      <c r="I278" s="82">
        <v>44531</v>
      </c>
      <c r="J278" s="83">
        <f>EFEITO!$J$278*EFEITO!$Y$195</f>
        <v>0</v>
      </c>
      <c r="K278" s="83">
        <f ca="1">EFEITO!$L$278*EFEITO!$Z$195</f>
        <v>233796.4216249657</v>
      </c>
      <c r="L278" s="83">
        <f>EFEITO!$N$278*EFEITO!$AA$195</f>
        <v>490777.71449130535</v>
      </c>
      <c r="M278" s="83">
        <f>$J$278-EFEITO!$K$278*EFEITO!$Y$278</f>
        <v>0</v>
      </c>
      <c r="N278" s="83">
        <f ca="1">$K$278-EFEITO!$M$278*EFEITO!$Z$278</f>
        <v>4675.9284324992914</v>
      </c>
      <c r="O278" s="83">
        <f>$L$278-EFEITO!$O$278*EFEITO!$AA$278</f>
        <v>9815.5542898261338</v>
      </c>
      <c r="P278" s="28"/>
      <c r="Q278" s="28"/>
      <c r="R278" s="28"/>
      <c r="S278" s="28"/>
      <c r="T278" s="28"/>
      <c r="U278" s="28"/>
      <c r="V278" s="28"/>
      <c r="W278" s="28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72" t="s">
        <v>28</v>
      </c>
      <c r="B279" s="72" t="s">
        <v>33</v>
      </c>
      <c r="C279" s="72" t="s">
        <v>34</v>
      </c>
      <c r="D279" s="72" t="s">
        <v>44</v>
      </c>
      <c r="E279" s="72" t="s">
        <v>25</v>
      </c>
      <c r="F279" s="72" t="s">
        <v>25</v>
      </c>
      <c r="G279" s="72" t="s">
        <v>25</v>
      </c>
      <c r="H279" s="72" t="s">
        <v>36</v>
      </c>
      <c r="I279" s="82">
        <v>44531</v>
      </c>
      <c r="J279" s="83">
        <f>EFEITO!$J$279*EFEITO!$Y$195</f>
        <v>0</v>
      </c>
      <c r="K279" s="83">
        <f ca="1">EFEITO!$L$279*EFEITO!$Z$195</f>
        <v>1359.2931892687668</v>
      </c>
      <c r="L279" s="83">
        <f>EFEITO!$N$279*EFEITO!$AA$195</f>
        <v>2853.3832986675875</v>
      </c>
      <c r="M279" s="83">
        <f>$J$279-EFEITO!$K$279*EFEITO!$Y$279</f>
        <v>0</v>
      </c>
      <c r="N279" s="83">
        <f ca="1">$K$279-EFEITO!$M$279*EFEITO!$Z$279</f>
        <v>27.185863785375204</v>
      </c>
      <c r="O279" s="83">
        <f>$L$279-EFEITO!$O$279*EFEITO!$AA$279</f>
        <v>57.067665973352177</v>
      </c>
      <c r="P279" s="28"/>
      <c r="Q279" s="28"/>
      <c r="R279" s="28"/>
      <c r="S279" s="28"/>
      <c r="T279" s="28"/>
      <c r="U279" s="28"/>
      <c r="V279" s="28"/>
      <c r="W279" s="28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72" t="s">
        <v>21</v>
      </c>
      <c r="B280" s="72" t="s">
        <v>33</v>
      </c>
      <c r="C280" s="72" t="s">
        <v>34</v>
      </c>
      <c r="D280" s="72" t="s">
        <v>44</v>
      </c>
      <c r="E280" s="72" t="s">
        <v>25</v>
      </c>
      <c r="F280" s="72" t="s">
        <v>25</v>
      </c>
      <c r="G280" s="72" t="s">
        <v>25</v>
      </c>
      <c r="H280" s="72" t="s">
        <v>36</v>
      </c>
      <c r="I280" s="82">
        <v>44562</v>
      </c>
      <c r="J280" s="83">
        <f>EFEITO!$J$280*EFEITO!$Y$195</f>
        <v>0</v>
      </c>
      <c r="K280" s="83">
        <f ca="1">EFEITO!$L$280*EFEITO!$Z$195</f>
        <v>243871.00582814051</v>
      </c>
      <c r="L280" s="83">
        <f>EFEITO!$N$280*EFEITO!$AA$195</f>
        <v>511925.94839206047</v>
      </c>
      <c r="M280" s="83">
        <f>$J$280-EFEITO!$K$280*EFEITO!$Y$280</f>
        <v>0</v>
      </c>
      <c r="N280" s="83">
        <f ca="1">$K$280-EFEITO!$M$280*EFEITO!$Z$280</f>
        <v>4877.4201165628037</v>
      </c>
      <c r="O280" s="83">
        <f>$L$280-EFEITO!$O$280*EFEITO!$AA$280</f>
        <v>10238.518967841286</v>
      </c>
      <c r="P280" s="28"/>
      <c r="Q280" s="28"/>
      <c r="R280" s="28"/>
      <c r="S280" s="28"/>
      <c r="T280" s="28"/>
      <c r="U280" s="28"/>
      <c r="V280" s="28"/>
      <c r="W280" s="28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72" t="s">
        <v>28</v>
      </c>
      <c r="B281" s="72" t="s">
        <v>33</v>
      </c>
      <c r="C281" s="72" t="s">
        <v>34</v>
      </c>
      <c r="D281" s="72" t="s">
        <v>44</v>
      </c>
      <c r="E281" s="72" t="s">
        <v>25</v>
      </c>
      <c r="F281" s="72" t="s">
        <v>25</v>
      </c>
      <c r="G281" s="72" t="s">
        <v>25</v>
      </c>
      <c r="H281" s="72" t="s">
        <v>36</v>
      </c>
      <c r="I281" s="82">
        <v>44562</v>
      </c>
      <c r="J281" s="83">
        <f>EFEITO!$J$281*EFEITO!$Y$195</f>
        <v>0</v>
      </c>
      <c r="K281" s="83">
        <f ca="1">EFEITO!$L$281*EFEITO!$Z$195</f>
        <v>863.38096858618553</v>
      </c>
      <c r="L281" s="83">
        <f>EFEITO!$N$281*EFEITO!$AA$195</f>
        <v>1812.3807693589192</v>
      </c>
      <c r="M281" s="83">
        <f>$J$281-EFEITO!$K$281*EFEITO!$Y$281</f>
        <v>0</v>
      </c>
      <c r="N281" s="83">
        <f ca="1">$K$281-EFEITO!$M$281*EFEITO!$Z$281</f>
        <v>17.26761937172364</v>
      </c>
      <c r="O281" s="83">
        <f>$L$281-EFEITO!$O$281*EFEITO!$AA$281</f>
        <v>36.247615387178485</v>
      </c>
      <c r="P281" s="28"/>
      <c r="Q281" s="28"/>
      <c r="R281" s="28"/>
      <c r="S281" s="28"/>
      <c r="T281" s="28"/>
      <c r="U281" s="28"/>
      <c r="V281" s="28"/>
      <c r="W281" s="28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72" t="s">
        <v>21</v>
      </c>
      <c r="B282" s="72" t="s">
        <v>33</v>
      </c>
      <c r="C282" s="72" t="s">
        <v>34</v>
      </c>
      <c r="D282" s="72" t="s">
        <v>44</v>
      </c>
      <c r="E282" s="72" t="s">
        <v>25</v>
      </c>
      <c r="F282" s="72" t="s">
        <v>25</v>
      </c>
      <c r="G282" s="72" t="s">
        <v>25</v>
      </c>
      <c r="H282" s="72" t="s">
        <v>36</v>
      </c>
      <c r="I282" s="82">
        <v>44593</v>
      </c>
      <c r="J282" s="83">
        <f>EFEITO!$J$282*EFEITO!$Y$195</f>
        <v>0</v>
      </c>
      <c r="K282" s="83">
        <f ca="1">EFEITO!$L$282*EFEITO!$Z$195</f>
        <v>217931.04372872127</v>
      </c>
      <c r="L282" s="83">
        <f>EFEITO!$N$282*EFEITO!$AA$195</f>
        <v>457473.63802451536</v>
      </c>
      <c r="M282" s="83">
        <f>$J$282-EFEITO!$K$282*EFEITO!$Y$282</f>
        <v>0</v>
      </c>
      <c r="N282" s="83">
        <f ca="1">$K$282-EFEITO!$M$282*EFEITO!$Z$282</f>
        <v>4358.620874574437</v>
      </c>
      <c r="O282" s="83">
        <f>$L$282-EFEITO!$O$282*EFEITO!$AA$282</f>
        <v>9149.4727604903164</v>
      </c>
      <c r="P282" s="28"/>
      <c r="Q282" s="28"/>
      <c r="R282" s="28"/>
      <c r="S282" s="28"/>
      <c r="T282" s="28"/>
      <c r="U282" s="28"/>
      <c r="V282" s="28"/>
      <c r="W282" s="28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72" t="s">
        <v>21</v>
      </c>
      <c r="B283" s="72" t="s">
        <v>33</v>
      </c>
      <c r="C283" s="72" t="s">
        <v>34</v>
      </c>
      <c r="D283" s="72" t="s">
        <v>44</v>
      </c>
      <c r="E283" s="72" t="s">
        <v>25</v>
      </c>
      <c r="F283" s="72" t="s">
        <v>25</v>
      </c>
      <c r="G283" s="72" t="s">
        <v>25</v>
      </c>
      <c r="H283" s="72" t="s">
        <v>36</v>
      </c>
      <c r="I283" s="82">
        <v>44621</v>
      </c>
      <c r="J283" s="83">
        <f>EFEITO!$J$283*EFEITO!$Y$195</f>
        <v>0</v>
      </c>
      <c r="K283" s="83">
        <f ca="1">EFEITO!$L$283*EFEITO!$Z$195</f>
        <v>239307.34903242561</v>
      </c>
      <c r="L283" s="83">
        <f>EFEITO!$N$283*EFEITO!$AA$195</f>
        <v>502346.07100832334</v>
      </c>
      <c r="M283" s="83">
        <f>$J$283-EFEITO!$K$283*EFEITO!$Y$283</f>
        <v>0</v>
      </c>
      <c r="N283" s="83">
        <f ca="1">$K$283-EFEITO!$M$283*EFEITO!$Z$283</f>
        <v>4786.1469806485111</v>
      </c>
      <c r="O283" s="83">
        <f>$L$283-EFEITO!$O$283*EFEITO!$AA$283</f>
        <v>10046.921420166502</v>
      </c>
      <c r="P283" s="28"/>
      <c r="Q283" s="28"/>
      <c r="R283" s="28"/>
      <c r="S283" s="28"/>
      <c r="T283" s="28"/>
      <c r="U283" s="28"/>
      <c r="V283" s="28"/>
      <c r="W283" s="28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72" t="s">
        <v>28</v>
      </c>
      <c r="B284" s="72" t="s">
        <v>33</v>
      </c>
      <c r="C284" s="72" t="s">
        <v>34</v>
      </c>
      <c r="D284" s="72" t="s">
        <v>44</v>
      </c>
      <c r="E284" s="72" t="s">
        <v>25</v>
      </c>
      <c r="F284" s="72" t="s">
        <v>25</v>
      </c>
      <c r="G284" s="72" t="s">
        <v>25</v>
      </c>
      <c r="H284" s="72" t="s">
        <v>36</v>
      </c>
      <c r="I284" s="82">
        <v>44621</v>
      </c>
      <c r="J284" s="83">
        <f>EFEITO!$J$284*EFEITO!$Y$195</f>
        <v>0</v>
      </c>
      <c r="K284" s="83">
        <f ca="1">EFEITO!$L$284*EFEITO!$Z$195</f>
        <v>7089.2769256946576</v>
      </c>
      <c r="L284" s="83">
        <f>EFEITO!$N$284*EFEITO!$AA$195</f>
        <v>14881.575615256734</v>
      </c>
      <c r="M284" s="83">
        <f>$J$284-EFEITO!$K$284*EFEITO!$Y$284</f>
        <v>0</v>
      </c>
      <c r="N284" s="83">
        <f ca="1">$K$284-EFEITO!$M$284*EFEITO!$Z$284</f>
        <v>141.78553851389279</v>
      </c>
      <c r="O284" s="83">
        <f>$L$284-EFEITO!$O$284*EFEITO!$AA$284</f>
        <v>297.63151230513722</v>
      </c>
      <c r="P284" s="28"/>
      <c r="Q284" s="28"/>
      <c r="R284" s="28"/>
      <c r="S284" s="28"/>
      <c r="T284" s="28"/>
      <c r="U284" s="28"/>
      <c r="V284" s="28"/>
      <c r="W284" s="28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72" t="s">
        <v>21</v>
      </c>
      <c r="B285" s="72" t="s">
        <v>33</v>
      </c>
      <c r="C285" s="72" t="s">
        <v>34</v>
      </c>
      <c r="D285" s="72" t="s">
        <v>44</v>
      </c>
      <c r="E285" s="72" t="s">
        <v>25</v>
      </c>
      <c r="F285" s="72" t="s">
        <v>25</v>
      </c>
      <c r="G285" s="72" t="s">
        <v>25</v>
      </c>
      <c r="H285" s="72" t="s">
        <v>36</v>
      </c>
      <c r="I285" s="82">
        <v>44652</v>
      </c>
      <c r="J285" s="83">
        <f>EFEITO!$J$285*EFEITO!$Y$195</f>
        <v>0</v>
      </c>
      <c r="K285" s="83">
        <f ca="1">EFEITO!$L$285*EFEITO!$Z$195</f>
        <v>190683.96860084971</v>
      </c>
      <c r="L285" s="83">
        <f>EFEITO!$N$285*EFEITO!$AA$195</f>
        <v>400277.47922581394</v>
      </c>
      <c r="M285" s="83">
        <f>$J$285-EFEITO!$K$285*EFEITO!$Y$285</f>
        <v>0</v>
      </c>
      <c r="N285" s="83">
        <f ca="1">$K$285-EFEITO!$M$285*EFEITO!$Z$285</f>
        <v>3813.6793720170099</v>
      </c>
      <c r="O285" s="83">
        <f>$L$285-EFEITO!$O$285*EFEITO!$AA$285</f>
        <v>8005.5495845163241</v>
      </c>
      <c r="P285" s="28"/>
      <c r="Q285" s="28"/>
      <c r="R285" s="28"/>
      <c r="S285" s="28"/>
      <c r="T285" s="28"/>
      <c r="U285" s="28"/>
      <c r="V285" s="28"/>
      <c r="W285" s="28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72" t="s">
        <v>21</v>
      </c>
      <c r="B286" s="72" t="s">
        <v>33</v>
      </c>
      <c r="C286" s="72" t="s">
        <v>34</v>
      </c>
      <c r="D286" s="72" t="s">
        <v>44</v>
      </c>
      <c r="E286" s="72" t="s">
        <v>25</v>
      </c>
      <c r="F286" s="72" t="s">
        <v>25</v>
      </c>
      <c r="G286" s="72" t="s">
        <v>25</v>
      </c>
      <c r="H286" s="72" t="s">
        <v>25</v>
      </c>
      <c r="I286" s="82">
        <v>44317</v>
      </c>
      <c r="J286" s="83">
        <f ca="1">EFEITO!$J$286*EFEITO!$Y$207</f>
        <v>112340.08239295761</v>
      </c>
      <c r="K286" s="83">
        <f>EFEITO!$L$286*EFEITO!$Z$207</f>
        <v>0</v>
      </c>
      <c r="L286" s="83">
        <f>EFEITO!$N$286*EFEITO!$AA$207</f>
        <v>0</v>
      </c>
      <c r="M286" s="83">
        <f ca="1">$J$286-EFEITO!$K$286*EFEITO!$Y$286</f>
        <v>2246.8016478591453</v>
      </c>
      <c r="N286" s="83">
        <f>$K$286-EFEITO!$M$286*EFEITO!$Z$286</f>
        <v>0</v>
      </c>
      <c r="O286" s="83">
        <f>$L$286-EFEITO!$O$286*EFEITO!$AA$286</f>
        <v>0</v>
      </c>
      <c r="P286" s="28"/>
      <c r="Q286" s="28"/>
      <c r="R286" s="28"/>
      <c r="S286" s="28"/>
      <c r="T286" s="28"/>
      <c r="U286" s="28"/>
      <c r="V286" s="28"/>
      <c r="W286" s="28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72" t="s">
        <v>28</v>
      </c>
      <c r="B287" s="72" t="s">
        <v>33</v>
      </c>
      <c r="C287" s="72" t="s">
        <v>34</v>
      </c>
      <c r="D287" s="72" t="s">
        <v>44</v>
      </c>
      <c r="E287" s="72" t="s">
        <v>25</v>
      </c>
      <c r="F287" s="72" t="s">
        <v>25</v>
      </c>
      <c r="G287" s="72" t="s">
        <v>25</v>
      </c>
      <c r="H287" s="72" t="s">
        <v>25</v>
      </c>
      <c r="I287" s="82">
        <v>44317</v>
      </c>
      <c r="J287" s="83">
        <f ca="1">EFEITO!$J$287*EFEITO!$Y$207</f>
        <v>1050.8426415376882</v>
      </c>
      <c r="K287" s="83">
        <f>EFEITO!$L$287*EFEITO!$Z$207</f>
        <v>0</v>
      </c>
      <c r="L287" s="83">
        <f>EFEITO!$N$287*EFEITO!$AA$207</f>
        <v>0</v>
      </c>
      <c r="M287" s="83">
        <f ca="1">$J$287-EFEITO!$K$287*EFEITO!$Y$287</f>
        <v>21.016852830753805</v>
      </c>
      <c r="N287" s="83">
        <f>$K$287-EFEITO!$M$287*EFEITO!$Z$287</f>
        <v>0</v>
      </c>
      <c r="O287" s="83">
        <f>$L$287-EFEITO!$O$287*EFEITO!$AA$287</f>
        <v>0</v>
      </c>
      <c r="P287" s="28"/>
      <c r="Q287" s="28"/>
      <c r="R287" s="28"/>
      <c r="S287" s="28"/>
      <c r="T287" s="28"/>
      <c r="U287" s="28"/>
      <c r="V287" s="28"/>
      <c r="W287" s="28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72" t="s">
        <v>21</v>
      </c>
      <c r="B288" s="72" t="s">
        <v>33</v>
      </c>
      <c r="C288" s="72" t="s">
        <v>34</v>
      </c>
      <c r="D288" s="72" t="s">
        <v>44</v>
      </c>
      <c r="E288" s="72" t="s">
        <v>25</v>
      </c>
      <c r="F288" s="72" t="s">
        <v>25</v>
      </c>
      <c r="G288" s="72" t="s">
        <v>25</v>
      </c>
      <c r="H288" s="72" t="s">
        <v>25</v>
      </c>
      <c r="I288" s="82">
        <v>44348</v>
      </c>
      <c r="J288" s="83">
        <f ca="1">EFEITO!$J$288*EFEITO!$Y$207</f>
        <v>100146.9717427346</v>
      </c>
      <c r="K288" s="83">
        <f>EFEITO!$L$288*EFEITO!$Z$207</f>
        <v>0</v>
      </c>
      <c r="L288" s="83">
        <f>EFEITO!$N$288*EFEITO!$AA$207</f>
        <v>0</v>
      </c>
      <c r="M288" s="83">
        <f ca="1">$J$288-EFEITO!$K$288*EFEITO!$Y$288</f>
        <v>2002.9394348546921</v>
      </c>
      <c r="N288" s="83">
        <f>$K$288-EFEITO!$M$288*EFEITO!$Z$288</f>
        <v>0</v>
      </c>
      <c r="O288" s="83">
        <f>$L$288-EFEITO!$O$288*EFEITO!$AA$288</f>
        <v>0</v>
      </c>
      <c r="P288" s="28"/>
      <c r="Q288" s="28"/>
      <c r="R288" s="28"/>
      <c r="S288" s="28"/>
      <c r="T288" s="28"/>
      <c r="U288" s="28"/>
      <c r="V288" s="28"/>
      <c r="W288" s="28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72" t="s">
        <v>28</v>
      </c>
      <c r="B289" s="72" t="s">
        <v>33</v>
      </c>
      <c r="C289" s="72" t="s">
        <v>34</v>
      </c>
      <c r="D289" s="72" t="s">
        <v>44</v>
      </c>
      <c r="E289" s="72" t="s">
        <v>25</v>
      </c>
      <c r="F289" s="72" t="s">
        <v>25</v>
      </c>
      <c r="G289" s="72" t="s">
        <v>25</v>
      </c>
      <c r="H289" s="72" t="s">
        <v>25</v>
      </c>
      <c r="I289" s="82">
        <v>44348</v>
      </c>
      <c r="J289" s="83">
        <f ca="1">EFEITO!$J$289*EFEITO!$Y$207</f>
        <v>1951.5649057128496</v>
      </c>
      <c r="K289" s="83">
        <f>EFEITO!$L$289*EFEITO!$Z$207</f>
        <v>0</v>
      </c>
      <c r="L289" s="83">
        <f>EFEITO!$N$289*EFEITO!$AA$207</f>
        <v>0</v>
      </c>
      <c r="M289" s="83">
        <f ca="1">$J$289-EFEITO!$K$289*EFEITO!$Y$289</f>
        <v>39.031298114257197</v>
      </c>
      <c r="N289" s="83">
        <f>$K$289-EFEITO!$M$289*EFEITO!$Z$289</f>
        <v>0</v>
      </c>
      <c r="O289" s="83">
        <f>$L$289-EFEITO!$O$289*EFEITO!$AA$289</f>
        <v>0</v>
      </c>
      <c r="P289" s="28"/>
      <c r="Q289" s="28"/>
      <c r="R289" s="28"/>
      <c r="S289" s="28"/>
      <c r="T289" s="28"/>
      <c r="U289" s="28"/>
      <c r="V289" s="28"/>
      <c r="W289" s="28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72" t="s">
        <v>21</v>
      </c>
      <c r="B290" s="72" t="s">
        <v>33</v>
      </c>
      <c r="C290" s="72" t="s">
        <v>34</v>
      </c>
      <c r="D290" s="72" t="s">
        <v>44</v>
      </c>
      <c r="E290" s="72" t="s">
        <v>25</v>
      </c>
      <c r="F290" s="72" t="s">
        <v>25</v>
      </c>
      <c r="G290" s="72" t="s">
        <v>25</v>
      </c>
      <c r="H290" s="72" t="s">
        <v>25</v>
      </c>
      <c r="I290" s="82">
        <v>44378</v>
      </c>
      <c r="J290" s="83">
        <f ca="1">EFEITO!$J$290*EFEITO!$Y$207</f>
        <v>95142.959163983702</v>
      </c>
      <c r="K290" s="83">
        <f>EFEITO!$L$290*EFEITO!$Z$207</f>
        <v>0</v>
      </c>
      <c r="L290" s="83">
        <f>EFEITO!$N$290*EFEITO!$AA$207</f>
        <v>0</v>
      </c>
      <c r="M290" s="83">
        <f ca="1">$J$290-EFEITO!$K$290*EFEITO!$Y$290</f>
        <v>1902.8591832796665</v>
      </c>
      <c r="N290" s="83">
        <f>$K$290-EFEITO!$M$290*EFEITO!$Z$290</f>
        <v>0</v>
      </c>
      <c r="O290" s="83">
        <f>$L$290-EFEITO!$O$290*EFEITO!$AA$290</f>
        <v>0</v>
      </c>
      <c r="P290" s="28"/>
      <c r="Q290" s="28"/>
      <c r="R290" s="28"/>
      <c r="S290" s="28"/>
      <c r="T290" s="28"/>
      <c r="U290" s="28"/>
      <c r="V290" s="28"/>
      <c r="W290" s="28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72" t="s">
        <v>28</v>
      </c>
      <c r="B291" s="72" t="s">
        <v>33</v>
      </c>
      <c r="C291" s="72" t="s">
        <v>34</v>
      </c>
      <c r="D291" s="72" t="s">
        <v>44</v>
      </c>
      <c r="E291" s="72" t="s">
        <v>25</v>
      </c>
      <c r="F291" s="72" t="s">
        <v>25</v>
      </c>
      <c r="G291" s="72" t="s">
        <v>25</v>
      </c>
      <c r="H291" s="72" t="s">
        <v>25</v>
      </c>
      <c r="I291" s="82">
        <v>44378</v>
      </c>
      <c r="J291" s="83">
        <f ca="1">EFEITO!$J$291*EFEITO!$Y$207</f>
        <v>2118.3653250045459</v>
      </c>
      <c r="K291" s="83">
        <f>EFEITO!$L$291*EFEITO!$Z$207</f>
        <v>0</v>
      </c>
      <c r="L291" s="83">
        <f>EFEITO!$N$291*EFEITO!$AA$207</f>
        <v>0</v>
      </c>
      <c r="M291" s="83">
        <f ca="1">$J$291-EFEITO!$K$291*EFEITO!$Y$291</f>
        <v>42.367306500090763</v>
      </c>
      <c r="N291" s="83">
        <f>$K$291-EFEITO!$M$291*EFEITO!$Z$291</f>
        <v>0</v>
      </c>
      <c r="O291" s="83">
        <f>$L$291-EFEITO!$O$291*EFEITO!$AA$291</f>
        <v>0</v>
      </c>
      <c r="P291" s="28"/>
      <c r="Q291" s="28"/>
      <c r="R291" s="28"/>
      <c r="S291" s="28"/>
      <c r="T291" s="28"/>
      <c r="U291" s="28"/>
      <c r="V291" s="28"/>
      <c r="W291" s="28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72" t="s">
        <v>21</v>
      </c>
      <c r="B292" s="72" t="s">
        <v>33</v>
      </c>
      <c r="C292" s="72" t="s">
        <v>34</v>
      </c>
      <c r="D292" s="72" t="s">
        <v>44</v>
      </c>
      <c r="E292" s="72" t="s">
        <v>25</v>
      </c>
      <c r="F292" s="72" t="s">
        <v>25</v>
      </c>
      <c r="G292" s="72" t="s">
        <v>25</v>
      </c>
      <c r="H292" s="72" t="s">
        <v>25</v>
      </c>
      <c r="I292" s="82">
        <v>44409</v>
      </c>
      <c r="J292" s="83">
        <f ca="1">EFEITO!$J$292*EFEITO!$Y$207</f>
        <v>107552.91035928593</v>
      </c>
      <c r="K292" s="83">
        <f>EFEITO!$L$292*EFEITO!$Z$207</f>
        <v>0</v>
      </c>
      <c r="L292" s="83">
        <f>EFEITO!$N$292*EFEITO!$AA$207</f>
        <v>0</v>
      </c>
      <c r="M292" s="83">
        <f ca="1">$J$292-EFEITO!$K$292*EFEITO!$Y$292</f>
        <v>2151.0582071857207</v>
      </c>
      <c r="N292" s="83">
        <f>$K$292-EFEITO!$M$292*EFEITO!$Z$292</f>
        <v>0</v>
      </c>
      <c r="O292" s="83">
        <f>$L$292-EFEITO!$O$292*EFEITO!$AA$292</f>
        <v>0</v>
      </c>
      <c r="P292" s="28"/>
      <c r="Q292" s="28"/>
      <c r="R292" s="28"/>
      <c r="S292" s="28"/>
      <c r="T292" s="28"/>
      <c r="U292" s="28"/>
      <c r="V292" s="28"/>
      <c r="W292" s="28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72" t="s">
        <v>28</v>
      </c>
      <c r="B293" s="72" t="s">
        <v>33</v>
      </c>
      <c r="C293" s="72" t="s">
        <v>34</v>
      </c>
      <c r="D293" s="72" t="s">
        <v>44</v>
      </c>
      <c r="E293" s="72" t="s">
        <v>25</v>
      </c>
      <c r="F293" s="72" t="s">
        <v>25</v>
      </c>
      <c r="G293" s="72" t="s">
        <v>25</v>
      </c>
      <c r="H293" s="72" t="s">
        <v>25</v>
      </c>
      <c r="I293" s="82">
        <v>44409</v>
      </c>
      <c r="J293" s="83">
        <f ca="1">EFEITO!$J$293*EFEITO!$Y$207</f>
        <v>4653.7316982383336</v>
      </c>
      <c r="K293" s="83">
        <f>EFEITO!$L$293*EFEITO!$Z$207</f>
        <v>0</v>
      </c>
      <c r="L293" s="83">
        <f>EFEITO!$N$293*EFEITO!$AA$207</f>
        <v>0</v>
      </c>
      <c r="M293" s="83">
        <f ca="1">$J$293-EFEITO!$K$293*EFEITO!$Y$293</f>
        <v>93.07463396476669</v>
      </c>
      <c r="N293" s="83">
        <f>$K$293-EFEITO!$M$293*EFEITO!$Z$293</f>
        <v>0</v>
      </c>
      <c r="O293" s="83">
        <f>$L$293-EFEITO!$O$293*EFEITO!$AA$293</f>
        <v>0</v>
      </c>
      <c r="P293" s="28"/>
      <c r="Q293" s="28"/>
      <c r="R293" s="28"/>
      <c r="S293" s="28"/>
      <c r="T293" s="28"/>
      <c r="U293" s="28"/>
      <c r="V293" s="28"/>
      <c r="W293" s="28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72" t="s">
        <v>21</v>
      </c>
      <c r="B294" s="72" t="s">
        <v>33</v>
      </c>
      <c r="C294" s="72" t="s">
        <v>34</v>
      </c>
      <c r="D294" s="72" t="s">
        <v>44</v>
      </c>
      <c r="E294" s="72" t="s">
        <v>25</v>
      </c>
      <c r="F294" s="72" t="s">
        <v>25</v>
      </c>
      <c r="G294" s="72" t="s">
        <v>25</v>
      </c>
      <c r="H294" s="72" t="s">
        <v>25</v>
      </c>
      <c r="I294" s="82">
        <v>44440</v>
      </c>
      <c r="J294" s="83">
        <f ca="1">EFEITO!$J$294*EFEITO!$Y$207</f>
        <v>150153.73744638523</v>
      </c>
      <c r="K294" s="83">
        <f>EFEITO!$L$294*EFEITO!$Z$207</f>
        <v>0</v>
      </c>
      <c r="L294" s="83">
        <f>EFEITO!$N$294*EFEITO!$AA$207</f>
        <v>0</v>
      </c>
      <c r="M294" s="83">
        <f ca="1">$J$294-EFEITO!$K$294*EFEITO!$Y$294</f>
        <v>3003.0747489277273</v>
      </c>
      <c r="N294" s="83">
        <f>$K$294-EFEITO!$M$294*EFEITO!$Z$294</f>
        <v>0</v>
      </c>
      <c r="O294" s="83">
        <f>$L$294-EFEITO!$O$294*EFEITO!$AA$294</f>
        <v>0</v>
      </c>
      <c r="P294" s="28"/>
      <c r="Q294" s="28"/>
      <c r="R294" s="28"/>
      <c r="S294" s="28"/>
      <c r="T294" s="28"/>
      <c r="U294" s="28"/>
      <c r="V294" s="28"/>
      <c r="W294" s="28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72" t="s">
        <v>28</v>
      </c>
      <c r="B295" s="72" t="s">
        <v>33</v>
      </c>
      <c r="C295" s="72" t="s">
        <v>34</v>
      </c>
      <c r="D295" s="72" t="s">
        <v>44</v>
      </c>
      <c r="E295" s="72" t="s">
        <v>25</v>
      </c>
      <c r="F295" s="72" t="s">
        <v>25</v>
      </c>
      <c r="G295" s="72" t="s">
        <v>25</v>
      </c>
      <c r="H295" s="72" t="s">
        <v>25</v>
      </c>
      <c r="I295" s="82">
        <v>44440</v>
      </c>
      <c r="J295" s="83">
        <f ca="1">EFEITO!$J$295*EFEITO!$Y$207</f>
        <v>5337.6134173342889</v>
      </c>
      <c r="K295" s="83">
        <f>EFEITO!$L$295*EFEITO!$Z$207</f>
        <v>0</v>
      </c>
      <c r="L295" s="83">
        <f>EFEITO!$N$295*EFEITO!$AA$207</f>
        <v>0</v>
      </c>
      <c r="M295" s="83">
        <f ca="1">$J$295-EFEITO!$K$295*EFEITO!$Y$295</f>
        <v>106.75226834668501</v>
      </c>
      <c r="N295" s="83">
        <f>$K$295-EFEITO!$M$295*EFEITO!$Z$295</f>
        <v>0</v>
      </c>
      <c r="O295" s="83">
        <f>$L$295-EFEITO!$O$295*EFEITO!$AA$295</f>
        <v>0</v>
      </c>
      <c r="P295" s="28"/>
      <c r="Q295" s="28"/>
      <c r="R295" s="28"/>
      <c r="S295" s="28"/>
      <c r="T295" s="28"/>
      <c r="U295" s="28"/>
      <c r="V295" s="28"/>
      <c r="W295" s="28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72" t="s">
        <v>21</v>
      </c>
      <c r="B296" s="72" t="s">
        <v>33</v>
      </c>
      <c r="C296" s="72" t="s">
        <v>34</v>
      </c>
      <c r="D296" s="72" t="s">
        <v>44</v>
      </c>
      <c r="E296" s="72" t="s">
        <v>25</v>
      </c>
      <c r="F296" s="72" t="s">
        <v>25</v>
      </c>
      <c r="G296" s="72" t="s">
        <v>25</v>
      </c>
      <c r="H296" s="72" t="s">
        <v>25</v>
      </c>
      <c r="I296" s="82">
        <v>44470</v>
      </c>
      <c r="J296" s="83">
        <f ca="1">EFEITO!$J$296*EFEITO!$Y$207</f>
        <v>142747.79882983389</v>
      </c>
      <c r="K296" s="83">
        <f>EFEITO!$L$296*EFEITO!$Z$207</f>
        <v>0</v>
      </c>
      <c r="L296" s="83">
        <f>EFEITO!$N$296*EFEITO!$AA$207</f>
        <v>0</v>
      </c>
      <c r="M296" s="83">
        <f ca="1">$J$296-EFEITO!$K$296*EFEITO!$Y$296</f>
        <v>2854.9559765966842</v>
      </c>
      <c r="N296" s="83">
        <f>$K$296-EFEITO!$M$296*EFEITO!$Z$296</f>
        <v>0</v>
      </c>
      <c r="O296" s="83">
        <f>$L$296-EFEITO!$O$296*EFEITO!$AA$296</f>
        <v>0</v>
      </c>
      <c r="P296" s="28"/>
      <c r="Q296" s="28"/>
      <c r="R296" s="28"/>
      <c r="S296" s="28"/>
      <c r="T296" s="28"/>
      <c r="U296" s="28"/>
      <c r="V296" s="28"/>
      <c r="W296" s="28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72" t="s">
        <v>28</v>
      </c>
      <c r="B297" s="72" t="s">
        <v>33</v>
      </c>
      <c r="C297" s="72" t="s">
        <v>34</v>
      </c>
      <c r="D297" s="72" t="s">
        <v>44</v>
      </c>
      <c r="E297" s="72" t="s">
        <v>25</v>
      </c>
      <c r="F297" s="72" t="s">
        <v>25</v>
      </c>
      <c r="G297" s="72" t="s">
        <v>25</v>
      </c>
      <c r="H297" s="72" t="s">
        <v>25</v>
      </c>
      <c r="I297" s="82">
        <v>44470</v>
      </c>
      <c r="J297" s="83">
        <f ca="1">EFEITO!$J$297*EFEITO!$Y$207</f>
        <v>3486.1287631964578</v>
      </c>
      <c r="K297" s="83">
        <f>EFEITO!$L$297*EFEITO!$Z$207</f>
        <v>0</v>
      </c>
      <c r="L297" s="83">
        <f>EFEITO!$N$297*EFEITO!$AA$207</f>
        <v>0</v>
      </c>
      <c r="M297" s="83">
        <f ca="1">$J$297-EFEITO!$K$297*EFEITO!$Y$297</f>
        <v>69.72257526392923</v>
      </c>
      <c r="N297" s="83">
        <f>$K$297-EFEITO!$M$297*EFEITO!$Z$297</f>
        <v>0</v>
      </c>
      <c r="O297" s="83">
        <f>$L$297-EFEITO!$O$297*EFEITO!$AA$297</f>
        <v>0</v>
      </c>
      <c r="P297" s="28"/>
      <c r="Q297" s="28"/>
      <c r="R297" s="28"/>
      <c r="S297" s="28"/>
      <c r="T297" s="28"/>
      <c r="U297" s="28"/>
      <c r="V297" s="28"/>
      <c r="W297" s="28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72" t="s">
        <v>21</v>
      </c>
      <c r="B298" s="72" t="s">
        <v>33</v>
      </c>
      <c r="C298" s="72" t="s">
        <v>34</v>
      </c>
      <c r="D298" s="72" t="s">
        <v>44</v>
      </c>
      <c r="E298" s="72" t="s">
        <v>25</v>
      </c>
      <c r="F298" s="72" t="s">
        <v>25</v>
      </c>
      <c r="G298" s="72" t="s">
        <v>25</v>
      </c>
      <c r="H298" s="72" t="s">
        <v>25</v>
      </c>
      <c r="I298" s="82">
        <v>44501</v>
      </c>
      <c r="J298" s="83">
        <f ca="1">EFEITO!$J$298*EFEITO!$Y$207</f>
        <v>131205.20981484849</v>
      </c>
      <c r="K298" s="83">
        <f>EFEITO!$L$298*EFEITO!$Z$207</f>
        <v>0</v>
      </c>
      <c r="L298" s="83">
        <f>EFEITO!$N$298*EFEITO!$AA$207</f>
        <v>0</v>
      </c>
      <c r="M298" s="83">
        <f ca="1">$J$298-EFEITO!$K$298*EFEITO!$Y$298</f>
        <v>2624.1041962969612</v>
      </c>
      <c r="N298" s="83">
        <f>$K$298-EFEITO!$M$298*EFEITO!$Z$298</f>
        <v>0</v>
      </c>
      <c r="O298" s="83">
        <f>$L$298-EFEITO!$O$298*EFEITO!$AA$298</f>
        <v>0</v>
      </c>
      <c r="P298" s="28"/>
      <c r="Q298" s="28"/>
      <c r="R298" s="28"/>
      <c r="S298" s="28"/>
      <c r="T298" s="28"/>
      <c r="U298" s="28"/>
      <c r="V298" s="28"/>
      <c r="W298" s="28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72" t="s">
        <v>28</v>
      </c>
      <c r="B299" s="72" t="s">
        <v>33</v>
      </c>
      <c r="C299" s="72" t="s">
        <v>34</v>
      </c>
      <c r="D299" s="72" t="s">
        <v>44</v>
      </c>
      <c r="E299" s="72" t="s">
        <v>25</v>
      </c>
      <c r="F299" s="72" t="s">
        <v>25</v>
      </c>
      <c r="G299" s="72" t="s">
        <v>25</v>
      </c>
      <c r="H299" s="72" t="s">
        <v>25</v>
      </c>
      <c r="I299" s="82">
        <v>44501</v>
      </c>
      <c r="J299" s="83">
        <f ca="1">EFEITO!$J$299*EFEITO!$Y$207</f>
        <v>4587.011530521655</v>
      </c>
      <c r="K299" s="83">
        <f>EFEITO!$L$299*EFEITO!$Z$207</f>
        <v>0</v>
      </c>
      <c r="L299" s="83">
        <f>EFEITO!$N$299*EFEITO!$AA$207</f>
        <v>0</v>
      </c>
      <c r="M299" s="83">
        <f ca="1">$J$299-EFEITO!$K$299*EFEITO!$Y$299</f>
        <v>91.740230610433173</v>
      </c>
      <c r="N299" s="83">
        <f>$K$299-EFEITO!$M$299*EFEITO!$Z$299</f>
        <v>0</v>
      </c>
      <c r="O299" s="83">
        <f>$L$299-EFEITO!$O$299*EFEITO!$AA$299</f>
        <v>0</v>
      </c>
      <c r="P299" s="28"/>
      <c r="Q299" s="28"/>
      <c r="R299" s="28"/>
      <c r="S299" s="28"/>
      <c r="T299" s="28"/>
      <c r="U299" s="28"/>
      <c r="V299" s="28"/>
      <c r="W299" s="28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72" t="s">
        <v>21</v>
      </c>
      <c r="B300" s="72" t="s">
        <v>33</v>
      </c>
      <c r="C300" s="72" t="s">
        <v>34</v>
      </c>
      <c r="D300" s="72" t="s">
        <v>44</v>
      </c>
      <c r="E300" s="72" t="s">
        <v>25</v>
      </c>
      <c r="F300" s="72" t="s">
        <v>25</v>
      </c>
      <c r="G300" s="72" t="s">
        <v>25</v>
      </c>
      <c r="H300" s="72" t="s">
        <v>25</v>
      </c>
      <c r="I300" s="82">
        <v>44531</v>
      </c>
      <c r="J300" s="83">
        <f ca="1">EFEITO!$J$300*EFEITO!$Y$207</f>
        <v>143648.52109400908</v>
      </c>
      <c r="K300" s="83">
        <f>EFEITO!$L$300*EFEITO!$Z$207</f>
        <v>0</v>
      </c>
      <c r="L300" s="83">
        <f>EFEITO!$N$300*EFEITO!$AA$207</f>
        <v>0</v>
      </c>
      <c r="M300" s="83">
        <f ca="1">$J$300-EFEITO!$K$300*EFEITO!$Y$300</f>
        <v>2872.9704218801926</v>
      </c>
      <c r="N300" s="83">
        <f>$K$300-EFEITO!$M$300*EFEITO!$Z$300</f>
        <v>0</v>
      </c>
      <c r="O300" s="83">
        <f>$L$300-EFEITO!$O$300*EFEITO!$AA$300</f>
        <v>0</v>
      </c>
      <c r="P300" s="28"/>
      <c r="Q300" s="28"/>
      <c r="R300" s="28"/>
      <c r="S300" s="28"/>
      <c r="T300" s="28"/>
      <c r="U300" s="28"/>
      <c r="V300" s="28"/>
      <c r="W300" s="28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72" t="s">
        <v>28</v>
      </c>
      <c r="B301" s="72" t="s">
        <v>33</v>
      </c>
      <c r="C301" s="72" t="s">
        <v>34</v>
      </c>
      <c r="D301" s="72" t="s">
        <v>44</v>
      </c>
      <c r="E301" s="72" t="s">
        <v>25</v>
      </c>
      <c r="F301" s="72" t="s">
        <v>25</v>
      </c>
      <c r="G301" s="72" t="s">
        <v>25</v>
      </c>
      <c r="H301" s="72" t="s">
        <v>25</v>
      </c>
      <c r="I301" s="82">
        <v>44531</v>
      </c>
      <c r="J301" s="83">
        <f ca="1">EFEITO!$J$301*EFEITO!$Y$207</f>
        <v>9023.9026836807825</v>
      </c>
      <c r="K301" s="83">
        <f>EFEITO!$L$301*EFEITO!$Z$207</f>
        <v>0</v>
      </c>
      <c r="L301" s="83">
        <f>EFEITO!$N$301*EFEITO!$AA$207</f>
        <v>0</v>
      </c>
      <c r="M301" s="83">
        <f ca="1">$J$301-EFEITO!$K$301*EFEITO!$Y$301</f>
        <v>180.47805367361616</v>
      </c>
      <c r="N301" s="83">
        <f>$K$301-EFEITO!$M$301*EFEITO!$Z$301</f>
        <v>0</v>
      </c>
      <c r="O301" s="83">
        <f>$L$301-EFEITO!$O$301*EFEITO!$AA$301</f>
        <v>0</v>
      </c>
      <c r="P301" s="28"/>
      <c r="Q301" s="28"/>
      <c r="R301" s="28"/>
      <c r="S301" s="28"/>
      <c r="T301" s="28"/>
      <c r="U301" s="28"/>
      <c r="V301" s="28"/>
      <c r="W301" s="28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72" t="s">
        <v>21</v>
      </c>
      <c r="B302" s="72" t="s">
        <v>33</v>
      </c>
      <c r="C302" s="72" t="s">
        <v>34</v>
      </c>
      <c r="D302" s="72" t="s">
        <v>44</v>
      </c>
      <c r="E302" s="72" t="s">
        <v>25</v>
      </c>
      <c r="F302" s="72" t="s">
        <v>25</v>
      </c>
      <c r="G302" s="72" t="s">
        <v>25</v>
      </c>
      <c r="H302" s="72" t="s">
        <v>25</v>
      </c>
      <c r="I302" s="82">
        <v>44562</v>
      </c>
      <c r="J302" s="83">
        <f ca="1">EFEITO!$J$302*EFEITO!$Y$207</f>
        <v>144749.40386133426</v>
      </c>
      <c r="K302" s="83">
        <f>EFEITO!$L$302*EFEITO!$Z$207</f>
        <v>0</v>
      </c>
      <c r="L302" s="83">
        <f>EFEITO!$N$302*EFEITO!$AA$207</f>
        <v>0</v>
      </c>
      <c r="M302" s="83">
        <f ca="1">$J$302-EFEITO!$K$302*EFEITO!$Y$302</f>
        <v>2894.988077226677</v>
      </c>
      <c r="N302" s="83">
        <f>$K$302-EFEITO!$M$302*EFEITO!$Z$302</f>
        <v>0</v>
      </c>
      <c r="O302" s="83">
        <f>$L$302-EFEITO!$O$302*EFEITO!$AA$302</f>
        <v>0</v>
      </c>
      <c r="P302" s="28"/>
      <c r="Q302" s="28"/>
      <c r="R302" s="28"/>
      <c r="S302" s="28"/>
      <c r="T302" s="28"/>
      <c r="U302" s="28"/>
      <c r="V302" s="28"/>
      <c r="W302" s="28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72" t="s">
        <v>28</v>
      </c>
      <c r="B303" s="72" t="s">
        <v>33</v>
      </c>
      <c r="C303" s="72" t="s">
        <v>34</v>
      </c>
      <c r="D303" s="72" t="s">
        <v>44</v>
      </c>
      <c r="E303" s="72" t="s">
        <v>25</v>
      </c>
      <c r="F303" s="72" t="s">
        <v>25</v>
      </c>
      <c r="G303" s="72" t="s">
        <v>25</v>
      </c>
      <c r="H303" s="72" t="s">
        <v>25</v>
      </c>
      <c r="I303" s="82">
        <v>44562</v>
      </c>
      <c r="J303" s="83">
        <f ca="1">EFEITO!$J$303*EFEITO!$Y$207</f>
        <v>4470.2512370174672</v>
      </c>
      <c r="K303" s="83">
        <f>EFEITO!$L$303*EFEITO!$Z$207</f>
        <v>0</v>
      </c>
      <c r="L303" s="83">
        <f>EFEITO!$N$303*EFEITO!$AA$207</f>
        <v>0</v>
      </c>
      <c r="M303" s="83">
        <f ca="1">$J$303-EFEITO!$K$303*EFEITO!$Y$303</f>
        <v>89.40502474034929</v>
      </c>
      <c r="N303" s="83">
        <f>$K$303-EFEITO!$M$303*EFEITO!$Z$303</f>
        <v>0</v>
      </c>
      <c r="O303" s="83">
        <f>$L$303-EFEITO!$O$303*EFEITO!$AA$303</f>
        <v>0</v>
      </c>
      <c r="P303" s="28"/>
      <c r="Q303" s="28"/>
      <c r="R303" s="28"/>
      <c r="S303" s="28"/>
      <c r="T303" s="28"/>
      <c r="U303" s="28"/>
      <c r="V303" s="28"/>
      <c r="W303" s="28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72" t="s">
        <v>21</v>
      </c>
      <c r="B304" s="72" t="s">
        <v>33</v>
      </c>
      <c r="C304" s="72" t="s">
        <v>34</v>
      </c>
      <c r="D304" s="72" t="s">
        <v>44</v>
      </c>
      <c r="E304" s="72" t="s">
        <v>25</v>
      </c>
      <c r="F304" s="72" t="s">
        <v>25</v>
      </c>
      <c r="G304" s="72" t="s">
        <v>25</v>
      </c>
      <c r="H304" s="72" t="s">
        <v>25</v>
      </c>
      <c r="I304" s="82">
        <v>44593</v>
      </c>
      <c r="J304" s="83">
        <f ca="1">EFEITO!$J$304*EFEITO!$Y$207</f>
        <v>131305.29006642351</v>
      </c>
      <c r="K304" s="83">
        <f>EFEITO!$L$304*EFEITO!$Z$207</f>
        <v>0</v>
      </c>
      <c r="L304" s="83">
        <f>EFEITO!$N$304*EFEITO!$AA$207</f>
        <v>0</v>
      </c>
      <c r="M304" s="83">
        <f ca="1">$J$304-EFEITO!$K$304*EFEITO!$Y$304</f>
        <v>2626.1058013284637</v>
      </c>
      <c r="N304" s="83">
        <f>$K$304-EFEITO!$M$304*EFEITO!$Z$304</f>
        <v>0</v>
      </c>
      <c r="O304" s="83">
        <f>$L$304-EFEITO!$O$304*EFEITO!$AA$304</f>
        <v>0</v>
      </c>
      <c r="P304" s="28"/>
      <c r="Q304" s="28"/>
      <c r="R304" s="28"/>
      <c r="S304" s="28"/>
      <c r="T304" s="28"/>
      <c r="U304" s="28"/>
      <c r="V304" s="28"/>
      <c r="W304" s="28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72" t="s">
        <v>28</v>
      </c>
      <c r="B305" s="72" t="s">
        <v>33</v>
      </c>
      <c r="C305" s="72" t="s">
        <v>34</v>
      </c>
      <c r="D305" s="72" t="s">
        <v>44</v>
      </c>
      <c r="E305" s="72" t="s">
        <v>25</v>
      </c>
      <c r="F305" s="72" t="s">
        <v>25</v>
      </c>
      <c r="G305" s="72" t="s">
        <v>25</v>
      </c>
      <c r="H305" s="72" t="s">
        <v>25</v>
      </c>
      <c r="I305" s="82">
        <v>44593</v>
      </c>
      <c r="J305" s="83">
        <f ca="1">EFEITO!$J$305*EFEITO!$Y$207</f>
        <v>4520.2913628049764</v>
      </c>
      <c r="K305" s="83">
        <f>EFEITO!$L$305*EFEITO!$Z$207</f>
        <v>0</v>
      </c>
      <c r="L305" s="83">
        <f>EFEITO!$N$305*EFEITO!$AA$207</f>
        <v>0</v>
      </c>
      <c r="M305" s="83">
        <f ca="1">$J$305-EFEITO!$K$305*EFEITO!$Y$305</f>
        <v>90.405827256099656</v>
      </c>
      <c r="N305" s="83">
        <f>$K$305-EFEITO!$M$305*EFEITO!$Z$305</f>
        <v>0</v>
      </c>
      <c r="O305" s="83">
        <f>$L$305-EFEITO!$O$305*EFEITO!$AA$305</f>
        <v>0</v>
      </c>
      <c r="P305" s="28"/>
      <c r="Q305" s="28"/>
      <c r="R305" s="28"/>
      <c r="S305" s="28"/>
      <c r="T305" s="28"/>
      <c r="U305" s="28"/>
      <c r="V305" s="28"/>
      <c r="W305" s="28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72" t="s">
        <v>21</v>
      </c>
      <c r="B306" s="72" t="s">
        <v>33</v>
      </c>
      <c r="C306" s="72" t="s">
        <v>34</v>
      </c>
      <c r="D306" s="72" t="s">
        <v>44</v>
      </c>
      <c r="E306" s="72" t="s">
        <v>25</v>
      </c>
      <c r="F306" s="72" t="s">
        <v>25</v>
      </c>
      <c r="G306" s="72" t="s">
        <v>25</v>
      </c>
      <c r="H306" s="72" t="s">
        <v>25</v>
      </c>
      <c r="I306" s="82">
        <v>44621</v>
      </c>
      <c r="J306" s="83">
        <f ca="1">EFEITO!$J$306*EFEITO!$Y$207</f>
        <v>127385.48021306864</v>
      </c>
      <c r="K306" s="83">
        <f>EFEITO!$L$306*EFEITO!$Z$207</f>
        <v>0</v>
      </c>
      <c r="L306" s="83">
        <f>EFEITO!$N$306*EFEITO!$AA$207</f>
        <v>0</v>
      </c>
      <c r="M306" s="83">
        <f ca="1">$J$306-EFEITO!$K$306*EFEITO!$Y$306</f>
        <v>2547.7096042613703</v>
      </c>
      <c r="N306" s="83">
        <f>$K$306-EFEITO!$M$306*EFEITO!$Z$306</f>
        <v>0</v>
      </c>
      <c r="O306" s="83">
        <f>$L$306-EFEITO!$O$306*EFEITO!$AA$306</f>
        <v>0</v>
      </c>
      <c r="P306" s="28"/>
      <c r="Q306" s="28"/>
      <c r="R306" s="28"/>
      <c r="S306" s="28"/>
      <c r="T306" s="28"/>
      <c r="U306" s="28"/>
      <c r="V306" s="28"/>
      <c r="W306" s="28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72" t="s">
        <v>28</v>
      </c>
      <c r="B307" s="72" t="s">
        <v>33</v>
      </c>
      <c r="C307" s="72" t="s">
        <v>34</v>
      </c>
      <c r="D307" s="72" t="s">
        <v>44</v>
      </c>
      <c r="E307" s="72" t="s">
        <v>25</v>
      </c>
      <c r="F307" s="72" t="s">
        <v>25</v>
      </c>
      <c r="G307" s="72" t="s">
        <v>25</v>
      </c>
      <c r="H307" s="72" t="s">
        <v>25</v>
      </c>
      <c r="I307" s="82">
        <v>44621</v>
      </c>
      <c r="J307" s="83">
        <f ca="1">EFEITO!$J$307*EFEITO!$Y$207</f>
        <v>11158.948050614499</v>
      </c>
      <c r="K307" s="83">
        <f>EFEITO!$L$307*EFEITO!$Z$207</f>
        <v>0</v>
      </c>
      <c r="L307" s="83">
        <f>EFEITO!$N$307*EFEITO!$AA$207</f>
        <v>0</v>
      </c>
      <c r="M307" s="83">
        <f ca="1">$J$307-EFEITO!$K$307*EFEITO!$Y$307</f>
        <v>223.17896101229053</v>
      </c>
      <c r="N307" s="83">
        <f>$K$307-EFEITO!$M$307*EFEITO!$Z$307</f>
        <v>0</v>
      </c>
      <c r="O307" s="83">
        <f>$L$307-EFEITO!$O$307*EFEITO!$AA$307</f>
        <v>0</v>
      </c>
      <c r="P307" s="28"/>
      <c r="Q307" s="28"/>
      <c r="R307" s="28"/>
      <c r="S307" s="28"/>
      <c r="T307" s="28"/>
      <c r="U307" s="28"/>
      <c r="V307" s="28"/>
      <c r="W307" s="28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72" t="s">
        <v>21</v>
      </c>
      <c r="B308" s="72" t="s">
        <v>33</v>
      </c>
      <c r="C308" s="72" t="s">
        <v>34</v>
      </c>
      <c r="D308" s="72" t="s">
        <v>44</v>
      </c>
      <c r="E308" s="72" t="s">
        <v>25</v>
      </c>
      <c r="F308" s="72" t="s">
        <v>25</v>
      </c>
      <c r="G308" s="72" t="s">
        <v>25</v>
      </c>
      <c r="H308" s="72" t="s">
        <v>25</v>
      </c>
      <c r="I308" s="82">
        <v>44652</v>
      </c>
      <c r="J308" s="83">
        <f ca="1">EFEITO!$J$308*EFEITO!$Y$207</f>
        <v>118728.53845182961</v>
      </c>
      <c r="K308" s="83">
        <f>EFEITO!$L$308*EFEITO!$Z$207</f>
        <v>0</v>
      </c>
      <c r="L308" s="83">
        <f>EFEITO!$N$308*EFEITO!$AA$207</f>
        <v>0</v>
      </c>
      <c r="M308" s="83">
        <f ca="1">$J$308-EFEITO!$K$308*EFEITO!$Y$308</f>
        <v>2374.5707690365962</v>
      </c>
      <c r="N308" s="83">
        <f>$K$308-EFEITO!$M$308*EFEITO!$Z$308</f>
        <v>0</v>
      </c>
      <c r="O308" s="83">
        <f>$L$308-EFEITO!$O$308*EFEITO!$AA$308</f>
        <v>0</v>
      </c>
      <c r="P308" s="28"/>
      <c r="Q308" s="28"/>
      <c r="R308" s="28"/>
      <c r="S308" s="28"/>
      <c r="T308" s="28"/>
      <c r="U308" s="28"/>
      <c r="V308" s="28"/>
      <c r="W308" s="28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72" t="s">
        <v>21</v>
      </c>
      <c r="B309" s="72" t="s">
        <v>33</v>
      </c>
      <c r="C309" s="72" t="s">
        <v>34</v>
      </c>
      <c r="D309" s="72" t="s">
        <v>44</v>
      </c>
      <c r="E309" s="72" t="s">
        <v>25</v>
      </c>
      <c r="F309" s="72" t="s">
        <v>25</v>
      </c>
      <c r="G309" s="72" t="s">
        <v>25</v>
      </c>
      <c r="H309" s="72" t="s">
        <v>35</v>
      </c>
      <c r="I309" s="82">
        <v>44317</v>
      </c>
      <c r="J309" s="83">
        <f>EFEITO!$J$309*EFEITO!$Y$219</f>
        <v>0</v>
      </c>
      <c r="K309" s="83">
        <f ca="1">EFEITO!$L$309*EFEITO!$Z$219</f>
        <v>76143.422463541952</v>
      </c>
      <c r="L309" s="83">
        <f>EFEITO!$N$309*EFEITO!$AA$219</f>
        <v>16426.438535117068</v>
      </c>
      <c r="M309" s="83">
        <f>$J$309-EFEITO!$K$309*EFEITO!$Y$309</f>
        <v>0</v>
      </c>
      <c r="N309" s="83">
        <f ca="1">$K$309-EFEITO!$M$309*EFEITO!$Z$309</f>
        <v>1522.8684492708417</v>
      </c>
      <c r="O309" s="83">
        <f>$L$309-EFEITO!$O$309*EFEITO!$AA$309</f>
        <v>328.52877070234172</v>
      </c>
      <c r="P309" s="28"/>
      <c r="Q309" s="28"/>
      <c r="R309" s="28"/>
      <c r="S309" s="28"/>
      <c r="T309" s="28"/>
      <c r="U309" s="28"/>
      <c r="V309" s="28"/>
      <c r="W309" s="28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72" t="s">
        <v>21</v>
      </c>
      <c r="B310" s="72" t="s">
        <v>33</v>
      </c>
      <c r="C310" s="72" t="s">
        <v>34</v>
      </c>
      <c r="D310" s="72" t="s">
        <v>44</v>
      </c>
      <c r="E310" s="72" t="s">
        <v>25</v>
      </c>
      <c r="F310" s="72" t="s">
        <v>25</v>
      </c>
      <c r="G310" s="72" t="s">
        <v>25</v>
      </c>
      <c r="H310" s="72" t="s">
        <v>35</v>
      </c>
      <c r="I310" s="82">
        <v>44348</v>
      </c>
      <c r="J310" s="83">
        <f>EFEITO!$J$310*EFEITO!$Y$219</f>
        <v>0</v>
      </c>
      <c r="K310" s="83">
        <f ca="1">EFEITO!$L$310*EFEITO!$Z$219</f>
        <v>62303.602120408359</v>
      </c>
      <c r="L310" s="83">
        <f>EFEITO!$N$310*EFEITO!$AA$219</f>
        <v>13440.77081953207</v>
      </c>
      <c r="M310" s="83">
        <f>$J$310-EFEITO!$K$310*EFEITO!$Y$310</f>
        <v>0</v>
      </c>
      <c r="N310" s="83">
        <f ca="1">$K$310-EFEITO!$M$310*EFEITO!$Z$310</f>
        <v>1246.0720424081737</v>
      </c>
      <c r="O310" s="83">
        <f>$L$310-EFEITO!$O$310*EFEITO!$AA$310</f>
        <v>268.81541639064199</v>
      </c>
      <c r="P310" s="28"/>
      <c r="Q310" s="28"/>
      <c r="R310" s="28"/>
      <c r="S310" s="28"/>
      <c r="T310" s="28"/>
      <c r="U310" s="28"/>
      <c r="V310" s="28"/>
      <c r="W310" s="28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72" t="s">
        <v>21</v>
      </c>
      <c r="B311" s="72" t="s">
        <v>33</v>
      </c>
      <c r="C311" s="72" t="s">
        <v>34</v>
      </c>
      <c r="D311" s="72" t="s">
        <v>44</v>
      </c>
      <c r="E311" s="72" t="s">
        <v>25</v>
      </c>
      <c r="F311" s="72" t="s">
        <v>25</v>
      </c>
      <c r="G311" s="72" t="s">
        <v>25</v>
      </c>
      <c r="H311" s="72" t="s">
        <v>35</v>
      </c>
      <c r="I311" s="82">
        <v>44378</v>
      </c>
      <c r="J311" s="83">
        <f>EFEITO!$J$311*EFEITO!$Y$219</f>
        <v>0</v>
      </c>
      <c r="K311" s="83">
        <f ca="1">EFEITO!$L$311*EFEITO!$Z$219</f>
        <v>63120.868215173614</v>
      </c>
      <c r="L311" s="83">
        <f>EFEITO!$N$311*EFEITO!$AA$219</f>
        <v>13617.079827429956</v>
      </c>
      <c r="M311" s="83">
        <f>$J$311-EFEITO!$K$311*EFEITO!$Y$311</f>
        <v>0</v>
      </c>
      <c r="N311" s="83">
        <f ca="1">$K$311-EFEITO!$M$311*EFEITO!$Z$311</f>
        <v>1262.4173643034737</v>
      </c>
      <c r="O311" s="83">
        <f>$L$311-EFEITO!$O$311*EFEITO!$AA$311</f>
        <v>272.34159654860014</v>
      </c>
      <c r="P311" s="28"/>
      <c r="Q311" s="28"/>
      <c r="R311" s="28"/>
      <c r="S311" s="28"/>
      <c r="T311" s="28"/>
      <c r="U311" s="28"/>
      <c r="V311" s="28"/>
      <c r="W311" s="28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72" t="s">
        <v>21</v>
      </c>
      <c r="B312" s="72" t="s">
        <v>33</v>
      </c>
      <c r="C312" s="72" t="s">
        <v>34</v>
      </c>
      <c r="D312" s="72" t="s">
        <v>44</v>
      </c>
      <c r="E312" s="72" t="s">
        <v>25</v>
      </c>
      <c r="F312" s="72" t="s">
        <v>25</v>
      </c>
      <c r="G312" s="72" t="s">
        <v>25</v>
      </c>
      <c r="H312" s="72" t="s">
        <v>35</v>
      </c>
      <c r="I312" s="82">
        <v>44409</v>
      </c>
      <c r="J312" s="83">
        <f>EFEITO!$J$312*EFEITO!$Y$219</f>
        <v>0</v>
      </c>
      <c r="K312" s="83">
        <f ca="1">EFEITO!$L$312*EFEITO!$Z$219</f>
        <v>63874.666811540148</v>
      </c>
      <c r="L312" s="83">
        <f>EFEITO!$N$312*EFEITO!$AA$219</f>
        <v>13779.696976888939</v>
      </c>
      <c r="M312" s="83">
        <f>$J$312-EFEITO!$K$312*EFEITO!$Y$312</f>
        <v>0</v>
      </c>
      <c r="N312" s="83">
        <f ca="1">$K$312-EFEITO!$M$312*EFEITO!$Z$312</f>
        <v>1277.4933362308075</v>
      </c>
      <c r="O312" s="83">
        <f>$L$312-EFEITO!$O$312*EFEITO!$AA$312</f>
        <v>275.5939395377809</v>
      </c>
      <c r="P312" s="28"/>
      <c r="Q312" s="28"/>
      <c r="R312" s="28"/>
      <c r="S312" s="28"/>
      <c r="T312" s="28"/>
      <c r="U312" s="28"/>
      <c r="V312" s="28"/>
      <c r="W312" s="28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72" t="s">
        <v>28</v>
      </c>
      <c r="B313" s="72" t="s">
        <v>33</v>
      </c>
      <c r="C313" s="72" t="s">
        <v>34</v>
      </c>
      <c r="D313" s="72" t="s">
        <v>44</v>
      </c>
      <c r="E313" s="72" t="s">
        <v>25</v>
      </c>
      <c r="F313" s="72" t="s">
        <v>25</v>
      </c>
      <c r="G313" s="72" t="s">
        <v>25</v>
      </c>
      <c r="H313" s="72" t="s">
        <v>35</v>
      </c>
      <c r="I313" s="82">
        <v>44409</v>
      </c>
      <c r="J313" s="83">
        <f>EFEITO!$J$313*EFEITO!$Y$219</f>
        <v>0</v>
      </c>
      <c r="K313" s="83">
        <f ca="1">EFEITO!$L$313*EFEITO!$Z$219</f>
        <v>434.50825826826917</v>
      </c>
      <c r="L313" s="83">
        <f>EFEITO!$N$313*EFEITO!$AA$219</f>
        <v>93.736569312496414</v>
      </c>
      <c r="M313" s="83">
        <f>$J$313-EFEITO!$K$313*EFEITO!$Y$313</f>
        <v>0</v>
      </c>
      <c r="N313" s="83">
        <f ca="1">$K$313-EFEITO!$M$313*EFEITO!$Z$313</f>
        <v>8.6901651653653857</v>
      </c>
      <c r="O313" s="83">
        <f>$L$313-EFEITO!$O$313*EFEITO!$AA$313</f>
        <v>1.874731386249934</v>
      </c>
      <c r="P313" s="28"/>
      <c r="Q313" s="28"/>
      <c r="R313" s="28"/>
      <c r="S313" s="28"/>
      <c r="T313" s="28"/>
      <c r="U313" s="28"/>
      <c r="V313" s="28"/>
      <c r="W313" s="28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72" t="s">
        <v>21</v>
      </c>
      <c r="B314" s="72" t="s">
        <v>33</v>
      </c>
      <c r="C314" s="72" t="s">
        <v>34</v>
      </c>
      <c r="D314" s="72" t="s">
        <v>44</v>
      </c>
      <c r="E314" s="72" t="s">
        <v>25</v>
      </c>
      <c r="F314" s="72" t="s">
        <v>25</v>
      </c>
      <c r="G314" s="72" t="s">
        <v>25</v>
      </c>
      <c r="H314" s="72" t="s">
        <v>35</v>
      </c>
      <c r="I314" s="82">
        <v>44440</v>
      </c>
      <c r="J314" s="83">
        <f>EFEITO!$J$314*EFEITO!$Y$219</f>
        <v>0</v>
      </c>
      <c r="K314" s="83">
        <f ca="1">EFEITO!$L$314*EFEITO!$Z$219</f>
        <v>72009.247260153526</v>
      </c>
      <c r="L314" s="83">
        <f>EFEITO!$N$314*EFEITO!$AA$219</f>
        <v>15534.571940804462</v>
      </c>
      <c r="M314" s="83">
        <f>$J$314-EFEITO!$K$314*EFEITO!$Y$314</f>
        <v>0</v>
      </c>
      <c r="N314" s="83">
        <f ca="1">$K$314-EFEITO!$M$314*EFEITO!$Z$314</f>
        <v>1440.1849452030729</v>
      </c>
      <c r="O314" s="83">
        <f>$L$314-EFEITO!$O$314*EFEITO!$AA$314</f>
        <v>310.69143881609125</v>
      </c>
      <c r="P314" s="28"/>
      <c r="Q314" s="28"/>
      <c r="R314" s="28"/>
      <c r="S314" s="28"/>
      <c r="T314" s="28"/>
      <c r="U314" s="28"/>
      <c r="V314" s="28"/>
      <c r="W314" s="28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72" t="s">
        <v>28</v>
      </c>
      <c r="B315" s="72" t="s">
        <v>33</v>
      </c>
      <c r="C315" s="72" t="s">
        <v>34</v>
      </c>
      <c r="D315" s="72" t="s">
        <v>44</v>
      </c>
      <c r="E315" s="72" t="s">
        <v>25</v>
      </c>
      <c r="F315" s="72" t="s">
        <v>25</v>
      </c>
      <c r="G315" s="72" t="s">
        <v>25</v>
      </c>
      <c r="H315" s="72" t="s">
        <v>35</v>
      </c>
      <c r="I315" s="82">
        <v>44440</v>
      </c>
      <c r="J315" s="83">
        <f>EFEITO!$J$315*EFEITO!$Y$219</f>
        <v>0</v>
      </c>
      <c r="K315" s="83">
        <f ca="1">EFEITO!$L$315*EFEITO!$Z$219</f>
        <v>3988.6881685974822</v>
      </c>
      <c r="L315" s="83">
        <f>EFEITO!$N$315*EFEITO!$AA$219</f>
        <v>860.48064189111869</v>
      </c>
      <c r="M315" s="83">
        <f>$J$315-EFEITO!$K$315*EFEITO!$Y$315</f>
        <v>0</v>
      </c>
      <c r="N315" s="83">
        <f ca="1">$K$315-EFEITO!$M$315*EFEITO!$Z$315</f>
        <v>79.773763371949826</v>
      </c>
      <c r="O315" s="83">
        <f>$L$315-EFEITO!$O$315*EFEITO!$AA$315</f>
        <v>17.209612837822419</v>
      </c>
      <c r="P315" s="28"/>
      <c r="Q315" s="28"/>
      <c r="R315" s="28"/>
      <c r="S315" s="28"/>
      <c r="T315" s="28"/>
      <c r="U315" s="28"/>
      <c r="V315" s="28"/>
      <c r="W315" s="28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72" t="s">
        <v>21</v>
      </c>
      <c r="B316" s="72" t="s">
        <v>33</v>
      </c>
      <c r="C316" s="72" t="s">
        <v>34</v>
      </c>
      <c r="D316" s="72" t="s">
        <v>44</v>
      </c>
      <c r="E316" s="72" t="s">
        <v>25</v>
      </c>
      <c r="F316" s="72" t="s">
        <v>25</v>
      </c>
      <c r="G316" s="72" t="s">
        <v>25</v>
      </c>
      <c r="H316" s="72" t="s">
        <v>35</v>
      </c>
      <c r="I316" s="82">
        <v>44470</v>
      </c>
      <c r="J316" s="83">
        <f>EFEITO!$J$316*EFEITO!$Y$219</f>
        <v>0</v>
      </c>
      <c r="K316" s="83">
        <f ca="1">EFEITO!$L$316*EFEITO!$Z$219</f>
        <v>68224.631509484272</v>
      </c>
      <c r="L316" s="83">
        <f>EFEITO!$N$316*EFEITO!$AA$219</f>
        <v>14718.115889893819</v>
      </c>
      <c r="M316" s="83">
        <f>$J$316-EFEITO!$K$316*EFEITO!$Y$316</f>
        <v>0</v>
      </c>
      <c r="N316" s="83">
        <f ca="1">$K$316-EFEITO!$M$316*EFEITO!$Z$316</f>
        <v>1364.4926301896776</v>
      </c>
      <c r="O316" s="83">
        <f>$L$316-EFEITO!$O$316*EFEITO!$AA$316</f>
        <v>294.36231779787886</v>
      </c>
      <c r="P316" s="28"/>
      <c r="Q316" s="28"/>
      <c r="R316" s="28"/>
      <c r="S316" s="28"/>
      <c r="T316" s="28"/>
      <c r="U316" s="28"/>
      <c r="V316" s="28"/>
      <c r="W316" s="28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72" t="s">
        <v>28</v>
      </c>
      <c r="B317" s="72" t="s">
        <v>33</v>
      </c>
      <c r="C317" s="72" t="s">
        <v>34</v>
      </c>
      <c r="D317" s="72" t="s">
        <v>44</v>
      </c>
      <c r="E317" s="72" t="s">
        <v>25</v>
      </c>
      <c r="F317" s="72" t="s">
        <v>25</v>
      </c>
      <c r="G317" s="72" t="s">
        <v>25</v>
      </c>
      <c r="H317" s="72" t="s">
        <v>35</v>
      </c>
      <c r="I317" s="82">
        <v>44470</v>
      </c>
      <c r="J317" s="83">
        <f>EFEITO!$J$317*EFEITO!$Y$219</f>
        <v>0</v>
      </c>
      <c r="K317" s="83">
        <f ca="1">EFEITO!$L$317*EFEITO!$Z$219</f>
        <v>5394.7373638925555</v>
      </c>
      <c r="L317" s="83">
        <f>EFEITO!$N$317*EFEITO!$AA$219</f>
        <v>1163.8079673068376</v>
      </c>
      <c r="M317" s="83">
        <f>$J$317-EFEITO!$K$317*EFEITO!$Y$317</f>
        <v>0</v>
      </c>
      <c r="N317" s="83">
        <f ca="1">$K$317-EFEITO!$M$317*EFEITO!$Z$317</f>
        <v>107.89474727785091</v>
      </c>
      <c r="O317" s="83">
        <f>$L$317-EFEITO!$O$317*EFEITO!$AA$317</f>
        <v>23.276159346136865</v>
      </c>
      <c r="P317" s="28"/>
      <c r="Q317" s="28"/>
      <c r="R317" s="28"/>
      <c r="S317" s="28"/>
      <c r="T317" s="28"/>
      <c r="U317" s="28"/>
      <c r="V317" s="28"/>
      <c r="W317" s="28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72" t="s">
        <v>21</v>
      </c>
      <c r="B318" s="72" t="s">
        <v>33</v>
      </c>
      <c r="C318" s="72" t="s">
        <v>34</v>
      </c>
      <c r="D318" s="72" t="s">
        <v>44</v>
      </c>
      <c r="E318" s="72" t="s">
        <v>25</v>
      </c>
      <c r="F318" s="72" t="s">
        <v>25</v>
      </c>
      <c r="G318" s="72" t="s">
        <v>25</v>
      </c>
      <c r="H318" s="72" t="s">
        <v>35</v>
      </c>
      <c r="I318" s="82">
        <v>44501</v>
      </c>
      <c r="J318" s="83">
        <f>EFEITO!$J$318*EFEITO!$Y$219</f>
        <v>0</v>
      </c>
      <c r="K318" s="83">
        <f ca="1">EFEITO!$L$318*EFEITO!$Z$219</f>
        <v>74088.051938475182</v>
      </c>
      <c r="L318" s="83">
        <f>EFEITO!$N$318*EFEITO!$AA$219</f>
        <v>15983.032965672561</v>
      </c>
      <c r="M318" s="83">
        <f>$J$318-EFEITO!$K$318*EFEITO!$Y$318</f>
        <v>0</v>
      </c>
      <c r="N318" s="83">
        <f ca="1">$K$318-EFEITO!$M$318*EFEITO!$Z$318</f>
        <v>1481.7610387695022</v>
      </c>
      <c r="O318" s="83">
        <f>$L$318-EFEITO!$O$318*EFEITO!$AA$318</f>
        <v>319.66065931345111</v>
      </c>
      <c r="P318" s="28"/>
      <c r="Q318" s="28"/>
      <c r="R318" s="28"/>
      <c r="S318" s="28"/>
      <c r="T318" s="28"/>
      <c r="U318" s="28"/>
      <c r="V318" s="28"/>
      <c r="W318" s="28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72" t="s">
        <v>28</v>
      </c>
      <c r="B319" s="72" t="s">
        <v>33</v>
      </c>
      <c r="C319" s="72" t="s">
        <v>34</v>
      </c>
      <c r="D319" s="72" t="s">
        <v>44</v>
      </c>
      <c r="E319" s="72" t="s">
        <v>25</v>
      </c>
      <c r="F319" s="72" t="s">
        <v>25</v>
      </c>
      <c r="G319" s="72" t="s">
        <v>25</v>
      </c>
      <c r="H319" s="72" t="s">
        <v>35</v>
      </c>
      <c r="I319" s="82">
        <v>44501</v>
      </c>
      <c r="J319" s="83">
        <f>EFEITO!$J$319*EFEITO!$Y$219</f>
        <v>0</v>
      </c>
      <c r="K319" s="83">
        <f ca="1">EFEITO!$L$319*EFEITO!$Z$219</f>
        <v>2801.357737014976</v>
      </c>
      <c r="L319" s="83">
        <f>EFEITO!$N$319*EFEITO!$AA$219</f>
        <v>604.33756709562294</v>
      </c>
      <c r="M319" s="83">
        <f>$J$319-EFEITO!$K$319*EFEITO!$Y$319</f>
        <v>0</v>
      </c>
      <c r="N319" s="83">
        <f ca="1">$K$319-EFEITO!$M$319*EFEITO!$Z$319</f>
        <v>56.027154740299466</v>
      </c>
      <c r="O319" s="83">
        <f>$L$319-EFEITO!$O$319*EFEITO!$AA$319</f>
        <v>12.086751341912418</v>
      </c>
      <c r="P319" s="28"/>
      <c r="Q319" s="28"/>
      <c r="R319" s="28"/>
      <c r="S319" s="28"/>
      <c r="T319" s="28"/>
      <c r="U319" s="28"/>
      <c r="V319" s="28"/>
      <c r="W319" s="28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72" t="s">
        <v>21</v>
      </c>
      <c r="B320" s="72" t="s">
        <v>33</v>
      </c>
      <c r="C320" s="72" t="s">
        <v>34</v>
      </c>
      <c r="D320" s="72" t="s">
        <v>44</v>
      </c>
      <c r="E320" s="72" t="s">
        <v>25</v>
      </c>
      <c r="F320" s="72" t="s">
        <v>25</v>
      </c>
      <c r="G320" s="72" t="s">
        <v>25</v>
      </c>
      <c r="H320" s="72" t="s">
        <v>35</v>
      </c>
      <c r="I320" s="82">
        <v>44531</v>
      </c>
      <c r="J320" s="83">
        <f>EFEITO!$J$320*EFEITO!$Y$219</f>
        <v>0</v>
      </c>
      <c r="K320" s="83">
        <f ca="1">EFEITO!$L$320*EFEITO!$Z$219</f>
        <v>93922.133399606319</v>
      </c>
      <c r="L320" s="83">
        <f>EFEITO!$N$320*EFEITO!$AA$219</f>
        <v>20261.844049818043</v>
      </c>
      <c r="M320" s="83">
        <f>$J$320-EFEITO!$K$320*EFEITO!$Y$320</f>
        <v>0</v>
      </c>
      <c r="N320" s="83">
        <f ca="1">$K$320-EFEITO!$M$320*EFEITO!$Z$320</f>
        <v>1878.4426679921307</v>
      </c>
      <c r="O320" s="83">
        <f>$L$320-EFEITO!$O$320*EFEITO!$AA$320</f>
        <v>405.2368809963591</v>
      </c>
      <c r="P320" s="28"/>
      <c r="Q320" s="28"/>
      <c r="R320" s="28"/>
      <c r="S320" s="28"/>
      <c r="T320" s="28"/>
      <c r="U320" s="28"/>
      <c r="V320" s="28"/>
      <c r="W320" s="28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72" t="s">
        <v>28</v>
      </c>
      <c r="B321" s="72" t="s">
        <v>33</v>
      </c>
      <c r="C321" s="72" t="s">
        <v>34</v>
      </c>
      <c r="D321" s="72" t="s">
        <v>44</v>
      </c>
      <c r="E321" s="72" t="s">
        <v>25</v>
      </c>
      <c r="F321" s="72" t="s">
        <v>25</v>
      </c>
      <c r="G321" s="72" t="s">
        <v>25</v>
      </c>
      <c r="H321" s="72" t="s">
        <v>35</v>
      </c>
      <c r="I321" s="82">
        <v>44531</v>
      </c>
      <c r="J321" s="83">
        <f>EFEITO!$J$321*EFEITO!$Y$219</f>
        <v>0</v>
      </c>
      <c r="K321" s="83">
        <f ca="1">EFEITO!$L$321*EFEITO!$Z$219</f>
        <v>9157.8718074114531</v>
      </c>
      <c r="L321" s="83">
        <f>EFEITO!$N$321*EFEITO!$AA$219</f>
        <v>1975.6298507458512</v>
      </c>
      <c r="M321" s="83">
        <f>$J$321-EFEITO!$K$321*EFEITO!$Y$321</f>
        <v>0</v>
      </c>
      <c r="N321" s="83">
        <f ca="1">$K$321-EFEITO!$M$321*EFEITO!$Z$321</f>
        <v>183.15743614823077</v>
      </c>
      <c r="O321" s="83">
        <f>$L$321-EFEITO!$O$321*EFEITO!$AA$321</f>
        <v>39.512597014916992</v>
      </c>
      <c r="P321" s="28"/>
      <c r="Q321" s="28"/>
      <c r="R321" s="28"/>
      <c r="S321" s="28"/>
      <c r="T321" s="28"/>
      <c r="U321" s="28"/>
      <c r="V321" s="28"/>
      <c r="W321" s="28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72" t="s">
        <v>21</v>
      </c>
      <c r="B322" s="72" t="s">
        <v>33</v>
      </c>
      <c r="C322" s="72" t="s">
        <v>34</v>
      </c>
      <c r="D322" s="72" t="s">
        <v>44</v>
      </c>
      <c r="E322" s="72" t="s">
        <v>25</v>
      </c>
      <c r="F322" s="72" t="s">
        <v>25</v>
      </c>
      <c r="G322" s="72" t="s">
        <v>25</v>
      </c>
      <c r="H322" s="72" t="s">
        <v>35</v>
      </c>
      <c r="I322" s="82">
        <v>44562</v>
      </c>
      <c r="J322" s="83">
        <f>EFEITO!$J$322*EFEITO!$Y$219</f>
        <v>0</v>
      </c>
      <c r="K322" s="83">
        <f ca="1">EFEITO!$L$322*EFEITO!$Z$219</f>
        <v>103003.84420893929</v>
      </c>
      <c r="L322" s="83">
        <f>EFEITO!$N$322*EFEITO!$AA$219</f>
        <v>22221.043670437211</v>
      </c>
      <c r="M322" s="83">
        <f>$J$322-EFEITO!$K$322*EFEITO!$Y$322</f>
        <v>0</v>
      </c>
      <c r="N322" s="83">
        <f ca="1">$K$322-EFEITO!$M$322*EFEITO!$Z$322</f>
        <v>2060.076884178794</v>
      </c>
      <c r="O322" s="83">
        <f>$L$322-EFEITO!$O$322*EFEITO!$AA$322</f>
        <v>444.42087340874787</v>
      </c>
      <c r="P322" s="28"/>
      <c r="Q322" s="28"/>
      <c r="R322" s="28"/>
      <c r="S322" s="28"/>
      <c r="T322" s="28"/>
      <c r="U322" s="28"/>
      <c r="V322" s="28"/>
      <c r="W322" s="28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72" t="s">
        <v>28</v>
      </c>
      <c r="B323" s="72" t="s">
        <v>33</v>
      </c>
      <c r="C323" s="72" t="s">
        <v>34</v>
      </c>
      <c r="D323" s="72" t="s">
        <v>44</v>
      </c>
      <c r="E323" s="72" t="s">
        <v>25</v>
      </c>
      <c r="F323" s="72" t="s">
        <v>25</v>
      </c>
      <c r="G323" s="72" t="s">
        <v>25</v>
      </c>
      <c r="H323" s="72" t="s">
        <v>35</v>
      </c>
      <c r="I323" s="82">
        <v>44562</v>
      </c>
      <c r="J323" s="83">
        <f>EFEITO!$J$323*EFEITO!$Y$219</f>
        <v>0</v>
      </c>
      <c r="K323" s="83">
        <f ca="1">EFEITO!$L$323*EFEITO!$Z$219</f>
        <v>9144.2018846794181</v>
      </c>
      <c r="L323" s="83">
        <f>EFEITO!$N$323*EFEITO!$AA$219</f>
        <v>1972.6808350820875</v>
      </c>
      <c r="M323" s="83">
        <f>$J$323-EFEITO!$K$323*EFEITO!$Y$323</f>
        <v>0</v>
      </c>
      <c r="N323" s="83">
        <f ca="1">$K$323-EFEITO!$M$323*EFEITO!$Z$323</f>
        <v>182.88403769358956</v>
      </c>
      <c r="O323" s="83">
        <f>$L$323-EFEITO!$O$323*EFEITO!$AA$323</f>
        <v>39.453616701641977</v>
      </c>
      <c r="P323" s="28"/>
      <c r="Q323" s="28"/>
      <c r="R323" s="28"/>
      <c r="S323" s="28"/>
      <c r="T323" s="28"/>
      <c r="U323" s="28"/>
      <c r="V323" s="28"/>
      <c r="W323" s="28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72" t="s">
        <v>21</v>
      </c>
      <c r="B324" s="72" t="s">
        <v>33</v>
      </c>
      <c r="C324" s="72" t="s">
        <v>34</v>
      </c>
      <c r="D324" s="72" t="s">
        <v>44</v>
      </c>
      <c r="E324" s="72" t="s">
        <v>25</v>
      </c>
      <c r="F324" s="72" t="s">
        <v>25</v>
      </c>
      <c r="G324" s="72" t="s">
        <v>25</v>
      </c>
      <c r="H324" s="72" t="s">
        <v>35</v>
      </c>
      <c r="I324" s="82">
        <v>44593</v>
      </c>
      <c r="J324" s="83">
        <f>EFEITO!$J$324*EFEITO!$Y$219</f>
        <v>0</v>
      </c>
      <c r="K324" s="83">
        <f ca="1">EFEITO!$L$324*EFEITO!$Z$219</f>
        <v>106254.35655000685</v>
      </c>
      <c r="L324" s="83">
        <f>EFEITO!$N$324*EFEITO!$AA$219</f>
        <v>22922.277466485077</v>
      </c>
      <c r="M324" s="83">
        <f>$J$324-EFEITO!$K$324*EFEITO!$Y$324</f>
        <v>0</v>
      </c>
      <c r="N324" s="83">
        <f ca="1">$K$324-EFEITO!$M$324*EFEITO!$Z$324</f>
        <v>2125.0871310001385</v>
      </c>
      <c r="O324" s="83">
        <f>$L$324-EFEITO!$O$324*EFEITO!$AA$324</f>
        <v>458.44554932970277</v>
      </c>
      <c r="P324" s="28"/>
      <c r="Q324" s="28"/>
      <c r="R324" s="28"/>
      <c r="S324" s="28"/>
      <c r="T324" s="28"/>
      <c r="U324" s="28"/>
      <c r="V324" s="28"/>
      <c r="W324" s="28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72" t="s">
        <v>21</v>
      </c>
      <c r="B325" s="72" t="s">
        <v>33</v>
      </c>
      <c r="C325" s="72" t="s">
        <v>34</v>
      </c>
      <c r="D325" s="72" t="s">
        <v>44</v>
      </c>
      <c r="E325" s="72" t="s">
        <v>25</v>
      </c>
      <c r="F325" s="72" t="s">
        <v>25</v>
      </c>
      <c r="G325" s="72" t="s">
        <v>25</v>
      </c>
      <c r="H325" s="72" t="s">
        <v>35</v>
      </c>
      <c r="I325" s="82">
        <v>44621</v>
      </c>
      <c r="J325" s="83">
        <f>EFEITO!$J$325*EFEITO!$Y$219</f>
        <v>0</v>
      </c>
      <c r="K325" s="83">
        <f ca="1">EFEITO!$L$325*EFEITO!$Z$219</f>
        <v>113049.28457088076</v>
      </c>
      <c r="L325" s="83">
        <f>EFEITO!$N$325*EFEITO!$AA$219</f>
        <v>24388.148895351733</v>
      </c>
      <c r="M325" s="83">
        <f>$J$325-EFEITO!$K$325*EFEITO!$Y$325</f>
        <v>0</v>
      </c>
      <c r="N325" s="83">
        <f ca="1">$K$325-EFEITO!$M$325*EFEITO!$Z$325</f>
        <v>2260.9856914176198</v>
      </c>
      <c r="O325" s="83">
        <f>$L$325-EFEITO!$O$325*EFEITO!$AA$325</f>
        <v>487.76297790703393</v>
      </c>
      <c r="P325" s="28"/>
      <c r="Q325" s="28"/>
      <c r="R325" s="28"/>
      <c r="S325" s="28"/>
      <c r="T325" s="28"/>
      <c r="U325" s="28"/>
      <c r="V325" s="28"/>
      <c r="W325" s="28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72" t="s">
        <v>28</v>
      </c>
      <c r="B326" s="72" t="s">
        <v>33</v>
      </c>
      <c r="C326" s="72" t="s">
        <v>34</v>
      </c>
      <c r="D326" s="72" t="s">
        <v>44</v>
      </c>
      <c r="E326" s="72" t="s">
        <v>25</v>
      </c>
      <c r="F326" s="72" t="s">
        <v>25</v>
      </c>
      <c r="G326" s="72" t="s">
        <v>25</v>
      </c>
      <c r="H326" s="72" t="s">
        <v>35</v>
      </c>
      <c r="I326" s="82">
        <v>44621</v>
      </c>
      <c r="J326" s="83">
        <f>EFEITO!$J$326*EFEITO!$Y$219</f>
        <v>0</v>
      </c>
      <c r="K326" s="83">
        <f ca="1">EFEITO!$L$326*EFEITO!$Z$219</f>
        <v>20184.617336902607</v>
      </c>
      <c r="L326" s="83">
        <f>EFEITO!$N$326*EFEITO!$AA$219</f>
        <v>4354.4322715234293</v>
      </c>
      <c r="M326" s="83">
        <f>$J$326-EFEITO!$K$326*EFEITO!$Y$326</f>
        <v>0</v>
      </c>
      <c r="N326" s="83">
        <f ca="1">$K$326-EFEITO!$M$326*EFEITO!$Z$326</f>
        <v>403.69234673805113</v>
      </c>
      <c r="O326" s="83">
        <f>$L$326-EFEITO!$O$326*EFEITO!$AA$326</f>
        <v>87.088645430469114</v>
      </c>
      <c r="P326" s="28"/>
      <c r="Q326" s="28"/>
      <c r="R326" s="28"/>
      <c r="S326" s="28"/>
      <c r="T326" s="28"/>
      <c r="U326" s="28"/>
      <c r="V326" s="28"/>
      <c r="W326" s="28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72" t="s">
        <v>21</v>
      </c>
      <c r="B327" s="72" t="s">
        <v>33</v>
      </c>
      <c r="C327" s="72" t="s">
        <v>34</v>
      </c>
      <c r="D327" s="72" t="s">
        <v>44</v>
      </c>
      <c r="E327" s="72" t="s">
        <v>25</v>
      </c>
      <c r="F327" s="72" t="s">
        <v>25</v>
      </c>
      <c r="G327" s="72" t="s">
        <v>25</v>
      </c>
      <c r="H327" s="72" t="s">
        <v>35</v>
      </c>
      <c r="I327" s="82">
        <v>44652</v>
      </c>
      <c r="J327" s="83">
        <f>EFEITO!$J$327*EFEITO!$Y$219</f>
        <v>0</v>
      </c>
      <c r="K327" s="83">
        <f ca="1">EFEITO!$L$327*EFEITO!$Z$219</f>
        <v>81102.67514611395</v>
      </c>
      <c r="L327" s="83">
        <f>EFEITO!$N$327*EFEITO!$AA$219</f>
        <v>17496.299289135426</v>
      </c>
      <c r="M327" s="83">
        <f>$J$327-EFEITO!$K$327*EFEITO!$Y$327</f>
        <v>0</v>
      </c>
      <c r="N327" s="83">
        <f ca="1">$K$327-EFEITO!$M$327*EFEITO!$Z$327</f>
        <v>1622.053502922281</v>
      </c>
      <c r="O327" s="83">
        <f>$L$327-EFEITO!$O$327*EFEITO!$AA$327</f>
        <v>349.92598578270918</v>
      </c>
      <c r="P327" s="28"/>
      <c r="Q327" s="28"/>
      <c r="R327" s="28"/>
      <c r="S327" s="28"/>
      <c r="T327" s="28"/>
      <c r="U327" s="28"/>
      <c r="V327" s="28"/>
      <c r="W327" s="28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72" t="s">
        <v>21</v>
      </c>
      <c r="B328" s="72" t="s">
        <v>33</v>
      </c>
      <c r="C328" s="72" t="s">
        <v>34</v>
      </c>
      <c r="D328" s="72" t="s">
        <v>50</v>
      </c>
      <c r="E328" s="72" t="s">
        <v>51</v>
      </c>
      <c r="F328" s="72" t="s">
        <v>25</v>
      </c>
      <c r="G328" s="72" t="s">
        <v>25</v>
      </c>
      <c r="H328" s="72" t="s">
        <v>36</v>
      </c>
      <c r="I328" s="82">
        <v>44317</v>
      </c>
      <c r="J328" s="83">
        <f>EFEITO!$J$328*EFEITO!$Y$195</f>
        <v>0</v>
      </c>
      <c r="K328" s="83">
        <f ca="1">EFEITO!$L$328*EFEITO!$Z$195</f>
        <v>7387.1052282009114</v>
      </c>
      <c r="L328" s="83">
        <f>EFEITO!$N$328*EFEITO!$AA$195</f>
        <v>15506.766935974687</v>
      </c>
      <c r="M328" s="83">
        <f>$J$328-EFEITO!$K$328*EFEITO!$Y$328</f>
        <v>0</v>
      </c>
      <c r="N328" s="83">
        <f ca="1">$K$328-EFEITO!$M$328*EFEITO!$Z$328</f>
        <v>221.61315684602778</v>
      </c>
      <c r="O328" s="83">
        <f>$L$328-EFEITO!$O$328*EFEITO!$AA$328</f>
        <v>465.20300807924104</v>
      </c>
      <c r="P328" s="28"/>
      <c r="Q328" s="28"/>
      <c r="R328" s="28"/>
      <c r="S328" s="28"/>
      <c r="T328" s="28"/>
      <c r="U328" s="28"/>
      <c r="V328" s="28"/>
      <c r="W328" s="28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72" t="s">
        <v>21</v>
      </c>
      <c r="B329" s="72" t="s">
        <v>33</v>
      </c>
      <c r="C329" s="72" t="s">
        <v>34</v>
      </c>
      <c r="D329" s="72" t="s">
        <v>50</v>
      </c>
      <c r="E329" s="72" t="s">
        <v>51</v>
      </c>
      <c r="F329" s="72" t="s">
        <v>25</v>
      </c>
      <c r="G329" s="72" t="s">
        <v>25</v>
      </c>
      <c r="H329" s="72" t="s">
        <v>36</v>
      </c>
      <c r="I329" s="82">
        <v>44348</v>
      </c>
      <c r="J329" s="83">
        <f>EFEITO!$J$329*EFEITO!$Y$195</f>
        <v>0</v>
      </c>
      <c r="K329" s="83">
        <f ca="1">EFEITO!$L$329*EFEITO!$Z$195</f>
        <v>8574.9063120171231</v>
      </c>
      <c r="L329" s="83">
        <f>EFEITO!$N$329*EFEITO!$AA$195</f>
        <v>18000.159679687091</v>
      </c>
      <c r="M329" s="83">
        <f>$J$329-EFEITO!$K$329*EFEITO!$Y$329</f>
        <v>0</v>
      </c>
      <c r="N329" s="83">
        <f ca="1">$K$329-EFEITO!$M$329*EFEITO!$Z$329</f>
        <v>257.24718936051431</v>
      </c>
      <c r="O329" s="83">
        <f>$L$329-EFEITO!$O$329*EFEITO!$AA$329</f>
        <v>540.00479039061247</v>
      </c>
      <c r="P329" s="28"/>
      <c r="Q329" s="28"/>
      <c r="R329" s="28"/>
      <c r="S329" s="28"/>
      <c r="T329" s="28"/>
      <c r="U329" s="28"/>
      <c r="V329" s="28"/>
      <c r="W329" s="28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72" t="s">
        <v>21</v>
      </c>
      <c r="B330" s="72" t="s">
        <v>33</v>
      </c>
      <c r="C330" s="72" t="s">
        <v>34</v>
      </c>
      <c r="D330" s="72" t="s">
        <v>50</v>
      </c>
      <c r="E330" s="72" t="s">
        <v>51</v>
      </c>
      <c r="F330" s="72" t="s">
        <v>25</v>
      </c>
      <c r="G330" s="72" t="s">
        <v>25</v>
      </c>
      <c r="H330" s="72" t="s">
        <v>36</v>
      </c>
      <c r="I330" s="82">
        <v>44378</v>
      </c>
      <c r="J330" s="83">
        <f>EFEITO!$J$330*EFEITO!$Y$195</f>
        <v>0</v>
      </c>
      <c r="K330" s="83">
        <f ca="1">EFEITO!$L$330*EFEITO!$Z$195</f>
        <v>8748.4053467318499</v>
      </c>
      <c r="L330" s="83">
        <f>EFEITO!$N$330*EFEITO!$AA$195</f>
        <v>18364.363114161937</v>
      </c>
      <c r="M330" s="83">
        <f>$J$330-EFEITO!$K$330*EFEITO!$Y$330</f>
        <v>0</v>
      </c>
      <c r="N330" s="83">
        <f ca="1">$K$330-EFEITO!$M$330*EFEITO!$Z$330</f>
        <v>262.45216040195555</v>
      </c>
      <c r="O330" s="83">
        <f>$L$330-EFEITO!$O$330*EFEITO!$AA$330</f>
        <v>550.93089342485837</v>
      </c>
      <c r="P330" s="28"/>
      <c r="Q330" s="28"/>
      <c r="R330" s="28"/>
      <c r="S330" s="28"/>
      <c r="T330" s="28"/>
      <c r="U330" s="28"/>
      <c r="V330" s="28"/>
      <c r="W330" s="28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72" t="s">
        <v>21</v>
      </c>
      <c r="B331" s="72" t="s">
        <v>33</v>
      </c>
      <c r="C331" s="72" t="s">
        <v>34</v>
      </c>
      <c r="D331" s="72" t="s">
        <v>50</v>
      </c>
      <c r="E331" s="72" t="s">
        <v>51</v>
      </c>
      <c r="F331" s="72" t="s">
        <v>25</v>
      </c>
      <c r="G331" s="72" t="s">
        <v>25</v>
      </c>
      <c r="H331" s="72" t="s">
        <v>36</v>
      </c>
      <c r="I331" s="82">
        <v>44409</v>
      </c>
      <c r="J331" s="83">
        <f>EFEITO!$J$331*EFEITO!$Y$195</f>
        <v>0</v>
      </c>
      <c r="K331" s="83">
        <f ca="1">EFEITO!$L$331*EFEITO!$Z$195</f>
        <v>8229.8148253867294</v>
      </c>
      <c r="L331" s="83">
        <f>EFEITO!$N$331*EFEITO!$AA$195</f>
        <v>17275.75504628108</v>
      </c>
      <c r="M331" s="83">
        <f>$J$331-EFEITO!$K$331*EFEITO!$Y$331</f>
        <v>0</v>
      </c>
      <c r="N331" s="83">
        <f ca="1">$K$331-EFEITO!$M$331*EFEITO!$Z$331</f>
        <v>246.89444476160133</v>
      </c>
      <c r="O331" s="83">
        <f>$L$331-EFEITO!$O$331*EFEITO!$AA$331</f>
        <v>518.27265138843359</v>
      </c>
      <c r="P331" s="28"/>
      <c r="Q331" s="28"/>
      <c r="R331" s="28"/>
      <c r="S331" s="28"/>
      <c r="T331" s="28"/>
      <c r="U331" s="28"/>
      <c r="V331" s="28"/>
      <c r="W331" s="28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72" t="s">
        <v>21</v>
      </c>
      <c r="B332" s="72" t="s">
        <v>33</v>
      </c>
      <c r="C332" s="72" t="s">
        <v>34</v>
      </c>
      <c r="D332" s="72" t="s">
        <v>50</v>
      </c>
      <c r="E332" s="72" t="s">
        <v>51</v>
      </c>
      <c r="F332" s="72" t="s">
        <v>25</v>
      </c>
      <c r="G332" s="72" t="s">
        <v>25</v>
      </c>
      <c r="H332" s="72" t="s">
        <v>36</v>
      </c>
      <c r="I332" s="82">
        <v>44440</v>
      </c>
      <c r="J332" s="83">
        <f>EFEITO!$J$332*EFEITO!$Y$195</f>
        <v>0</v>
      </c>
      <c r="K332" s="83">
        <f ca="1">EFEITO!$L$332*EFEITO!$Z$195</f>
        <v>7656.4351351843279</v>
      </c>
      <c r="L332" s="83">
        <f>EFEITO!$N$332*EFEITO!$AA$195</f>
        <v>16072.135367513429</v>
      </c>
      <c r="M332" s="83">
        <f>$J$332-EFEITO!$K$332*EFEITO!$Y$332</f>
        <v>0</v>
      </c>
      <c r="N332" s="83">
        <f ca="1">$K$332-EFEITO!$M$332*EFEITO!$Z$332</f>
        <v>229.6930540555295</v>
      </c>
      <c r="O332" s="83">
        <f>$L$332-EFEITO!$O$332*EFEITO!$AA$332</f>
        <v>482.1640610254035</v>
      </c>
      <c r="P332" s="28"/>
      <c r="Q332" s="28"/>
      <c r="R332" s="28"/>
      <c r="S332" s="28"/>
      <c r="T332" s="28"/>
      <c r="U332" s="28"/>
      <c r="V332" s="28"/>
      <c r="W332" s="28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72" t="s">
        <v>21</v>
      </c>
      <c r="B333" s="72" t="s">
        <v>33</v>
      </c>
      <c r="C333" s="72" t="s">
        <v>34</v>
      </c>
      <c r="D333" s="72" t="s">
        <v>50</v>
      </c>
      <c r="E333" s="72" t="s">
        <v>51</v>
      </c>
      <c r="F333" s="72" t="s">
        <v>25</v>
      </c>
      <c r="G333" s="72" t="s">
        <v>25</v>
      </c>
      <c r="H333" s="72" t="s">
        <v>36</v>
      </c>
      <c r="I333" s="82">
        <v>44470</v>
      </c>
      <c r="J333" s="83">
        <f>EFEITO!$J$333*EFEITO!$Y$195</f>
        <v>0</v>
      </c>
      <c r="K333" s="83">
        <f ca="1">EFEITO!$L$333*EFEITO!$Z$195</f>
        <v>8303.0677434559911</v>
      </c>
      <c r="L333" s="83">
        <f>EFEITO!$N$333*EFEITO!$AA$195</f>
        <v>17429.525148748769</v>
      </c>
      <c r="M333" s="83">
        <f>$J$333-EFEITO!$K$333*EFEITO!$Y$333</f>
        <v>0</v>
      </c>
      <c r="N333" s="83">
        <f ca="1">$K$333-EFEITO!$M$333*EFEITO!$Z$333</f>
        <v>249.09203230368075</v>
      </c>
      <c r="O333" s="83">
        <f>$L$333-EFEITO!$O$333*EFEITO!$AA$333</f>
        <v>522.8857544624625</v>
      </c>
      <c r="P333" s="28"/>
      <c r="Q333" s="28"/>
      <c r="R333" s="28"/>
      <c r="S333" s="28"/>
      <c r="T333" s="28"/>
      <c r="U333" s="28"/>
      <c r="V333" s="28"/>
      <c r="W333" s="28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72" t="s">
        <v>21</v>
      </c>
      <c r="B334" s="72" t="s">
        <v>33</v>
      </c>
      <c r="C334" s="72" t="s">
        <v>34</v>
      </c>
      <c r="D334" s="72" t="s">
        <v>50</v>
      </c>
      <c r="E334" s="72" t="s">
        <v>51</v>
      </c>
      <c r="F334" s="72" t="s">
        <v>25</v>
      </c>
      <c r="G334" s="72" t="s">
        <v>25</v>
      </c>
      <c r="H334" s="72" t="s">
        <v>36</v>
      </c>
      <c r="I334" s="82">
        <v>44501</v>
      </c>
      <c r="J334" s="83">
        <f>EFEITO!$J$334*EFEITO!$Y$195</f>
        <v>0</v>
      </c>
      <c r="K334" s="83">
        <f ca="1">EFEITO!$L$334*EFEITO!$Z$195</f>
        <v>9310.0445007505477</v>
      </c>
      <c r="L334" s="83">
        <f>EFEITO!$N$334*EFEITO!$AA$195</f>
        <v>19543.337447739559</v>
      </c>
      <c r="M334" s="83">
        <f>$J$334-EFEITO!$K$334*EFEITO!$Y$334</f>
        <v>0</v>
      </c>
      <c r="N334" s="83">
        <f ca="1">$K$334-EFEITO!$M$334*EFEITO!$Z$334</f>
        <v>279.30133502251738</v>
      </c>
      <c r="O334" s="83">
        <f>$L$334-EFEITO!$O$334*EFEITO!$AA$334</f>
        <v>586.3001234321855</v>
      </c>
      <c r="P334" s="28"/>
      <c r="Q334" s="28"/>
      <c r="R334" s="28"/>
      <c r="S334" s="28"/>
      <c r="T334" s="28"/>
      <c r="U334" s="28"/>
      <c r="V334" s="28"/>
      <c r="W334" s="28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72" t="s">
        <v>21</v>
      </c>
      <c r="B335" s="72" t="s">
        <v>33</v>
      </c>
      <c r="C335" s="72" t="s">
        <v>34</v>
      </c>
      <c r="D335" s="72" t="s">
        <v>50</v>
      </c>
      <c r="E335" s="72" t="s">
        <v>51</v>
      </c>
      <c r="F335" s="72" t="s">
        <v>25</v>
      </c>
      <c r="G335" s="72" t="s">
        <v>25</v>
      </c>
      <c r="H335" s="72" t="s">
        <v>36</v>
      </c>
      <c r="I335" s="82">
        <v>44531</v>
      </c>
      <c r="J335" s="83">
        <f>EFEITO!$J$335*EFEITO!$Y$195</f>
        <v>0</v>
      </c>
      <c r="K335" s="83">
        <f ca="1">EFEITO!$L$335*EFEITO!$Z$195</f>
        <v>9728.0878660608741</v>
      </c>
      <c r="L335" s="83">
        <f>EFEITO!$N$335*EFEITO!$AA$195</f>
        <v>20420.880251685314</v>
      </c>
      <c r="M335" s="83">
        <f>$J$335-EFEITO!$K$335*EFEITO!$Y$335</f>
        <v>0</v>
      </c>
      <c r="N335" s="83">
        <f ca="1">$K$335-EFEITO!$M$335*EFEITO!$Z$335</f>
        <v>291.84263598182588</v>
      </c>
      <c r="O335" s="83">
        <f>$L$335-EFEITO!$O$335*EFEITO!$AA$335</f>
        <v>612.62640755056054</v>
      </c>
      <c r="P335" s="28"/>
      <c r="Q335" s="28"/>
      <c r="R335" s="28"/>
      <c r="S335" s="28"/>
      <c r="T335" s="28"/>
      <c r="U335" s="28"/>
      <c r="V335" s="28"/>
      <c r="W335" s="28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72" t="s">
        <v>21</v>
      </c>
      <c r="B336" s="72" t="s">
        <v>33</v>
      </c>
      <c r="C336" s="72" t="s">
        <v>34</v>
      </c>
      <c r="D336" s="72" t="s">
        <v>50</v>
      </c>
      <c r="E336" s="72" t="s">
        <v>51</v>
      </c>
      <c r="F336" s="72" t="s">
        <v>25</v>
      </c>
      <c r="G336" s="72" t="s">
        <v>25</v>
      </c>
      <c r="H336" s="72" t="s">
        <v>36</v>
      </c>
      <c r="I336" s="82">
        <v>44562</v>
      </c>
      <c r="J336" s="83">
        <f>EFEITO!$J$336*EFEITO!$Y$195</f>
        <v>0</v>
      </c>
      <c r="K336" s="83">
        <f ca="1">EFEITO!$L$336*EFEITO!$Z$195</f>
        <v>10628.295986607907</v>
      </c>
      <c r="L336" s="83">
        <f>EFEITO!$N$336*EFEITO!$AA$195</f>
        <v>22310.567360230045</v>
      </c>
      <c r="M336" s="83">
        <f>$J$336-EFEITO!$K$336*EFEITO!$Y$336</f>
        <v>0</v>
      </c>
      <c r="N336" s="83">
        <f ca="1">$K$336-EFEITO!$M$336*EFEITO!$Z$336</f>
        <v>318.84887959823754</v>
      </c>
      <c r="O336" s="83">
        <f>$L$336-EFEITO!$O$336*EFEITO!$AA$336</f>
        <v>669.31702080690229</v>
      </c>
      <c r="P336" s="28"/>
      <c r="Q336" s="28"/>
      <c r="R336" s="28"/>
      <c r="S336" s="28"/>
      <c r="T336" s="28"/>
      <c r="U336" s="28"/>
      <c r="V336" s="28"/>
      <c r="W336" s="28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72" t="s">
        <v>21</v>
      </c>
      <c r="B337" s="72" t="s">
        <v>33</v>
      </c>
      <c r="C337" s="72" t="s">
        <v>34</v>
      </c>
      <c r="D337" s="72" t="s">
        <v>50</v>
      </c>
      <c r="E337" s="72" t="s">
        <v>51</v>
      </c>
      <c r="F337" s="72" t="s">
        <v>25</v>
      </c>
      <c r="G337" s="72" t="s">
        <v>25</v>
      </c>
      <c r="H337" s="72" t="s">
        <v>36</v>
      </c>
      <c r="I337" s="82">
        <v>44593</v>
      </c>
      <c r="J337" s="83">
        <f>EFEITO!$J$337*EFEITO!$Y$195</f>
        <v>0</v>
      </c>
      <c r="K337" s="83">
        <f ca="1">EFEITO!$L$337*EFEITO!$Z$195</f>
        <v>10709.275582336528</v>
      </c>
      <c r="L337" s="83">
        <f>EFEITO!$N$337*EFEITO!$AA$195</f>
        <v>22480.557048848437</v>
      </c>
      <c r="M337" s="83">
        <f>$J$337-EFEITO!$K$337*EFEITO!$Y$337</f>
        <v>0</v>
      </c>
      <c r="N337" s="83">
        <f ca="1">$K$337-EFEITO!$M$337*EFEITO!$Z$337</f>
        <v>321.27826747009567</v>
      </c>
      <c r="O337" s="83">
        <f>$L$337-EFEITO!$O$337*EFEITO!$AA$337</f>
        <v>674.41671146545559</v>
      </c>
      <c r="P337" s="28"/>
      <c r="Q337" s="28"/>
      <c r="R337" s="28"/>
      <c r="S337" s="28"/>
      <c r="T337" s="28"/>
      <c r="U337" s="28"/>
      <c r="V337" s="28"/>
      <c r="W337" s="28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72" t="s">
        <v>21</v>
      </c>
      <c r="B338" s="72" t="s">
        <v>33</v>
      </c>
      <c r="C338" s="72" t="s">
        <v>34</v>
      </c>
      <c r="D338" s="72" t="s">
        <v>50</v>
      </c>
      <c r="E338" s="72" t="s">
        <v>51</v>
      </c>
      <c r="F338" s="72" t="s">
        <v>25</v>
      </c>
      <c r="G338" s="72" t="s">
        <v>25</v>
      </c>
      <c r="H338" s="72" t="s">
        <v>36</v>
      </c>
      <c r="I338" s="82">
        <v>44621</v>
      </c>
      <c r="J338" s="83">
        <f>EFEITO!$J$338*EFEITO!$Y$195</f>
        <v>0</v>
      </c>
      <c r="K338" s="83">
        <f ca="1">EFEITO!$L$338*EFEITO!$Z$195</f>
        <v>12103.991073082621</v>
      </c>
      <c r="L338" s="83">
        <f>EFEITO!$N$338*EFEITO!$AA$195</f>
        <v>25408.297671038072</v>
      </c>
      <c r="M338" s="83">
        <f>$J$338-EFEITO!$K$338*EFEITO!$Y$338</f>
        <v>0</v>
      </c>
      <c r="N338" s="83">
        <f ca="1">$K$338-EFEITO!$M$338*EFEITO!$Z$338</f>
        <v>363.11973219247739</v>
      </c>
      <c r="O338" s="83">
        <f>$L$338-EFEITO!$O$338*EFEITO!$AA$338</f>
        <v>762.24893013114342</v>
      </c>
      <c r="P338" s="28"/>
      <c r="Q338" s="28"/>
      <c r="R338" s="28"/>
      <c r="S338" s="28"/>
      <c r="T338" s="28"/>
      <c r="U338" s="28"/>
      <c r="V338" s="28"/>
      <c r="W338" s="28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72" t="s">
        <v>21</v>
      </c>
      <c r="B339" s="72" t="s">
        <v>33</v>
      </c>
      <c r="C339" s="72" t="s">
        <v>34</v>
      </c>
      <c r="D339" s="72" t="s">
        <v>50</v>
      </c>
      <c r="E339" s="72" t="s">
        <v>51</v>
      </c>
      <c r="F339" s="72" t="s">
        <v>25</v>
      </c>
      <c r="G339" s="72" t="s">
        <v>25</v>
      </c>
      <c r="H339" s="72" t="s">
        <v>36</v>
      </c>
      <c r="I339" s="82">
        <v>44652</v>
      </c>
      <c r="J339" s="83">
        <f>EFEITO!$J$339*EFEITO!$Y$195</f>
        <v>0</v>
      </c>
      <c r="K339" s="83">
        <f ca="1">EFEITO!$L$339*EFEITO!$Z$195</f>
        <v>11121.097466934123</v>
      </c>
      <c r="L339" s="83">
        <f>EFEITO!$N$339*EFEITO!$AA$195</f>
        <v>23345.039926283236</v>
      </c>
      <c r="M339" s="83">
        <f>$J$339-EFEITO!$K$339*EFEITO!$Y$339</f>
        <v>0</v>
      </c>
      <c r="N339" s="83">
        <f ca="1">$K$339-EFEITO!$M$339*EFEITO!$Z$339</f>
        <v>333.63292400802493</v>
      </c>
      <c r="O339" s="83">
        <f>$L$339-EFEITO!$O$339*EFEITO!$AA$339</f>
        <v>700.35119778849912</v>
      </c>
      <c r="P339" s="28"/>
      <c r="Q339" s="28"/>
      <c r="R339" s="28"/>
      <c r="S339" s="28"/>
      <c r="T339" s="28"/>
      <c r="U339" s="28"/>
      <c r="V339" s="28"/>
      <c r="W339" s="28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72" t="s">
        <v>21</v>
      </c>
      <c r="B340" s="72" t="s">
        <v>33</v>
      </c>
      <c r="C340" s="72" t="s">
        <v>34</v>
      </c>
      <c r="D340" s="72" t="s">
        <v>50</v>
      </c>
      <c r="E340" s="72" t="s">
        <v>51</v>
      </c>
      <c r="F340" s="72" t="s">
        <v>25</v>
      </c>
      <c r="G340" s="72" t="s">
        <v>25</v>
      </c>
      <c r="H340" s="72" t="s">
        <v>25</v>
      </c>
      <c r="I340" s="82">
        <v>44317</v>
      </c>
      <c r="J340" s="83">
        <f ca="1">EFEITO!$J$340*EFEITO!$Y$207</f>
        <v>4320.1308596549407</v>
      </c>
      <c r="K340" s="83">
        <f>EFEITO!$L$340*EFEITO!$Z$207</f>
        <v>0</v>
      </c>
      <c r="L340" s="83">
        <f>EFEITO!$N$340*EFEITO!$AA$207</f>
        <v>0</v>
      </c>
      <c r="M340" s="83">
        <f ca="1">$J$340-EFEITO!$K$340*EFEITO!$Y$340</f>
        <v>129.6039257896482</v>
      </c>
      <c r="N340" s="83">
        <f>$K$340-EFEITO!$M$340*EFEITO!$Z$340</f>
        <v>0</v>
      </c>
      <c r="O340" s="83">
        <f>$L$340-EFEITO!$O$340*EFEITO!$AA$340</f>
        <v>0</v>
      </c>
      <c r="P340" s="28"/>
      <c r="Q340" s="28"/>
      <c r="R340" s="28"/>
      <c r="S340" s="28"/>
      <c r="T340" s="28"/>
      <c r="U340" s="28"/>
      <c r="V340" s="28"/>
      <c r="W340" s="28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72" t="s">
        <v>21</v>
      </c>
      <c r="B341" s="72" t="s">
        <v>33</v>
      </c>
      <c r="C341" s="72" t="s">
        <v>34</v>
      </c>
      <c r="D341" s="72" t="s">
        <v>50</v>
      </c>
      <c r="E341" s="72" t="s">
        <v>51</v>
      </c>
      <c r="F341" s="72" t="s">
        <v>25</v>
      </c>
      <c r="G341" s="72" t="s">
        <v>25</v>
      </c>
      <c r="H341" s="72" t="s">
        <v>25</v>
      </c>
      <c r="I341" s="82">
        <v>44348</v>
      </c>
      <c r="J341" s="83">
        <f ca="1">EFEITO!$J$341*EFEITO!$Y$207</f>
        <v>4320.1308596549407</v>
      </c>
      <c r="K341" s="83">
        <f>EFEITO!$L$341*EFEITO!$Z$207</f>
        <v>0</v>
      </c>
      <c r="L341" s="83">
        <f>EFEITO!$N$341*EFEITO!$AA$207</f>
        <v>0</v>
      </c>
      <c r="M341" s="83">
        <f ca="1">$J$341-EFEITO!$K$341*EFEITO!$Y$341</f>
        <v>129.6039257896482</v>
      </c>
      <c r="N341" s="83">
        <f>$K$341-EFEITO!$M$341*EFEITO!$Z$341</f>
        <v>0</v>
      </c>
      <c r="O341" s="83">
        <f>$L$341-EFEITO!$O$341*EFEITO!$AA$341</f>
        <v>0</v>
      </c>
      <c r="P341" s="28"/>
      <c r="Q341" s="28"/>
      <c r="R341" s="28"/>
      <c r="S341" s="28"/>
      <c r="T341" s="28"/>
      <c r="U341" s="28"/>
      <c r="V341" s="28"/>
      <c r="W341" s="28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72" t="s">
        <v>21</v>
      </c>
      <c r="B342" s="72" t="s">
        <v>33</v>
      </c>
      <c r="C342" s="72" t="s">
        <v>34</v>
      </c>
      <c r="D342" s="72" t="s">
        <v>50</v>
      </c>
      <c r="E342" s="72" t="s">
        <v>51</v>
      </c>
      <c r="F342" s="72" t="s">
        <v>25</v>
      </c>
      <c r="G342" s="72" t="s">
        <v>25</v>
      </c>
      <c r="H342" s="72" t="s">
        <v>25</v>
      </c>
      <c r="I342" s="82">
        <v>44378</v>
      </c>
      <c r="J342" s="83">
        <f ca="1">EFEITO!$J$342*EFEITO!$Y$207</f>
        <v>4320.1308596549407</v>
      </c>
      <c r="K342" s="83">
        <f>EFEITO!$L$342*EFEITO!$Z$207</f>
        <v>0</v>
      </c>
      <c r="L342" s="83">
        <f>EFEITO!$N$342*EFEITO!$AA$207</f>
        <v>0</v>
      </c>
      <c r="M342" s="83">
        <f ca="1">$J$342-EFEITO!$K$342*EFEITO!$Y$342</f>
        <v>129.6039257896482</v>
      </c>
      <c r="N342" s="83">
        <f>$K$342-EFEITO!$M$342*EFEITO!$Z$342</f>
        <v>0</v>
      </c>
      <c r="O342" s="83">
        <f>$L$342-EFEITO!$O$342*EFEITO!$AA$342</f>
        <v>0</v>
      </c>
      <c r="P342" s="28"/>
      <c r="Q342" s="28"/>
      <c r="R342" s="28"/>
      <c r="S342" s="28"/>
      <c r="T342" s="28"/>
      <c r="U342" s="28"/>
      <c r="V342" s="28"/>
      <c r="W342" s="28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72" t="s">
        <v>21</v>
      </c>
      <c r="B343" s="72" t="s">
        <v>33</v>
      </c>
      <c r="C343" s="72" t="s">
        <v>34</v>
      </c>
      <c r="D343" s="72" t="s">
        <v>50</v>
      </c>
      <c r="E343" s="72" t="s">
        <v>51</v>
      </c>
      <c r="F343" s="72" t="s">
        <v>25</v>
      </c>
      <c r="G343" s="72" t="s">
        <v>25</v>
      </c>
      <c r="H343" s="72" t="s">
        <v>25</v>
      </c>
      <c r="I343" s="82">
        <v>44409</v>
      </c>
      <c r="J343" s="83">
        <f ca="1">EFEITO!$J$343*EFEITO!$Y$207</f>
        <v>4320.1308596549407</v>
      </c>
      <c r="K343" s="83">
        <f>EFEITO!$L$343*EFEITO!$Z$207</f>
        <v>0</v>
      </c>
      <c r="L343" s="83">
        <f>EFEITO!$N$343*EFEITO!$AA$207</f>
        <v>0</v>
      </c>
      <c r="M343" s="83">
        <f ca="1">$J$343-EFEITO!$K$343*EFEITO!$Y$343</f>
        <v>129.6039257896482</v>
      </c>
      <c r="N343" s="83">
        <f>$K$343-EFEITO!$M$343*EFEITO!$Z$343</f>
        <v>0</v>
      </c>
      <c r="O343" s="83">
        <f>$L$343-EFEITO!$O$343*EFEITO!$AA$343</f>
        <v>0</v>
      </c>
      <c r="P343" s="28"/>
      <c r="Q343" s="28"/>
      <c r="R343" s="28"/>
      <c r="S343" s="28"/>
      <c r="T343" s="28"/>
      <c r="U343" s="28"/>
      <c r="V343" s="28"/>
      <c r="W343" s="28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72" t="s">
        <v>21</v>
      </c>
      <c r="B344" s="72" t="s">
        <v>33</v>
      </c>
      <c r="C344" s="72" t="s">
        <v>34</v>
      </c>
      <c r="D344" s="72" t="s">
        <v>50</v>
      </c>
      <c r="E344" s="72" t="s">
        <v>51</v>
      </c>
      <c r="F344" s="72" t="s">
        <v>25</v>
      </c>
      <c r="G344" s="72" t="s">
        <v>25</v>
      </c>
      <c r="H344" s="72" t="s">
        <v>25</v>
      </c>
      <c r="I344" s="82">
        <v>44440</v>
      </c>
      <c r="J344" s="83">
        <f ca="1">EFEITO!$J$344*EFEITO!$Y$207</f>
        <v>4353.4909435132795</v>
      </c>
      <c r="K344" s="83">
        <f>EFEITO!$L$344*EFEITO!$Z$207</f>
        <v>0</v>
      </c>
      <c r="L344" s="83">
        <f>EFEITO!$N$344*EFEITO!$AA$207</f>
        <v>0</v>
      </c>
      <c r="M344" s="83">
        <f ca="1">$J$344-EFEITO!$K$344*EFEITO!$Y$344</f>
        <v>130.60472830539857</v>
      </c>
      <c r="N344" s="83">
        <f>$K$344-EFEITO!$M$344*EFEITO!$Z$344</f>
        <v>0</v>
      </c>
      <c r="O344" s="83">
        <f>$L$344-EFEITO!$O$344*EFEITO!$AA$344</f>
        <v>0</v>
      </c>
      <c r="P344" s="28"/>
      <c r="Q344" s="28"/>
      <c r="R344" s="28"/>
      <c r="S344" s="28"/>
      <c r="T344" s="28"/>
      <c r="U344" s="28"/>
      <c r="V344" s="28"/>
      <c r="W344" s="28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72" t="s">
        <v>21</v>
      </c>
      <c r="B345" s="72" t="s">
        <v>33</v>
      </c>
      <c r="C345" s="72" t="s">
        <v>34</v>
      </c>
      <c r="D345" s="72" t="s">
        <v>50</v>
      </c>
      <c r="E345" s="72" t="s">
        <v>51</v>
      </c>
      <c r="F345" s="72" t="s">
        <v>25</v>
      </c>
      <c r="G345" s="72" t="s">
        <v>25</v>
      </c>
      <c r="H345" s="72" t="s">
        <v>25</v>
      </c>
      <c r="I345" s="82">
        <v>44470</v>
      </c>
      <c r="J345" s="83">
        <f ca="1">EFEITO!$J$345*EFEITO!$Y$207</f>
        <v>4336.8109015841101</v>
      </c>
      <c r="K345" s="83">
        <f>EFEITO!$L$345*EFEITO!$Z$207</f>
        <v>0</v>
      </c>
      <c r="L345" s="83">
        <f>EFEITO!$N$345*EFEITO!$AA$207</f>
        <v>0</v>
      </c>
      <c r="M345" s="83">
        <f ca="1">$J$345-EFEITO!$K$345*EFEITO!$Y$345</f>
        <v>130.10432704752384</v>
      </c>
      <c r="N345" s="83">
        <f>$K$345-EFEITO!$M$345*EFEITO!$Z$345</f>
        <v>0</v>
      </c>
      <c r="O345" s="83">
        <f>$L$345-EFEITO!$O$345*EFEITO!$AA$345</f>
        <v>0</v>
      </c>
      <c r="P345" s="28"/>
      <c r="Q345" s="28"/>
      <c r="R345" s="28"/>
      <c r="S345" s="28"/>
      <c r="T345" s="28"/>
      <c r="U345" s="28"/>
      <c r="V345" s="28"/>
      <c r="W345" s="28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72" t="s">
        <v>21</v>
      </c>
      <c r="B346" s="72" t="s">
        <v>33</v>
      </c>
      <c r="C346" s="72" t="s">
        <v>34</v>
      </c>
      <c r="D346" s="72" t="s">
        <v>50</v>
      </c>
      <c r="E346" s="72" t="s">
        <v>51</v>
      </c>
      <c r="F346" s="72" t="s">
        <v>25</v>
      </c>
      <c r="G346" s="72" t="s">
        <v>25</v>
      </c>
      <c r="H346" s="72" t="s">
        <v>25</v>
      </c>
      <c r="I346" s="82">
        <v>44501</v>
      </c>
      <c r="J346" s="83">
        <f ca="1">EFEITO!$J$346*EFEITO!$Y$207</f>
        <v>4320.1308596549407</v>
      </c>
      <c r="K346" s="83">
        <f>EFEITO!$L$346*EFEITO!$Z$207</f>
        <v>0</v>
      </c>
      <c r="L346" s="83">
        <f>EFEITO!$N$346*EFEITO!$AA$207</f>
        <v>0</v>
      </c>
      <c r="M346" s="83">
        <f ca="1">$J$346-EFEITO!$K$346*EFEITO!$Y$346</f>
        <v>129.6039257896482</v>
      </c>
      <c r="N346" s="83">
        <f>$K$346-EFEITO!$M$346*EFEITO!$Z$346</f>
        <v>0</v>
      </c>
      <c r="O346" s="83">
        <f>$L$346-EFEITO!$O$346*EFEITO!$AA$346</f>
        <v>0</v>
      </c>
      <c r="P346" s="28"/>
      <c r="Q346" s="28"/>
      <c r="R346" s="28"/>
      <c r="S346" s="28"/>
      <c r="T346" s="28"/>
      <c r="U346" s="28"/>
      <c r="V346" s="28"/>
      <c r="W346" s="28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72" t="s">
        <v>21</v>
      </c>
      <c r="B347" s="72" t="s">
        <v>33</v>
      </c>
      <c r="C347" s="72" t="s">
        <v>34</v>
      </c>
      <c r="D347" s="72" t="s">
        <v>50</v>
      </c>
      <c r="E347" s="72" t="s">
        <v>51</v>
      </c>
      <c r="F347" s="72" t="s">
        <v>25</v>
      </c>
      <c r="G347" s="72" t="s">
        <v>25</v>
      </c>
      <c r="H347" s="72" t="s">
        <v>25</v>
      </c>
      <c r="I347" s="82">
        <v>44531</v>
      </c>
      <c r="J347" s="83">
        <f ca="1">EFEITO!$J$347*EFEITO!$Y$207</f>
        <v>4320.1308596549407</v>
      </c>
      <c r="K347" s="83">
        <f>EFEITO!$L$347*EFEITO!$Z$207</f>
        <v>0</v>
      </c>
      <c r="L347" s="83">
        <f>EFEITO!$N$347*EFEITO!$AA$207</f>
        <v>0</v>
      </c>
      <c r="M347" s="83">
        <f ca="1">$J$347-EFEITO!$K$347*EFEITO!$Y$347</f>
        <v>129.6039257896482</v>
      </c>
      <c r="N347" s="83">
        <f>$K$347-EFEITO!$M$347*EFEITO!$Z$347</f>
        <v>0</v>
      </c>
      <c r="O347" s="83">
        <f>$L$347-EFEITO!$O$347*EFEITO!$AA$347</f>
        <v>0</v>
      </c>
      <c r="P347" s="28"/>
      <c r="Q347" s="28"/>
      <c r="R347" s="28"/>
      <c r="S347" s="28"/>
      <c r="T347" s="28"/>
      <c r="U347" s="28"/>
      <c r="V347" s="28"/>
      <c r="W347" s="28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72" t="s">
        <v>21</v>
      </c>
      <c r="B348" s="72" t="s">
        <v>33</v>
      </c>
      <c r="C348" s="72" t="s">
        <v>34</v>
      </c>
      <c r="D348" s="72" t="s">
        <v>50</v>
      </c>
      <c r="E348" s="72" t="s">
        <v>51</v>
      </c>
      <c r="F348" s="72" t="s">
        <v>25</v>
      </c>
      <c r="G348" s="72" t="s">
        <v>25</v>
      </c>
      <c r="H348" s="72" t="s">
        <v>25</v>
      </c>
      <c r="I348" s="82">
        <v>44562</v>
      </c>
      <c r="J348" s="83">
        <f ca="1">EFEITO!$J$348*EFEITO!$Y$207</f>
        <v>4353.4909435132795</v>
      </c>
      <c r="K348" s="83">
        <f>EFEITO!$L$348*EFEITO!$Z$207</f>
        <v>0</v>
      </c>
      <c r="L348" s="83">
        <f>EFEITO!$N$348*EFEITO!$AA$207</f>
        <v>0</v>
      </c>
      <c r="M348" s="83">
        <f ca="1">$J$348-EFEITO!$K$348*EFEITO!$Y$348</f>
        <v>130.60472830539857</v>
      </c>
      <c r="N348" s="83">
        <f>$K$348-EFEITO!$M$348*EFEITO!$Z$348</f>
        <v>0</v>
      </c>
      <c r="O348" s="83">
        <f>$L$348-EFEITO!$O$348*EFEITO!$AA$348</f>
        <v>0</v>
      </c>
      <c r="P348" s="28"/>
      <c r="Q348" s="28"/>
      <c r="R348" s="28"/>
      <c r="S348" s="28"/>
      <c r="T348" s="28"/>
      <c r="U348" s="28"/>
      <c r="V348" s="28"/>
      <c r="W348" s="28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72" t="s">
        <v>21</v>
      </c>
      <c r="B349" s="72" t="s">
        <v>33</v>
      </c>
      <c r="C349" s="72" t="s">
        <v>34</v>
      </c>
      <c r="D349" s="72" t="s">
        <v>50</v>
      </c>
      <c r="E349" s="72" t="s">
        <v>51</v>
      </c>
      <c r="F349" s="72" t="s">
        <v>25</v>
      </c>
      <c r="G349" s="72" t="s">
        <v>25</v>
      </c>
      <c r="H349" s="72" t="s">
        <v>25</v>
      </c>
      <c r="I349" s="82">
        <v>44593</v>
      </c>
      <c r="J349" s="83">
        <f ca="1">EFEITO!$J$349*EFEITO!$Y$207</f>
        <v>4403.5310693007887</v>
      </c>
      <c r="K349" s="83">
        <f>EFEITO!$L$349*EFEITO!$Z$207</f>
        <v>0</v>
      </c>
      <c r="L349" s="83">
        <f>EFEITO!$N$349*EFEITO!$AA$207</f>
        <v>0</v>
      </c>
      <c r="M349" s="83">
        <f ca="1">$J$349-EFEITO!$K$349*EFEITO!$Y$349</f>
        <v>132.10593207902366</v>
      </c>
      <c r="N349" s="83">
        <f>$K$349-EFEITO!$M$349*EFEITO!$Z$349</f>
        <v>0</v>
      </c>
      <c r="O349" s="83">
        <f>$L$349-EFEITO!$O$349*EFEITO!$AA$349</f>
        <v>0</v>
      </c>
      <c r="P349" s="28"/>
      <c r="Q349" s="28"/>
      <c r="R349" s="28"/>
      <c r="S349" s="28"/>
      <c r="T349" s="28"/>
      <c r="U349" s="28"/>
      <c r="V349" s="28"/>
      <c r="W349" s="28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72" t="s">
        <v>21</v>
      </c>
      <c r="B350" s="72" t="s">
        <v>33</v>
      </c>
      <c r="C350" s="72" t="s">
        <v>34</v>
      </c>
      <c r="D350" s="72" t="s">
        <v>50</v>
      </c>
      <c r="E350" s="72" t="s">
        <v>51</v>
      </c>
      <c r="F350" s="72" t="s">
        <v>25</v>
      </c>
      <c r="G350" s="72" t="s">
        <v>25</v>
      </c>
      <c r="H350" s="72" t="s">
        <v>25</v>
      </c>
      <c r="I350" s="82">
        <v>44621</v>
      </c>
      <c r="J350" s="83">
        <f ca="1">EFEITO!$J$350*EFEITO!$Y$207</f>
        <v>4486.9312789466367</v>
      </c>
      <c r="K350" s="83">
        <f>EFEITO!$L$350*EFEITO!$Z$207</f>
        <v>0</v>
      </c>
      <c r="L350" s="83">
        <f>EFEITO!$N$350*EFEITO!$AA$207</f>
        <v>0</v>
      </c>
      <c r="M350" s="83">
        <f ca="1">$J$350-EFEITO!$K$350*EFEITO!$Y$350</f>
        <v>134.60793836839912</v>
      </c>
      <c r="N350" s="83">
        <f>$K$350-EFEITO!$M$350*EFEITO!$Z$350</f>
        <v>0</v>
      </c>
      <c r="O350" s="83">
        <f>$L$350-EFEITO!$O$350*EFEITO!$AA$350</f>
        <v>0</v>
      </c>
      <c r="P350" s="28"/>
      <c r="Q350" s="28"/>
      <c r="R350" s="28"/>
      <c r="S350" s="28"/>
      <c r="T350" s="28"/>
      <c r="U350" s="28"/>
      <c r="V350" s="28"/>
      <c r="W350" s="28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72" t="s">
        <v>21</v>
      </c>
      <c r="B351" s="72" t="s">
        <v>33</v>
      </c>
      <c r="C351" s="72" t="s">
        <v>34</v>
      </c>
      <c r="D351" s="72" t="s">
        <v>50</v>
      </c>
      <c r="E351" s="72" t="s">
        <v>51</v>
      </c>
      <c r="F351" s="72" t="s">
        <v>25</v>
      </c>
      <c r="G351" s="72" t="s">
        <v>25</v>
      </c>
      <c r="H351" s="72" t="s">
        <v>25</v>
      </c>
      <c r="I351" s="82">
        <v>44652</v>
      </c>
      <c r="J351" s="83">
        <f ca="1">EFEITO!$J$351*EFEITO!$Y$207</f>
        <v>4503.611320875807</v>
      </c>
      <c r="K351" s="83">
        <f>EFEITO!$L$351*EFEITO!$Z$207</f>
        <v>0</v>
      </c>
      <c r="L351" s="83">
        <f>EFEITO!$N$351*EFEITO!$AA$207</f>
        <v>0</v>
      </c>
      <c r="M351" s="83">
        <f ca="1">$J$351-EFEITO!$K$351*EFEITO!$Y$351</f>
        <v>135.10833962627476</v>
      </c>
      <c r="N351" s="83">
        <f>$K$351-EFEITO!$M$351*EFEITO!$Z$351</f>
        <v>0</v>
      </c>
      <c r="O351" s="83">
        <f>$L$351-EFEITO!$O$351*EFEITO!$AA$351</f>
        <v>0</v>
      </c>
      <c r="P351" s="28"/>
      <c r="Q351" s="28"/>
      <c r="R351" s="28"/>
      <c r="S351" s="28"/>
      <c r="T351" s="28"/>
      <c r="U351" s="28"/>
      <c r="V351" s="28"/>
      <c r="W351" s="28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72" t="s">
        <v>21</v>
      </c>
      <c r="B352" s="72" t="s">
        <v>33</v>
      </c>
      <c r="C352" s="72" t="s">
        <v>34</v>
      </c>
      <c r="D352" s="72" t="s">
        <v>50</v>
      </c>
      <c r="E352" s="72" t="s">
        <v>51</v>
      </c>
      <c r="F352" s="72" t="s">
        <v>25</v>
      </c>
      <c r="G352" s="72" t="s">
        <v>25</v>
      </c>
      <c r="H352" s="72" t="s">
        <v>35</v>
      </c>
      <c r="I352" s="82">
        <v>44317</v>
      </c>
      <c r="J352" s="83">
        <f>EFEITO!$J$352*EFEITO!$Y$219</f>
        <v>0</v>
      </c>
      <c r="K352" s="83">
        <f ca="1">EFEITO!$L$352*EFEITO!$Z$219</f>
        <v>6653.3466782921041</v>
      </c>
      <c r="L352" s="83">
        <f>EFEITO!$N$352*EFEITO!$AA$219</f>
        <v>1435.3280523491023</v>
      </c>
      <c r="M352" s="83">
        <f>$J$352-EFEITO!$K$352*EFEITO!$Y$352</f>
        <v>0</v>
      </c>
      <c r="N352" s="83">
        <f ca="1">$K$352-EFEITO!$M$352*EFEITO!$Z$352</f>
        <v>199.60040034876329</v>
      </c>
      <c r="O352" s="83">
        <f>$L$352-EFEITO!$O$352*EFEITO!$AA$352</f>
        <v>43.059841570473054</v>
      </c>
      <c r="P352" s="28"/>
      <c r="Q352" s="28"/>
      <c r="R352" s="28"/>
      <c r="S352" s="28"/>
      <c r="T352" s="28"/>
      <c r="U352" s="28"/>
      <c r="V352" s="28"/>
      <c r="W352" s="28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72" t="s">
        <v>21</v>
      </c>
      <c r="B353" s="72" t="s">
        <v>33</v>
      </c>
      <c r="C353" s="72" t="s">
        <v>34</v>
      </c>
      <c r="D353" s="72" t="s">
        <v>50</v>
      </c>
      <c r="E353" s="72" t="s">
        <v>51</v>
      </c>
      <c r="F353" s="72" t="s">
        <v>25</v>
      </c>
      <c r="G353" s="72" t="s">
        <v>25</v>
      </c>
      <c r="H353" s="72" t="s">
        <v>35</v>
      </c>
      <c r="I353" s="82">
        <v>44348</v>
      </c>
      <c r="J353" s="83">
        <f>EFEITO!$J$353*EFEITO!$Y$219</f>
        <v>0</v>
      </c>
      <c r="K353" s="83">
        <f ca="1">EFEITO!$L$353*EFEITO!$Z$219</f>
        <v>7341.7249301553165</v>
      </c>
      <c r="L353" s="83">
        <f>EFEITO!$N$353*EFEITO!$AA$219</f>
        <v>1583.8320554172146</v>
      </c>
      <c r="M353" s="83">
        <f>$J$353-EFEITO!$K$353*EFEITO!$Y$353</f>
        <v>0</v>
      </c>
      <c r="N353" s="83">
        <f ca="1">$K$353-EFEITO!$M$353*EFEITO!$Z$353</f>
        <v>220.25174790465917</v>
      </c>
      <c r="O353" s="83">
        <f>$L$353-EFEITO!$O$353*EFEITO!$AA$353</f>
        <v>47.514961662516498</v>
      </c>
      <c r="P353" s="28"/>
      <c r="Q353" s="28"/>
      <c r="R353" s="28"/>
      <c r="S353" s="28"/>
      <c r="T353" s="28"/>
      <c r="U353" s="28"/>
      <c r="V353" s="28"/>
      <c r="W353" s="28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72" t="s">
        <v>21</v>
      </c>
      <c r="B354" s="72" t="s">
        <v>33</v>
      </c>
      <c r="C354" s="72" t="s">
        <v>34</v>
      </c>
      <c r="D354" s="72" t="s">
        <v>50</v>
      </c>
      <c r="E354" s="72" t="s">
        <v>51</v>
      </c>
      <c r="F354" s="72" t="s">
        <v>25</v>
      </c>
      <c r="G354" s="72" t="s">
        <v>25</v>
      </c>
      <c r="H354" s="72" t="s">
        <v>35</v>
      </c>
      <c r="I354" s="82">
        <v>44378</v>
      </c>
      <c r="J354" s="83">
        <f>EFEITO!$J$354*EFEITO!$Y$219</f>
        <v>0</v>
      </c>
      <c r="K354" s="83">
        <f ca="1">EFEITO!$L$354*EFEITO!$Z$219</f>
        <v>6279.376649265706</v>
      </c>
      <c r="L354" s="83">
        <f>EFEITO!$N$354*EFEITO!$AA$219</f>
        <v>1354.6514095475604</v>
      </c>
      <c r="M354" s="83">
        <f>$J$354-EFEITO!$K$354*EFEITO!$Y$354</f>
        <v>0</v>
      </c>
      <c r="N354" s="83">
        <f ca="1">$K$354-EFEITO!$M$354*EFEITO!$Z$354</f>
        <v>188.38129947797097</v>
      </c>
      <c r="O354" s="83">
        <f>$L$354-EFEITO!$O$354*EFEITO!$AA$354</f>
        <v>40.639542286426831</v>
      </c>
      <c r="P354" s="28"/>
      <c r="Q354" s="28"/>
      <c r="R354" s="28"/>
      <c r="S354" s="28"/>
      <c r="T354" s="28"/>
      <c r="U354" s="28"/>
      <c r="V354" s="28"/>
      <c r="W354" s="28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72" t="s">
        <v>21</v>
      </c>
      <c r="B355" s="72" t="s">
        <v>33</v>
      </c>
      <c r="C355" s="72" t="s">
        <v>34</v>
      </c>
      <c r="D355" s="72" t="s">
        <v>50</v>
      </c>
      <c r="E355" s="72" t="s">
        <v>51</v>
      </c>
      <c r="F355" s="72" t="s">
        <v>25</v>
      </c>
      <c r="G355" s="72" t="s">
        <v>25</v>
      </c>
      <c r="H355" s="72" t="s">
        <v>35</v>
      </c>
      <c r="I355" s="82">
        <v>44409</v>
      </c>
      <c r="J355" s="83">
        <f>EFEITO!$J$355*EFEITO!$Y$219</f>
        <v>0</v>
      </c>
      <c r="K355" s="83">
        <f ca="1">EFEITO!$L$355*EFEITO!$Z$219</f>
        <v>6966.7784780766306</v>
      </c>
      <c r="L355" s="83">
        <f>EFEITO!$N$355*EFEITO!$AA$219</f>
        <v>1502.9447686396895</v>
      </c>
      <c r="M355" s="83">
        <f>$J$355-EFEITO!$K$355*EFEITO!$Y$355</f>
        <v>0</v>
      </c>
      <c r="N355" s="83">
        <f ca="1">$K$355-EFEITO!$M$355*EFEITO!$Z$355</f>
        <v>209.00335434229873</v>
      </c>
      <c r="O355" s="83">
        <f>$L$355-EFEITO!$O$355*EFEITO!$AA$355</f>
        <v>45.08834305919072</v>
      </c>
      <c r="P355" s="28"/>
      <c r="Q355" s="28"/>
      <c r="R355" s="28"/>
      <c r="S355" s="28"/>
      <c r="T355" s="28"/>
      <c r="U355" s="28"/>
      <c r="V355" s="28"/>
      <c r="W355" s="28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72" t="s">
        <v>21</v>
      </c>
      <c r="B356" s="72" t="s">
        <v>33</v>
      </c>
      <c r="C356" s="72" t="s">
        <v>34</v>
      </c>
      <c r="D356" s="72" t="s">
        <v>50</v>
      </c>
      <c r="E356" s="72" t="s">
        <v>51</v>
      </c>
      <c r="F356" s="72" t="s">
        <v>25</v>
      </c>
      <c r="G356" s="72" t="s">
        <v>25</v>
      </c>
      <c r="H356" s="72" t="s">
        <v>35</v>
      </c>
      <c r="I356" s="82">
        <v>44440</v>
      </c>
      <c r="J356" s="83">
        <f>EFEITO!$J$356*EFEITO!$Y$219</f>
        <v>0</v>
      </c>
      <c r="K356" s="83">
        <f ca="1">EFEITO!$L$356*EFEITO!$Z$219</f>
        <v>7853.3706095543566</v>
      </c>
      <c r="L356" s="83">
        <f>EFEITO!$N$356*EFEITO!$AA$219</f>
        <v>1694.2094988323788</v>
      </c>
      <c r="M356" s="83">
        <f>$J$356-EFEITO!$K$356*EFEITO!$Y$356</f>
        <v>0</v>
      </c>
      <c r="N356" s="83">
        <f ca="1">$K$356-EFEITO!$M$356*EFEITO!$Z$356</f>
        <v>235.60111828663048</v>
      </c>
      <c r="O356" s="83">
        <f>$L$356-EFEITO!$O$356*EFEITO!$AA$356</f>
        <v>50.826284964971364</v>
      </c>
      <c r="P356" s="28"/>
      <c r="Q356" s="28"/>
      <c r="R356" s="28"/>
      <c r="S356" s="28"/>
      <c r="T356" s="28"/>
      <c r="U356" s="28"/>
      <c r="V356" s="28"/>
      <c r="W356" s="28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72" t="s">
        <v>21</v>
      </c>
      <c r="B357" s="72" t="s">
        <v>33</v>
      </c>
      <c r="C357" s="72" t="s">
        <v>34</v>
      </c>
      <c r="D357" s="72" t="s">
        <v>50</v>
      </c>
      <c r="E357" s="72" t="s">
        <v>51</v>
      </c>
      <c r="F357" s="72" t="s">
        <v>25</v>
      </c>
      <c r="G357" s="72" t="s">
        <v>25</v>
      </c>
      <c r="H357" s="72" t="s">
        <v>35</v>
      </c>
      <c r="I357" s="82">
        <v>44470</v>
      </c>
      <c r="J357" s="83">
        <f>EFEITO!$J$357*EFEITO!$Y$219</f>
        <v>0</v>
      </c>
      <c r="K357" s="83">
        <f ca="1">EFEITO!$L$357*EFEITO!$Z$219</f>
        <v>8742.8920101889489</v>
      </c>
      <c r="L357" s="83">
        <f>EFEITO!$N$357*EFEITO!$AA$219</f>
        <v>1886.1061609530179</v>
      </c>
      <c r="M357" s="83">
        <f>$J$357-EFEITO!$K$357*EFEITO!$Y$357</f>
        <v>0</v>
      </c>
      <c r="N357" s="83">
        <f ca="1">$K$357-EFEITO!$M$357*EFEITO!$Z$357</f>
        <v>262.28676030566749</v>
      </c>
      <c r="O357" s="83">
        <f>$L$357-EFEITO!$O$357*EFEITO!$AA$357</f>
        <v>56.583184828590674</v>
      </c>
      <c r="P357" s="28"/>
      <c r="Q357" s="28"/>
      <c r="R357" s="28"/>
      <c r="S357" s="28"/>
      <c r="T357" s="28"/>
      <c r="U357" s="28"/>
      <c r="V357" s="28"/>
      <c r="W357" s="28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72" t="s">
        <v>21</v>
      </c>
      <c r="B358" s="72" t="s">
        <v>33</v>
      </c>
      <c r="C358" s="72" t="s">
        <v>34</v>
      </c>
      <c r="D358" s="72" t="s">
        <v>50</v>
      </c>
      <c r="E358" s="72" t="s">
        <v>51</v>
      </c>
      <c r="F358" s="72" t="s">
        <v>25</v>
      </c>
      <c r="G358" s="72" t="s">
        <v>25</v>
      </c>
      <c r="H358" s="72" t="s">
        <v>35</v>
      </c>
      <c r="I358" s="82">
        <v>44501</v>
      </c>
      <c r="J358" s="83">
        <f>EFEITO!$J$358*EFEITO!$Y$219</f>
        <v>0</v>
      </c>
      <c r="K358" s="83">
        <f ca="1">EFEITO!$L$358*EFEITO!$Z$219</f>
        <v>9440.0580695227545</v>
      </c>
      <c r="L358" s="83">
        <f>EFEITO!$N$358*EFEITO!$AA$219</f>
        <v>2036.5059598049781</v>
      </c>
      <c r="M358" s="83">
        <f>$J$358-EFEITO!$K$358*EFEITO!$Y$358</f>
        <v>0</v>
      </c>
      <c r="N358" s="83">
        <f ca="1">$K$358-EFEITO!$M$358*EFEITO!$Z$358</f>
        <v>283.20174208568096</v>
      </c>
      <c r="O358" s="83">
        <f>$L$358-EFEITO!$O$358*EFEITO!$AA$358</f>
        <v>61.095178794149433</v>
      </c>
      <c r="P358" s="28"/>
      <c r="Q358" s="28"/>
      <c r="R358" s="28"/>
      <c r="S358" s="28"/>
      <c r="T358" s="28"/>
      <c r="U358" s="28"/>
      <c r="V358" s="28"/>
      <c r="W358" s="28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72" t="s">
        <v>21</v>
      </c>
      <c r="B359" s="72" t="s">
        <v>33</v>
      </c>
      <c r="C359" s="72" t="s">
        <v>34</v>
      </c>
      <c r="D359" s="72" t="s">
        <v>50</v>
      </c>
      <c r="E359" s="72" t="s">
        <v>51</v>
      </c>
      <c r="F359" s="72" t="s">
        <v>25</v>
      </c>
      <c r="G359" s="72" t="s">
        <v>25</v>
      </c>
      <c r="H359" s="72" t="s">
        <v>35</v>
      </c>
      <c r="I359" s="82">
        <v>44531</v>
      </c>
      <c r="J359" s="83">
        <f>EFEITO!$J$359*EFEITO!$Y$219</f>
        <v>0</v>
      </c>
      <c r="K359" s="83">
        <f ca="1">EFEITO!$L$359*EFEITO!$Z$219</f>
        <v>10768.969843687059</v>
      </c>
      <c r="L359" s="83">
        <f>EFEITO!$N$359*EFEITO!$AA$219</f>
        <v>2323.1924111180292</v>
      </c>
      <c r="M359" s="83">
        <f>$J$359-EFEITO!$K$359*EFEITO!$Y$359</f>
        <v>0</v>
      </c>
      <c r="N359" s="83">
        <f ca="1">$K$359-EFEITO!$M$359*EFEITO!$Z$359</f>
        <v>323.06909531061137</v>
      </c>
      <c r="O359" s="83">
        <f>$L$359-EFEITO!$O$359*EFEITO!$AA$359</f>
        <v>69.695772333541299</v>
      </c>
      <c r="P359" s="28"/>
      <c r="Q359" s="28"/>
      <c r="R359" s="28"/>
      <c r="S359" s="28"/>
      <c r="T359" s="28"/>
      <c r="U359" s="28"/>
      <c r="V359" s="28"/>
      <c r="W359" s="28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72" t="s">
        <v>21</v>
      </c>
      <c r="B360" s="72" t="s">
        <v>33</v>
      </c>
      <c r="C360" s="72" t="s">
        <v>34</v>
      </c>
      <c r="D360" s="72" t="s">
        <v>50</v>
      </c>
      <c r="E360" s="72" t="s">
        <v>51</v>
      </c>
      <c r="F360" s="72" t="s">
        <v>25</v>
      </c>
      <c r="G360" s="72" t="s">
        <v>25</v>
      </c>
      <c r="H360" s="72" t="s">
        <v>35</v>
      </c>
      <c r="I360" s="82">
        <v>44562</v>
      </c>
      <c r="J360" s="83">
        <f>EFEITO!$J$360*EFEITO!$Y$219</f>
        <v>0</v>
      </c>
      <c r="K360" s="83">
        <f ca="1">EFEITO!$L$360*EFEITO!$Z$219</f>
        <v>10107.931437287916</v>
      </c>
      <c r="L360" s="83">
        <f>EFEITO!$N$360*EFEITO!$AA$219</f>
        <v>2180.5864393774445</v>
      </c>
      <c r="M360" s="83">
        <f>$J$360-EFEITO!$K$360*EFEITO!$Y$360</f>
        <v>0</v>
      </c>
      <c r="N360" s="83">
        <f ca="1">$K$360-EFEITO!$M$360*EFEITO!$Z$360</f>
        <v>303.23794311863821</v>
      </c>
      <c r="O360" s="83">
        <f>$L$360-EFEITO!$O$360*EFEITO!$AA$360</f>
        <v>65.417593181323355</v>
      </c>
      <c r="P360" s="28"/>
      <c r="Q360" s="28"/>
      <c r="R360" s="28"/>
      <c r="S360" s="28"/>
      <c r="T360" s="28"/>
      <c r="U360" s="28"/>
      <c r="V360" s="28"/>
      <c r="W360" s="28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72" t="s">
        <v>21</v>
      </c>
      <c r="B361" s="72" t="s">
        <v>33</v>
      </c>
      <c r="C361" s="72" t="s">
        <v>34</v>
      </c>
      <c r="D361" s="72" t="s">
        <v>50</v>
      </c>
      <c r="E361" s="72" t="s">
        <v>51</v>
      </c>
      <c r="F361" s="72" t="s">
        <v>25</v>
      </c>
      <c r="G361" s="72" t="s">
        <v>25</v>
      </c>
      <c r="H361" s="72" t="s">
        <v>35</v>
      </c>
      <c r="I361" s="82">
        <v>44593</v>
      </c>
      <c r="J361" s="83">
        <f>EFEITO!$J$361*EFEITO!$Y$219</f>
        <v>0</v>
      </c>
      <c r="K361" s="83">
        <f ca="1">EFEITO!$L$361*EFEITO!$Z$219</f>
        <v>10639.105577732722</v>
      </c>
      <c r="L361" s="83">
        <f>EFEITO!$N$361*EFEITO!$AA$219</f>
        <v>2295.1767623122719</v>
      </c>
      <c r="M361" s="83">
        <f>$J$361-EFEITO!$K$361*EFEITO!$Y$361</f>
        <v>0</v>
      </c>
      <c r="N361" s="83">
        <f ca="1">$K$361-EFEITO!$M$361*EFEITO!$Z$361</f>
        <v>319.17316733198095</v>
      </c>
      <c r="O361" s="83">
        <f>$L$361-EFEITO!$O$361*EFEITO!$AA$361</f>
        <v>68.855302869368188</v>
      </c>
      <c r="P361" s="28"/>
      <c r="Q361" s="28"/>
      <c r="R361" s="28"/>
      <c r="S361" s="28"/>
      <c r="T361" s="28"/>
      <c r="U361" s="28"/>
      <c r="V361" s="28"/>
      <c r="W361" s="28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72" t="s">
        <v>21</v>
      </c>
      <c r="B362" s="72" t="s">
        <v>33</v>
      </c>
      <c r="C362" s="72" t="s">
        <v>34</v>
      </c>
      <c r="D362" s="72" t="s">
        <v>50</v>
      </c>
      <c r="E362" s="72" t="s">
        <v>51</v>
      </c>
      <c r="F362" s="72" t="s">
        <v>25</v>
      </c>
      <c r="G362" s="72" t="s">
        <v>25</v>
      </c>
      <c r="H362" s="72" t="s">
        <v>35</v>
      </c>
      <c r="I362" s="82">
        <v>44621</v>
      </c>
      <c r="J362" s="83">
        <f>EFEITO!$J$362*EFEITO!$Y$219</f>
        <v>0</v>
      </c>
      <c r="K362" s="83">
        <f ca="1">EFEITO!$L$362*EFEITO!$Z$219</f>
        <v>10370.589238353454</v>
      </c>
      <c r="L362" s="83">
        <f>EFEITO!$N$362*EFEITO!$AA$219</f>
        <v>2237.2496689169088</v>
      </c>
      <c r="M362" s="83">
        <f>$J$362-EFEITO!$K$362*EFEITO!$Y$362</f>
        <v>0</v>
      </c>
      <c r="N362" s="83">
        <f ca="1">$K$362-EFEITO!$M$362*EFEITO!$Z$362</f>
        <v>311.11767715060341</v>
      </c>
      <c r="O362" s="83">
        <f>$L$362-EFEITO!$O$362*EFEITO!$AA$362</f>
        <v>67.117490067507333</v>
      </c>
      <c r="P362" s="28"/>
      <c r="Q362" s="28"/>
      <c r="R362" s="28"/>
      <c r="S362" s="28"/>
      <c r="T362" s="28"/>
      <c r="U362" s="28"/>
      <c r="V362" s="28"/>
      <c r="W362" s="28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72" t="s">
        <v>21</v>
      </c>
      <c r="B363" s="72" t="s">
        <v>33</v>
      </c>
      <c r="C363" s="72" t="s">
        <v>34</v>
      </c>
      <c r="D363" s="72" t="s">
        <v>50</v>
      </c>
      <c r="E363" s="72" t="s">
        <v>51</v>
      </c>
      <c r="F363" s="72" t="s">
        <v>25</v>
      </c>
      <c r="G363" s="72" t="s">
        <v>25</v>
      </c>
      <c r="H363" s="72" t="s">
        <v>35</v>
      </c>
      <c r="I363" s="82">
        <v>44652</v>
      </c>
      <c r="J363" s="83">
        <f>EFEITO!$J$363*EFEITO!$Y$219</f>
        <v>0</v>
      </c>
      <c r="K363" s="83">
        <f ca="1">EFEITO!$L$363*EFEITO!$Z$219</f>
        <v>9846.2500592746655</v>
      </c>
      <c r="L363" s="83">
        <f>EFEITO!$N$363*EFEITO!$AA$219</f>
        <v>2124.1338538139635</v>
      </c>
      <c r="M363" s="83">
        <f>$J$363-EFEITO!$K$363*EFEITO!$Y$363</f>
        <v>0</v>
      </c>
      <c r="N363" s="83">
        <f ca="1">$K$363-EFEITO!$M$363*EFEITO!$Z$363</f>
        <v>295.38750177823931</v>
      </c>
      <c r="O363" s="83">
        <f>$L$363-EFEITO!$O$363*EFEITO!$AA$363</f>
        <v>63.724015614418931</v>
      </c>
      <c r="P363" s="28"/>
      <c r="Q363" s="28"/>
      <c r="R363" s="28"/>
      <c r="S363" s="28"/>
      <c r="T363" s="28"/>
      <c r="U363" s="28"/>
      <c r="V363" s="28"/>
      <c r="W363" s="28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72" t="s">
        <v>21</v>
      </c>
      <c r="B364" s="72" t="s">
        <v>22</v>
      </c>
      <c r="C364" s="72" t="s">
        <v>37</v>
      </c>
      <c r="D364" s="72" t="s">
        <v>24</v>
      </c>
      <c r="E364" s="72" t="s">
        <v>24</v>
      </c>
      <c r="F364" s="72" t="s">
        <v>25</v>
      </c>
      <c r="G364" s="72" t="s">
        <v>25</v>
      </c>
      <c r="H364" s="72" t="s">
        <v>36</v>
      </c>
      <c r="I364" s="82">
        <v>44317</v>
      </c>
      <c r="J364" s="83">
        <f>EFEITO!$J$364*EFEITO!$Y$364</f>
        <v>0</v>
      </c>
      <c r="K364" s="83">
        <f ca="1">EFEITO!$L$364*EFEITO!$Z$364</f>
        <v>399.79933308139988</v>
      </c>
      <c r="L364" s="83">
        <f>EFEITO!$N$364*EFEITO!$AA$364</f>
        <v>377.89529291374959</v>
      </c>
      <c r="M364" s="83">
        <f>$J$364-EFEITO!$K$364*EFEITO!$Y$364</f>
        <v>0</v>
      </c>
      <c r="N364" s="83">
        <f ca="1">$K$364-EFEITO!$M$364*EFEITO!$Z$364</f>
        <v>0</v>
      </c>
      <c r="O364" s="83">
        <f>$L$364-EFEITO!$O$364*EFEITO!$AA$364</f>
        <v>0</v>
      </c>
      <c r="P364" s="28"/>
      <c r="Q364" s="28"/>
      <c r="R364" s="28"/>
      <c r="S364" s="28"/>
      <c r="T364" s="28"/>
      <c r="U364" s="28"/>
      <c r="V364" s="28"/>
      <c r="W364" s="28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72" t="s">
        <v>21</v>
      </c>
      <c r="B365" s="72" t="s">
        <v>22</v>
      </c>
      <c r="C365" s="72" t="s">
        <v>37</v>
      </c>
      <c r="D365" s="72" t="s">
        <v>24</v>
      </c>
      <c r="E365" s="72" t="s">
        <v>24</v>
      </c>
      <c r="F365" s="72" t="s">
        <v>25</v>
      </c>
      <c r="G365" s="72" t="s">
        <v>25</v>
      </c>
      <c r="H365" s="72" t="s">
        <v>36</v>
      </c>
      <c r="I365" s="82">
        <v>44348</v>
      </c>
      <c r="J365" s="83">
        <f>EFEITO!$J$365*EFEITO!$Y$365</f>
        <v>0</v>
      </c>
      <c r="K365" s="83">
        <f ca="1">EFEITO!$L$365*EFEITO!$Z$365</f>
        <v>413.83910899228516</v>
      </c>
      <c r="L365" s="83">
        <f>EFEITO!$N$365*EFEITO!$AA$365</f>
        <v>391.16586340068727</v>
      </c>
      <c r="M365" s="83">
        <f>$J$365-EFEITO!$K$365*EFEITO!$Y$365</f>
        <v>0</v>
      </c>
      <c r="N365" s="83">
        <f ca="1">$K$365-EFEITO!$M$365*EFEITO!$Z$365</f>
        <v>0</v>
      </c>
      <c r="O365" s="83">
        <f>$L$365-EFEITO!$O$365*EFEITO!$AA$365</f>
        <v>0</v>
      </c>
      <c r="P365" s="28"/>
      <c r="Q365" s="28"/>
      <c r="R365" s="28"/>
      <c r="S365" s="28"/>
      <c r="T365" s="28"/>
      <c r="U365" s="28"/>
      <c r="V365" s="28"/>
      <c r="W365" s="28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72" t="s">
        <v>21</v>
      </c>
      <c r="B366" s="72" t="s">
        <v>22</v>
      </c>
      <c r="C366" s="72" t="s">
        <v>37</v>
      </c>
      <c r="D366" s="72" t="s">
        <v>24</v>
      </c>
      <c r="E366" s="72" t="s">
        <v>24</v>
      </c>
      <c r="F366" s="72" t="s">
        <v>25</v>
      </c>
      <c r="G366" s="72" t="s">
        <v>25</v>
      </c>
      <c r="H366" s="72" t="s">
        <v>36</v>
      </c>
      <c r="I366" s="82">
        <v>44378</v>
      </c>
      <c r="J366" s="83">
        <f>EFEITO!$J$366*EFEITO!$Y$366</f>
        <v>0</v>
      </c>
      <c r="K366" s="83">
        <f ca="1">EFEITO!$L$366*EFEITO!$Z$366</f>
        <v>444.59290384470057</v>
      </c>
      <c r="L366" s="83">
        <f>EFEITO!$N$366*EFEITO!$AA$366</f>
        <v>420.23473208636034</v>
      </c>
      <c r="M366" s="83">
        <f>$J$366-EFEITO!$K$366*EFEITO!$Y$366</f>
        <v>0</v>
      </c>
      <c r="N366" s="83">
        <f ca="1">$K$366-EFEITO!$M$366*EFEITO!$Z$366</f>
        <v>0</v>
      </c>
      <c r="O366" s="83">
        <f>$L$366-EFEITO!$O$366*EFEITO!$AA$366</f>
        <v>0</v>
      </c>
      <c r="P366" s="28"/>
      <c r="Q366" s="28"/>
      <c r="R366" s="28"/>
      <c r="S366" s="28"/>
      <c r="T366" s="28"/>
      <c r="U366" s="28"/>
      <c r="V366" s="28"/>
      <c r="W366" s="28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72" t="s">
        <v>21</v>
      </c>
      <c r="B367" s="72" t="s">
        <v>22</v>
      </c>
      <c r="C367" s="72" t="s">
        <v>37</v>
      </c>
      <c r="D367" s="72" t="s">
        <v>24</v>
      </c>
      <c r="E367" s="72" t="s">
        <v>24</v>
      </c>
      <c r="F367" s="72" t="s">
        <v>25</v>
      </c>
      <c r="G367" s="72" t="s">
        <v>25</v>
      </c>
      <c r="H367" s="72" t="s">
        <v>36</v>
      </c>
      <c r="I367" s="82">
        <v>44409</v>
      </c>
      <c r="J367" s="83">
        <f>EFEITO!$J$367*EFEITO!$Y$367</f>
        <v>0</v>
      </c>
      <c r="K367" s="83">
        <f ca="1">EFEITO!$L$367*EFEITO!$Z$367</f>
        <v>547.32840693863886</v>
      </c>
      <c r="L367" s="83">
        <f>EFEITO!$N$367*EFEITO!$AA$367</f>
        <v>517.34160501458689</v>
      </c>
      <c r="M367" s="83">
        <f>$J$367-EFEITO!$K$367*EFEITO!$Y$367</f>
        <v>0</v>
      </c>
      <c r="N367" s="83">
        <f ca="1">$K$367-EFEITO!$M$367*EFEITO!$Z$367</f>
        <v>0</v>
      </c>
      <c r="O367" s="83">
        <f>$L$367-EFEITO!$O$367*EFEITO!$AA$367</f>
        <v>0</v>
      </c>
      <c r="P367" s="28"/>
      <c r="Q367" s="28"/>
      <c r="R367" s="28"/>
      <c r="S367" s="28"/>
      <c r="T367" s="28"/>
      <c r="U367" s="28"/>
      <c r="V367" s="28"/>
      <c r="W367" s="28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72" t="s">
        <v>21</v>
      </c>
      <c r="B368" s="72" t="s">
        <v>22</v>
      </c>
      <c r="C368" s="72" t="s">
        <v>37</v>
      </c>
      <c r="D368" s="72" t="s">
        <v>24</v>
      </c>
      <c r="E368" s="72" t="s">
        <v>24</v>
      </c>
      <c r="F368" s="72" t="s">
        <v>25</v>
      </c>
      <c r="G368" s="72" t="s">
        <v>25</v>
      </c>
      <c r="H368" s="72" t="s">
        <v>36</v>
      </c>
      <c r="I368" s="82">
        <v>44440</v>
      </c>
      <c r="J368" s="83">
        <f>EFEITO!$J$368*EFEITO!$Y$368</f>
        <v>0</v>
      </c>
      <c r="K368" s="83">
        <f ca="1">EFEITO!$L$368*EFEITO!$Z$368</f>
        <v>607.2760215422602</v>
      </c>
      <c r="L368" s="83">
        <f>EFEITO!$N$368*EFEITO!$AA$368</f>
        <v>574.00483455405106</v>
      </c>
      <c r="M368" s="83">
        <f>$J$368-EFEITO!$K$368*EFEITO!$Y$368</f>
        <v>0</v>
      </c>
      <c r="N368" s="83">
        <f ca="1">$K$368-EFEITO!$M$368*EFEITO!$Z$368</f>
        <v>0</v>
      </c>
      <c r="O368" s="83">
        <f>$L$368-EFEITO!$O$368*EFEITO!$AA$368</f>
        <v>0</v>
      </c>
      <c r="P368" s="28"/>
      <c r="Q368" s="28"/>
      <c r="R368" s="28"/>
      <c r="S368" s="28"/>
      <c r="T368" s="28"/>
      <c r="U368" s="28"/>
      <c r="V368" s="28"/>
      <c r="W368" s="28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72" t="s">
        <v>21</v>
      </c>
      <c r="B369" s="72" t="s">
        <v>22</v>
      </c>
      <c r="C369" s="72" t="s">
        <v>37</v>
      </c>
      <c r="D369" s="72" t="s">
        <v>24</v>
      </c>
      <c r="E369" s="72" t="s">
        <v>24</v>
      </c>
      <c r="F369" s="72" t="s">
        <v>25</v>
      </c>
      <c r="G369" s="72" t="s">
        <v>25</v>
      </c>
      <c r="H369" s="72" t="s">
        <v>36</v>
      </c>
      <c r="I369" s="82">
        <v>44470</v>
      </c>
      <c r="J369" s="83">
        <f>EFEITO!$J$369*EFEITO!$Y$369</f>
        <v>0</v>
      </c>
      <c r="K369" s="83">
        <f ca="1">EFEITO!$L$369*EFEITO!$Z$369</f>
        <v>519.91741587452952</v>
      </c>
      <c r="L369" s="83">
        <f>EFEITO!$N$369*EFEITO!$AA$369</f>
        <v>491.43239596866101</v>
      </c>
      <c r="M369" s="83">
        <f>$J$369-EFEITO!$K$369*EFEITO!$Y$369</f>
        <v>0</v>
      </c>
      <c r="N369" s="83">
        <f ca="1">$K$369-EFEITO!$M$369*EFEITO!$Z$369</f>
        <v>0</v>
      </c>
      <c r="O369" s="83">
        <f>$L$369-EFEITO!$O$369*EFEITO!$AA$369</f>
        <v>0</v>
      </c>
      <c r="P369" s="28"/>
      <c r="Q369" s="28"/>
      <c r="R369" s="28"/>
      <c r="S369" s="28"/>
      <c r="T369" s="28"/>
      <c r="U369" s="28"/>
      <c r="V369" s="28"/>
      <c r="W369" s="28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72" t="s">
        <v>21</v>
      </c>
      <c r="B370" s="72" t="s">
        <v>22</v>
      </c>
      <c r="C370" s="72" t="s">
        <v>37</v>
      </c>
      <c r="D370" s="72" t="s">
        <v>24</v>
      </c>
      <c r="E370" s="72" t="s">
        <v>24</v>
      </c>
      <c r="F370" s="72" t="s">
        <v>25</v>
      </c>
      <c r="G370" s="72" t="s">
        <v>25</v>
      </c>
      <c r="H370" s="72" t="s">
        <v>36</v>
      </c>
      <c r="I370" s="82">
        <v>44501</v>
      </c>
      <c r="J370" s="83">
        <f>EFEITO!$J$370*EFEITO!$Y$370</f>
        <v>0</v>
      </c>
      <c r="K370" s="83">
        <f ca="1">EFEITO!$L$370*EFEITO!$Z$370</f>
        <v>521.92309814751309</v>
      </c>
      <c r="L370" s="83">
        <f>EFEITO!$N$370*EFEITO!$AA$370</f>
        <v>493.32819175250921</v>
      </c>
      <c r="M370" s="83">
        <f>$J$370-EFEITO!$K$370*EFEITO!$Y$370</f>
        <v>0</v>
      </c>
      <c r="N370" s="83">
        <f ca="1">$K$370-EFEITO!$M$370*EFEITO!$Z$370</f>
        <v>0</v>
      </c>
      <c r="O370" s="83">
        <f>$L$370-EFEITO!$O$370*EFEITO!$AA$370</f>
        <v>0</v>
      </c>
      <c r="P370" s="28"/>
      <c r="Q370" s="28"/>
      <c r="R370" s="28"/>
      <c r="S370" s="28"/>
      <c r="T370" s="28"/>
      <c r="U370" s="28"/>
      <c r="V370" s="28"/>
      <c r="W370" s="28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72" t="s">
        <v>21</v>
      </c>
      <c r="B371" s="72" t="s">
        <v>22</v>
      </c>
      <c r="C371" s="72" t="s">
        <v>37</v>
      </c>
      <c r="D371" s="72" t="s">
        <v>24</v>
      </c>
      <c r="E371" s="72" t="s">
        <v>24</v>
      </c>
      <c r="F371" s="72" t="s">
        <v>25</v>
      </c>
      <c r="G371" s="72" t="s">
        <v>25</v>
      </c>
      <c r="H371" s="72" t="s">
        <v>36</v>
      </c>
      <c r="I371" s="82">
        <v>44531</v>
      </c>
      <c r="J371" s="83">
        <f>EFEITO!$J$371*EFEITO!$Y$371</f>
        <v>0</v>
      </c>
      <c r="K371" s="83">
        <f ca="1">EFEITO!$L$371*EFEITO!$Z$371</f>
        <v>554.23686810113793</v>
      </c>
      <c r="L371" s="83">
        <f>EFEITO!$N$371*EFEITO!$AA$371</f>
        <v>523.87156827006424</v>
      </c>
      <c r="M371" s="83">
        <f>$J$371-EFEITO!$K$371*EFEITO!$Y$371</f>
        <v>0</v>
      </c>
      <c r="N371" s="83">
        <f ca="1">$K$371-EFEITO!$M$371*EFEITO!$Z$371</f>
        <v>0</v>
      </c>
      <c r="O371" s="83">
        <f>$L$371-EFEITO!$O$371*EFEITO!$AA$371</f>
        <v>0</v>
      </c>
      <c r="P371" s="28"/>
      <c r="Q371" s="28"/>
      <c r="R371" s="28"/>
      <c r="S371" s="28"/>
      <c r="T371" s="28"/>
      <c r="U371" s="28"/>
      <c r="V371" s="28"/>
      <c r="W371" s="28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72" t="s">
        <v>21</v>
      </c>
      <c r="B372" s="72" t="s">
        <v>22</v>
      </c>
      <c r="C372" s="72" t="s">
        <v>37</v>
      </c>
      <c r="D372" s="72" t="s">
        <v>24</v>
      </c>
      <c r="E372" s="72" t="s">
        <v>24</v>
      </c>
      <c r="F372" s="72" t="s">
        <v>25</v>
      </c>
      <c r="G372" s="72" t="s">
        <v>25</v>
      </c>
      <c r="H372" s="72" t="s">
        <v>36</v>
      </c>
      <c r="I372" s="82">
        <v>44562</v>
      </c>
      <c r="J372" s="83">
        <f>EFEITO!$J$372*EFEITO!$Y$372</f>
        <v>0</v>
      </c>
      <c r="K372" s="83">
        <f ca="1">EFEITO!$L$372*EFEITO!$Z$372</f>
        <v>619.53296876604884</v>
      </c>
      <c r="L372" s="83">
        <f>EFEITO!$N$372*EFEITO!$AA$372</f>
        <v>585.59025323312358</v>
      </c>
      <c r="M372" s="83">
        <f>$J$372-EFEITO!$K$372*EFEITO!$Y$372</f>
        <v>0</v>
      </c>
      <c r="N372" s="83">
        <f ca="1">$K$372-EFEITO!$M$372*EFEITO!$Z$372</f>
        <v>0</v>
      </c>
      <c r="O372" s="83">
        <f>$L$372-EFEITO!$O$372*EFEITO!$AA$372</f>
        <v>0</v>
      </c>
      <c r="P372" s="28"/>
      <c r="Q372" s="28"/>
      <c r="R372" s="28"/>
      <c r="S372" s="28"/>
      <c r="T372" s="28"/>
      <c r="U372" s="28"/>
      <c r="V372" s="28"/>
      <c r="W372" s="28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72" t="s">
        <v>21</v>
      </c>
      <c r="B373" s="72" t="s">
        <v>22</v>
      </c>
      <c r="C373" s="72" t="s">
        <v>37</v>
      </c>
      <c r="D373" s="72" t="s">
        <v>24</v>
      </c>
      <c r="E373" s="72" t="s">
        <v>24</v>
      </c>
      <c r="F373" s="72" t="s">
        <v>25</v>
      </c>
      <c r="G373" s="72" t="s">
        <v>25</v>
      </c>
      <c r="H373" s="72" t="s">
        <v>36</v>
      </c>
      <c r="I373" s="82">
        <v>44593</v>
      </c>
      <c r="J373" s="83">
        <f>EFEITO!$J$373*EFEITO!$Y$373</f>
        <v>0</v>
      </c>
      <c r="K373" s="83">
        <f ca="1">EFEITO!$L$373*EFEITO!$Z$373</f>
        <v>606.83031437048601</v>
      </c>
      <c r="L373" s="83">
        <f>EFEITO!$N$373*EFEITO!$AA$373</f>
        <v>573.58354660208477</v>
      </c>
      <c r="M373" s="83">
        <f>$J$373-EFEITO!$K$373*EFEITO!$Y$373</f>
        <v>0</v>
      </c>
      <c r="N373" s="83">
        <f ca="1">$K$373-EFEITO!$M$373*EFEITO!$Z$373</f>
        <v>0</v>
      </c>
      <c r="O373" s="83">
        <f>$L$373-EFEITO!$O$373*EFEITO!$AA$373</f>
        <v>0</v>
      </c>
      <c r="P373" s="28"/>
      <c r="Q373" s="28"/>
      <c r="R373" s="28"/>
      <c r="S373" s="28"/>
      <c r="T373" s="28"/>
      <c r="U373" s="28"/>
      <c r="V373" s="28"/>
      <c r="W373" s="28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72" t="s">
        <v>21</v>
      </c>
      <c r="B374" s="72" t="s">
        <v>22</v>
      </c>
      <c r="C374" s="72" t="s">
        <v>37</v>
      </c>
      <c r="D374" s="72" t="s">
        <v>24</v>
      </c>
      <c r="E374" s="72" t="s">
        <v>24</v>
      </c>
      <c r="F374" s="72" t="s">
        <v>25</v>
      </c>
      <c r="G374" s="72" t="s">
        <v>25</v>
      </c>
      <c r="H374" s="72" t="s">
        <v>36</v>
      </c>
      <c r="I374" s="82">
        <v>44621</v>
      </c>
      <c r="J374" s="83">
        <f>EFEITO!$J$374*EFEITO!$Y$374</f>
        <v>0</v>
      </c>
      <c r="K374" s="83">
        <f ca="1">EFEITO!$L$374*EFEITO!$Z$374</f>
        <v>797.5929838898162</v>
      </c>
      <c r="L374" s="83">
        <f>EFEITO!$N$374*EFEITO!$AA$374</f>
        <v>753.89479004365091</v>
      </c>
      <c r="M374" s="83">
        <f>$J$374-EFEITO!$K$374*EFEITO!$Y$374</f>
        <v>0</v>
      </c>
      <c r="N374" s="83">
        <f ca="1">$K$374-EFEITO!$M$374*EFEITO!$Z$374</f>
        <v>0</v>
      </c>
      <c r="O374" s="83">
        <f>$L$374-EFEITO!$O$374*EFEITO!$AA$374</f>
        <v>0</v>
      </c>
      <c r="P374" s="28"/>
      <c r="Q374" s="28"/>
      <c r="R374" s="28"/>
      <c r="S374" s="28"/>
      <c r="T374" s="28"/>
      <c r="U374" s="28"/>
      <c r="V374" s="28"/>
      <c r="W374" s="28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72" t="s">
        <v>21</v>
      </c>
      <c r="B375" s="72" t="s">
        <v>22</v>
      </c>
      <c r="C375" s="72" t="s">
        <v>37</v>
      </c>
      <c r="D375" s="72" t="s">
        <v>24</v>
      </c>
      <c r="E375" s="72" t="s">
        <v>24</v>
      </c>
      <c r="F375" s="72" t="s">
        <v>25</v>
      </c>
      <c r="G375" s="72" t="s">
        <v>25</v>
      </c>
      <c r="H375" s="72" t="s">
        <v>36</v>
      </c>
      <c r="I375" s="82">
        <v>44652</v>
      </c>
      <c r="J375" s="83">
        <f>EFEITO!$J$375*EFEITO!$Y$375</f>
        <v>0</v>
      </c>
      <c r="K375" s="83">
        <f ca="1">EFEITO!$L$375*EFEITO!$Z$375</f>
        <v>624.2128940696773</v>
      </c>
      <c r="L375" s="83">
        <f>EFEITO!$N$375*EFEITO!$AA$375</f>
        <v>590.01377672876959</v>
      </c>
      <c r="M375" s="83">
        <f>$J$375-EFEITO!$K$375*EFEITO!$Y$375</f>
        <v>0</v>
      </c>
      <c r="N375" s="83">
        <f ca="1">$K$375-EFEITO!$M$375*EFEITO!$Z$375</f>
        <v>0</v>
      </c>
      <c r="O375" s="83">
        <f>$L$375-EFEITO!$O$375*EFEITO!$AA$375</f>
        <v>0</v>
      </c>
      <c r="P375" s="28"/>
      <c r="Q375" s="28"/>
      <c r="R375" s="28"/>
      <c r="S375" s="28"/>
      <c r="T375" s="28"/>
      <c r="U375" s="28"/>
      <c r="V375" s="28"/>
      <c r="W375" s="28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72" t="s">
        <v>21</v>
      </c>
      <c r="B376" s="72" t="s">
        <v>22</v>
      </c>
      <c r="C376" s="72" t="s">
        <v>37</v>
      </c>
      <c r="D376" s="72" t="s">
        <v>24</v>
      </c>
      <c r="E376" s="72" t="s">
        <v>24</v>
      </c>
      <c r="F376" s="72" t="s">
        <v>25</v>
      </c>
      <c r="G376" s="72" t="s">
        <v>25</v>
      </c>
      <c r="H376" s="72" t="s">
        <v>38</v>
      </c>
      <c r="I376" s="82">
        <v>44317</v>
      </c>
      <c r="J376" s="83">
        <f>EFEITO!$J$376*EFEITO!$Y$376</f>
        <v>0</v>
      </c>
      <c r="K376" s="83">
        <f ca="1">EFEITO!$L$376*EFEITO!$Z$376</f>
        <v>75.124349054660797</v>
      </c>
      <c r="L376" s="83">
        <f>EFEITO!$N$376*EFEITO!$AA$376</f>
        <v>37.915915676964836</v>
      </c>
      <c r="M376" s="83">
        <f>$J$376-EFEITO!$K$376*EFEITO!$Y$376</f>
        <v>0</v>
      </c>
      <c r="N376" s="83">
        <f ca="1">$K$376-EFEITO!$M$376*EFEITO!$Z$376</f>
        <v>0</v>
      </c>
      <c r="O376" s="83">
        <f>$L$376-EFEITO!$O$376*EFEITO!$AA$376</f>
        <v>0</v>
      </c>
      <c r="P376" s="28"/>
      <c r="Q376" s="28"/>
      <c r="R376" s="28"/>
      <c r="S376" s="28"/>
      <c r="T376" s="28"/>
      <c r="U376" s="28"/>
      <c r="V376" s="28"/>
      <c r="W376" s="28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72" t="s">
        <v>21</v>
      </c>
      <c r="B377" s="72" t="s">
        <v>22</v>
      </c>
      <c r="C377" s="72" t="s">
        <v>37</v>
      </c>
      <c r="D377" s="72" t="s">
        <v>24</v>
      </c>
      <c r="E377" s="72" t="s">
        <v>24</v>
      </c>
      <c r="F377" s="72" t="s">
        <v>25</v>
      </c>
      <c r="G377" s="72" t="s">
        <v>25</v>
      </c>
      <c r="H377" s="72" t="s">
        <v>38</v>
      </c>
      <c r="I377" s="82">
        <v>44348</v>
      </c>
      <c r="J377" s="83">
        <f>EFEITO!$J$377*EFEITO!$Y$377</f>
        <v>0</v>
      </c>
      <c r="K377" s="83">
        <f ca="1">EFEITO!$L$377*EFEITO!$Z$377</f>
        <v>87.645073897104254</v>
      </c>
      <c r="L377" s="83">
        <f>EFEITO!$N$377*EFEITO!$AA$377</f>
        <v>44.235234956458982</v>
      </c>
      <c r="M377" s="83">
        <f>$J$377-EFEITO!$K$377*EFEITO!$Y$377</f>
        <v>0</v>
      </c>
      <c r="N377" s="83">
        <f ca="1">$K$377-EFEITO!$M$377*EFEITO!$Z$377</f>
        <v>0</v>
      </c>
      <c r="O377" s="83">
        <f>$L$377-EFEITO!$O$377*EFEITO!$AA$377</f>
        <v>0</v>
      </c>
      <c r="P377" s="28"/>
      <c r="Q377" s="28"/>
      <c r="R377" s="28"/>
      <c r="S377" s="28"/>
      <c r="T377" s="28"/>
      <c r="U377" s="28"/>
      <c r="V377" s="28"/>
      <c r="W377" s="28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72" t="s">
        <v>21</v>
      </c>
      <c r="B378" s="72" t="s">
        <v>22</v>
      </c>
      <c r="C378" s="72" t="s">
        <v>37</v>
      </c>
      <c r="D378" s="72" t="s">
        <v>24</v>
      </c>
      <c r="E378" s="72" t="s">
        <v>24</v>
      </c>
      <c r="F378" s="72" t="s">
        <v>25</v>
      </c>
      <c r="G378" s="72" t="s">
        <v>25</v>
      </c>
      <c r="H378" s="72" t="s">
        <v>38</v>
      </c>
      <c r="I378" s="82">
        <v>44378</v>
      </c>
      <c r="J378" s="83">
        <f>EFEITO!$J$378*EFEITO!$Y$378</f>
        <v>0</v>
      </c>
      <c r="K378" s="83">
        <f ca="1">EFEITO!$L$378*EFEITO!$Z$378</f>
        <v>84.306213939119345</v>
      </c>
      <c r="L378" s="83">
        <f>EFEITO!$N$378*EFEITO!$AA$378</f>
        <v>42.550083148593878</v>
      </c>
      <c r="M378" s="83">
        <f>$J$378-EFEITO!$K$378*EFEITO!$Y$378</f>
        <v>0</v>
      </c>
      <c r="N378" s="83">
        <f ca="1">$K$378-EFEITO!$M$378*EFEITO!$Z$378</f>
        <v>0</v>
      </c>
      <c r="O378" s="83">
        <f>$L$378-EFEITO!$O$378*EFEITO!$AA$378</f>
        <v>0</v>
      </c>
      <c r="P378" s="28"/>
      <c r="Q378" s="28"/>
      <c r="R378" s="28"/>
      <c r="S378" s="28"/>
      <c r="T378" s="28"/>
      <c r="U378" s="28"/>
      <c r="V378" s="28"/>
      <c r="W378" s="28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72" t="s">
        <v>21</v>
      </c>
      <c r="B379" s="72" t="s">
        <v>22</v>
      </c>
      <c r="C379" s="72" t="s">
        <v>37</v>
      </c>
      <c r="D379" s="72" t="s">
        <v>24</v>
      </c>
      <c r="E379" s="72" t="s">
        <v>24</v>
      </c>
      <c r="F379" s="72" t="s">
        <v>25</v>
      </c>
      <c r="G379" s="72" t="s">
        <v>25</v>
      </c>
      <c r="H379" s="72" t="s">
        <v>38</v>
      </c>
      <c r="I379" s="82">
        <v>44409</v>
      </c>
      <c r="J379" s="83">
        <f>EFEITO!$J$379*EFEITO!$Y$379</f>
        <v>0</v>
      </c>
      <c r="K379" s="83">
        <f ca="1">EFEITO!$L$379*EFEITO!$Z$379</f>
        <v>265.02200916505336</v>
      </c>
      <c r="L379" s="83">
        <f>EFEITO!$N$379*EFEITO!$AA$379</f>
        <v>133.75892474929265</v>
      </c>
      <c r="M379" s="83">
        <f>$J$379-EFEITO!$K$379*EFEITO!$Y$379</f>
        <v>0</v>
      </c>
      <c r="N379" s="83">
        <f ca="1">$K$379-EFEITO!$M$379*EFEITO!$Z$379</f>
        <v>0</v>
      </c>
      <c r="O379" s="83">
        <f>$L$379-EFEITO!$O$379*EFEITO!$AA$379</f>
        <v>0</v>
      </c>
      <c r="P379" s="28"/>
      <c r="Q379" s="28"/>
      <c r="R379" s="28"/>
      <c r="S379" s="28"/>
      <c r="T379" s="28"/>
      <c r="U379" s="28"/>
      <c r="V379" s="28"/>
      <c r="W379" s="28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72" t="s">
        <v>21</v>
      </c>
      <c r="B380" s="72" t="s">
        <v>22</v>
      </c>
      <c r="C380" s="72" t="s">
        <v>37</v>
      </c>
      <c r="D380" s="72" t="s">
        <v>24</v>
      </c>
      <c r="E380" s="72" t="s">
        <v>24</v>
      </c>
      <c r="F380" s="72" t="s">
        <v>25</v>
      </c>
      <c r="G380" s="72" t="s">
        <v>25</v>
      </c>
      <c r="H380" s="72" t="s">
        <v>38</v>
      </c>
      <c r="I380" s="82">
        <v>44440</v>
      </c>
      <c r="J380" s="83">
        <f>EFEITO!$J$380*EFEITO!$Y$380</f>
        <v>0</v>
      </c>
      <c r="K380" s="83">
        <f ca="1">EFEITO!$L$380*EFEITO!$Z$380</f>
        <v>251.66656933311364</v>
      </c>
      <c r="L380" s="83">
        <f>EFEITO!$N$380*EFEITO!$AA$380</f>
        <v>127.01831751783222</v>
      </c>
      <c r="M380" s="83">
        <f>$J$380-EFEITO!$K$380*EFEITO!$Y$380</f>
        <v>0</v>
      </c>
      <c r="N380" s="83">
        <f ca="1">$K$380-EFEITO!$M$380*EFEITO!$Z$380</f>
        <v>0</v>
      </c>
      <c r="O380" s="83">
        <f>$L$380-EFEITO!$O$380*EFEITO!$AA$380</f>
        <v>0</v>
      </c>
      <c r="P380" s="28"/>
      <c r="Q380" s="28"/>
      <c r="R380" s="28"/>
      <c r="S380" s="28"/>
      <c r="T380" s="28"/>
      <c r="U380" s="28"/>
      <c r="V380" s="28"/>
      <c r="W380" s="28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72" t="s">
        <v>21</v>
      </c>
      <c r="B381" s="72" t="s">
        <v>22</v>
      </c>
      <c r="C381" s="72" t="s">
        <v>37</v>
      </c>
      <c r="D381" s="72" t="s">
        <v>24</v>
      </c>
      <c r="E381" s="72" t="s">
        <v>24</v>
      </c>
      <c r="F381" s="72" t="s">
        <v>25</v>
      </c>
      <c r="G381" s="72" t="s">
        <v>25</v>
      </c>
      <c r="H381" s="72" t="s">
        <v>38</v>
      </c>
      <c r="I381" s="82">
        <v>44470</v>
      </c>
      <c r="J381" s="83">
        <f>EFEITO!$J$381*EFEITO!$Y$381</f>
        <v>0</v>
      </c>
      <c r="K381" s="83">
        <f ca="1">EFEITO!$L$381*EFEITO!$Z$381</f>
        <v>234.97226954318901</v>
      </c>
      <c r="L381" s="83">
        <f>EFEITO!$N$381*EFEITO!$AA$381</f>
        <v>118.59255847850669</v>
      </c>
      <c r="M381" s="83">
        <f>$J$381-EFEITO!$K$381*EFEITO!$Y$381</f>
        <v>0</v>
      </c>
      <c r="N381" s="83">
        <f ca="1">$K$381-EFEITO!$M$381*EFEITO!$Z$381</f>
        <v>0</v>
      </c>
      <c r="O381" s="83">
        <f>$L$381-EFEITO!$O$381*EFEITO!$AA$381</f>
        <v>0</v>
      </c>
      <c r="P381" s="28"/>
      <c r="Q381" s="28"/>
      <c r="R381" s="28"/>
      <c r="S381" s="28"/>
      <c r="T381" s="28"/>
      <c r="U381" s="28"/>
      <c r="V381" s="28"/>
      <c r="W381" s="28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72" t="s">
        <v>21</v>
      </c>
      <c r="B382" s="72" t="s">
        <v>22</v>
      </c>
      <c r="C382" s="72" t="s">
        <v>37</v>
      </c>
      <c r="D382" s="72" t="s">
        <v>24</v>
      </c>
      <c r="E382" s="72" t="s">
        <v>24</v>
      </c>
      <c r="F382" s="72" t="s">
        <v>25</v>
      </c>
      <c r="G382" s="72" t="s">
        <v>25</v>
      </c>
      <c r="H382" s="72" t="s">
        <v>38</v>
      </c>
      <c r="I382" s="82">
        <v>44501</v>
      </c>
      <c r="J382" s="83">
        <f>EFEITO!$J$382*EFEITO!$Y$382</f>
        <v>0</v>
      </c>
      <c r="K382" s="83">
        <f ca="1">EFEITO!$L$382*EFEITO!$Z$382</f>
        <v>202.83574244758415</v>
      </c>
      <c r="L382" s="83">
        <f>EFEITO!$N$382*EFEITO!$AA$382</f>
        <v>102.37297232780507</v>
      </c>
      <c r="M382" s="83">
        <f>$J$382-EFEITO!$K$382*EFEITO!$Y$382</f>
        <v>0</v>
      </c>
      <c r="N382" s="83">
        <f ca="1">$K$382-EFEITO!$M$382*EFEITO!$Z$382</f>
        <v>0</v>
      </c>
      <c r="O382" s="83">
        <f>$L$382-EFEITO!$O$382*EFEITO!$AA$382</f>
        <v>0</v>
      </c>
      <c r="P382" s="28"/>
      <c r="Q382" s="28"/>
      <c r="R382" s="28"/>
      <c r="S382" s="28"/>
      <c r="T382" s="28"/>
      <c r="U382" s="28"/>
      <c r="V382" s="28"/>
      <c r="W382" s="28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72" t="s">
        <v>21</v>
      </c>
      <c r="B383" s="72" t="s">
        <v>22</v>
      </c>
      <c r="C383" s="72" t="s">
        <v>37</v>
      </c>
      <c r="D383" s="72" t="s">
        <v>24</v>
      </c>
      <c r="E383" s="72" t="s">
        <v>24</v>
      </c>
      <c r="F383" s="72" t="s">
        <v>25</v>
      </c>
      <c r="G383" s="72" t="s">
        <v>25</v>
      </c>
      <c r="H383" s="72" t="s">
        <v>38</v>
      </c>
      <c r="I383" s="82">
        <v>44531</v>
      </c>
      <c r="J383" s="83">
        <f>EFEITO!$J$383*EFEITO!$Y$383</f>
        <v>0</v>
      </c>
      <c r="K383" s="83">
        <f ca="1">EFEITO!$L$383*EFEITO!$Z$383</f>
        <v>287.9766713761997</v>
      </c>
      <c r="L383" s="83">
        <f>EFEITO!$N$383*EFEITO!$AA$383</f>
        <v>145.34434342836522</v>
      </c>
      <c r="M383" s="83">
        <f>$J$383-EFEITO!$K$383*EFEITO!$Y$383</f>
        <v>0</v>
      </c>
      <c r="N383" s="83">
        <f ca="1">$K$383-EFEITO!$M$383*EFEITO!$Z$383</f>
        <v>0</v>
      </c>
      <c r="O383" s="83">
        <f>$L$383-EFEITO!$O$383*EFEITO!$AA$383</f>
        <v>0</v>
      </c>
      <c r="P383" s="28"/>
      <c r="Q383" s="28"/>
      <c r="R383" s="28"/>
      <c r="S383" s="28"/>
      <c r="T383" s="28"/>
      <c r="U383" s="28"/>
      <c r="V383" s="28"/>
      <c r="W383" s="28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72" t="s">
        <v>21</v>
      </c>
      <c r="B384" s="72" t="s">
        <v>22</v>
      </c>
      <c r="C384" s="72" t="s">
        <v>37</v>
      </c>
      <c r="D384" s="72" t="s">
        <v>24</v>
      </c>
      <c r="E384" s="72" t="s">
        <v>24</v>
      </c>
      <c r="F384" s="72" t="s">
        <v>25</v>
      </c>
      <c r="G384" s="72" t="s">
        <v>25</v>
      </c>
      <c r="H384" s="72" t="s">
        <v>38</v>
      </c>
      <c r="I384" s="82">
        <v>44562</v>
      </c>
      <c r="J384" s="83">
        <f>EFEITO!$J$384*EFEITO!$Y$384</f>
        <v>0</v>
      </c>
      <c r="K384" s="83">
        <f ca="1">EFEITO!$L$384*EFEITO!$Z$384</f>
        <v>340.98107320921036</v>
      </c>
      <c r="L384" s="83">
        <f>EFEITO!$N$384*EFEITO!$AA$384</f>
        <v>172.09612837822374</v>
      </c>
      <c r="M384" s="83">
        <f>$J$384-EFEITO!$K$384*EFEITO!$Y$384</f>
        <v>0</v>
      </c>
      <c r="N384" s="83">
        <f ca="1">$K$384-EFEITO!$M$384*EFEITO!$Z$384</f>
        <v>0</v>
      </c>
      <c r="O384" s="83">
        <f>$L$384-EFEITO!$O$384*EFEITO!$AA$384</f>
        <v>0</v>
      </c>
      <c r="P384" s="28"/>
      <c r="Q384" s="28"/>
      <c r="R384" s="28"/>
      <c r="S384" s="28"/>
      <c r="T384" s="28"/>
      <c r="U384" s="28"/>
      <c r="V384" s="28"/>
      <c r="W384" s="28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72" t="s">
        <v>21</v>
      </c>
      <c r="B385" s="72" t="s">
        <v>22</v>
      </c>
      <c r="C385" s="72" t="s">
        <v>37</v>
      </c>
      <c r="D385" s="72" t="s">
        <v>24</v>
      </c>
      <c r="E385" s="72" t="s">
        <v>24</v>
      </c>
      <c r="F385" s="72" t="s">
        <v>25</v>
      </c>
      <c r="G385" s="72" t="s">
        <v>25</v>
      </c>
      <c r="H385" s="72" t="s">
        <v>38</v>
      </c>
      <c r="I385" s="82">
        <v>44593</v>
      </c>
      <c r="J385" s="83">
        <f>EFEITO!$J$385*EFEITO!$Y$385</f>
        <v>0</v>
      </c>
      <c r="K385" s="83">
        <f ca="1">EFEITO!$L$385*EFEITO!$Z$385</f>
        <v>325.5388459035301</v>
      </c>
      <c r="L385" s="83">
        <f>EFEITO!$N$385*EFEITO!$AA$385</f>
        <v>164.30230126684765</v>
      </c>
      <c r="M385" s="83">
        <f>$J$385-EFEITO!$K$385*EFEITO!$Y$385</f>
        <v>0</v>
      </c>
      <c r="N385" s="83">
        <f ca="1">$K$385-EFEITO!$M$385*EFEITO!$Z$385</f>
        <v>0</v>
      </c>
      <c r="O385" s="83">
        <f>$L$385-EFEITO!$O$385*EFEITO!$AA$385</f>
        <v>0</v>
      </c>
      <c r="P385" s="28"/>
      <c r="Q385" s="28"/>
      <c r="R385" s="28"/>
      <c r="S385" s="28"/>
      <c r="T385" s="28"/>
      <c r="U385" s="28"/>
      <c r="V385" s="28"/>
      <c r="W385" s="28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72" t="s">
        <v>21</v>
      </c>
      <c r="B386" s="72" t="s">
        <v>22</v>
      </c>
      <c r="C386" s="72" t="s">
        <v>37</v>
      </c>
      <c r="D386" s="72" t="s">
        <v>24</v>
      </c>
      <c r="E386" s="72" t="s">
        <v>24</v>
      </c>
      <c r="F386" s="72" t="s">
        <v>25</v>
      </c>
      <c r="G386" s="72" t="s">
        <v>25</v>
      </c>
      <c r="H386" s="72" t="s">
        <v>38</v>
      </c>
      <c r="I386" s="82">
        <v>44621</v>
      </c>
      <c r="J386" s="83">
        <f>EFEITO!$J$386*EFEITO!$Y$386</f>
        <v>0</v>
      </c>
      <c r="K386" s="83">
        <f ca="1">EFEITO!$L$386*EFEITO!$Z$386</f>
        <v>422.36578468509293</v>
      </c>
      <c r="L386" s="83">
        <f>EFEITO!$N$386*EFEITO!$AA$386</f>
        <v>213.17170369493567</v>
      </c>
      <c r="M386" s="83">
        <f>$J$386-EFEITO!$K$386*EFEITO!$Y$386</f>
        <v>0</v>
      </c>
      <c r="N386" s="83">
        <f ca="1">$K$386-EFEITO!$M$386*EFEITO!$Z$386</f>
        <v>0</v>
      </c>
      <c r="O386" s="83">
        <f>$L$386-EFEITO!$O$386*EFEITO!$AA$386</f>
        <v>0</v>
      </c>
      <c r="P386" s="28"/>
      <c r="Q386" s="28"/>
      <c r="R386" s="28"/>
      <c r="S386" s="28"/>
      <c r="T386" s="28"/>
      <c r="U386" s="28"/>
      <c r="V386" s="28"/>
      <c r="W386" s="28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72" t="s">
        <v>21</v>
      </c>
      <c r="B387" s="72" t="s">
        <v>22</v>
      </c>
      <c r="C387" s="72" t="s">
        <v>37</v>
      </c>
      <c r="D387" s="72" t="s">
        <v>24</v>
      </c>
      <c r="E387" s="72" t="s">
        <v>24</v>
      </c>
      <c r="F387" s="72" t="s">
        <v>25</v>
      </c>
      <c r="G387" s="72" t="s">
        <v>25</v>
      </c>
      <c r="H387" s="72" t="s">
        <v>38</v>
      </c>
      <c r="I387" s="82">
        <v>44652</v>
      </c>
      <c r="J387" s="83">
        <f>EFEITO!$J$387*EFEITO!$Y$387</f>
        <v>0</v>
      </c>
      <c r="K387" s="83">
        <f ca="1">EFEITO!$L$387*EFEITO!$Z$387</f>
        <v>350.99765308316512</v>
      </c>
      <c r="L387" s="83">
        <f>EFEITO!$N$387*EFEITO!$AA$387</f>
        <v>177.15158380181904</v>
      </c>
      <c r="M387" s="83">
        <f>$J$387-EFEITO!$K$387*EFEITO!$Y$387</f>
        <v>0</v>
      </c>
      <c r="N387" s="83">
        <f ca="1">$K$387-EFEITO!$M$387*EFEITO!$Z$387</f>
        <v>0</v>
      </c>
      <c r="O387" s="83">
        <f>$L$387-EFEITO!$O$387*EFEITO!$AA$387</f>
        <v>0</v>
      </c>
      <c r="P387" s="28"/>
      <c r="Q387" s="28"/>
      <c r="R387" s="28"/>
      <c r="S387" s="28"/>
      <c r="T387" s="28"/>
      <c r="U387" s="28"/>
      <c r="V387" s="28"/>
      <c r="W387" s="28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72" t="s">
        <v>21</v>
      </c>
      <c r="B388" s="72" t="s">
        <v>22</v>
      </c>
      <c r="C388" s="72" t="s">
        <v>37</v>
      </c>
      <c r="D388" s="72" t="s">
        <v>24</v>
      </c>
      <c r="E388" s="72" t="s">
        <v>24</v>
      </c>
      <c r="F388" s="72" t="s">
        <v>25</v>
      </c>
      <c r="G388" s="72" t="s">
        <v>25</v>
      </c>
      <c r="H388" s="72" t="s">
        <v>35</v>
      </c>
      <c r="I388" s="82">
        <v>44317</v>
      </c>
      <c r="J388" s="83">
        <f>EFEITO!$J$388*EFEITO!$Y$388</f>
        <v>0</v>
      </c>
      <c r="K388" s="83">
        <f ca="1">EFEITO!$L$388*EFEITO!$Z$388</f>
        <v>177.43955905650284</v>
      </c>
      <c r="L388" s="83">
        <f>EFEITO!$N$388*EFEITO!$AA$388</f>
        <v>61.086753035110014</v>
      </c>
      <c r="M388" s="83">
        <f>$J$388-EFEITO!$K$388*EFEITO!$Y$388</f>
        <v>0</v>
      </c>
      <c r="N388" s="83">
        <f ca="1">$K$388-EFEITO!$M$388*EFEITO!$Z$388</f>
        <v>0</v>
      </c>
      <c r="O388" s="83">
        <f>$L$388-EFEITO!$O$388*EFEITO!$AA$388</f>
        <v>0</v>
      </c>
      <c r="P388" s="28"/>
      <c r="Q388" s="28"/>
      <c r="R388" s="28"/>
      <c r="S388" s="28"/>
      <c r="T388" s="28"/>
      <c r="U388" s="28"/>
      <c r="V388" s="28"/>
      <c r="W388" s="28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72" t="s">
        <v>21</v>
      </c>
      <c r="B389" s="72" t="s">
        <v>22</v>
      </c>
      <c r="C389" s="72" t="s">
        <v>37</v>
      </c>
      <c r="D389" s="72" t="s">
        <v>24</v>
      </c>
      <c r="E389" s="72" t="s">
        <v>24</v>
      </c>
      <c r="F389" s="72" t="s">
        <v>25</v>
      </c>
      <c r="G389" s="72" t="s">
        <v>25</v>
      </c>
      <c r="H389" s="72" t="s">
        <v>35</v>
      </c>
      <c r="I389" s="82">
        <v>44348</v>
      </c>
      <c r="J389" s="83">
        <f>EFEITO!$J$389*EFEITO!$Y$389</f>
        <v>0</v>
      </c>
      <c r="K389" s="83">
        <f ca="1">EFEITO!$L$389*EFEITO!$Z$389</f>
        <v>206.19700483462577</v>
      </c>
      <c r="L389" s="83">
        <f>EFEITO!$N$389*EFEITO!$AA$389</f>
        <v>70.987019906317514</v>
      </c>
      <c r="M389" s="83">
        <f>$J$389-EFEITO!$K$389*EFEITO!$Y$389</f>
        <v>0</v>
      </c>
      <c r="N389" s="83">
        <f ca="1">$K$389-EFEITO!$M$389*EFEITO!$Z$389</f>
        <v>0</v>
      </c>
      <c r="O389" s="83">
        <f>$L$389-EFEITO!$O$389*EFEITO!$AA$389</f>
        <v>0</v>
      </c>
      <c r="P389" s="28"/>
      <c r="Q389" s="28"/>
      <c r="R389" s="28"/>
      <c r="S389" s="28"/>
      <c r="T389" s="28"/>
      <c r="U389" s="28"/>
      <c r="V389" s="28"/>
      <c r="W389" s="28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72" t="s">
        <v>21</v>
      </c>
      <c r="B390" s="72" t="s">
        <v>22</v>
      </c>
      <c r="C390" s="72" t="s">
        <v>37</v>
      </c>
      <c r="D390" s="72" t="s">
        <v>24</v>
      </c>
      <c r="E390" s="72" t="s">
        <v>24</v>
      </c>
      <c r="F390" s="72" t="s">
        <v>25</v>
      </c>
      <c r="G390" s="72" t="s">
        <v>25</v>
      </c>
      <c r="H390" s="72" t="s">
        <v>35</v>
      </c>
      <c r="I390" s="82">
        <v>44378</v>
      </c>
      <c r="J390" s="83">
        <f>EFEITO!$J$390*EFEITO!$Y$390</f>
        <v>0</v>
      </c>
      <c r="K390" s="83">
        <f ca="1">EFEITO!$L$390*EFEITO!$Z$390</f>
        <v>222.10537909486393</v>
      </c>
      <c r="L390" s="83">
        <f>EFEITO!$N$390*EFEITO!$AA$390</f>
        <v>76.463763281879096</v>
      </c>
      <c r="M390" s="83">
        <f>$J$390-EFEITO!$K$390*EFEITO!$Y$390</f>
        <v>0</v>
      </c>
      <c r="N390" s="83">
        <f ca="1">$K$390-EFEITO!$M$390*EFEITO!$Z$390</f>
        <v>0</v>
      </c>
      <c r="O390" s="83">
        <f>$L$390-EFEITO!$O$390*EFEITO!$AA$390</f>
        <v>0</v>
      </c>
      <c r="P390" s="28"/>
      <c r="Q390" s="28"/>
      <c r="R390" s="28"/>
      <c r="S390" s="28"/>
      <c r="T390" s="28"/>
      <c r="U390" s="28"/>
      <c r="V390" s="28"/>
      <c r="W390" s="28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72" t="s">
        <v>21</v>
      </c>
      <c r="B391" s="72" t="s">
        <v>22</v>
      </c>
      <c r="C391" s="72" t="s">
        <v>37</v>
      </c>
      <c r="D391" s="72" t="s">
        <v>24</v>
      </c>
      <c r="E391" s="72" t="s">
        <v>24</v>
      </c>
      <c r="F391" s="72" t="s">
        <v>25</v>
      </c>
      <c r="G391" s="72" t="s">
        <v>25</v>
      </c>
      <c r="H391" s="72" t="s">
        <v>35</v>
      </c>
      <c r="I391" s="82">
        <v>44409</v>
      </c>
      <c r="J391" s="83">
        <f>EFEITO!$J$391*EFEITO!$Y$391</f>
        <v>0</v>
      </c>
      <c r="K391" s="83">
        <f ca="1">EFEITO!$L$391*EFEITO!$Z$391</f>
        <v>261.87631474545941</v>
      </c>
      <c r="L391" s="83">
        <f>EFEITO!$N$391*EFEITO!$AA$391</f>
        <v>90.15562172078306</v>
      </c>
      <c r="M391" s="83">
        <f>$J$391-EFEITO!$K$391*EFEITO!$Y$391</f>
        <v>0</v>
      </c>
      <c r="N391" s="83">
        <f ca="1">$K$391-EFEITO!$M$391*EFEITO!$Z$391</f>
        <v>0</v>
      </c>
      <c r="O391" s="83">
        <f>$L$391-EFEITO!$O$391*EFEITO!$AA$391</f>
        <v>0</v>
      </c>
      <c r="P391" s="28"/>
      <c r="Q391" s="28"/>
      <c r="R391" s="28"/>
      <c r="S391" s="28"/>
      <c r="T391" s="28"/>
      <c r="U391" s="28"/>
      <c r="V391" s="28"/>
      <c r="W391" s="28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72" t="s">
        <v>21</v>
      </c>
      <c r="B392" s="72" t="s">
        <v>22</v>
      </c>
      <c r="C392" s="72" t="s">
        <v>37</v>
      </c>
      <c r="D392" s="72" t="s">
        <v>24</v>
      </c>
      <c r="E392" s="72" t="s">
        <v>24</v>
      </c>
      <c r="F392" s="72" t="s">
        <v>25</v>
      </c>
      <c r="G392" s="72" t="s">
        <v>25</v>
      </c>
      <c r="H392" s="72" t="s">
        <v>35</v>
      </c>
      <c r="I392" s="82">
        <v>44440</v>
      </c>
      <c r="J392" s="83">
        <f>EFEITO!$J$392*EFEITO!$Y$392</f>
        <v>0</v>
      </c>
      <c r="K392" s="83">
        <f ca="1">EFEITO!$L$392*EFEITO!$Z$392</f>
        <v>220.88165799792253</v>
      </c>
      <c r="L392" s="83">
        <f>EFEITO!$N$392*EFEITO!$AA$392</f>
        <v>76.042475329912818</v>
      </c>
      <c r="M392" s="83">
        <f>$J$392-EFEITO!$K$392*EFEITO!$Y$392</f>
        <v>0</v>
      </c>
      <c r="N392" s="83">
        <f ca="1">$K$392-EFEITO!$M$392*EFEITO!$Z$392</f>
        <v>0</v>
      </c>
      <c r="O392" s="83">
        <f>$L$392-EFEITO!$O$392*EFEITO!$AA$392</f>
        <v>0</v>
      </c>
      <c r="P392" s="28"/>
      <c r="Q392" s="28"/>
      <c r="R392" s="28"/>
      <c r="S392" s="28"/>
      <c r="T392" s="28"/>
      <c r="U392" s="28"/>
      <c r="V392" s="28"/>
      <c r="W392" s="28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72" t="s">
        <v>21</v>
      </c>
      <c r="B393" s="72" t="s">
        <v>22</v>
      </c>
      <c r="C393" s="72" t="s">
        <v>37</v>
      </c>
      <c r="D393" s="72" t="s">
        <v>24</v>
      </c>
      <c r="E393" s="72" t="s">
        <v>24</v>
      </c>
      <c r="F393" s="72" t="s">
        <v>25</v>
      </c>
      <c r="G393" s="72" t="s">
        <v>25</v>
      </c>
      <c r="H393" s="72" t="s">
        <v>35</v>
      </c>
      <c r="I393" s="82">
        <v>44470</v>
      </c>
      <c r="J393" s="83">
        <f>EFEITO!$J$393*EFEITO!$Y$393</f>
        <v>0</v>
      </c>
      <c r="K393" s="83">
        <f ca="1">EFEITO!$L$393*EFEITO!$Z$393</f>
        <v>223.32910019180534</v>
      </c>
      <c r="L393" s="83">
        <f>EFEITO!$N$393*EFEITO!$AA$393</f>
        <v>76.885051233845374</v>
      </c>
      <c r="M393" s="83">
        <f>$J$393-EFEITO!$K$393*EFEITO!$Y$393</f>
        <v>0</v>
      </c>
      <c r="N393" s="83">
        <f ca="1">$K$393-EFEITO!$M$393*EFEITO!$Z$393</f>
        <v>0</v>
      </c>
      <c r="O393" s="83">
        <f>$L$393-EFEITO!$O$393*EFEITO!$AA$393</f>
        <v>0</v>
      </c>
      <c r="P393" s="28"/>
      <c r="Q393" s="28"/>
      <c r="R393" s="28"/>
      <c r="S393" s="28"/>
      <c r="T393" s="28"/>
      <c r="U393" s="28"/>
      <c r="V393" s="28"/>
      <c r="W393" s="28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72" t="s">
        <v>21</v>
      </c>
      <c r="B394" s="72" t="s">
        <v>22</v>
      </c>
      <c r="C394" s="72" t="s">
        <v>37</v>
      </c>
      <c r="D394" s="72" t="s">
        <v>24</v>
      </c>
      <c r="E394" s="72" t="s">
        <v>24</v>
      </c>
      <c r="F394" s="72" t="s">
        <v>25</v>
      </c>
      <c r="G394" s="72" t="s">
        <v>25</v>
      </c>
      <c r="H394" s="72" t="s">
        <v>35</v>
      </c>
      <c r="I394" s="82">
        <v>44501</v>
      </c>
      <c r="J394" s="83">
        <f>EFEITO!$J$394*EFEITO!$Y$394</f>
        <v>0</v>
      </c>
      <c r="K394" s="83">
        <f ca="1">EFEITO!$L$394*EFEITO!$Z$394</f>
        <v>222.10537909486393</v>
      </c>
      <c r="L394" s="83">
        <f>EFEITO!$N$394*EFEITO!$AA$394</f>
        <v>76.463763281879096</v>
      </c>
      <c r="M394" s="83">
        <f>$J$394-EFEITO!$K$394*EFEITO!$Y$394</f>
        <v>0</v>
      </c>
      <c r="N394" s="83">
        <f ca="1">$K$394-EFEITO!$M$394*EFEITO!$Z$394</f>
        <v>0</v>
      </c>
      <c r="O394" s="83">
        <f>$L$394-EFEITO!$O$394*EFEITO!$AA$394</f>
        <v>0</v>
      </c>
      <c r="P394" s="28"/>
      <c r="Q394" s="28"/>
      <c r="R394" s="28"/>
      <c r="S394" s="28"/>
      <c r="T394" s="28"/>
      <c r="U394" s="28"/>
      <c r="V394" s="28"/>
      <c r="W394" s="28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72" t="s">
        <v>21</v>
      </c>
      <c r="B395" s="72" t="s">
        <v>22</v>
      </c>
      <c r="C395" s="72" t="s">
        <v>37</v>
      </c>
      <c r="D395" s="72" t="s">
        <v>24</v>
      </c>
      <c r="E395" s="72" t="s">
        <v>24</v>
      </c>
      <c r="F395" s="72" t="s">
        <v>25</v>
      </c>
      <c r="G395" s="72" t="s">
        <v>25</v>
      </c>
      <c r="H395" s="72" t="s">
        <v>35</v>
      </c>
      <c r="I395" s="82">
        <v>44531</v>
      </c>
      <c r="J395" s="83">
        <f>EFEITO!$J$395*EFEITO!$Y$395</f>
        <v>0</v>
      </c>
      <c r="K395" s="83">
        <f ca="1">EFEITO!$L$395*EFEITO!$Z$395</f>
        <v>221.49351854639323</v>
      </c>
      <c r="L395" s="83">
        <f>EFEITO!$N$395*EFEITO!$AA$395</f>
        <v>76.25311930589595</v>
      </c>
      <c r="M395" s="83">
        <f>$J$395-EFEITO!$K$395*EFEITO!$Y$395</f>
        <v>0</v>
      </c>
      <c r="N395" s="83">
        <f ca="1">$K$395-EFEITO!$M$395*EFEITO!$Z$395</f>
        <v>0</v>
      </c>
      <c r="O395" s="83">
        <f>$L$395-EFEITO!$O$395*EFEITO!$AA$395</f>
        <v>0</v>
      </c>
      <c r="P395" s="28"/>
      <c r="Q395" s="28"/>
      <c r="R395" s="28"/>
      <c r="S395" s="28"/>
      <c r="T395" s="28"/>
      <c r="U395" s="28"/>
      <c r="V395" s="28"/>
      <c r="W395" s="28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72" t="s">
        <v>21</v>
      </c>
      <c r="B396" s="72" t="s">
        <v>22</v>
      </c>
      <c r="C396" s="72" t="s">
        <v>37</v>
      </c>
      <c r="D396" s="72" t="s">
        <v>24</v>
      </c>
      <c r="E396" s="72" t="s">
        <v>24</v>
      </c>
      <c r="F396" s="72" t="s">
        <v>25</v>
      </c>
      <c r="G396" s="72" t="s">
        <v>25</v>
      </c>
      <c r="H396" s="72" t="s">
        <v>35</v>
      </c>
      <c r="I396" s="82">
        <v>44562</v>
      </c>
      <c r="J396" s="83">
        <f>EFEITO!$J$396*EFEITO!$Y$396</f>
        <v>0</v>
      </c>
      <c r="K396" s="83">
        <f ca="1">EFEITO!$L$396*EFEITO!$Z$396</f>
        <v>246.57980103369192</v>
      </c>
      <c r="L396" s="83">
        <f>EFEITO!$N$396*EFEITO!$AA$396</f>
        <v>84.889522321204623</v>
      </c>
      <c r="M396" s="83">
        <f>$J$396-EFEITO!$K$396*EFEITO!$Y$396</f>
        <v>0</v>
      </c>
      <c r="N396" s="83">
        <f ca="1">$K$396-EFEITO!$M$396*EFEITO!$Z$396</f>
        <v>0</v>
      </c>
      <c r="O396" s="83">
        <f>$L$396-EFEITO!$O$396*EFEITO!$AA$396</f>
        <v>0</v>
      </c>
      <c r="P396" s="28"/>
      <c r="Q396" s="28"/>
      <c r="R396" s="28"/>
      <c r="S396" s="28"/>
      <c r="T396" s="28"/>
      <c r="U396" s="28"/>
      <c r="V396" s="28"/>
      <c r="W396" s="28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72" t="s">
        <v>21</v>
      </c>
      <c r="B397" s="72" t="s">
        <v>22</v>
      </c>
      <c r="C397" s="72" t="s">
        <v>37</v>
      </c>
      <c r="D397" s="72" t="s">
        <v>24</v>
      </c>
      <c r="E397" s="72" t="s">
        <v>24</v>
      </c>
      <c r="F397" s="72" t="s">
        <v>25</v>
      </c>
      <c r="G397" s="72" t="s">
        <v>25</v>
      </c>
      <c r="H397" s="72" t="s">
        <v>35</v>
      </c>
      <c r="I397" s="82">
        <v>44593</v>
      </c>
      <c r="J397" s="83">
        <f>EFEITO!$J$397*EFEITO!$Y$397</f>
        <v>0</v>
      </c>
      <c r="K397" s="83">
        <f ca="1">EFEITO!$L$397*EFEITO!$Z$397</f>
        <v>252.08654596992821</v>
      </c>
      <c r="L397" s="83">
        <f>EFEITO!$N$397*EFEITO!$AA$397</f>
        <v>86.785318105052852</v>
      </c>
      <c r="M397" s="83">
        <f>$J$397-EFEITO!$K$397*EFEITO!$Y$397</f>
        <v>0</v>
      </c>
      <c r="N397" s="83">
        <f ca="1">$K$397-EFEITO!$M$397*EFEITO!$Z$397</f>
        <v>0</v>
      </c>
      <c r="O397" s="83">
        <f>$L$397-EFEITO!$O$397*EFEITO!$AA$397</f>
        <v>0</v>
      </c>
      <c r="P397" s="28"/>
      <c r="Q397" s="28"/>
      <c r="R397" s="28"/>
      <c r="S397" s="28"/>
      <c r="T397" s="28"/>
      <c r="U397" s="28"/>
      <c r="V397" s="28"/>
      <c r="W397" s="28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72" t="s">
        <v>21</v>
      </c>
      <c r="B398" s="72" t="s">
        <v>22</v>
      </c>
      <c r="C398" s="72" t="s">
        <v>37</v>
      </c>
      <c r="D398" s="72" t="s">
        <v>24</v>
      </c>
      <c r="E398" s="72" t="s">
        <v>24</v>
      </c>
      <c r="F398" s="72" t="s">
        <v>25</v>
      </c>
      <c r="G398" s="72" t="s">
        <v>25</v>
      </c>
      <c r="H398" s="72" t="s">
        <v>35</v>
      </c>
      <c r="I398" s="82">
        <v>44621</v>
      </c>
      <c r="J398" s="83">
        <f>EFEITO!$J$398*EFEITO!$Y$398</f>
        <v>0</v>
      </c>
      <c r="K398" s="83">
        <f ca="1">EFEITO!$L$398*EFEITO!$Z$398</f>
        <v>307.76585588076188</v>
      </c>
      <c r="L398" s="83">
        <f>EFEITO!$N$398*EFEITO!$AA$398</f>
        <v>105.95391991951841</v>
      </c>
      <c r="M398" s="83">
        <f>$J$398-EFEITO!$K$398*EFEITO!$Y$398</f>
        <v>0</v>
      </c>
      <c r="N398" s="83">
        <f ca="1">$K$398-EFEITO!$M$398*EFEITO!$Z$398</f>
        <v>0</v>
      </c>
      <c r="O398" s="83">
        <f>$L$398-EFEITO!$O$398*EFEITO!$AA$398</f>
        <v>0</v>
      </c>
      <c r="P398" s="28"/>
      <c r="Q398" s="28"/>
      <c r="R398" s="28"/>
      <c r="S398" s="28"/>
      <c r="T398" s="28"/>
      <c r="U398" s="28"/>
      <c r="V398" s="28"/>
      <c r="W398" s="28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72" t="s">
        <v>21</v>
      </c>
      <c r="B399" s="72" t="s">
        <v>22</v>
      </c>
      <c r="C399" s="72" t="s">
        <v>37</v>
      </c>
      <c r="D399" s="72" t="s">
        <v>24</v>
      </c>
      <c r="E399" s="72" t="s">
        <v>24</v>
      </c>
      <c r="F399" s="72" t="s">
        <v>25</v>
      </c>
      <c r="G399" s="72" t="s">
        <v>25</v>
      </c>
      <c r="H399" s="72" t="s">
        <v>35</v>
      </c>
      <c r="I399" s="82">
        <v>44652</v>
      </c>
      <c r="J399" s="83">
        <f>EFEITO!$J$399*EFEITO!$Y$399</f>
        <v>0</v>
      </c>
      <c r="K399" s="83">
        <f ca="1">EFEITO!$L$399*EFEITO!$Z$399</f>
        <v>261.26445419698871</v>
      </c>
      <c r="L399" s="83">
        <f>EFEITO!$N$399*EFEITO!$AA$399</f>
        <v>89.944977744799928</v>
      </c>
      <c r="M399" s="83">
        <f>$J$399-EFEITO!$K$399*EFEITO!$Y$399</f>
        <v>0</v>
      </c>
      <c r="N399" s="83">
        <f ca="1">$K$399-EFEITO!$M$399*EFEITO!$Z$399</f>
        <v>0</v>
      </c>
      <c r="O399" s="83">
        <f>$L$399-EFEITO!$O$399*EFEITO!$AA$399</f>
        <v>0</v>
      </c>
      <c r="P399" s="28"/>
      <c r="Q399" s="28"/>
      <c r="R399" s="28"/>
      <c r="S399" s="28"/>
      <c r="T399" s="28"/>
      <c r="U399" s="28"/>
      <c r="V399" s="28"/>
      <c r="W399" s="28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72" t="s">
        <v>21</v>
      </c>
      <c r="B400" s="72" t="s">
        <v>22</v>
      </c>
      <c r="C400" s="72" t="s">
        <v>23</v>
      </c>
      <c r="D400" s="72" t="s">
        <v>24</v>
      </c>
      <c r="E400" s="72" t="s">
        <v>24</v>
      </c>
      <c r="F400" s="72" t="s">
        <v>25</v>
      </c>
      <c r="G400" s="72" t="s">
        <v>25</v>
      </c>
      <c r="H400" s="72" t="s">
        <v>25</v>
      </c>
      <c r="I400" s="82">
        <v>44317</v>
      </c>
      <c r="J400" s="83">
        <f>EFEITO!$J$400*EFEITO!$Y$400</f>
        <v>0</v>
      </c>
      <c r="K400" s="83">
        <f ca="1">EFEITO!$L$400*EFEITO!$Z$400</f>
        <v>593951.41555953131</v>
      </c>
      <c r="L400" s="83">
        <f>EFEITO!$N$400*EFEITO!$AA$400</f>
        <v>390847.15906502481</v>
      </c>
      <c r="M400" s="83">
        <f>$J$400-EFEITO!$K$400*EFEITO!$Y$400</f>
        <v>0</v>
      </c>
      <c r="N400" s="83">
        <f ca="1">$K$400-EFEITO!$M$400*EFEITO!$Z$400</f>
        <v>0</v>
      </c>
      <c r="O400" s="83">
        <f>$L$400-EFEITO!$O$400*EFEITO!$AA$400</f>
        <v>0</v>
      </c>
      <c r="P400" s="28"/>
      <c r="Q400" s="28"/>
      <c r="R400" s="28"/>
      <c r="S400" s="28"/>
      <c r="T400" s="28"/>
      <c r="U400" s="28"/>
      <c r="V400" s="28"/>
      <c r="W400" s="28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72" t="s">
        <v>27</v>
      </c>
      <c r="B401" s="72" t="s">
        <v>22</v>
      </c>
      <c r="C401" s="72" t="s">
        <v>23</v>
      </c>
      <c r="D401" s="72" t="s">
        <v>24</v>
      </c>
      <c r="E401" s="72" t="s">
        <v>24</v>
      </c>
      <c r="F401" s="72" t="s">
        <v>25</v>
      </c>
      <c r="G401" s="72" t="s">
        <v>25</v>
      </c>
      <c r="H401" s="72" t="s">
        <v>25</v>
      </c>
      <c r="I401" s="82">
        <v>44317</v>
      </c>
      <c r="J401" s="83">
        <f>EFEITO!$J$401*EFEITO!$Y$401</f>
        <v>0</v>
      </c>
      <c r="K401" s="83">
        <f ca="1">EFEITO!$L$401*EFEITO!$Z$401</f>
        <v>-419.01797370039583</v>
      </c>
      <c r="L401" s="83">
        <f>EFEITO!$N$401*EFEITO!$AA$401</f>
        <v>-275.73296456192764</v>
      </c>
      <c r="M401" s="83">
        <f>$J$401-EFEITO!$K$401*EFEITO!$Y$401</f>
        <v>0</v>
      </c>
      <c r="N401" s="83">
        <f ca="1">$K$401-EFEITO!$M$401*EFEITO!$Z$401</f>
        <v>0</v>
      </c>
      <c r="O401" s="83">
        <f>$L$401-EFEITO!$O$401*EFEITO!$AA$401</f>
        <v>0</v>
      </c>
      <c r="P401" s="28"/>
      <c r="Q401" s="28"/>
      <c r="R401" s="28"/>
      <c r="S401" s="28"/>
      <c r="T401" s="28"/>
      <c r="U401" s="28"/>
      <c r="V401" s="28"/>
      <c r="W401" s="28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72" t="s">
        <v>28</v>
      </c>
      <c r="B402" s="72" t="s">
        <v>22</v>
      </c>
      <c r="C402" s="72" t="s">
        <v>23</v>
      </c>
      <c r="D402" s="72" t="s">
        <v>24</v>
      </c>
      <c r="E402" s="72" t="s">
        <v>24</v>
      </c>
      <c r="F402" s="72" t="s">
        <v>25</v>
      </c>
      <c r="G402" s="72" t="s">
        <v>25</v>
      </c>
      <c r="H402" s="72" t="s">
        <v>25</v>
      </c>
      <c r="I402" s="82">
        <v>44317</v>
      </c>
      <c r="J402" s="83">
        <f>EFEITO!$J$402*EFEITO!$Y$402</f>
        <v>0</v>
      </c>
      <c r="K402" s="83">
        <f ca="1">EFEITO!$L$402*EFEITO!$Z$402</f>
        <v>6154.6666007162039</v>
      </c>
      <c r="L402" s="83">
        <f>EFEITO!$N$402*EFEITO!$AA$402</f>
        <v>4050.0517262277945</v>
      </c>
      <c r="M402" s="83">
        <f>$J$402-EFEITO!$K$402*EFEITO!$Y$402</f>
        <v>0</v>
      </c>
      <c r="N402" s="83">
        <f ca="1">$K$402-EFEITO!$M$402*EFEITO!$Z$402</f>
        <v>0</v>
      </c>
      <c r="O402" s="83">
        <f>$L$402-EFEITO!$O$402*EFEITO!$AA$402</f>
        <v>0</v>
      </c>
      <c r="P402" s="28"/>
      <c r="Q402" s="28"/>
      <c r="R402" s="28"/>
      <c r="S402" s="28"/>
      <c r="T402" s="28"/>
      <c r="U402" s="28"/>
      <c r="V402" s="28"/>
      <c r="W402" s="28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72" t="s">
        <v>21</v>
      </c>
      <c r="B403" s="72" t="s">
        <v>22</v>
      </c>
      <c r="C403" s="72" t="s">
        <v>23</v>
      </c>
      <c r="D403" s="72" t="s">
        <v>24</v>
      </c>
      <c r="E403" s="72" t="s">
        <v>24</v>
      </c>
      <c r="F403" s="72" t="s">
        <v>25</v>
      </c>
      <c r="G403" s="72" t="s">
        <v>25</v>
      </c>
      <c r="H403" s="72" t="s">
        <v>25</v>
      </c>
      <c r="I403" s="82">
        <v>44348</v>
      </c>
      <c r="J403" s="83">
        <f>EFEITO!$J$403*EFEITO!$Y$403</f>
        <v>0</v>
      </c>
      <c r="K403" s="83">
        <f ca="1">EFEITO!$L$403*EFEITO!$Z$403</f>
        <v>626850.88865579211</v>
      </c>
      <c r="L403" s="83">
        <f>EFEITO!$N$403*EFEITO!$AA$403</f>
        <v>412496.51498464373</v>
      </c>
      <c r="M403" s="83">
        <f>$J$403-EFEITO!$K$403*EFEITO!$Y$403</f>
        <v>0</v>
      </c>
      <c r="N403" s="83">
        <f ca="1">$K$403-EFEITO!$M$403*EFEITO!$Z$403</f>
        <v>0</v>
      </c>
      <c r="O403" s="83">
        <f>$L$403-EFEITO!$O$403*EFEITO!$AA$403</f>
        <v>0</v>
      </c>
      <c r="P403" s="28"/>
      <c r="Q403" s="28"/>
      <c r="R403" s="28"/>
      <c r="S403" s="28"/>
      <c r="T403" s="28"/>
      <c r="U403" s="28"/>
      <c r="V403" s="28"/>
      <c r="W403" s="28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72" t="s">
        <v>27</v>
      </c>
      <c r="B404" s="72" t="s">
        <v>22</v>
      </c>
      <c r="C404" s="72" t="s">
        <v>23</v>
      </c>
      <c r="D404" s="72" t="s">
        <v>24</v>
      </c>
      <c r="E404" s="72" t="s">
        <v>24</v>
      </c>
      <c r="F404" s="72" t="s">
        <v>25</v>
      </c>
      <c r="G404" s="72" t="s">
        <v>25</v>
      </c>
      <c r="H404" s="72" t="s">
        <v>25</v>
      </c>
      <c r="I404" s="82">
        <v>44348</v>
      </c>
      <c r="J404" s="83">
        <f>EFEITO!$J$404*EFEITO!$Y$404</f>
        <v>0</v>
      </c>
      <c r="K404" s="83">
        <f ca="1">EFEITO!$L$404*EFEITO!$Z$404</f>
        <v>-869.40627698263961</v>
      </c>
      <c r="L404" s="83">
        <f>EFEITO!$N$404*EFEITO!$AA$404</f>
        <v>-572.10903877020291</v>
      </c>
      <c r="M404" s="83">
        <f>$J$404-EFEITO!$K$404*EFEITO!$Y$404</f>
        <v>0</v>
      </c>
      <c r="N404" s="83">
        <f ca="1">$K$404-EFEITO!$M$404*EFEITO!$Z$404</f>
        <v>0</v>
      </c>
      <c r="O404" s="83">
        <f>$L$404-EFEITO!$O$404*EFEITO!$AA$404</f>
        <v>0</v>
      </c>
      <c r="P404" s="28"/>
      <c r="Q404" s="28"/>
      <c r="R404" s="28"/>
      <c r="S404" s="28"/>
      <c r="T404" s="28"/>
      <c r="U404" s="28"/>
      <c r="V404" s="28"/>
      <c r="W404" s="28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72" t="s">
        <v>28</v>
      </c>
      <c r="B405" s="72" t="s">
        <v>22</v>
      </c>
      <c r="C405" s="72" t="s">
        <v>23</v>
      </c>
      <c r="D405" s="72" t="s">
        <v>24</v>
      </c>
      <c r="E405" s="72" t="s">
        <v>24</v>
      </c>
      <c r="F405" s="72" t="s">
        <v>25</v>
      </c>
      <c r="G405" s="72" t="s">
        <v>25</v>
      </c>
      <c r="H405" s="72" t="s">
        <v>25</v>
      </c>
      <c r="I405" s="82">
        <v>44348</v>
      </c>
      <c r="J405" s="83">
        <f>EFEITO!$J$405*EFEITO!$Y$405</f>
        <v>0</v>
      </c>
      <c r="K405" s="83">
        <f ca="1">EFEITO!$L$405*EFEITO!$Z$405</f>
        <v>7187.0065282821151</v>
      </c>
      <c r="L405" s="83">
        <f>EFEITO!$N$405*EFEITO!$AA$405</f>
        <v>4729.3785487734149</v>
      </c>
      <c r="M405" s="83">
        <f>$J$405-EFEITO!$K$405*EFEITO!$Y$405</f>
        <v>0</v>
      </c>
      <c r="N405" s="83">
        <f ca="1">$K$405-EFEITO!$M$405*EFEITO!$Z$405</f>
        <v>0</v>
      </c>
      <c r="O405" s="83">
        <f>$L$405-EFEITO!$O$405*EFEITO!$AA$405</f>
        <v>0</v>
      </c>
      <c r="P405" s="28"/>
      <c r="Q405" s="28"/>
      <c r="R405" s="28"/>
      <c r="S405" s="28"/>
      <c r="T405" s="28"/>
      <c r="U405" s="28"/>
      <c r="V405" s="28"/>
      <c r="W405" s="28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72" t="s">
        <v>28</v>
      </c>
      <c r="B406" s="72" t="s">
        <v>22</v>
      </c>
      <c r="C406" s="72" t="s">
        <v>23</v>
      </c>
      <c r="D406" s="72" t="s">
        <v>24</v>
      </c>
      <c r="E406" s="72" t="s">
        <v>24</v>
      </c>
      <c r="F406" s="72" t="s">
        <v>25</v>
      </c>
      <c r="G406" s="72" t="s">
        <v>25</v>
      </c>
      <c r="H406" s="72" t="s">
        <v>25</v>
      </c>
      <c r="I406" s="82">
        <v>44348</v>
      </c>
      <c r="J406" s="83">
        <f>EFEITO!$J$406*EFEITO!$Y$406</f>
        <v>0</v>
      </c>
      <c r="K406" s="83">
        <f ca="1">EFEITO!$L$406*EFEITO!$Z$406</f>
        <v>-45.775072757186095</v>
      </c>
      <c r="L406" s="83">
        <f>EFEITO!$N$406*EFEITO!$AA$406</f>
        <v>-30.122088565588733</v>
      </c>
      <c r="M406" s="83">
        <f>$J$406-EFEITO!$K$406*EFEITO!$Y$406</f>
        <v>0</v>
      </c>
      <c r="N406" s="83">
        <f ca="1">$K$406-EFEITO!$M$406*EFEITO!$Z$406</f>
        <v>0</v>
      </c>
      <c r="O406" s="83">
        <f>$L$406-EFEITO!$O$406*EFEITO!$AA$406</f>
        <v>0</v>
      </c>
      <c r="P406" s="28"/>
      <c r="Q406" s="28"/>
      <c r="R406" s="28"/>
      <c r="S406" s="28"/>
      <c r="T406" s="28"/>
      <c r="U406" s="28"/>
      <c r="V406" s="28"/>
      <c r="W406" s="28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72" t="s">
        <v>21</v>
      </c>
      <c r="B407" s="72" t="s">
        <v>22</v>
      </c>
      <c r="C407" s="72" t="s">
        <v>23</v>
      </c>
      <c r="D407" s="72" t="s">
        <v>24</v>
      </c>
      <c r="E407" s="72" t="s">
        <v>24</v>
      </c>
      <c r="F407" s="72" t="s">
        <v>25</v>
      </c>
      <c r="G407" s="72" t="s">
        <v>25</v>
      </c>
      <c r="H407" s="72" t="s">
        <v>25</v>
      </c>
      <c r="I407" s="82">
        <v>44378</v>
      </c>
      <c r="J407" s="83">
        <f>EFEITO!$J$407*EFEITO!$Y$407</f>
        <v>0</v>
      </c>
      <c r="K407" s="83">
        <f ca="1">EFEITO!$L$407*EFEITO!$Z$407</f>
        <v>611386.59659355681</v>
      </c>
      <c r="L407" s="83">
        <f>EFEITO!$N$407*EFEITO!$AA$407</f>
        <v>402320.30450489838</v>
      </c>
      <c r="M407" s="83">
        <f>$J$407-EFEITO!$K$407*EFEITO!$Y$407</f>
        <v>0</v>
      </c>
      <c r="N407" s="83">
        <f ca="1">$K$407-EFEITO!$M$407*EFEITO!$Z$407</f>
        <v>0</v>
      </c>
      <c r="O407" s="83">
        <f>$L$407-EFEITO!$O$407*EFEITO!$AA$407</f>
        <v>0</v>
      </c>
      <c r="P407" s="28"/>
      <c r="Q407" s="28"/>
      <c r="R407" s="28"/>
      <c r="S407" s="28"/>
      <c r="T407" s="28"/>
      <c r="U407" s="28"/>
      <c r="V407" s="28"/>
      <c r="W407" s="28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72" t="s">
        <v>27</v>
      </c>
      <c r="B408" s="72" t="s">
        <v>22</v>
      </c>
      <c r="C408" s="72" t="s">
        <v>23</v>
      </c>
      <c r="D408" s="72" t="s">
        <v>24</v>
      </c>
      <c r="E408" s="72" t="s">
        <v>24</v>
      </c>
      <c r="F408" s="72" t="s">
        <v>25</v>
      </c>
      <c r="G408" s="72" t="s">
        <v>25</v>
      </c>
      <c r="H408" s="72" t="s">
        <v>25</v>
      </c>
      <c r="I408" s="82">
        <v>44378</v>
      </c>
      <c r="J408" s="83">
        <f>EFEITO!$J$408*EFEITO!$Y$408</f>
        <v>0</v>
      </c>
      <c r="K408" s="83">
        <f ca="1">EFEITO!$L$408*EFEITO!$Z$408</f>
        <v>-757.04928021500098</v>
      </c>
      <c r="L408" s="83">
        <f>EFEITO!$N$408*EFEITO!$AA$408</f>
        <v>-498.17300320012146</v>
      </c>
      <c r="M408" s="83">
        <f>$J$408-EFEITO!$K$408*EFEITO!$Y$408</f>
        <v>0</v>
      </c>
      <c r="N408" s="83">
        <f ca="1">$K$408-EFEITO!$M$408*EFEITO!$Z$408</f>
        <v>0</v>
      </c>
      <c r="O408" s="83">
        <f>$L$408-EFEITO!$O$408*EFEITO!$AA$408</f>
        <v>0</v>
      </c>
      <c r="P408" s="28"/>
      <c r="Q408" s="28"/>
      <c r="R408" s="28"/>
      <c r="S408" s="28"/>
      <c r="T408" s="28"/>
      <c r="U408" s="28"/>
      <c r="V408" s="28"/>
      <c r="W408" s="28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72" t="s">
        <v>28</v>
      </c>
      <c r="B409" s="72" t="s">
        <v>22</v>
      </c>
      <c r="C409" s="72" t="s">
        <v>23</v>
      </c>
      <c r="D409" s="72" t="s">
        <v>24</v>
      </c>
      <c r="E409" s="72" t="s">
        <v>24</v>
      </c>
      <c r="F409" s="72" t="s">
        <v>25</v>
      </c>
      <c r="G409" s="72" t="s">
        <v>25</v>
      </c>
      <c r="H409" s="72" t="s">
        <v>25</v>
      </c>
      <c r="I409" s="82">
        <v>44378</v>
      </c>
      <c r="J409" s="83">
        <f>EFEITO!$J$409*EFEITO!$Y$409</f>
        <v>0</v>
      </c>
      <c r="K409" s="83">
        <f ca="1">EFEITO!$L$409*EFEITO!$Z$409</f>
        <v>7297.76299803027</v>
      </c>
      <c r="L409" s="83">
        <f>EFEITO!$N$409*EFEITO!$AA$409</f>
        <v>4802.2613644635803</v>
      </c>
      <c r="M409" s="83">
        <f>$J$409-EFEITO!$K$409*EFEITO!$Y$409</f>
        <v>0</v>
      </c>
      <c r="N409" s="83">
        <f ca="1">$K$409-EFEITO!$M$409*EFEITO!$Z$409</f>
        <v>0</v>
      </c>
      <c r="O409" s="83">
        <f>$L$409-EFEITO!$O$409*EFEITO!$AA$409</f>
        <v>0</v>
      </c>
      <c r="P409" s="28"/>
      <c r="Q409" s="28"/>
      <c r="R409" s="28"/>
      <c r="S409" s="28"/>
      <c r="T409" s="28"/>
      <c r="U409" s="28"/>
      <c r="V409" s="28"/>
      <c r="W409" s="28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72" t="s">
        <v>21</v>
      </c>
      <c r="B410" s="72" t="s">
        <v>22</v>
      </c>
      <c r="C410" s="72" t="s">
        <v>23</v>
      </c>
      <c r="D410" s="72" t="s">
        <v>24</v>
      </c>
      <c r="E410" s="72" t="s">
        <v>24</v>
      </c>
      <c r="F410" s="72" t="s">
        <v>25</v>
      </c>
      <c r="G410" s="72" t="s">
        <v>25</v>
      </c>
      <c r="H410" s="72" t="s">
        <v>25</v>
      </c>
      <c r="I410" s="82">
        <v>44409</v>
      </c>
      <c r="J410" s="83">
        <f>EFEITO!$J$410*EFEITO!$Y$410</f>
        <v>0</v>
      </c>
      <c r="K410" s="83">
        <f ca="1">EFEITO!$L$410*EFEITO!$Z$410</f>
        <v>636172.03791185166</v>
      </c>
      <c r="L410" s="83">
        <f>EFEITO!$N$410*EFEITO!$AA$410</f>
        <v>418630.25692129676</v>
      </c>
      <c r="M410" s="83">
        <f>$J$410-EFEITO!$K$410*EFEITO!$Y$410</f>
        <v>0</v>
      </c>
      <c r="N410" s="83">
        <f ca="1">$K$410-EFEITO!$M$410*EFEITO!$Z$410</f>
        <v>0</v>
      </c>
      <c r="O410" s="83">
        <f>$L$410-EFEITO!$O$410*EFEITO!$AA$410</f>
        <v>0</v>
      </c>
      <c r="P410" s="28"/>
      <c r="Q410" s="28"/>
      <c r="R410" s="28"/>
      <c r="S410" s="28"/>
      <c r="T410" s="28"/>
      <c r="U410" s="28"/>
      <c r="V410" s="28"/>
      <c r="W410" s="28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72" t="s">
        <v>27</v>
      </c>
      <c r="B411" s="72" t="s">
        <v>22</v>
      </c>
      <c r="C411" s="72" t="s">
        <v>23</v>
      </c>
      <c r="D411" s="72" t="s">
        <v>24</v>
      </c>
      <c r="E411" s="72" t="s">
        <v>24</v>
      </c>
      <c r="F411" s="72" t="s">
        <v>25</v>
      </c>
      <c r="G411" s="72" t="s">
        <v>25</v>
      </c>
      <c r="H411" s="72" t="s">
        <v>25</v>
      </c>
      <c r="I411" s="82">
        <v>44409</v>
      </c>
      <c r="J411" s="83">
        <f>EFEITO!$J$411*EFEITO!$Y$411</f>
        <v>0</v>
      </c>
      <c r="K411" s="83">
        <f ca="1">EFEITO!$L$411*EFEITO!$Z$411</f>
        <v>-1679.9131596483403</v>
      </c>
      <c r="L411" s="83">
        <f>EFEITO!$N$411*EFEITO!$AA$411</f>
        <v>-1105.4595859595083</v>
      </c>
      <c r="M411" s="83">
        <f>$J$411-EFEITO!$K$411*EFEITO!$Y$411</f>
        <v>0</v>
      </c>
      <c r="N411" s="83">
        <f ca="1">$K$411-EFEITO!$M$411*EFEITO!$Z$411</f>
        <v>0</v>
      </c>
      <c r="O411" s="83">
        <f>$L$411-EFEITO!$O$411*EFEITO!$AA$411</f>
        <v>0</v>
      </c>
      <c r="P411" s="28"/>
      <c r="Q411" s="28"/>
      <c r="R411" s="28"/>
      <c r="S411" s="28"/>
      <c r="T411" s="28"/>
      <c r="U411" s="28"/>
      <c r="V411" s="28"/>
      <c r="W411" s="28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72" t="s">
        <v>28</v>
      </c>
      <c r="B412" s="72" t="s">
        <v>22</v>
      </c>
      <c r="C412" s="72" t="s">
        <v>23</v>
      </c>
      <c r="D412" s="72" t="s">
        <v>24</v>
      </c>
      <c r="E412" s="72" t="s">
        <v>24</v>
      </c>
      <c r="F412" s="72" t="s">
        <v>25</v>
      </c>
      <c r="G412" s="72" t="s">
        <v>25</v>
      </c>
      <c r="H412" s="72" t="s">
        <v>25</v>
      </c>
      <c r="I412" s="82">
        <v>44409</v>
      </c>
      <c r="J412" s="83">
        <f>EFEITO!$J$412*EFEITO!$Y$412</f>
        <v>0</v>
      </c>
      <c r="K412" s="83">
        <f ca="1">EFEITO!$L$412*EFEITO!$Z$412</f>
        <v>7169.4007310678116</v>
      </c>
      <c r="L412" s="83">
        <f>EFEITO!$N$412*EFEITO!$AA$412</f>
        <v>4717.7931300943419</v>
      </c>
      <c r="M412" s="83">
        <f>$J$412-EFEITO!$K$412*EFEITO!$Y$412</f>
        <v>0</v>
      </c>
      <c r="N412" s="83">
        <f ca="1">$K$412-EFEITO!$M$412*EFEITO!$Z$412</f>
        <v>0</v>
      </c>
      <c r="O412" s="83">
        <f>$L$412-EFEITO!$O$412*EFEITO!$AA$412</f>
        <v>0</v>
      </c>
      <c r="P412" s="28"/>
      <c r="Q412" s="28"/>
      <c r="R412" s="28"/>
      <c r="S412" s="28"/>
      <c r="T412" s="28"/>
      <c r="U412" s="28"/>
      <c r="V412" s="28"/>
      <c r="W412" s="28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72" t="s">
        <v>21</v>
      </c>
      <c r="B413" s="72" t="s">
        <v>22</v>
      </c>
      <c r="C413" s="72" t="s">
        <v>23</v>
      </c>
      <c r="D413" s="72" t="s">
        <v>24</v>
      </c>
      <c r="E413" s="72" t="s">
        <v>24</v>
      </c>
      <c r="F413" s="72" t="s">
        <v>25</v>
      </c>
      <c r="G413" s="72" t="s">
        <v>25</v>
      </c>
      <c r="H413" s="72" t="s">
        <v>25</v>
      </c>
      <c r="I413" s="82">
        <v>44440</v>
      </c>
      <c r="J413" s="83">
        <f>EFEITO!$J$413*EFEITO!$Y$413</f>
        <v>0</v>
      </c>
      <c r="K413" s="83">
        <f ca="1">EFEITO!$L$413*EFEITO!$Z$413</f>
        <v>691512.18024286628</v>
      </c>
      <c r="L413" s="83">
        <f>EFEITO!$N$413*EFEITO!$AA$413</f>
        <v>455046.59813323768</v>
      </c>
      <c r="M413" s="83">
        <f>$J$413-EFEITO!$K$413*EFEITO!$Y$413</f>
        <v>0</v>
      </c>
      <c r="N413" s="83">
        <f ca="1">$K$413-EFEITO!$M$413*EFEITO!$Z$413</f>
        <v>0</v>
      </c>
      <c r="O413" s="83">
        <f>$L$413-EFEITO!$O$413*EFEITO!$AA$413</f>
        <v>0</v>
      </c>
      <c r="P413" s="28"/>
      <c r="Q413" s="28"/>
      <c r="R413" s="28"/>
      <c r="S413" s="28"/>
      <c r="T413" s="28"/>
      <c r="U413" s="28"/>
      <c r="V413" s="28"/>
      <c r="W413" s="28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72" t="s">
        <v>27</v>
      </c>
      <c r="B414" s="72" t="s">
        <v>22</v>
      </c>
      <c r="C414" s="72" t="s">
        <v>23</v>
      </c>
      <c r="D414" s="72" t="s">
        <v>24</v>
      </c>
      <c r="E414" s="72" t="s">
        <v>24</v>
      </c>
      <c r="F414" s="72" t="s">
        <v>25</v>
      </c>
      <c r="G414" s="72" t="s">
        <v>25</v>
      </c>
      <c r="H414" s="72" t="s">
        <v>25</v>
      </c>
      <c r="I414" s="82">
        <v>44440</v>
      </c>
      <c r="J414" s="83">
        <f>EFEITO!$J$414*EFEITO!$Y$414</f>
        <v>0</v>
      </c>
      <c r="K414" s="83">
        <f ca="1">EFEITO!$L$414*EFEITO!$Z$414</f>
        <v>-3099.2605205250061</v>
      </c>
      <c r="L414" s="83">
        <f>EFEITO!$N$414*EFEITO!$AA$414</f>
        <v>-2039.4549754687423</v>
      </c>
      <c r="M414" s="83">
        <f>$J$414-EFEITO!$K$414*EFEITO!$Y$414</f>
        <v>0</v>
      </c>
      <c r="N414" s="83">
        <f ca="1">$K$414-EFEITO!$M$414*EFEITO!$Z$414</f>
        <v>0</v>
      </c>
      <c r="O414" s="83">
        <f>$L$414-EFEITO!$O$414*EFEITO!$AA$414</f>
        <v>0</v>
      </c>
      <c r="P414" s="28"/>
      <c r="Q414" s="28"/>
      <c r="R414" s="28"/>
      <c r="S414" s="28"/>
      <c r="T414" s="28"/>
      <c r="U414" s="28"/>
      <c r="V414" s="28"/>
      <c r="W414" s="28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72" t="s">
        <v>28</v>
      </c>
      <c r="B415" s="72" t="s">
        <v>22</v>
      </c>
      <c r="C415" s="72" t="s">
        <v>23</v>
      </c>
      <c r="D415" s="72" t="s">
        <v>24</v>
      </c>
      <c r="E415" s="72" t="s">
        <v>24</v>
      </c>
      <c r="F415" s="72" t="s">
        <v>25</v>
      </c>
      <c r="G415" s="72" t="s">
        <v>25</v>
      </c>
      <c r="H415" s="72" t="s">
        <v>25</v>
      </c>
      <c r="I415" s="82">
        <v>44440</v>
      </c>
      <c r="J415" s="83">
        <f>EFEITO!$J$415*EFEITO!$Y$415</f>
        <v>0</v>
      </c>
      <c r="K415" s="83">
        <f ca="1">EFEITO!$L$415*EFEITO!$Z$415</f>
        <v>6490.457169403534</v>
      </c>
      <c r="L415" s="83">
        <f>EFEITO!$N$415*EFEITO!$AA$415</f>
        <v>4271.0172570341065</v>
      </c>
      <c r="M415" s="83">
        <f>$J$415-EFEITO!$K$415*EFEITO!$Y$415</f>
        <v>0</v>
      </c>
      <c r="N415" s="83">
        <f ca="1">$K$415-EFEITO!$M$415*EFEITO!$Z$415</f>
        <v>0</v>
      </c>
      <c r="O415" s="83">
        <f>$L$415-EFEITO!$O$415*EFEITO!$AA$415</f>
        <v>0</v>
      </c>
      <c r="P415" s="28"/>
      <c r="Q415" s="28"/>
      <c r="R415" s="28"/>
      <c r="S415" s="28"/>
      <c r="T415" s="28"/>
      <c r="U415" s="28"/>
      <c r="V415" s="28"/>
      <c r="W415" s="28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72" t="s">
        <v>28</v>
      </c>
      <c r="B416" s="72" t="s">
        <v>22</v>
      </c>
      <c r="C416" s="72" t="s">
        <v>23</v>
      </c>
      <c r="D416" s="72" t="s">
        <v>24</v>
      </c>
      <c r="E416" s="72" t="s">
        <v>24</v>
      </c>
      <c r="F416" s="72" t="s">
        <v>25</v>
      </c>
      <c r="G416" s="72" t="s">
        <v>25</v>
      </c>
      <c r="H416" s="72" t="s">
        <v>25</v>
      </c>
      <c r="I416" s="82">
        <v>44440</v>
      </c>
      <c r="J416" s="83">
        <f>EFEITO!$J$416*EFEITO!$Y$416</f>
        <v>0</v>
      </c>
      <c r="K416" s="83">
        <f ca="1">EFEITO!$L$416*EFEITO!$Z$416</f>
        <v>128.04216155856253</v>
      </c>
      <c r="L416" s="83">
        <f>EFEITO!$N$416*EFEITO!$AA$416</f>
        <v>84.257590393255214</v>
      </c>
      <c r="M416" s="83">
        <f>$J$416-EFEITO!$K$416*EFEITO!$Y$416</f>
        <v>0</v>
      </c>
      <c r="N416" s="83">
        <f ca="1">$K$416-EFEITO!$M$416*EFEITO!$Z$416</f>
        <v>0</v>
      </c>
      <c r="O416" s="83">
        <f>$L$416-EFEITO!$O$416*EFEITO!$AA$416</f>
        <v>0</v>
      </c>
      <c r="P416" s="28"/>
      <c r="Q416" s="28"/>
      <c r="R416" s="28"/>
      <c r="S416" s="28"/>
      <c r="T416" s="28"/>
      <c r="U416" s="28"/>
      <c r="V416" s="28"/>
      <c r="W416" s="28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72" t="s">
        <v>21</v>
      </c>
      <c r="B417" s="72" t="s">
        <v>22</v>
      </c>
      <c r="C417" s="72" t="s">
        <v>23</v>
      </c>
      <c r="D417" s="72" t="s">
        <v>24</v>
      </c>
      <c r="E417" s="72" t="s">
        <v>24</v>
      </c>
      <c r="F417" s="72" t="s">
        <v>25</v>
      </c>
      <c r="G417" s="72" t="s">
        <v>25</v>
      </c>
      <c r="H417" s="72" t="s">
        <v>25</v>
      </c>
      <c r="I417" s="82">
        <v>44470</v>
      </c>
      <c r="J417" s="83">
        <f>EFEITO!$J$417*EFEITO!$Y$417</f>
        <v>0</v>
      </c>
      <c r="K417" s="83">
        <f ca="1">EFEITO!$L$417*EFEITO!$Z$417</f>
        <v>732232.14846172032</v>
      </c>
      <c r="L417" s="83">
        <f>EFEITO!$N$417*EFEITO!$AA$417</f>
        <v>481842.19703010068</v>
      </c>
      <c r="M417" s="83">
        <f>$J$417-EFEITO!$K$417*EFEITO!$Y$417</f>
        <v>0</v>
      </c>
      <c r="N417" s="83">
        <f ca="1">$K$417-EFEITO!$M$417*EFEITO!$Z$417</f>
        <v>0</v>
      </c>
      <c r="O417" s="83">
        <f>$L$417-EFEITO!$O$417*EFEITO!$AA$417</f>
        <v>0</v>
      </c>
      <c r="P417" s="28"/>
      <c r="Q417" s="28"/>
      <c r="R417" s="28"/>
      <c r="S417" s="28"/>
      <c r="T417" s="28"/>
      <c r="U417" s="28"/>
      <c r="V417" s="28"/>
      <c r="W417" s="28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72" t="s">
        <v>27</v>
      </c>
      <c r="B418" s="72" t="s">
        <v>22</v>
      </c>
      <c r="C418" s="72" t="s">
        <v>23</v>
      </c>
      <c r="D418" s="72" t="s">
        <v>24</v>
      </c>
      <c r="E418" s="72" t="s">
        <v>24</v>
      </c>
      <c r="F418" s="72" t="s">
        <v>25</v>
      </c>
      <c r="G418" s="72" t="s">
        <v>25</v>
      </c>
      <c r="H418" s="72" t="s">
        <v>25</v>
      </c>
      <c r="I418" s="82">
        <v>44470</v>
      </c>
      <c r="J418" s="83">
        <f>EFEITO!$J$418*EFEITO!$Y$418</f>
        <v>0</v>
      </c>
      <c r="K418" s="83">
        <f ca="1">EFEITO!$L$418*EFEITO!$Z$418</f>
        <v>-22775.179381825412</v>
      </c>
      <c r="L418" s="83">
        <f>EFEITO!$N$418*EFEITO!$AA$418</f>
        <v>-14987.108247224287</v>
      </c>
      <c r="M418" s="83">
        <f>$J$418-EFEITO!$K$418*EFEITO!$Y$418</f>
        <v>0</v>
      </c>
      <c r="N418" s="83">
        <f ca="1">$K$418-EFEITO!$M$418*EFEITO!$Z$418</f>
        <v>0</v>
      </c>
      <c r="O418" s="83">
        <f>$L$418-EFEITO!$O$418*EFEITO!$AA$418</f>
        <v>0</v>
      </c>
      <c r="P418" s="28"/>
      <c r="Q418" s="28"/>
      <c r="R418" s="28"/>
      <c r="S418" s="28"/>
      <c r="T418" s="28"/>
      <c r="U418" s="28"/>
      <c r="V418" s="28"/>
      <c r="W418" s="28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72" t="s">
        <v>28</v>
      </c>
      <c r="B419" s="72" t="s">
        <v>22</v>
      </c>
      <c r="C419" s="72" t="s">
        <v>23</v>
      </c>
      <c r="D419" s="72" t="s">
        <v>24</v>
      </c>
      <c r="E419" s="72" t="s">
        <v>24</v>
      </c>
      <c r="F419" s="72" t="s">
        <v>25</v>
      </c>
      <c r="G419" s="72" t="s">
        <v>25</v>
      </c>
      <c r="H419" s="72" t="s">
        <v>25</v>
      </c>
      <c r="I419" s="82">
        <v>44470</v>
      </c>
      <c r="J419" s="83">
        <f>EFEITO!$J$419*EFEITO!$Y$419</f>
        <v>0</v>
      </c>
      <c r="K419" s="83">
        <f ca="1">EFEITO!$L$419*EFEITO!$Z$419</f>
        <v>6922.2793592597864</v>
      </c>
      <c r="L419" s="83">
        <f>EFEITO!$N$419*EFEITO!$AA$419</f>
        <v>4555.1759806353593</v>
      </c>
      <c r="M419" s="83">
        <f>$J$419-EFEITO!$K$419*EFEITO!$Y$419</f>
        <v>0</v>
      </c>
      <c r="N419" s="83">
        <f ca="1">$K$419-EFEITO!$M$419*EFEITO!$Z$419</f>
        <v>0</v>
      </c>
      <c r="O419" s="83">
        <f>$L$419-EFEITO!$O$419*EFEITO!$AA$419</f>
        <v>0</v>
      </c>
      <c r="P419" s="28"/>
      <c r="Q419" s="28"/>
      <c r="R419" s="28"/>
      <c r="S419" s="28"/>
      <c r="T419" s="28"/>
      <c r="U419" s="28"/>
      <c r="V419" s="28"/>
      <c r="W419" s="28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72" t="s">
        <v>21</v>
      </c>
      <c r="B420" s="72" t="s">
        <v>22</v>
      </c>
      <c r="C420" s="72" t="s">
        <v>23</v>
      </c>
      <c r="D420" s="72" t="s">
        <v>24</v>
      </c>
      <c r="E420" s="72" t="s">
        <v>24</v>
      </c>
      <c r="F420" s="72" t="s">
        <v>25</v>
      </c>
      <c r="G420" s="72" t="s">
        <v>25</v>
      </c>
      <c r="H420" s="72" t="s">
        <v>25</v>
      </c>
      <c r="I420" s="82">
        <v>44501</v>
      </c>
      <c r="J420" s="83">
        <f>EFEITO!$J$420*EFEITO!$Y$420</f>
        <v>0</v>
      </c>
      <c r="K420" s="83">
        <f ca="1">EFEITO!$L$420*EFEITO!$Z$420</f>
        <v>695225.72303346836</v>
      </c>
      <c r="L420" s="83">
        <f>EFEITO!$N$420*EFEITO!$AA$420</f>
        <v>457490.27889861795</v>
      </c>
      <c r="M420" s="83">
        <f>$J$420-EFEITO!$K$420*EFEITO!$Y$420</f>
        <v>0</v>
      </c>
      <c r="N420" s="83">
        <f ca="1">$K$420-EFEITO!$M$420*EFEITO!$Z$420</f>
        <v>0</v>
      </c>
      <c r="O420" s="83">
        <f>$L$420-EFEITO!$O$420*EFEITO!$AA$420</f>
        <v>0</v>
      </c>
      <c r="P420" s="28"/>
      <c r="Q420" s="28"/>
      <c r="R420" s="28"/>
      <c r="S420" s="28"/>
      <c r="T420" s="28"/>
      <c r="U420" s="28"/>
      <c r="V420" s="28"/>
      <c r="W420" s="28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72" t="s">
        <v>27</v>
      </c>
      <c r="B421" s="72" t="s">
        <v>22</v>
      </c>
      <c r="C421" s="72" t="s">
        <v>23</v>
      </c>
      <c r="D421" s="72" t="s">
        <v>24</v>
      </c>
      <c r="E421" s="72" t="s">
        <v>24</v>
      </c>
      <c r="F421" s="72" t="s">
        <v>25</v>
      </c>
      <c r="G421" s="72" t="s">
        <v>25</v>
      </c>
      <c r="H421" s="72" t="s">
        <v>25</v>
      </c>
      <c r="I421" s="82">
        <v>44501</v>
      </c>
      <c r="J421" s="83">
        <f>EFEITO!$J$421*EFEITO!$Y$421</f>
        <v>0</v>
      </c>
      <c r="K421" s="83">
        <f ca="1">EFEITO!$L$421*EFEITO!$Z$421</f>
        <v>-157.1717533131355</v>
      </c>
      <c r="L421" s="83">
        <f>EFEITO!$N$421*EFEITO!$AA$421</f>
        <v>-103.42619220772076</v>
      </c>
      <c r="M421" s="83">
        <f>$J$421-EFEITO!$K$421*EFEITO!$Y$421</f>
        <v>0</v>
      </c>
      <c r="N421" s="83">
        <f ca="1">$K$421-EFEITO!$M$421*EFEITO!$Z$421</f>
        <v>0</v>
      </c>
      <c r="O421" s="83">
        <f>$L$421-EFEITO!$O$421*EFEITO!$AA$421</f>
        <v>0</v>
      </c>
      <c r="P421" s="28"/>
      <c r="Q421" s="28"/>
      <c r="R421" s="28"/>
      <c r="S421" s="28"/>
      <c r="T421" s="28"/>
      <c r="U421" s="28"/>
      <c r="V421" s="28"/>
      <c r="W421" s="28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72" t="s">
        <v>28</v>
      </c>
      <c r="B422" s="72" t="s">
        <v>22</v>
      </c>
      <c r="C422" s="72" t="s">
        <v>23</v>
      </c>
      <c r="D422" s="72" t="s">
        <v>24</v>
      </c>
      <c r="E422" s="72" t="s">
        <v>24</v>
      </c>
      <c r="F422" s="72" t="s">
        <v>25</v>
      </c>
      <c r="G422" s="72" t="s">
        <v>25</v>
      </c>
      <c r="H422" s="72" t="s">
        <v>25</v>
      </c>
      <c r="I422" s="82">
        <v>44501</v>
      </c>
      <c r="J422" s="83">
        <f>EFEITO!$J$422*EFEITO!$Y$422</f>
        <v>0</v>
      </c>
      <c r="K422" s="83">
        <f ca="1">EFEITO!$L$422*EFEITO!$Z$422</f>
        <v>6315.6796188760964</v>
      </c>
      <c r="L422" s="83">
        <f>EFEITO!$N$422*EFEITO!$AA$422</f>
        <v>4156.0056461473132</v>
      </c>
      <c r="M422" s="83">
        <f>$J$422-EFEITO!$K$422*EFEITO!$Y$422</f>
        <v>0</v>
      </c>
      <c r="N422" s="83">
        <f ca="1">$K$422-EFEITO!$M$422*EFEITO!$Z$422</f>
        <v>0</v>
      </c>
      <c r="O422" s="83">
        <f>$L$422-EFEITO!$O$422*EFEITO!$AA$422</f>
        <v>0</v>
      </c>
      <c r="P422" s="28"/>
      <c r="Q422" s="28"/>
      <c r="R422" s="28"/>
      <c r="S422" s="28"/>
      <c r="T422" s="28"/>
      <c r="U422" s="28"/>
      <c r="V422" s="28"/>
      <c r="W422" s="28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72" t="s">
        <v>21</v>
      </c>
      <c r="B423" s="72" t="s">
        <v>22</v>
      </c>
      <c r="C423" s="72" t="s">
        <v>23</v>
      </c>
      <c r="D423" s="72" t="s">
        <v>24</v>
      </c>
      <c r="E423" s="72" t="s">
        <v>24</v>
      </c>
      <c r="F423" s="72" t="s">
        <v>25</v>
      </c>
      <c r="G423" s="72" t="s">
        <v>25</v>
      </c>
      <c r="H423" s="72" t="s">
        <v>25</v>
      </c>
      <c r="I423" s="82">
        <v>44531</v>
      </c>
      <c r="J423" s="83">
        <f>EFEITO!$J$423*EFEITO!$Y$423</f>
        <v>0</v>
      </c>
      <c r="K423" s="83">
        <f ca="1">EFEITO!$L$423*EFEITO!$Z$423</f>
        <v>677349.43675287371</v>
      </c>
      <c r="L423" s="83">
        <f>EFEITO!$N$423*EFEITO!$AA$423</f>
        <v>445726.86605983967</v>
      </c>
      <c r="M423" s="83">
        <f>$J$423-EFEITO!$K$423*EFEITO!$Y$423</f>
        <v>0</v>
      </c>
      <c r="N423" s="83">
        <f ca="1">$K$423-EFEITO!$M$423*EFEITO!$Z$423</f>
        <v>0</v>
      </c>
      <c r="O423" s="83">
        <f>$L$423-EFEITO!$O$423*EFEITO!$AA$423</f>
        <v>0</v>
      </c>
      <c r="P423" s="28"/>
      <c r="Q423" s="28"/>
      <c r="R423" s="28"/>
      <c r="S423" s="28"/>
      <c r="T423" s="28"/>
      <c r="U423" s="28"/>
      <c r="V423" s="28"/>
      <c r="W423" s="28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72" t="s">
        <v>27</v>
      </c>
      <c r="B424" s="72" t="s">
        <v>22</v>
      </c>
      <c r="C424" s="72" t="s">
        <v>23</v>
      </c>
      <c r="D424" s="72" t="s">
        <v>24</v>
      </c>
      <c r="E424" s="72" t="s">
        <v>24</v>
      </c>
      <c r="F424" s="72" t="s">
        <v>25</v>
      </c>
      <c r="G424" s="72" t="s">
        <v>25</v>
      </c>
      <c r="H424" s="72" t="s">
        <v>25</v>
      </c>
      <c r="I424" s="82">
        <v>44531</v>
      </c>
      <c r="J424" s="83">
        <f>EFEITO!$J$424*EFEITO!$Y$424</f>
        <v>0</v>
      </c>
      <c r="K424" s="83">
        <f ca="1">EFEITO!$L$424*EFEITO!$Z$424</f>
        <v>-620.044167347339</v>
      </c>
      <c r="L424" s="83">
        <f>EFEITO!$N$424*EFEITO!$AA$424</f>
        <v>-408.01738147933833</v>
      </c>
      <c r="M424" s="83">
        <f>$J$424-EFEITO!$K$424*EFEITO!$Y$424</f>
        <v>0</v>
      </c>
      <c r="N424" s="83">
        <f ca="1">$K$424-EFEITO!$M$424*EFEITO!$Z$424</f>
        <v>0</v>
      </c>
      <c r="O424" s="83">
        <f>$L$424-EFEITO!$O$424*EFEITO!$AA$424</f>
        <v>0</v>
      </c>
      <c r="P424" s="28"/>
      <c r="Q424" s="28"/>
      <c r="R424" s="28"/>
      <c r="S424" s="28"/>
      <c r="T424" s="28"/>
      <c r="U424" s="28"/>
      <c r="V424" s="28"/>
      <c r="W424" s="28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72" t="s">
        <v>28</v>
      </c>
      <c r="B425" s="72" t="s">
        <v>22</v>
      </c>
      <c r="C425" s="72" t="s">
        <v>23</v>
      </c>
      <c r="D425" s="72" t="s">
        <v>24</v>
      </c>
      <c r="E425" s="72" t="s">
        <v>24</v>
      </c>
      <c r="F425" s="72" t="s">
        <v>25</v>
      </c>
      <c r="G425" s="72" t="s">
        <v>25</v>
      </c>
      <c r="H425" s="72" t="s">
        <v>25</v>
      </c>
      <c r="I425" s="82">
        <v>44531</v>
      </c>
      <c r="J425" s="83">
        <f>EFEITO!$J$425*EFEITO!$Y$425</f>
        <v>0</v>
      </c>
      <c r="K425" s="83">
        <f ca="1">EFEITO!$L$425*EFEITO!$Z$425</f>
        <v>7046.1601505676954</v>
      </c>
      <c r="L425" s="83">
        <f>EFEITO!$N$425*EFEITO!$AA$425</f>
        <v>4636.6951993408338</v>
      </c>
      <c r="M425" s="83">
        <f>$J$425-EFEITO!$K$425*EFEITO!$Y$425</f>
        <v>0</v>
      </c>
      <c r="N425" s="83">
        <f ca="1">$K$425-EFEITO!$M$425*EFEITO!$Z$425</f>
        <v>0</v>
      </c>
      <c r="O425" s="83">
        <f>$L$425-EFEITO!$O$425*EFEITO!$AA$425</f>
        <v>0</v>
      </c>
      <c r="P425" s="28"/>
      <c r="Q425" s="28"/>
      <c r="R425" s="28"/>
      <c r="S425" s="28"/>
      <c r="T425" s="28"/>
      <c r="U425" s="28"/>
      <c r="V425" s="28"/>
      <c r="W425" s="28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72" t="s">
        <v>21</v>
      </c>
      <c r="B426" s="72" t="s">
        <v>22</v>
      </c>
      <c r="C426" s="72" t="s">
        <v>23</v>
      </c>
      <c r="D426" s="72" t="s">
        <v>24</v>
      </c>
      <c r="E426" s="72" t="s">
        <v>24</v>
      </c>
      <c r="F426" s="72" t="s">
        <v>25</v>
      </c>
      <c r="G426" s="72" t="s">
        <v>25</v>
      </c>
      <c r="H426" s="72" t="s">
        <v>25</v>
      </c>
      <c r="I426" s="82">
        <v>44562</v>
      </c>
      <c r="J426" s="83">
        <f>EFEITO!$J$426*EFEITO!$Y$426</f>
        <v>0</v>
      </c>
      <c r="K426" s="83">
        <f ca="1">EFEITO!$L$426*EFEITO!$Z$426</f>
        <v>725911.34715638193</v>
      </c>
      <c r="L426" s="83">
        <f>EFEITO!$N$426*EFEITO!$AA$426</f>
        <v>477682.82108033763</v>
      </c>
      <c r="M426" s="83">
        <f>$J$426-EFEITO!$K$426*EFEITO!$Y$426</f>
        <v>0</v>
      </c>
      <c r="N426" s="83">
        <f ca="1">$K$426-EFEITO!$M$426*EFEITO!$Z$426</f>
        <v>0</v>
      </c>
      <c r="O426" s="83">
        <f>$L$426-EFEITO!$O$426*EFEITO!$AA$426</f>
        <v>0</v>
      </c>
      <c r="P426" s="28"/>
      <c r="Q426" s="28"/>
      <c r="R426" s="28"/>
      <c r="S426" s="28"/>
      <c r="T426" s="28"/>
      <c r="U426" s="28"/>
      <c r="V426" s="28"/>
      <c r="W426" s="28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72" t="s">
        <v>27</v>
      </c>
      <c r="B427" s="72" t="s">
        <v>22</v>
      </c>
      <c r="C427" s="72" t="s">
        <v>23</v>
      </c>
      <c r="D427" s="72" t="s">
        <v>24</v>
      </c>
      <c r="E427" s="72" t="s">
        <v>24</v>
      </c>
      <c r="F427" s="72" t="s">
        <v>25</v>
      </c>
      <c r="G427" s="72" t="s">
        <v>25</v>
      </c>
      <c r="H427" s="72" t="s">
        <v>25</v>
      </c>
      <c r="I427" s="82">
        <v>44562</v>
      </c>
      <c r="J427" s="83">
        <f>EFEITO!$J$427*EFEITO!$Y$427</f>
        <v>0</v>
      </c>
      <c r="K427" s="83">
        <f ca="1">EFEITO!$L$427*EFEITO!$Z$427</f>
        <v>-316.58424445354581</v>
      </c>
      <c r="L427" s="83">
        <f>EFEITO!$N$427*EFEITO!$AA$427</f>
        <v>-208.32689224732349</v>
      </c>
      <c r="M427" s="83">
        <f>$J$427-EFEITO!$K$427*EFEITO!$Y$427</f>
        <v>0</v>
      </c>
      <c r="N427" s="83">
        <f ca="1">$K$427-EFEITO!$M$427*EFEITO!$Z$427</f>
        <v>0</v>
      </c>
      <c r="O427" s="83">
        <f>$L$427-EFEITO!$O$427*EFEITO!$AA$427</f>
        <v>0</v>
      </c>
      <c r="P427" s="28"/>
      <c r="Q427" s="28"/>
      <c r="R427" s="28"/>
      <c r="S427" s="28"/>
      <c r="T427" s="28"/>
      <c r="U427" s="28"/>
      <c r="V427" s="28"/>
      <c r="W427" s="28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72" t="s">
        <v>28</v>
      </c>
      <c r="B428" s="72" t="s">
        <v>22</v>
      </c>
      <c r="C428" s="72" t="s">
        <v>23</v>
      </c>
      <c r="D428" s="72" t="s">
        <v>24</v>
      </c>
      <c r="E428" s="72" t="s">
        <v>24</v>
      </c>
      <c r="F428" s="72" t="s">
        <v>25</v>
      </c>
      <c r="G428" s="72" t="s">
        <v>25</v>
      </c>
      <c r="H428" s="72" t="s">
        <v>25</v>
      </c>
      <c r="I428" s="82">
        <v>44562</v>
      </c>
      <c r="J428" s="83">
        <f>EFEITO!$J$428*EFEITO!$Y$428</f>
        <v>0</v>
      </c>
      <c r="K428" s="83">
        <f ca="1">EFEITO!$L$428*EFEITO!$Z$428</f>
        <v>8493.0365761794528</v>
      </c>
      <c r="L428" s="83">
        <f>EFEITO!$N$428*EFEITO!$AA$428</f>
        <v>5588.8059707846178</v>
      </c>
      <c r="M428" s="83">
        <f>$J$428-EFEITO!$K$428*EFEITO!$Y$428</f>
        <v>0</v>
      </c>
      <c r="N428" s="83">
        <f ca="1">$K$428-EFEITO!$M$428*EFEITO!$Z$428</f>
        <v>0</v>
      </c>
      <c r="O428" s="83">
        <f>$L$428-EFEITO!$O$428*EFEITO!$AA$428</f>
        <v>0</v>
      </c>
      <c r="P428" s="28"/>
      <c r="Q428" s="28"/>
      <c r="R428" s="28"/>
      <c r="S428" s="28"/>
      <c r="T428" s="28"/>
      <c r="U428" s="28"/>
      <c r="V428" s="28"/>
      <c r="W428" s="28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72" t="s">
        <v>21</v>
      </c>
      <c r="B429" s="72" t="s">
        <v>22</v>
      </c>
      <c r="C429" s="72" t="s">
        <v>23</v>
      </c>
      <c r="D429" s="72" t="s">
        <v>24</v>
      </c>
      <c r="E429" s="72" t="s">
        <v>24</v>
      </c>
      <c r="F429" s="72" t="s">
        <v>25</v>
      </c>
      <c r="G429" s="72" t="s">
        <v>25</v>
      </c>
      <c r="H429" s="72" t="s">
        <v>25</v>
      </c>
      <c r="I429" s="82">
        <v>44593</v>
      </c>
      <c r="J429" s="83">
        <f>EFEITO!$J$429*EFEITO!$Y$429</f>
        <v>0</v>
      </c>
      <c r="K429" s="83">
        <f ca="1">EFEITO!$L$429*EFEITO!$Z$429</f>
        <v>688517.27408401144</v>
      </c>
      <c r="L429" s="83">
        <f>EFEITO!$N$429*EFEITO!$AA$429</f>
        <v>453075.81309393939</v>
      </c>
      <c r="M429" s="83">
        <f>$J$429-EFEITO!$K$429*EFEITO!$Y$429</f>
        <v>0</v>
      </c>
      <c r="N429" s="83">
        <f ca="1">$K$429-EFEITO!$M$429*EFEITO!$Z$429</f>
        <v>0</v>
      </c>
      <c r="O429" s="83">
        <f>$L$429-EFEITO!$O$429*EFEITO!$AA$429</f>
        <v>0</v>
      </c>
      <c r="P429" s="28"/>
      <c r="Q429" s="28"/>
      <c r="R429" s="28"/>
      <c r="S429" s="28"/>
      <c r="T429" s="28"/>
      <c r="U429" s="28"/>
      <c r="V429" s="28"/>
      <c r="W429" s="28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72" t="s">
        <v>27</v>
      </c>
      <c r="B430" s="72" t="s">
        <v>22</v>
      </c>
      <c r="C430" s="72" t="s">
        <v>23</v>
      </c>
      <c r="D430" s="72" t="s">
        <v>24</v>
      </c>
      <c r="E430" s="72" t="s">
        <v>24</v>
      </c>
      <c r="F430" s="72" t="s">
        <v>25</v>
      </c>
      <c r="G430" s="72" t="s">
        <v>25</v>
      </c>
      <c r="H430" s="72" t="s">
        <v>25</v>
      </c>
      <c r="I430" s="82">
        <v>44593</v>
      </c>
      <c r="J430" s="83">
        <f>EFEITO!$J$430*EFEITO!$Y$430</f>
        <v>0</v>
      </c>
      <c r="K430" s="83">
        <f ca="1">EFEITO!$L$430*EFEITO!$Z$430</f>
        <v>-221.83304490020956</v>
      </c>
      <c r="L430" s="83">
        <f>EFEITO!$N$430*EFEITO!$AA$430</f>
        <v>-145.97627535631463</v>
      </c>
      <c r="M430" s="83">
        <f>$J$430-EFEITO!$K$430*EFEITO!$Y$430</f>
        <v>0</v>
      </c>
      <c r="N430" s="83">
        <f ca="1">$K$430-EFEITO!$M$430*EFEITO!$Z$430</f>
        <v>0</v>
      </c>
      <c r="O430" s="83">
        <f>$L$430-EFEITO!$O$430*EFEITO!$AA$430</f>
        <v>0</v>
      </c>
      <c r="P430" s="28"/>
      <c r="Q430" s="28"/>
      <c r="R430" s="28"/>
      <c r="S430" s="28"/>
      <c r="T430" s="28"/>
      <c r="U430" s="28"/>
      <c r="V430" s="28"/>
      <c r="W430" s="28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72" t="s">
        <v>28</v>
      </c>
      <c r="B431" s="72" t="s">
        <v>22</v>
      </c>
      <c r="C431" s="72" t="s">
        <v>23</v>
      </c>
      <c r="D431" s="72" t="s">
        <v>24</v>
      </c>
      <c r="E431" s="72" t="s">
        <v>24</v>
      </c>
      <c r="F431" s="72" t="s">
        <v>25</v>
      </c>
      <c r="G431" s="72" t="s">
        <v>25</v>
      </c>
      <c r="H431" s="72" t="s">
        <v>25</v>
      </c>
      <c r="I431" s="82">
        <v>44593</v>
      </c>
      <c r="J431" s="83">
        <f>EFEITO!$J$431*EFEITO!$Y$431</f>
        <v>0</v>
      </c>
      <c r="K431" s="83">
        <f ca="1">EFEITO!$L$431*EFEITO!$Z$431</f>
        <v>9066.0252491540195</v>
      </c>
      <c r="L431" s="83">
        <f>EFEITO!$N$431*EFEITO!$AA$431</f>
        <v>5965.8586877944344</v>
      </c>
      <c r="M431" s="83">
        <f>$J$431-EFEITO!$K$431*EFEITO!$Y$431</f>
        <v>0</v>
      </c>
      <c r="N431" s="83">
        <f ca="1">$K$431-EFEITO!$M$431*EFEITO!$Z$431</f>
        <v>0</v>
      </c>
      <c r="O431" s="83">
        <f>$L$431-EFEITO!$O$431*EFEITO!$AA$431</f>
        <v>0</v>
      </c>
      <c r="P431" s="28"/>
      <c r="Q431" s="28"/>
      <c r="R431" s="28"/>
      <c r="S431" s="28"/>
      <c r="T431" s="28"/>
      <c r="U431" s="28"/>
      <c r="V431" s="28"/>
      <c r="W431" s="28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72" t="s">
        <v>21</v>
      </c>
      <c r="B432" s="72" t="s">
        <v>22</v>
      </c>
      <c r="C432" s="72" t="s">
        <v>23</v>
      </c>
      <c r="D432" s="72" t="s">
        <v>24</v>
      </c>
      <c r="E432" s="72" t="s">
        <v>24</v>
      </c>
      <c r="F432" s="72" t="s">
        <v>25</v>
      </c>
      <c r="G432" s="72" t="s">
        <v>25</v>
      </c>
      <c r="H432" s="72" t="s">
        <v>25</v>
      </c>
      <c r="I432" s="82">
        <v>44621</v>
      </c>
      <c r="J432" s="83">
        <f>EFEITO!$J$432*EFEITO!$Y$432</f>
        <v>0</v>
      </c>
      <c r="K432" s="83">
        <f ca="1">EFEITO!$L$432*EFEITO!$Z$432</f>
        <v>764822.07963241346</v>
      </c>
      <c r="L432" s="83">
        <f>EFEITO!$N$432*EFEITO!$AA$432</f>
        <v>503287.86022494396</v>
      </c>
      <c r="M432" s="83">
        <f>$J$432-EFEITO!$K$432*EFEITO!$Y$432</f>
        <v>0</v>
      </c>
      <c r="N432" s="83">
        <f ca="1">$K$432-EFEITO!$M$432*EFEITO!$Z$432</f>
        <v>0</v>
      </c>
      <c r="O432" s="83">
        <f>$L$432-EFEITO!$O$432*EFEITO!$AA$432</f>
        <v>0</v>
      </c>
      <c r="P432" s="28"/>
      <c r="Q432" s="28"/>
      <c r="R432" s="28"/>
      <c r="S432" s="28"/>
      <c r="T432" s="28"/>
      <c r="U432" s="28"/>
      <c r="V432" s="28"/>
      <c r="W432" s="28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72" t="s">
        <v>27</v>
      </c>
      <c r="B433" s="72" t="s">
        <v>22</v>
      </c>
      <c r="C433" s="72" t="s">
        <v>23</v>
      </c>
      <c r="D433" s="72" t="s">
        <v>24</v>
      </c>
      <c r="E433" s="72" t="s">
        <v>24</v>
      </c>
      <c r="F433" s="72" t="s">
        <v>25</v>
      </c>
      <c r="G433" s="72" t="s">
        <v>25</v>
      </c>
      <c r="H433" s="72" t="s">
        <v>25</v>
      </c>
      <c r="I433" s="82">
        <v>44621</v>
      </c>
      <c r="J433" s="83">
        <f>EFEITO!$J$433*EFEITO!$Y$433</f>
        <v>0</v>
      </c>
      <c r="K433" s="83">
        <f ca="1">EFEITO!$L$433*EFEITO!$Z$433</f>
        <v>-2887.9909539533778</v>
      </c>
      <c r="L433" s="83">
        <f>EFEITO!$N$433*EFEITO!$AA$433</f>
        <v>-1900.4299513198712</v>
      </c>
      <c r="M433" s="83">
        <f>$J$433-EFEITO!$K$433*EFEITO!$Y$433</f>
        <v>0</v>
      </c>
      <c r="N433" s="83">
        <f ca="1">$K$433-EFEITO!$M$433*EFEITO!$Z$433</f>
        <v>0</v>
      </c>
      <c r="O433" s="83">
        <f>$L$433-EFEITO!$O$433*EFEITO!$AA$433</f>
        <v>0</v>
      </c>
      <c r="P433" s="28"/>
      <c r="Q433" s="28"/>
      <c r="R433" s="28"/>
      <c r="S433" s="28"/>
      <c r="T433" s="28"/>
      <c r="U433" s="28"/>
      <c r="V433" s="28"/>
      <c r="W433" s="28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72" t="s">
        <v>28</v>
      </c>
      <c r="B434" s="72" t="s">
        <v>22</v>
      </c>
      <c r="C434" s="72" t="s">
        <v>23</v>
      </c>
      <c r="D434" s="72" t="s">
        <v>24</v>
      </c>
      <c r="E434" s="72" t="s">
        <v>24</v>
      </c>
      <c r="F434" s="72" t="s">
        <v>25</v>
      </c>
      <c r="G434" s="72" t="s">
        <v>25</v>
      </c>
      <c r="H434" s="72" t="s">
        <v>25</v>
      </c>
      <c r="I434" s="82">
        <v>44621</v>
      </c>
      <c r="J434" s="83">
        <f>EFEITO!$J$434*EFEITO!$Y$434</f>
        <v>0</v>
      </c>
      <c r="K434" s="83">
        <f ca="1">EFEITO!$L$434*EFEITO!$Z$434</f>
        <v>12458.502319648134</v>
      </c>
      <c r="L434" s="83">
        <f>EFEITO!$N$434*EFEITO!$AA$434</f>
        <v>8198.2635452637314</v>
      </c>
      <c r="M434" s="83">
        <f>$J$434-EFEITO!$K$434*EFEITO!$Y$434</f>
        <v>0</v>
      </c>
      <c r="N434" s="83">
        <f ca="1">$K$434-EFEITO!$M$434*EFEITO!$Z$434</f>
        <v>0</v>
      </c>
      <c r="O434" s="83">
        <f>$L$434-EFEITO!$O$434*EFEITO!$AA$434</f>
        <v>0</v>
      </c>
      <c r="P434" s="28"/>
      <c r="Q434" s="28"/>
      <c r="R434" s="28"/>
      <c r="S434" s="28"/>
      <c r="T434" s="28"/>
      <c r="U434" s="28"/>
      <c r="V434" s="28"/>
      <c r="W434" s="28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72" t="s">
        <v>21</v>
      </c>
      <c r="B435" s="72" t="s">
        <v>22</v>
      </c>
      <c r="C435" s="72" t="s">
        <v>23</v>
      </c>
      <c r="D435" s="72" t="s">
        <v>24</v>
      </c>
      <c r="E435" s="72" t="s">
        <v>24</v>
      </c>
      <c r="F435" s="72" t="s">
        <v>25</v>
      </c>
      <c r="G435" s="72" t="s">
        <v>25</v>
      </c>
      <c r="H435" s="72" t="s">
        <v>25</v>
      </c>
      <c r="I435" s="82">
        <v>44652</v>
      </c>
      <c r="J435" s="83">
        <f>EFEITO!$J$435*EFEITO!$Y$435</f>
        <v>0</v>
      </c>
      <c r="K435" s="83">
        <f ca="1">EFEITO!$L$435*EFEITO!$Z$435</f>
        <v>715440.6993949305</v>
      </c>
      <c r="L435" s="83">
        <f>EFEITO!$N$435*EFEITO!$AA$435</f>
        <v>470792.65662592917</v>
      </c>
      <c r="M435" s="83">
        <f>$J$435-EFEITO!$K$435*EFEITO!$Y$435</f>
        <v>0</v>
      </c>
      <c r="N435" s="83">
        <f ca="1">$K$435-EFEITO!$M$435*EFEITO!$Z$435</f>
        <v>0</v>
      </c>
      <c r="O435" s="83">
        <f>$L$435-EFEITO!$O$435*EFEITO!$AA$435</f>
        <v>0</v>
      </c>
      <c r="P435" s="28"/>
      <c r="Q435" s="28"/>
      <c r="R435" s="28"/>
      <c r="S435" s="28"/>
      <c r="T435" s="28"/>
      <c r="U435" s="28"/>
      <c r="V435" s="28"/>
      <c r="W435" s="28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72" t="s">
        <v>21</v>
      </c>
      <c r="B436" s="72" t="s">
        <v>22</v>
      </c>
      <c r="C436" s="72" t="s">
        <v>23</v>
      </c>
      <c r="D436" s="72" t="s">
        <v>24</v>
      </c>
      <c r="E436" s="72" t="s">
        <v>29</v>
      </c>
      <c r="F436" s="72" t="s">
        <v>25</v>
      </c>
      <c r="G436" s="72" t="s">
        <v>25</v>
      </c>
      <c r="H436" s="72" t="s">
        <v>25</v>
      </c>
      <c r="I436" s="82">
        <v>44317</v>
      </c>
      <c r="J436" s="83">
        <f>EFEITO!$J$436*EFEITO!$Y$400</f>
        <v>0</v>
      </c>
      <c r="K436" s="83">
        <f ca="1">EFEITO!$L$436*EFEITO!$Z$473</f>
        <v>3058.1528613784876</v>
      </c>
      <c r="L436" s="83">
        <f>EFEITO!$N$436*EFEITO!$AA$473</f>
        <v>3020.6346155981992</v>
      </c>
      <c r="M436" s="83">
        <f>$J$436-EFEITO!$K$436*EFEITO!$Y$436</f>
        <v>0</v>
      </c>
      <c r="N436" s="83">
        <f ca="1">$K$436-EFEITO!$M$436*EFEITO!$Z$436</f>
        <v>1987.799359896017</v>
      </c>
      <c r="O436" s="83">
        <f>$L$436-EFEITO!$O$436*EFEITO!$AA$436</f>
        <v>1963.4125001388295</v>
      </c>
      <c r="P436" s="28"/>
      <c r="Q436" s="28"/>
      <c r="R436" s="28"/>
      <c r="S436" s="28"/>
      <c r="T436" s="28"/>
      <c r="U436" s="28"/>
      <c r="V436" s="28"/>
      <c r="W436" s="28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72" t="s">
        <v>21</v>
      </c>
      <c r="B437" s="72" t="s">
        <v>22</v>
      </c>
      <c r="C437" s="72" t="s">
        <v>23</v>
      </c>
      <c r="D437" s="72" t="s">
        <v>24</v>
      </c>
      <c r="E437" s="72" t="s">
        <v>29</v>
      </c>
      <c r="F437" s="72" t="s">
        <v>25</v>
      </c>
      <c r="G437" s="72" t="s">
        <v>25</v>
      </c>
      <c r="H437" s="72" t="s">
        <v>25</v>
      </c>
      <c r="I437" s="82">
        <v>44348</v>
      </c>
      <c r="J437" s="83">
        <f>EFEITO!$J$437*EFEITO!$Y$400</f>
        <v>0</v>
      </c>
      <c r="K437" s="83">
        <f ca="1">EFEITO!$L$437*EFEITO!$Z$473</f>
        <v>3109.33533604591</v>
      </c>
      <c r="L437" s="83">
        <f>EFEITO!$N$437*EFEITO!$AA$473</f>
        <v>3071.1891698341519</v>
      </c>
      <c r="M437" s="83">
        <f>$J$437-EFEITO!$K$437*EFEITO!$Y$437</f>
        <v>0</v>
      </c>
      <c r="N437" s="83">
        <f ca="1">$K$437-EFEITO!$M$437*EFEITO!$Z$437</f>
        <v>2021.0679684298416</v>
      </c>
      <c r="O437" s="83">
        <f>$L$437-EFEITO!$O$437*EFEITO!$AA$437</f>
        <v>1996.2729603921987</v>
      </c>
      <c r="P437" s="28"/>
      <c r="Q437" s="28"/>
      <c r="R437" s="28"/>
      <c r="S437" s="28"/>
      <c r="T437" s="28"/>
      <c r="U437" s="28"/>
      <c r="V437" s="28"/>
      <c r="W437" s="28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72" t="s">
        <v>21</v>
      </c>
      <c r="B438" s="72" t="s">
        <v>22</v>
      </c>
      <c r="C438" s="72" t="s">
        <v>23</v>
      </c>
      <c r="D438" s="72" t="s">
        <v>24</v>
      </c>
      <c r="E438" s="72" t="s">
        <v>29</v>
      </c>
      <c r="F438" s="72" t="s">
        <v>25</v>
      </c>
      <c r="G438" s="72" t="s">
        <v>25</v>
      </c>
      <c r="H438" s="72" t="s">
        <v>25</v>
      </c>
      <c r="I438" s="82">
        <v>44378</v>
      </c>
      <c r="J438" s="83">
        <f>EFEITO!$J$438*EFEITO!$Y$400</f>
        <v>0</v>
      </c>
      <c r="K438" s="83">
        <f ca="1">EFEITO!$L$438*EFEITO!$Z$473</f>
        <v>3141.3243827130491</v>
      </c>
      <c r="L438" s="83">
        <f>EFEITO!$N$438*EFEITO!$AA$473</f>
        <v>3102.7857662316228</v>
      </c>
      <c r="M438" s="83">
        <f>$J$438-EFEITO!$K$438*EFEITO!$Y$438</f>
        <v>0</v>
      </c>
      <c r="N438" s="83">
        <f ca="1">$K$438-EFEITO!$M$438*EFEITO!$Z$438</f>
        <v>2041.860848763482</v>
      </c>
      <c r="O438" s="83">
        <f>$L$438-EFEITO!$O$438*EFEITO!$AA$438</f>
        <v>2016.8107480505548</v>
      </c>
      <c r="P438" s="28"/>
      <c r="Q438" s="28"/>
      <c r="R438" s="28"/>
      <c r="S438" s="28"/>
      <c r="T438" s="28"/>
      <c r="U438" s="28"/>
      <c r="V438" s="28"/>
      <c r="W438" s="28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72" t="s">
        <v>21</v>
      </c>
      <c r="B439" s="72" t="s">
        <v>22</v>
      </c>
      <c r="C439" s="72" t="s">
        <v>23</v>
      </c>
      <c r="D439" s="72" t="s">
        <v>24</v>
      </c>
      <c r="E439" s="72" t="s">
        <v>29</v>
      </c>
      <c r="F439" s="72" t="s">
        <v>25</v>
      </c>
      <c r="G439" s="72" t="s">
        <v>25</v>
      </c>
      <c r="H439" s="72" t="s">
        <v>25</v>
      </c>
      <c r="I439" s="82">
        <v>44409</v>
      </c>
      <c r="J439" s="83">
        <f>EFEITO!$J$439*EFEITO!$Y$400</f>
        <v>0</v>
      </c>
      <c r="K439" s="83">
        <f ca="1">EFEITO!$L$439*EFEITO!$Z$473</f>
        <v>3166.9156200467601</v>
      </c>
      <c r="L439" s="83">
        <f>EFEITO!$N$439*EFEITO!$AA$473</f>
        <v>3128.0630433495994</v>
      </c>
      <c r="M439" s="83">
        <f>$J$439-EFEITO!$K$439*EFEITO!$Y$439</f>
        <v>0</v>
      </c>
      <c r="N439" s="83">
        <f ca="1">$K$439-EFEITO!$M$439*EFEITO!$Z$439</f>
        <v>2058.4951530303942</v>
      </c>
      <c r="O439" s="83">
        <f>$L$439-EFEITO!$O$439*EFEITO!$AA$439</f>
        <v>2033.2409781772396</v>
      </c>
      <c r="P439" s="28"/>
      <c r="Q439" s="28"/>
      <c r="R439" s="28"/>
      <c r="S439" s="28"/>
      <c r="T439" s="28"/>
      <c r="U439" s="28"/>
      <c r="V439" s="28"/>
      <c r="W439" s="28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72" t="s">
        <v>21</v>
      </c>
      <c r="B440" s="72" t="s">
        <v>22</v>
      </c>
      <c r="C440" s="72" t="s">
        <v>23</v>
      </c>
      <c r="D440" s="72" t="s">
        <v>24</v>
      </c>
      <c r="E440" s="72" t="s">
        <v>29</v>
      </c>
      <c r="F440" s="72" t="s">
        <v>25</v>
      </c>
      <c r="G440" s="72" t="s">
        <v>25</v>
      </c>
      <c r="H440" s="72" t="s">
        <v>25</v>
      </c>
      <c r="I440" s="82">
        <v>44440</v>
      </c>
      <c r="J440" s="83">
        <f>EFEITO!$J$440*EFEITO!$Y$400</f>
        <v>0</v>
      </c>
      <c r="K440" s="83">
        <f ca="1">EFEITO!$L$440*EFEITO!$Z$473</f>
        <v>3166.9156200467601</v>
      </c>
      <c r="L440" s="83">
        <f>EFEITO!$N$440*EFEITO!$AA$473</f>
        <v>3128.0630433495994</v>
      </c>
      <c r="M440" s="83">
        <f>$J$440-EFEITO!$K$440*EFEITO!$Y$440</f>
        <v>0</v>
      </c>
      <c r="N440" s="83">
        <f ca="1">$K$440-EFEITO!$M$440*EFEITO!$Z$440</f>
        <v>2058.4951530303942</v>
      </c>
      <c r="O440" s="83">
        <f>$L$440-EFEITO!$O$440*EFEITO!$AA$440</f>
        <v>2033.2409781772396</v>
      </c>
      <c r="P440" s="28"/>
      <c r="Q440" s="28"/>
      <c r="R440" s="28"/>
      <c r="S440" s="28"/>
      <c r="T440" s="28"/>
      <c r="U440" s="28"/>
      <c r="V440" s="28"/>
      <c r="W440" s="28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72" t="s">
        <v>21</v>
      </c>
      <c r="B441" s="72" t="s">
        <v>22</v>
      </c>
      <c r="C441" s="72" t="s">
        <v>23</v>
      </c>
      <c r="D441" s="72" t="s">
        <v>24</v>
      </c>
      <c r="E441" s="72" t="s">
        <v>29</v>
      </c>
      <c r="F441" s="72" t="s">
        <v>25</v>
      </c>
      <c r="G441" s="72" t="s">
        <v>25</v>
      </c>
      <c r="H441" s="72" t="s">
        <v>25</v>
      </c>
      <c r="I441" s="82">
        <v>44470</v>
      </c>
      <c r="J441" s="83">
        <f>EFEITO!$J$441*EFEITO!$Y$400</f>
        <v>0</v>
      </c>
      <c r="K441" s="83">
        <f ca="1">EFEITO!$L$441*EFEITO!$Z$473</f>
        <v>3186.1090480470434</v>
      </c>
      <c r="L441" s="83">
        <f>EFEITO!$N$441*EFEITO!$AA$473</f>
        <v>3147.0210011880818</v>
      </c>
      <c r="M441" s="83">
        <f>$J$441-EFEITO!$K$441*EFEITO!$Y$441</f>
        <v>0</v>
      </c>
      <c r="N441" s="83">
        <f ca="1">$K$441-EFEITO!$M$441*EFEITO!$Z$441</f>
        <v>2070.970881230578</v>
      </c>
      <c r="O441" s="83">
        <f>$L$441-EFEITO!$O$441*EFEITO!$AA$441</f>
        <v>2045.5636507722531</v>
      </c>
      <c r="P441" s="28"/>
      <c r="Q441" s="28"/>
      <c r="R441" s="28"/>
      <c r="S441" s="28"/>
      <c r="T441" s="28"/>
      <c r="U441" s="28"/>
      <c r="V441" s="28"/>
      <c r="W441" s="28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72" t="s">
        <v>21</v>
      </c>
      <c r="B442" s="72" t="s">
        <v>22</v>
      </c>
      <c r="C442" s="72" t="s">
        <v>23</v>
      </c>
      <c r="D442" s="72" t="s">
        <v>24</v>
      </c>
      <c r="E442" s="72" t="s">
        <v>29</v>
      </c>
      <c r="F442" s="72" t="s">
        <v>25</v>
      </c>
      <c r="G442" s="72" t="s">
        <v>25</v>
      </c>
      <c r="H442" s="72" t="s">
        <v>25</v>
      </c>
      <c r="I442" s="82">
        <v>44501</v>
      </c>
      <c r="J442" s="83">
        <f>EFEITO!$J$442*EFEITO!$Y$400</f>
        <v>0</v>
      </c>
      <c r="K442" s="83">
        <f ca="1">EFEITO!$L$442*EFEITO!$Z$473</f>
        <v>3211.7002853807548</v>
      </c>
      <c r="L442" s="83">
        <f>EFEITO!$N$442*EFEITO!$AA$473</f>
        <v>3172.2982783060584</v>
      </c>
      <c r="M442" s="83">
        <f>$J$442-EFEITO!$K$442*EFEITO!$Y$442</f>
        <v>0</v>
      </c>
      <c r="N442" s="83">
        <f ca="1">$K$442-EFEITO!$M$442*EFEITO!$Z$442</f>
        <v>2087.6051854974908</v>
      </c>
      <c r="O442" s="83">
        <f>$L$442-EFEITO!$O$442*EFEITO!$AA$442</f>
        <v>2061.9938808989382</v>
      </c>
      <c r="P442" s="28"/>
      <c r="Q442" s="28"/>
      <c r="R442" s="28"/>
      <c r="S442" s="28"/>
      <c r="T442" s="28"/>
      <c r="U442" s="28"/>
      <c r="V442" s="28"/>
      <c r="W442" s="28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72" t="s">
        <v>21</v>
      </c>
      <c r="B443" s="72" t="s">
        <v>22</v>
      </c>
      <c r="C443" s="72" t="s">
        <v>23</v>
      </c>
      <c r="D443" s="72" t="s">
        <v>24</v>
      </c>
      <c r="E443" s="72" t="s">
        <v>29</v>
      </c>
      <c r="F443" s="72" t="s">
        <v>25</v>
      </c>
      <c r="G443" s="72" t="s">
        <v>25</v>
      </c>
      <c r="H443" s="72" t="s">
        <v>25</v>
      </c>
      <c r="I443" s="82">
        <v>44531</v>
      </c>
      <c r="J443" s="83">
        <f>EFEITO!$J$443*EFEITO!$Y$400</f>
        <v>0</v>
      </c>
      <c r="K443" s="83">
        <f ca="1">EFEITO!$L$443*EFEITO!$Z$473</f>
        <v>3288.4739973818882</v>
      </c>
      <c r="L443" s="83">
        <f>EFEITO!$N$443*EFEITO!$AA$473</f>
        <v>3248.1301096599882</v>
      </c>
      <c r="M443" s="83">
        <f>$J$443-EFEITO!$K$443*EFEITO!$Y$443</f>
        <v>0</v>
      </c>
      <c r="N443" s="83">
        <f ca="1">$K$443-EFEITO!$M$443*EFEITO!$Z$443</f>
        <v>2137.5080982982272</v>
      </c>
      <c r="O443" s="83">
        <f>$L$443-EFEITO!$O$443*EFEITO!$AA$443</f>
        <v>2111.2845712789922</v>
      </c>
      <c r="P443" s="28"/>
      <c r="Q443" s="28"/>
      <c r="R443" s="28"/>
      <c r="S443" s="28"/>
      <c r="T443" s="28"/>
      <c r="U443" s="28"/>
      <c r="V443" s="28"/>
      <c r="W443" s="28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72" t="s">
        <v>21</v>
      </c>
      <c r="B444" s="72" t="s">
        <v>22</v>
      </c>
      <c r="C444" s="72" t="s">
        <v>23</v>
      </c>
      <c r="D444" s="72" t="s">
        <v>24</v>
      </c>
      <c r="E444" s="72" t="s">
        <v>29</v>
      </c>
      <c r="F444" s="72" t="s">
        <v>25</v>
      </c>
      <c r="G444" s="72" t="s">
        <v>25</v>
      </c>
      <c r="H444" s="72" t="s">
        <v>25</v>
      </c>
      <c r="I444" s="82">
        <v>44562</v>
      </c>
      <c r="J444" s="83">
        <f>EFEITO!$J$444*EFEITO!$Y$400</f>
        <v>0</v>
      </c>
      <c r="K444" s="83">
        <f ca="1">EFEITO!$L$444*EFEITO!$Z$473</f>
        <v>3352.4520907161664</v>
      </c>
      <c r="L444" s="83">
        <f>EFEITO!$N$444*EFEITO!$AA$473</f>
        <v>3311.3233024549295</v>
      </c>
      <c r="M444" s="83">
        <f>$J$444-EFEITO!$K$444*EFEITO!$Y$444</f>
        <v>0</v>
      </c>
      <c r="N444" s="83">
        <f ca="1">$K$444-EFEITO!$M$444*EFEITO!$Z$444</f>
        <v>2179.0938589655079</v>
      </c>
      <c r="O444" s="83">
        <f>$L$444-EFEITO!$O$444*EFEITO!$AA$444</f>
        <v>2152.3601465957045</v>
      </c>
      <c r="P444" s="28"/>
      <c r="Q444" s="28"/>
      <c r="R444" s="28"/>
      <c r="S444" s="28"/>
      <c r="T444" s="28"/>
      <c r="U444" s="28"/>
      <c r="V444" s="28"/>
      <c r="W444" s="28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72" t="s">
        <v>21</v>
      </c>
      <c r="B445" s="72" t="s">
        <v>22</v>
      </c>
      <c r="C445" s="72" t="s">
        <v>23</v>
      </c>
      <c r="D445" s="72" t="s">
        <v>24</v>
      </c>
      <c r="E445" s="72" t="s">
        <v>29</v>
      </c>
      <c r="F445" s="72" t="s">
        <v>25</v>
      </c>
      <c r="G445" s="72" t="s">
        <v>25</v>
      </c>
      <c r="H445" s="72" t="s">
        <v>25</v>
      </c>
      <c r="I445" s="82">
        <v>44593</v>
      </c>
      <c r="J445" s="83">
        <f>EFEITO!$J$445*EFEITO!$Y$400</f>
        <v>0</v>
      </c>
      <c r="K445" s="83">
        <f ca="1">EFEITO!$L$445*EFEITO!$Z$473</f>
        <v>3646.7513200538451</v>
      </c>
      <c r="L445" s="83">
        <f>EFEITO!$N$445*EFEITO!$AA$473</f>
        <v>3602.0119893116603</v>
      </c>
      <c r="M445" s="83">
        <f>$J$445-EFEITO!$K$445*EFEITO!$Y$445</f>
        <v>0</v>
      </c>
      <c r="N445" s="83">
        <f ca="1">$K$445-EFEITO!$M$445*EFEITO!$Z$445</f>
        <v>2370.3883580349993</v>
      </c>
      <c r="O445" s="83">
        <f>$L$445-EFEITO!$O$445*EFEITO!$AA$445</f>
        <v>2341.3077930525792</v>
      </c>
      <c r="P445" s="28"/>
      <c r="Q445" s="28"/>
      <c r="R445" s="28"/>
      <c r="S445" s="28"/>
      <c r="T445" s="28"/>
      <c r="U445" s="28"/>
      <c r="V445" s="28"/>
      <c r="W445" s="28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72" t="s">
        <v>21</v>
      </c>
      <c r="B446" s="72" t="s">
        <v>22</v>
      </c>
      <c r="C446" s="72" t="s">
        <v>23</v>
      </c>
      <c r="D446" s="72" t="s">
        <v>24</v>
      </c>
      <c r="E446" s="72" t="s">
        <v>29</v>
      </c>
      <c r="F446" s="72" t="s">
        <v>25</v>
      </c>
      <c r="G446" s="72" t="s">
        <v>25</v>
      </c>
      <c r="H446" s="72" t="s">
        <v>25</v>
      </c>
      <c r="I446" s="82">
        <v>44621</v>
      </c>
      <c r="J446" s="83">
        <f>EFEITO!$J$446*EFEITO!$Y$400</f>
        <v>0</v>
      </c>
      <c r="K446" s="83">
        <f ca="1">EFEITO!$L$446*EFEITO!$Z$473</f>
        <v>5470.1269800807668</v>
      </c>
      <c r="L446" s="83">
        <f>EFEITO!$N$446*EFEITO!$AA$473</f>
        <v>5403.0179839674893</v>
      </c>
      <c r="M446" s="83">
        <f>$J$446-EFEITO!$K$446*EFEITO!$Y$446</f>
        <v>0</v>
      </c>
      <c r="N446" s="83">
        <f ca="1">$K$446-EFEITO!$M$446*EFEITO!$Z$446</f>
        <v>3555.5825370524981</v>
      </c>
      <c r="O446" s="83">
        <f>$L$446-EFEITO!$O$446*EFEITO!$AA$446</f>
        <v>3511.9616895788681</v>
      </c>
      <c r="P446" s="28"/>
      <c r="Q446" s="28"/>
      <c r="R446" s="28"/>
      <c r="S446" s="28"/>
      <c r="T446" s="28"/>
      <c r="U446" s="28"/>
      <c r="V446" s="28"/>
      <c r="W446" s="28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72" t="s">
        <v>21</v>
      </c>
      <c r="B447" s="72" t="s">
        <v>22</v>
      </c>
      <c r="C447" s="72" t="s">
        <v>23</v>
      </c>
      <c r="D447" s="72" t="s">
        <v>24</v>
      </c>
      <c r="E447" s="72" t="s">
        <v>29</v>
      </c>
      <c r="F447" s="72" t="s">
        <v>25</v>
      </c>
      <c r="G447" s="72" t="s">
        <v>25</v>
      </c>
      <c r="H447" s="72" t="s">
        <v>25</v>
      </c>
      <c r="I447" s="82">
        <v>44652</v>
      </c>
      <c r="J447" s="83">
        <f>EFEITO!$J$447*EFEITO!$Y$400</f>
        <v>0</v>
      </c>
      <c r="K447" s="83">
        <f ca="1">EFEITO!$L$447*EFEITO!$Z$473</f>
        <v>5617.2765947496064</v>
      </c>
      <c r="L447" s="83">
        <f>EFEITO!$N$447*EFEITO!$AA$473</f>
        <v>5548.3623273958547</v>
      </c>
      <c r="M447" s="83">
        <f>$J$447-EFEITO!$K$447*EFEITO!$Y$447</f>
        <v>0</v>
      </c>
      <c r="N447" s="83">
        <f ca="1">$K$447-EFEITO!$M$447*EFEITO!$Z$447</f>
        <v>3651.2297865872442</v>
      </c>
      <c r="O447" s="83">
        <f>$L$447-EFEITO!$O$447*EFEITO!$AA$447</f>
        <v>3606.4355128073057</v>
      </c>
      <c r="P447" s="28"/>
      <c r="Q447" s="28"/>
      <c r="R447" s="28"/>
      <c r="S447" s="28"/>
      <c r="T447" s="28"/>
      <c r="U447" s="28"/>
      <c r="V447" s="28"/>
      <c r="W447" s="28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72" t="s">
        <v>21</v>
      </c>
      <c r="B448" s="72" t="s">
        <v>22</v>
      </c>
      <c r="C448" s="72" t="s">
        <v>23</v>
      </c>
      <c r="D448" s="72" t="s">
        <v>24</v>
      </c>
      <c r="E448" s="72" t="s">
        <v>30</v>
      </c>
      <c r="F448" s="72" t="s">
        <v>25</v>
      </c>
      <c r="G448" s="72" t="s">
        <v>25</v>
      </c>
      <c r="H448" s="72" t="s">
        <v>25</v>
      </c>
      <c r="I448" s="82">
        <v>44317</v>
      </c>
      <c r="J448" s="83">
        <f>EFEITO!$J$448*EFEITO!$Y$400</f>
        <v>0</v>
      </c>
      <c r="K448" s="83">
        <f ca="1">EFEITO!$L$448*EFEITO!$Z$473</f>
        <v>6489.937787829158</v>
      </c>
      <c r="L448" s="83">
        <f>EFEITO!$N$448*EFEITO!$AA$473</f>
        <v>6410.3174771188551</v>
      </c>
      <c r="M448" s="83">
        <f>$J$448-EFEITO!$K$448*EFEITO!$Y$448</f>
        <v>0</v>
      </c>
      <c r="N448" s="83">
        <f ca="1">$K$448-EFEITO!$M$448*EFEITO!$Z$448</f>
        <v>2595.9751151316632</v>
      </c>
      <c r="O448" s="83">
        <f>$L$448-EFEITO!$O$448*EFEITO!$AA$448</f>
        <v>2564.1269908475419</v>
      </c>
      <c r="P448" s="28"/>
      <c r="Q448" s="28"/>
      <c r="R448" s="28"/>
      <c r="S448" s="28"/>
      <c r="T448" s="28"/>
      <c r="U448" s="28"/>
      <c r="V448" s="28"/>
      <c r="W448" s="28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72" t="s">
        <v>21</v>
      </c>
      <c r="B449" s="72" t="s">
        <v>22</v>
      </c>
      <c r="C449" s="72" t="s">
        <v>23</v>
      </c>
      <c r="D449" s="72" t="s">
        <v>24</v>
      </c>
      <c r="E449" s="72" t="s">
        <v>30</v>
      </c>
      <c r="F449" s="72" t="s">
        <v>25</v>
      </c>
      <c r="G449" s="72" t="s">
        <v>25</v>
      </c>
      <c r="H449" s="72" t="s">
        <v>25</v>
      </c>
      <c r="I449" s="82">
        <v>44348</v>
      </c>
      <c r="J449" s="83">
        <f>EFEITO!$J$449*EFEITO!$Y$400</f>
        <v>0</v>
      </c>
      <c r="K449" s="83">
        <f ca="1">EFEITO!$L$449*EFEITO!$Z$473</f>
        <v>6660.119516098338</v>
      </c>
      <c r="L449" s="83">
        <f>EFEITO!$N$449*EFEITO!$AA$473</f>
        <v>6578.4113699534</v>
      </c>
      <c r="M449" s="83">
        <f>$J$449-EFEITO!$K$449*EFEITO!$Y$449</f>
        <v>0</v>
      </c>
      <c r="N449" s="83">
        <f ca="1">$K$449-EFEITO!$M$449*EFEITO!$Z$449</f>
        <v>2664.0478064393355</v>
      </c>
      <c r="O449" s="83">
        <f>$L$449-EFEITO!$O$449*EFEITO!$AA$449</f>
        <v>2631.3645479813604</v>
      </c>
      <c r="P449" s="28"/>
      <c r="Q449" s="28"/>
      <c r="R449" s="28"/>
      <c r="S449" s="28"/>
      <c r="T449" s="28"/>
      <c r="U449" s="28"/>
      <c r="V449" s="28"/>
      <c r="W449" s="28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72" t="s">
        <v>21</v>
      </c>
      <c r="B450" s="72" t="s">
        <v>22</v>
      </c>
      <c r="C450" s="72" t="s">
        <v>23</v>
      </c>
      <c r="D450" s="72" t="s">
        <v>24</v>
      </c>
      <c r="E450" s="72" t="s">
        <v>30</v>
      </c>
      <c r="F450" s="72" t="s">
        <v>25</v>
      </c>
      <c r="G450" s="72" t="s">
        <v>25</v>
      </c>
      <c r="H450" s="72" t="s">
        <v>25</v>
      </c>
      <c r="I450" s="82">
        <v>44378</v>
      </c>
      <c r="J450" s="83">
        <f>EFEITO!$J$450*EFEITO!$Y$400</f>
        <v>0</v>
      </c>
      <c r="K450" s="83">
        <f ca="1">EFEITO!$L$450*EFEITO!$Z$473</f>
        <v>6750.1153673885556</v>
      </c>
      <c r="L450" s="83">
        <f>EFEITO!$N$450*EFEITO!$AA$473</f>
        <v>6667.3031278182843</v>
      </c>
      <c r="M450" s="83">
        <f>$J$450-EFEITO!$K$450*EFEITO!$Y$450</f>
        <v>0</v>
      </c>
      <c r="N450" s="83">
        <f ca="1">$K$450-EFEITO!$M$450*EFEITO!$Z$450</f>
        <v>2700.046146955422</v>
      </c>
      <c r="O450" s="83">
        <f>$L$450-EFEITO!$O$450*EFEITO!$AA$450</f>
        <v>2666.921251127314</v>
      </c>
      <c r="P450" s="28"/>
      <c r="Q450" s="28"/>
      <c r="R450" s="28"/>
      <c r="S450" s="28"/>
      <c r="T450" s="28"/>
      <c r="U450" s="28"/>
      <c r="V450" s="28"/>
      <c r="W450" s="28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72" t="s">
        <v>21</v>
      </c>
      <c r="B451" s="72" t="s">
        <v>22</v>
      </c>
      <c r="C451" s="72" t="s">
        <v>23</v>
      </c>
      <c r="D451" s="72" t="s">
        <v>24</v>
      </c>
      <c r="E451" s="72" t="s">
        <v>30</v>
      </c>
      <c r="F451" s="72" t="s">
        <v>25</v>
      </c>
      <c r="G451" s="72" t="s">
        <v>25</v>
      </c>
      <c r="H451" s="72" t="s">
        <v>25</v>
      </c>
      <c r="I451" s="82">
        <v>44409</v>
      </c>
      <c r="J451" s="83">
        <f>EFEITO!$J$451*EFEITO!$Y$400</f>
        <v>0</v>
      </c>
      <c r="K451" s="83">
        <f ca="1">EFEITO!$L$451*EFEITO!$Z$473</f>
        <v>6705.9704829879038</v>
      </c>
      <c r="L451" s="83">
        <f>EFEITO!$N$451*EFEITO!$AA$473</f>
        <v>6623.6998247897745</v>
      </c>
      <c r="M451" s="83">
        <f>$J$451-EFEITO!$K$451*EFEITO!$Y$451</f>
        <v>0</v>
      </c>
      <c r="N451" s="83">
        <f ca="1">$K$451-EFEITO!$M$451*EFEITO!$Z$451</f>
        <v>2682.3881931951614</v>
      </c>
      <c r="O451" s="83">
        <f>$L$451-EFEITO!$O$451*EFEITO!$AA$451</f>
        <v>2649.4799299159099</v>
      </c>
      <c r="P451" s="28"/>
      <c r="Q451" s="28"/>
      <c r="R451" s="28"/>
      <c r="S451" s="28"/>
      <c r="T451" s="28"/>
      <c r="U451" s="28"/>
      <c r="V451" s="28"/>
      <c r="W451" s="28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72" t="s">
        <v>21</v>
      </c>
      <c r="B452" s="72" t="s">
        <v>22</v>
      </c>
      <c r="C452" s="72" t="s">
        <v>23</v>
      </c>
      <c r="D452" s="72" t="s">
        <v>24</v>
      </c>
      <c r="E452" s="72" t="s">
        <v>30</v>
      </c>
      <c r="F452" s="72" t="s">
        <v>25</v>
      </c>
      <c r="G452" s="72" t="s">
        <v>25</v>
      </c>
      <c r="H452" s="72" t="s">
        <v>25</v>
      </c>
      <c r="I452" s="82">
        <v>44440</v>
      </c>
      <c r="J452" s="83">
        <f>EFEITO!$J$452*EFEITO!$Y$400</f>
        <v>0</v>
      </c>
      <c r="K452" s="83">
        <f ca="1">EFEITO!$L$452*EFEITO!$Z$473</f>
        <v>6875.5124303237408</v>
      </c>
      <c r="L452" s="83">
        <f>EFEITO!$N$452*EFEITO!$AA$473</f>
        <v>6791.1617856963694</v>
      </c>
      <c r="M452" s="83">
        <f>$J$452-EFEITO!$K$452*EFEITO!$Y$452</f>
        <v>0</v>
      </c>
      <c r="N452" s="83">
        <f ca="1">$K$452-EFEITO!$M$452*EFEITO!$Z$452</f>
        <v>2750.2049721294961</v>
      </c>
      <c r="O452" s="83">
        <f>$L$452-EFEITO!$O$452*EFEITO!$AA$452</f>
        <v>2716.4647142785479</v>
      </c>
      <c r="P452" s="28"/>
      <c r="Q452" s="28"/>
      <c r="R452" s="28"/>
      <c r="S452" s="28"/>
      <c r="T452" s="28"/>
      <c r="U452" s="28"/>
      <c r="V452" s="28"/>
      <c r="W452" s="28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72" t="s">
        <v>21</v>
      </c>
      <c r="B453" s="72" t="s">
        <v>22</v>
      </c>
      <c r="C453" s="72" t="s">
        <v>23</v>
      </c>
      <c r="D453" s="72" t="s">
        <v>24</v>
      </c>
      <c r="E453" s="72" t="s">
        <v>30</v>
      </c>
      <c r="F453" s="72" t="s">
        <v>25</v>
      </c>
      <c r="G453" s="72" t="s">
        <v>25</v>
      </c>
      <c r="H453" s="72" t="s">
        <v>25</v>
      </c>
      <c r="I453" s="82">
        <v>44470</v>
      </c>
      <c r="J453" s="83">
        <f>EFEITO!$J$453*EFEITO!$Y$400</f>
        <v>0</v>
      </c>
      <c r="K453" s="83">
        <f ca="1">EFEITO!$L$453*EFEITO!$Z$473</f>
        <v>7072.5649577933164</v>
      </c>
      <c r="L453" s="83">
        <f>EFEITO!$N$453*EFEITO!$AA$473</f>
        <v>6985.7968195047888</v>
      </c>
      <c r="M453" s="83">
        <f>$J$453-EFEITO!$K$453*EFEITO!$Y$453</f>
        <v>0</v>
      </c>
      <c r="N453" s="83">
        <f ca="1">$K$453-EFEITO!$M$453*EFEITO!$Z$453</f>
        <v>2829.0259831173262</v>
      </c>
      <c r="O453" s="83">
        <f>$L$453-EFEITO!$O$453*EFEITO!$AA$453</f>
        <v>2794.3187278019159</v>
      </c>
      <c r="P453" s="28"/>
      <c r="Q453" s="28"/>
      <c r="R453" s="28"/>
      <c r="S453" s="28"/>
      <c r="T453" s="28"/>
      <c r="U453" s="28"/>
      <c r="V453" s="28"/>
      <c r="W453" s="28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72" t="s">
        <v>21</v>
      </c>
      <c r="B454" s="72" t="s">
        <v>22</v>
      </c>
      <c r="C454" s="72" t="s">
        <v>23</v>
      </c>
      <c r="D454" s="72" t="s">
        <v>24</v>
      </c>
      <c r="E454" s="72" t="s">
        <v>30</v>
      </c>
      <c r="F454" s="72" t="s">
        <v>25</v>
      </c>
      <c r="G454" s="72" t="s">
        <v>25</v>
      </c>
      <c r="H454" s="72" t="s">
        <v>25</v>
      </c>
      <c r="I454" s="82">
        <v>44501</v>
      </c>
      <c r="J454" s="83">
        <f>EFEITO!$J$454*EFEITO!$Y$400</f>
        <v>0</v>
      </c>
      <c r="K454" s="83">
        <f ca="1">EFEITO!$L$454*EFEITO!$Z$473</f>
        <v>7000.909493258926</v>
      </c>
      <c r="L454" s="83">
        <f>EFEITO!$N$454*EFEITO!$AA$473</f>
        <v>6915.0204435744554</v>
      </c>
      <c r="M454" s="83">
        <f>$J$454-EFEITO!$K$454*EFEITO!$Y$454</f>
        <v>0</v>
      </c>
      <c r="N454" s="83">
        <f ca="1">$K$454-EFEITO!$M$454*EFEITO!$Z$454</f>
        <v>2800.3637973035702</v>
      </c>
      <c r="O454" s="83">
        <f>$L$454-EFEITO!$O$454*EFEITO!$AA$454</f>
        <v>2766.0081774297823</v>
      </c>
      <c r="P454" s="28"/>
      <c r="Q454" s="28"/>
      <c r="R454" s="28"/>
      <c r="S454" s="28"/>
      <c r="T454" s="28"/>
      <c r="U454" s="28"/>
      <c r="V454" s="28"/>
      <c r="W454" s="28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72" t="s">
        <v>21</v>
      </c>
      <c r="B455" s="72" t="s">
        <v>22</v>
      </c>
      <c r="C455" s="72" t="s">
        <v>23</v>
      </c>
      <c r="D455" s="72" t="s">
        <v>24</v>
      </c>
      <c r="E455" s="72" t="s">
        <v>30</v>
      </c>
      <c r="F455" s="72" t="s">
        <v>25</v>
      </c>
      <c r="G455" s="72" t="s">
        <v>25</v>
      </c>
      <c r="H455" s="72" t="s">
        <v>25</v>
      </c>
      <c r="I455" s="82">
        <v>44531</v>
      </c>
      <c r="J455" s="83">
        <f>EFEITO!$J$455*EFEITO!$Y$400</f>
        <v>0</v>
      </c>
      <c r="K455" s="83">
        <f ca="1">EFEITO!$L$455*EFEITO!$Z$473</f>
        <v>7139.9552161054216</v>
      </c>
      <c r="L455" s="83">
        <f>EFEITO!$N$455*EFEITO!$AA$473</f>
        <v>7052.36031591546</v>
      </c>
      <c r="M455" s="83">
        <f>$J$455-EFEITO!$K$455*EFEITO!$Y$455</f>
        <v>0</v>
      </c>
      <c r="N455" s="83">
        <f ca="1">$K$455-EFEITO!$M$455*EFEITO!$Z$455</f>
        <v>2855.982086442169</v>
      </c>
      <c r="O455" s="83">
        <f>$L$455-EFEITO!$O$455*EFEITO!$AA$455</f>
        <v>2820.9441263661847</v>
      </c>
      <c r="P455" s="28"/>
      <c r="Q455" s="28"/>
      <c r="R455" s="28"/>
      <c r="S455" s="28"/>
      <c r="T455" s="28"/>
      <c r="U455" s="28"/>
      <c r="V455" s="28"/>
      <c r="W455" s="28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72" t="s">
        <v>21</v>
      </c>
      <c r="B456" s="72" t="s">
        <v>22</v>
      </c>
      <c r="C456" s="72" t="s">
        <v>23</v>
      </c>
      <c r="D456" s="72" t="s">
        <v>24</v>
      </c>
      <c r="E456" s="72" t="s">
        <v>30</v>
      </c>
      <c r="F456" s="72" t="s">
        <v>25</v>
      </c>
      <c r="G456" s="72" t="s">
        <v>25</v>
      </c>
      <c r="H456" s="72" t="s">
        <v>25</v>
      </c>
      <c r="I456" s="82">
        <v>44562</v>
      </c>
      <c r="J456" s="83">
        <f>EFEITO!$J$456*EFEITO!$Y$400</f>
        <v>0</v>
      </c>
      <c r="K456" s="83">
        <f ca="1">EFEITO!$L$456*EFEITO!$Z$473</f>
        <v>7400.1327956648202</v>
      </c>
      <c r="L456" s="83">
        <f>EFEITO!$N$456*EFEITO!$AA$473</f>
        <v>7309.3459666148892</v>
      </c>
      <c r="M456" s="83">
        <f>$J$456-EFEITO!$K$456*EFEITO!$Y$456</f>
        <v>0</v>
      </c>
      <c r="N456" s="83">
        <f ca="1">$K$456-EFEITO!$M$456*EFEITO!$Z$456</f>
        <v>2960.0531182659279</v>
      </c>
      <c r="O456" s="83">
        <f>$L$456-EFEITO!$O$456*EFEITO!$AA$456</f>
        <v>2923.7383866459559</v>
      </c>
      <c r="P456" s="28"/>
      <c r="Q456" s="28"/>
      <c r="R456" s="28"/>
      <c r="S456" s="28"/>
      <c r="T456" s="28"/>
      <c r="U456" s="28"/>
      <c r="V456" s="28"/>
      <c r="W456" s="28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72" t="s">
        <v>21</v>
      </c>
      <c r="B457" s="72" t="s">
        <v>22</v>
      </c>
      <c r="C457" s="72" t="s">
        <v>23</v>
      </c>
      <c r="D457" s="72" t="s">
        <v>24</v>
      </c>
      <c r="E457" s="72" t="s">
        <v>30</v>
      </c>
      <c r="F457" s="72" t="s">
        <v>25</v>
      </c>
      <c r="G457" s="72" t="s">
        <v>25</v>
      </c>
      <c r="H457" s="72" t="s">
        <v>25</v>
      </c>
      <c r="I457" s="82">
        <v>44593</v>
      </c>
      <c r="J457" s="83">
        <f>EFEITO!$J$457*EFEITO!$Y$400</f>
        <v>0</v>
      </c>
      <c r="K457" s="83">
        <f ca="1">EFEITO!$L$457*EFEITO!$Z$473</f>
        <v>8051.0032651855417</v>
      </c>
      <c r="L457" s="83">
        <f>EFEITO!$N$457*EFEITO!$AA$473</f>
        <v>7952.2313813154269</v>
      </c>
      <c r="M457" s="83">
        <f>$J$457-EFEITO!$K$457*EFEITO!$Y$457</f>
        <v>0</v>
      </c>
      <c r="N457" s="83">
        <f ca="1">$K$457-EFEITO!$M$457*EFEITO!$Z$457</f>
        <v>3220.4013060742172</v>
      </c>
      <c r="O457" s="83">
        <f>$L$457-EFEITO!$O$457*EFEITO!$AA$457</f>
        <v>3180.8925525261711</v>
      </c>
      <c r="P457" s="28"/>
      <c r="Q457" s="28"/>
      <c r="R457" s="28"/>
      <c r="S457" s="28"/>
      <c r="T457" s="28"/>
      <c r="U457" s="28"/>
      <c r="V457" s="28"/>
      <c r="W457" s="28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72" t="s">
        <v>21</v>
      </c>
      <c r="B458" s="72" t="s">
        <v>22</v>
      </c>
      <c r="C458" s="72" t="s">
        <v>23</v>
      </c>
      <c r="D458" s="72" t="s">
        <v>24</v>
      </c>
      <c r="E458" s="72" t="s">
        <v>30</v>
      </c>
      <c r="F458" s="72" t="s">
        <v>25</v>
      </c>
      <c r="G458" s="72" t="s">
        <v>25</v>
      </c>
      <c r="H458" s="72" t="s">
        <v>25</v>
      </c>
      <c r="I458" s="82">
        <v>44621</v>
      </c>
      <c r="J458" s="83">
        <f>EFEITO!$J$458*EFEITO!$Y$400</f>
        <v>0</v>
      </c>
      <c r="K458" s="83">
        <f ca="1">EFEITO!$L$458*EFEITO!$Z$473</f>
        <v>11803.318439240946</v>
      </c>
      <c r="L458" s="83">
        <f>EFEITO!$N$458*EFEITO!$AA$473</f>
        <v>11658.512138738739</v>
      </c>
      <c r="M458" s="83">
        <f>$J$458-EFEITO!$K$458*EFEITO!$Y$458</f>
        <v>0</v>
      </c>
      <c r="N458" s="83">
        <f ca="1">$K$458-EFEITO!$M$458*EFEITO!$Z$458</f>
        <v>4721.327375696379</v>
      </c>
      <c r="O458" s="83">
        <f>$L$458-EFEITO!$O$458*EFEITO!$AA$458</f>
        <v>4663.4048554954961</v>
      </c>
      <c r="P458" s="28"/>
      <c r="Q458" s="28"/>
      <c r="R458" s="28"/>
      <c r="S458" s="28"/>
      <c r="T458" s="28"/>
      <c r="U458" s="28"/>
      <c r="V458" s="28"/>
      <c r="W458" s="28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72" t="s">
        <v>21</v>
      </c>
      <c r="B459" s="72" t="s">
        <v>22</v>
      </c>
      <c r="C459" s="72" t="s">
        <v>23</v>
      </c>
      <c r="D459" s="72" t="s">
        <v>24</v>
      </c>
      <c r="E459" s="72" t="s">
        <v>30</v>
      </c>
      <c r="F459" s="72" t="s">
        <v>25</v>
      </c>
      <c r="G459" s="72" t="s">
        <v>25</v>
      </c>
      <c r="H459" s="72" t="s">
        <v>25</v>
      </c>
      <c r="I459" s="82">
        <v>44652</v>
      </c>
      <c r="J459" s="83">
        <f>EFEITO!$J$459*EFEITO!$Y$400</f>
        <v>0</v>
      </c>
      <c r="K459" s="83">
        <f ca="1">EFEITO!$L$459*EFEITO!$Z$473</f>
        <v>12259.695505025462</v>
      </c>
      <c r="L459" s="83">
        <f>EFEITO!$N$459*EFEITO!$AA$473</f>
        <v>12109.290247342655</v>
      </c>
      <c r="M459" s="83">
        <f>$J$459-EFEITO!$K$459*EFEITO!$Y$459</f>
        <v>0</v>
      </c>
      <c r="N459" s="83">
        <f ca="1">$K$459-EFEITO!$M$459*EFEITO!$Z$459</f>
        <v>4903.8782020101853</v>
      </c>
      <c r="O459" s="83">
        <f>$L$459-EFEITO!$O$459*EFEITO!$AA$459</f>
        <v>4843.7160989370623</v>
      </c>
      <c r="P459" s="28"/>
      <c r="Q459" s="28"/>
      <c r="R459" s="28"/>
      <c r="S459" s="28"/>
      <c r="T459" s="28"/>
      <c r="U459" s="28"/>
      <c r="V459" s="28"/>
      <c r="W459" s="28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72" t="s">
        <v>21</v>
      </c>
      <c r="B460" s="72" t="s">
        <v>22</v>
      </c>
      <c r="C460" s="72" t="s">
        <v>23</v>
      </c>
      <c r="D460" s="72" t="s">
        <v>24</v>
      </c>
      <c r="E460" s="72" t="s">
        <v>31</v>
      </c>
      <c r="F460" s="72" t="s">
        <v>25</v>
      </c>
      <c r="G460" s="72" t="s">
        <v>25</v>
      </c>
      <c r="H460" s="72" t="s">
        <v>25</v>
      </c>
      <c r="I460" s="82">
        <v>44317</v>
      </c>
      <c r="J460" s="83">
        <f>EFEITO!$J$460*EFEITO!$Y$400</f>
        <v>0</v>
      </c>
      <c r="K460" s="83">
        <f ca="1">EFEITO!$L$460*EFEITO!$Z$473</f>
        <v>4448.3968295323484</v>
      </c>
      <c r="L460" s="83">
        <f>EFEITO!$N$460*EFEITO!$AA$473</f>
        <v>4393.822695032276</v>
      </c>
      <c r="M460" s="83">
        <f>$J$460-EFEITO!$K$460*EFEITO!$Y$460</f>
        <v>0</v>
      </c>
      <c r="N460" s="83">
        <f ca="1">$K$460-EFEITO!$M$460*EFEITO!$Z$460</f>
        <v>444.83968295323439</v>
      </c>
      <c r="O460" s="83">
        <f>$L$460-EFEITO!$O$460*EFEITO!$AA$460</f>
        <v>439.38226950322769</v>
      </c>
      <c r="P460" s="28"/>
      <c r="Q460" s="28"/>
      <c r="R460" s="28"/>
      <c r="S460" s="28"/>
      <c r="T460" s="28"/>
      <c r="U460" s="28"/>
      <c r="V460" s="28"/>
      <c r="W460" s="28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72" t="s">
        <v>21</v>
      </c>
      <c r="B461" s="72" t="s">
        <v>22</v>
      </c>
      <c r="C461" s="72" t="s">
        <v>23</v>
      </c>
      <c r="D461" s="72" t="s">
        <v>24</v>
      </c>
      <c r="E461" s="72" t="s">
        <v>31</v>
      </c>
      <c r="F461" s="72" t="s">
        <v>25</v>
      </c>
      <c r="G461" s="72" t="s">
        <v>25</v>
      </c>
      <c r="H461" s="72" t="s">
        <v>25</v>
      </c>
      <c r="I461" s="82">
        <v>44348</v>
      </c>
      <c r="J461" s="83">
        <f>EFEITO!$J$461*EFEITO!$Y$400</f>
        <v>0</v>
      </c>
      <c r="K461" s="83">
        <f ca="1">EFEITO!$L$461*EFEITO!$Z$473</f>
        <v>5193.1018359433438</v>
      </c>
      <c r="L461" s="83">
        <f>EFEITO!$N$461*EFEITO!$AA$473</f>
        <v>5129.3914591653938</v>
      </c>
      <c r="M461" s="83">
        <f>$J$461-EFEITO!$K$461*EFEITO!$Y$461</f>
        <v>0</v>
      </c>
      <c r="N461" s="83">
        <f ca="1">$K$461-EFEITO!$M$461*EFEITO!$Z$461</f>
        <v>519.31018359433438</v>
      </c>
      <c r="O461" s="83">
        <f>$L$461-EFEITO!$O$461*EFEITO!$AA$461</f>
        <v>512.93914591653993</v>
      </c>
      <c r="P461" s="28"/>
      <c r="Q461" s="28"/>
      <c r="R461" s="28"/>
      <c r="S461" s="28"/>
      <c r="T461" s="28"/>
      <c r="U461" s="28"/>
      <c r="V461" s="28"/>
      <c r="W461" s="28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72" t="s">
        <v>21</v>
      </c>
      <c r="B462" s="72" t="s">
        <v>22</v>
      </c>
      <c r="C462" s="72" t="s">
        <v>23</v>
      </c>
      <c r="D462" s="72" t="s">
        <v>24</v>
      </c>
      <c r="E462" s="72" t="s">
        <v>31</v>
      </c>
      <c r="F462" s="72" t="s">
        <v>25</v>
      </c>
      <c r="G462" s="72" t="s">
        <v>25</v>
      </c>
      <c r="H462" s="72" t="s">
        <v>25</v>
      </c>
      <c r="I462" s="82">
        <v>44378</v>
      </c>
      <c r="J462" s="83">
        <f>EFEITO!$J$462*EFEITO!$Y$400</f>
        <v>0</v>
      </c>
      <c r="K462" s="83">
        <f ca="1">EFEITO!$L$462*EFEITO!$Z$473</f>
        <v>5578.0366975045827</v>
      </c>
      <c r="L462" s="83">
        <f>EFEITO!$N$462*EFEITO!$AA$473</f>
        <v>5509.6038358149572</v>
      </c>
      <c r="M462" s="83">
        <f>$J$462-EFEITO!$K$462*EFEITO!$Y$462</f>
        <v>0</v>
      </c>
      <c r="N462" s="83">
        <f ca="1">$K$462-EFEITO!$M$462*EFEITO!$Z$462</f>
        <v>557.80366975045763</v>
      </c>
      <c r="O462" s="83">
        <f>$L$462-EFEITO!$O$462*EFEITO!$AA$462</f>
        <v>550.96038358149599</v>
      </c>
      <c r="P462" s="28"/>
      <c r="Q462" s="28"/>
      <c r="R462" s="28"/>
      <c r="S462" s="28"/>
      <c r="T462" s="28"/>
      <c r="U462" s="28"/>
      <c r="V462" s="28"/>
      <c r="W462" s="28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72" t="s">
        <v>27</v>
      </c>
      <c r="B463" s="72" t="s">
        <v>22</v>
      </c>
      <c r="C463" s="72" t="s">
        <v>23</v>
      </c>
      <c r="D463" s="72" t="s">
        <v>24</v>
      </c>
      <c r="E463" s="72" t="s">
        <v>31</v>
      </c>
      <c r="F463" s="72" t="s">
        <v>25</v>
      </c>
      <c r="G463" s="72" t="s">
        <v>25</v>
      </c>
      <c r="H463" s="72" t="s">
        <v>25</v>
      </c>
      <c r="I463" s="82">
        <v>44378</v>
      </c>
      <c r="J463" s="83">
        <f>EFEITO!$J$463*EFEITO!$Y$400</f>
        <v>0</v>
      </c>
      <c r="K463" s="83">
        <f ca="1">EFEITO!$L$463*EFEITO!$Z$473</f>
        <v>-18.980167689169132</v>
      </c>
      <c r="L463" s="83">
        <f>EFEITO!$N$463*EFEITO!$AA$473</f>
        <v>-18.747313862499283</v>
      </c>
      <c r="M463" s="83">
        <f>$J$463-EFEITO!$K$463*EFEITO!$Y$463</f>
        <v>0</v>
      </c>
      <c r="N463" s="83">
        <f ca="1">$K$463-EFEITO!$M$463*EFEITO!$Z$463</f>
        <v>-1.8980167689169107</v>
      </c>
      <c r="O463" s="83">
        <f>$L$463-EFEITO!$O$463*EFEITO!$AA$463</f>
        <v>-1.8747313862499304</v>
      </c>
      <c r="P463" s="28"/>
      <c r="Q463" s="28"/>
      <c r="R463" s="28"/>
      <c r="S463" s="28"/>
      <c r="T463" s="28"/>
      <c r="U463" s="28"/>
      <c r="V463" s="28"/>
      <c r="W463" s="28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72" t="s">
        <v>21</v>
      </c>
      <c r="B464" s="72" t="s">
        <v>22</v>
      </c>
      <c r="C464" s="72" t="s">
        <v>23</v>
      </c>
      <c r="D464" s="72" t="s">
        <v>24</v>
      </c>
      <c r="E464" s="72" t="s">
        <v>31</v>
      </c>
      <c r="F464" s="72" t="s">
        <v>25</v>
      </c>
      <c r="G464" s="72" t="s">
        <v>25</v>
      </c>
      <c r="H464" s="72" t="s">
        <v>25</v>
      </c>
      <c r="I464" s="82">
        <v>44409</v>
      </c>
      <c r="J464" s="83">
        <f>EFEITO!$J$464*EFEITO!$Y$400</f>
        <v>0</v>
      </c>
      <c r="K464" s="83">
        <f ca="1">EFEITO!$L$464*EFEITO!$Z$473</f>
        <v>5000.7410353182813</v>
      </c>
      <c r="L464" s="83">
        <f>EFEITO!$N$464*EFEITO!$AA$473</f>
        <v>4939.3905928286031</v>
      </c>
      <c r="M464" s="83">
        <f>$J$464-EFEITO!$K$464*EFEITO!$Y$464</f>
        <v>0</v>
      </c>
      <c r="N464" s="83">
        <f ca="1">$K$464-EFEITO!$M$464*EFEITO!$Z$464</f>
        <v>500.07410353182786</v>
      </c>
      <c r="O464" s="83">
        <f>$L$464-EFEITO!$O$464*EFEITO!$AA$464</f>
        <v>493.9390592828604</v>
      </c>
      <c r="P464" s="28"/>
      <c r="Q464" s="28"/>
      <c r="R464" s="28"/>
      <c r="S464" s="28"/>
      <c r="T464" s="28"/>
      <c r="U464" s="28"/>
      <c r="V464" s="28"/>
      <c r="W464" s="28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72" t="s">
        <v>21</v>
      </c>
      <c r="B465" s="72" t="s">
        <v>22</v>
      </c>
      <c r="C465" s="72" t="s">
        <v>23</v>
      </c>
      <c r="D465" s="72" t="s">
        <v>24</v>
      </c>
      <c r="E465" s="72" t="s">
        <v>31</v>
      </c>
      <c r="F465" s="72" t="s">
        <v>25</v>
      </c>
      <c r="G465" s="72" t="s">
        <v>25</v>
      </c>
      <c r="H465" s="72" t="s">
        <v>25</v>
      </c>
      <c r="I465" s="82">
        <v>44440</v>
      </c>
      <c r="J465" s="83">
        <f>EFEITO!$J$465*EFEITO!$Y$400</f>
        <v>0</v>
      </c>
      <c r="K465" s="83">
        <f ca="1">EFEITO!$L$465*EFEITO!$Z$473</f>
        <v>5818.3810681303539</v>
      </c>
      <c r="L465" s="83">
        <f>EFEITO!$N$465*EFEITO!$AA$473</f>
        <v>5746.9995967479545</v>
      </c>
      <c r="M465" s="83">
        <f>$J$465-EFEITO!$K$465*EFEITO!$Y$465</f>
        <v>0</v>
      </c>
      <c r="N465" s="83">
        <f ca="1">$K$465-EFEITO!$M$465*EFEITO!$Z$465</f>
        <v>581.83810681303476</v>
      </c>
      <c r="O465" s="83">
        <f>$L$465-EFEITO!$O$465*EFEITO!$AA$465</f>
        <v>574.69995967479554</v>
      </c>
      <c r="P465" s="28"/>
      <c r="Q465" s="28"/>
      <c r="R465" s="28"/>
      <c r="S465" s="28"/>
      <c r="T465" s="28"/>
      <c r="U465" s="28"/>
      <c r="V465" s="28"/>
      <c r="W465" s="28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72" t="s">
        <v>21</v>
      </c>
      <c r="B466" s="72" t="s">
        <v>22</v>
      </c>
      <c r="C466" s="72" t="s">
        <v>23</v>
      </c>
      <c r="D466" s="72" t="s">
        <v>24</v>
      </c>
      <c r="E466" s="72" t="s">
        <v>31</v>
      </c>
      <c r="F466" s="72" t="s">
        <v>25</v>
      </c>
      <c r="G466" s="72" t="s">
        <v>25</v>
      </c>
      <c r="H466" s="72" t="s">
        <v>25</v>
      </c>
      <c r="I466" s="82">
        <v>44470</v>
      </c>
      <c r="J466" s="83">
        <f>EFEITO!$J$466*EFEITO!$Y$400</f>
        <v>0</v>
      </c>
      <c r="K466" s="83">
        <f ca="1">EFEITO!$L$466*EFEITO!$Z$473</f>
        <v>6833.0736284120021</v>
      </c>
      <c r="L466" s="83">
        <f>EFEITO!$N$466*EFEITO!$AA$473</f>
        <v>6749.2436344757243</v>
      </c>
      <c r="M466" s="83">
        <f>$J$466-EFEITO!$K$466*EFEITO!$Y$466</f>
        <v>0</v>
      </c>
      <c r="N466" s="83">
        <f ca="1">$K$466-EFEITO!$M$466*EFEITO!$Z$466</f>
        <v>683.3073628412003</v>
      </c>
      <c r="O466" s="83">
        <f>$L$466-EFEITO!$O$466*EFEITO!$AA$466</f>
        <v>674.92436344757243</v>
      </c>
      <c r="P466" s="28"/>
      <c r="Q466" s="28"/>
      <c r="R466" s="28"/>
      <c r="S466" s="28"/>
      <c r="T466" s="28"/>
      <c r="U466" s="28"/>
      <c r="V466" s="28"/>
      <c r="W466" s="28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72" t="s">
        <v>21</v>
      </c>
      <c r="B467" s="72" t="s">
        <v>22</v>
      </c>
      <c r="C467" s="72" t="s">
        <v>23</v>
      </c>
      <c r="D467" s="72" t="s">
        <v>24</v>
      </c>
      <c r="E467" s="72" t="s">
        <v>31</v>
      </c>
      <c r="F467" s="72" t="s">
        <v>25</v>
      </c>
      <c r="G467" s="72" t="s">
        <v>25</v>
      </c>
      <c r="H467" s="72" t="s">
        <v>25</v>
      </c>
      <c r="I467" s="82">
        <v>44501</v>
      </c>
      <c r="J467" s="83">
        <f>EFEITO!$J$467*EFEITO!$Y$400</f>
        <v>0</v>
      </c>
      <c r="K467" s="83">
        <f ca="1">EFEITO!$L$467*EFEITO!$Z$473</f>
        <v>6282.6487654260982</v>
      </c>
      <c r="L467" s="83">
        <f>EFEITO!$N$467*EFEITO!$AA$473</f>
        <v>6205.5715324632456</v>
      </c>
      <c r="M467" s="83">
        <f>$J$467-EFEITO!$K$467*EFEITO!$Y$467</f>
        <v>0</v>
      </c>
      <c r="N467" s="83">
        <f ca="1">$K$467-EFEITO!$M$467*EFEITO!$Z$467</f>
        <v>628.26487654260927</v>
      </c>
      <c r="O467" s="83">
        <f>$L$467-EFEITO!$O$467*EFEITO!$AA$467</f>
        <v>620.55715324632456</v>
      </c>
      <c r="P467" s="28"/>
      <c r="Q467" s="28"/>
      <c r="R467" s="28"/>
      <c r="S467" s="28"/>
      <c r="T467" s="28"/>
      <c r="U467" s="28"/>
      <c r="V467" s="28"/>
      <c r="W467" s="28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72" t="s">
        <v>21</v>
      </c>
      <c r="B468" s="72" t="s">
        <v>22</v>
      </c>
      <c r="C468" s="72" t="s">
        <v>23</v>
      </c>
      <c r="D468" s="72" t="s">
        <v>24</v>
      </c>
      <c r="E468" s="72" t="s">
        <v>31</v>
      </c>
      <c r="F468" s="72" t="s">
        <v>25</v>
      </c>
      <c r="G468" s="72" t="s">
        <v>25</v>
      </c>
      <c r="H468" s="72" t="s">
        <v>25</v>
      </c>
      <c r="I468" s="82">
        <v>44531</v>
      </c>
      <c r="J468" s="83">
        <f>EFEITO!$J$468*EFEITO!$Y$400</f>
        <v>0</v>
      </c>
      <c r="K468" s="83">
        <f ca="1">EFEITO!$L$468*EFEITO!$Z$473</f>
        <v>5780.8472533742442</v>
      </c>
      <c r="L468" s="83">
        <f>EFEITO!$N$468*EFEITO!$AA$473</f>
        <v>5709.9262569749217</v>
      </c>
      <c r="M468" s="83">
        <f>$J$468-EFEITO!$K$468*EFEITO!$Y$468</f>
        <v>0</v>
      </c>
      <c r="N468" s="83">
        <f ca="1">$K$468-EFEITO!$M$468*EFEITO!$Z$468</f>
        <v>578.08472533742406</v>
      </c>
      <c r="O468" s="83">
        <f>$L$468-EFEITO!$O$468*EFEITO!$AA$468</f>
        <v>570.99262569749226</v>
      </c>
      <c r="P468" s="28"/>
      <c r="Q468" s="28"/>
      <c r="R468" s="28"/>
      <c r="S468" s="28"/>
      <c r="T468" s="28"/>
      <c r="U468" s="28"/>
      <c r="V468" s="28"/>
      <c r="W468" s="28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72" t="s">
        <v>21</v>
      </c>
      <c r="B469" s="72" t="s">
        <v>22</v>
      </c>
      <c r="C469" s="72" t="s">
        <v>23</v>
      </c>
      <c r="D469" s="72" t="s">
        <v>24</v>
      </c>
      <c r="E469" s="72" t="s">
        <v>31</v>
      </c>
      <c r="F469" s="72" t="s">
        <v>25</v>
      </c>
      <c r="G469" s="72" t="s">
        <v>25</v>
      </c>
      <c r="H469" s="72" t="s">
        <v>25</v>
      </c>
      <c r="I469" s="82">
        <v>44562</v>
      </c>
      <c r="J469" s="83">
        <f>EFEITO!$J$469*EFEITO!$Y$400</f>
        <v>0</v>
      </c>
      <c r="K469" s="83">
        <f ca="1">EFEITO!$L$469*EFEITO!$Z$473</f>
        <v>6606.804438319773</v>
      </c>
      <c r="L469" s="83">
        <f>EFEITO!$N$469*EFEITO!$AA$473</f>
        <v>6525.7503759576157</v>
      </c>
      <c r="M469" s="83">
        <f>$J$469-EFEITO!$K$469*EFEITO!$Y$469</f>
        <v>0</v>
      </c>
      <c r="N469" s="83">
        <f ca="1">$K$469-EFEITO!$M$469*EFEITO!$Z$469</f>
        <v>660.68044383197685</v>
      </c>
      <c r="O469" s="83">
        <f>$L$469-EFEITO!$O$469*EFEITO!$AA$469</f>
        <v>652.57503759576139</v>
      </c>
      <c r="P469" s="28"/>
      <c r="Q469" s="28"/>
      <c r="R469" s="28"/>
      <c r="S469" s="28"/>
      <c r="T469" s="28"/>
      <c r="U469" s="28"/>
      <c r="V469" s="28"/>
      <c r="W469" s="28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72" t="s">
        <v>21</v>
      </c>
      <c r="B470" s="72" t="s">
        <v>22</v>
      </c>
      <c r="C470" s="72" t="s">
        <v>23</v>
      </c>
      <c r="D470" s="72" t="s">
        <v>24</v>
      </c>
      <c r="E470" s="72" t="s">
        <v>31</v>
      </c>
      <c r="F470" s="72" t="s">
        <v>25</v>
      </c>
      <c r="G470" s="72" t="s">
        <v>25</v>
      </c>
      <c r="H470" s="72" t="s">
        <v>25</v>
      </c>
      <c r="I470" s="82">
        <v>44593</v>
      </c>
      <c r="J470" s="83">
        <f>EFEITO!$J$470*EFEITO!$Y$400</f>
        <v>0</v>
      </c>
      <c r="K470" s="83">
        <f ca="1">EFEITO!$L$470*EFEITO!$Z$473</f>
        <v>7180.0481545949033</v>
      </c>
      <c r="L470" s="83">
        <f>EFEITO!$N$470*EFEITO!$AA$473</f>
        <v>7091.9613834002903</v>
      </c>
      <c r="M470" s="83">
        <f>$J$470-EFEITO!$K$470*EFEITO!$Y$470</f>
        <v>0</v>
      </c>
      <c r="N470" s="83">
        <f ca="1">$K$470-EFEITO!$M$470*EFEITO!$Z$470</f>
        <v>718.00481545948969</v>
      </c>
      <c r="O470" s="83">
        <f>$L$470-EFEITO!$O$470*EFEITO!$AA$470</f>
        <v>709.19613834002939</v>
      </c>
      <c r="P470" s="28"/>
      <c r="Q470" s="28"/>
      <c r="R470" s="28"/>
      <c r="S470" s="28"/>
      <c r="T470" s="28"/>
      <c r="U470" s="28"/>
      <c r="V470" s="28"/>
      <c r="W470" s="28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72" t="s">
        <v>21</v>
      </c>
      <c r="B471" s="72" t="s">
        <v>22</v>
      </c>
      <c r="C471" s="72" t="s">
        <v>23</v>
      </c>
      <c r="D471" s="72" t="s">
        <v>24</v>
      </c>
      <c r="E471" s="72" t="s">
        <v>31</v>
      </c>
      <c r="F471" s="72" t="s">
        <v>25</v>
      </c>
      <c r="G471" s="72" t="s">
        <v>25</v>
      </c>
      <c r="H471" s="72" t="s">
        <v>25</v>
      </c>
      <c r="I471" s="82">
        <v>44621</v>
      </c>
      <c r="J471" s="83">
        <f>EFEITO!$J$471*EFEITO!$Y$400</f>
        <v>0</v>
      </c>
      <c r="K471" s="83">
        <f ca="1">EFEITO!$L$471*EFEITO!$Z$473</f>
        <v>10830.42489993769</v>
      </c>
      <c r="L471" s="83">
        <f>EFEITO!$N$471*EFEITO!$AA$473</f>
        <v>10697.554320303663</v>
      </c>
      <c r="M471" s="83">
        <f>$J$471-EFEITO!$K$471*EFEITO!$Y$471</f>
        <v>0</v>
      </c>
      <c r="N471" s="83">
        <f ca="1">$K$471-EFEITO!$M$471*EFEITO!$Z$471</f>
        <v>1083.042489993768</v>
      </c>
      <c r="O471" s="83">
        <f>$L$471-EFEITO!$O$471*EFEITO!$AA$471</f>
        <v>1069.7554320303661</v>
      </c>
      <c r="P471" s="28"/>
      <c r="Q471" s="28"/>
      <c r="R471" s="28"/>
      <c r="S471" s="28"/>
      <c r="T471" s="28"/>
      <c r="U471" s="28"/>
      <c r="V471" s="28"/>
      <c r="W471" s="28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72" t="s">
        <v>21</v>
      </c>
      <c r="B472" s="72" t="s">
        <v>22</v>
      </c>
      <c r="C472" s="72" t="s">
        <v>23</v>
      </c>
      <c r="D472" s="72" t="s">
        <v>24</v>
      </c>
      <c r="E472" s="72" t="s">
        <v>31</v>
      </c>
      <c r="F472" s="72" t="s">
        <v>25</v>
      </c>
      <c r="G472" s="72" t="s">
        <v>25</v>
      </c>
      <c r="H472" s="72" t="s">
        <v>25</v>
      </c>
      <c r="I472" s="82">
        <v>44652</v>
      </c>
      <c r="J472" s="83">
        <f>EFEITO!$J$472*EFEITO!$Y$400</f>
        <v>0</v>
      </c>
      <c r="K472" s="83">
        <f ca="1">EFEITO!$L$472*EFEITO!$Z$473</f>
        <v>11623.113476349396</v>
      </c>
      <c r="L472" s="83">
        <f>EFEITO!$N$472*EFEITO!$AA$473</f>
        <v>11480.517979032988</v>
      </c>
      <c r="M472" s="83">
        <f>$J$472-EFEITO!$K$472*EFEITO!$Y$472</f>
        <v>0</v>
      </c>
      <c r="N472" s="83">
        <f ca="1">$K$472-EFEITO!$M$472*EFEITO!$Z$472</f>
        <v>1162.311347634939</v>
      </c>
      <c r="O472" s="83">
        <f>$L$472-EFEITO!$O$472*EFEITO!$AA$472</f>
        <v>1148.0517979032993</v>
      </c>
      <c r="P472" s="28"/>
      <c r="Q472" s="28"/>
      <c r="R472" s="28"/>
      <c r="S472" s="28"/>
      <c r="T472" s="28"/>
      <c r="U472" s="28"/>
      <c r="V472" s="28"/>
      <c r="W472" s="28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72" t="s">
        <v>21</v>
      </c>
      <c r="B473" s="72" t="s">
        <v>22</v>
      </c>
      <c r="C473" s="72" t="s">
        <v>23</v>
      </c>
      <c r="D473" s="72" t="s">
        <v>24</v>
      </c>
      <c r="E473" s="72" t="s">
        <v>32</v>
      </c>
      <c r="F473" s="72" t="s">
        <v>25</v>
      </c>
      <c r="G473" s="72" t="s">
        <v>25</v>
      </c>
      <c r="H473" s="72" t="s">
        <v>25</v>
      </c>
      <c r="I473" s="82">
        <v>44317</v>
      </c>
      <c r="J473" s="83">
        <f>EFEITO!$J$473*EFEITO!$Y$400</f>
        <v>0</v>
      </c>
      <c r="K473" s="83">
        <f ca="1">EFEITO!$L$473*EFEITO!$Z$473</f>
        <v>591.58410303095707</v>
      </c>
      <c r="L473" s="83">
        <f>EFEITO!$N$473*EFEITO!$AA$473</f>
        <v>584.32638937722481</v>
      </c>
      <c r="M473" s="83">
        <f>$J$473-EFEITO!$K$473*EFEITO!$Y$473</f>
        <v>0</v>
      </c>
      <c r="N473" s="83">
        <f ca="1">$K$473-EFEITO!$M$473*EFEITO!$Z$473</f>
        <v>0</v>
      </c>
      <c r="O473" s="83">
        <f>$L$473-EFEITO!$O$473*EFEITO!$AA$473</f>
        <v>0</v>
      </c>
      <c r="P473" s="28"/>
      <c r="Q473" s="28"/>
      <c r="R473" s="28"/>
      <c r="S473" s="28"/>
      <c r="T473" s="28"/>
      <c r="U473" s="28"/>
      <c r="V473" s="28"/>
      <c r="W473" s="28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72" t="s">
        <v>21</v>
      </c>
      <c r="B474" s="72" t="s">
        <v>22</v>
      </c>
      <c r="C474" s="72" t="s">
        <v>23</v>
      </c>
      <c r="D474" s="72" t="s">
        <v>24</v>
      </c>
      <c r="E474" s="72" t="s">
        <v>32</v>
      </c>
      <c r="F474" s="72" t="s">
        <v>25</v>
      </c>
      <c r="G474" s="72" t="s">
        <v>25</v>
      </c>
      <c r="H474" s="72" t="s">
        <v>25</v>
      </c>
      <c r="I474" s="82">
        <v>44348</v>
      </c>
      <c r="J474" s="83">
        <f>EFEITO!$J$474*EFEITO!$Y$400</f>
        <v>0</v>
      </c>
      <c r="K474" s="83">
        <f ca="1">EFEITO!$L$474*EFEITO!$Z$473</f>
        <v>817.42677250095835</v>
      </c>
      <c r="L474" s="83">
        <f>EFEITO!$N$474*EFEITO!$AA$473</f>
        <v>807.39835994336806</v>
      </c>
      <c r="M474" s="83">
        <f>$J$474-EFEITO!$K$474*EFEITO!$Y$474</f>
        <v>0</v>
      </c>
      <c r="N474" s="83">
        <f ca="1">$K$474-EFEITO!$M$474*EFEITO!$Z$474</f>
        <v>0</v>
      </c>
      <c r="O474" s="83">
        <f>$L$474-EFEITO!$O$474*EFEITO!$AA$474</f>
        <v>0</v>
      </c>
      <c r="P474" s="28"/>
      <c r="Q474" s="28"/>
      <c r="R474" s="28"/>
      <c r="S474" s="28"/>
      <c r="T474" s="28"/>
      <c r="U474" s="28"/>
      <c r="V474" s="28"/>
      <c r="W474" s="28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72" t="s">
        <v>21</v>
      </c>
      <c r="B475" s="72" t="s">
        <v>22</v>
      </c>
      <c r="C475" s="72" t="s">
        <v>23</v>
      </c>
      <c r="D475" s="72" t="s">
        <v>24</v>
      </c>
      <c r="E475" s="72" t="s">
        <v>32</v>
      </c>
      <c r="F475" s="72" t="s">
        <v>25</v>
      </c>
      <c r="G475" s="72" t="s">
        <v>25</v>
      </c>
      <c r="H475" s="72" t="s">
        <v>25</v>
      </c>
      <c r="I475" s="82">
        <v>44378</v>
      </c>
      <c r="J475" s="83">
        <f>EFEITO!$J$475*EFEITO!$Y$400</f>
        <v>0</v>
      </c>
      <c r="K475" s="83">
        <f ca="1">EFEITO!$L$475*EFEITO!$Z$473</f>
        <v>927.04257241368805</v>
      </c>
      <c r="L475" s="83">
        <f>EFEITO!$N$475*EFEITO!$AA$473</f>
        <v>915.66936359870101</v>
      </c>
      <c r="M475" s="83">
        <f>$J$475-EFEITO!$K$475*EFEITO!$Y$475</f>
        <v>0</v>
      </c>
      <c r="N475" s="83">
        <f ca="1">$K$475-EFEITO!$M$475*EFEITO!$Z$475</f>
        <v>0</v>
      </c>
      <c r="O475" s="83">
        <f>$L$475-EFEITO!$O$475*EFEITO!$AA$475</f>
        <v>0</v>
      </c>
      <c r="P475" s="28"/>
      <c r="Q475" s="28"/>
      <c r="R475" s="28"/>
      <c r="S475" s="28"/>
      <c r="T475" s="28"/>
      <c r="U475" s="28"/>
      <c r="V475" s="28"/>
      <c r="W475" s="28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72" t="s">
        <v>27</v>
      </c>
      <c r="B476" s="72" t="s">
        <v>22</v>
      </c>
      <c r="C476" s="72" t="s">
        <v>23</v>
      </c>
      <c r="D476" s="72" t="s">
        <v>24</v>
      </c>
      <c r="E476" s="72" t="s">
        <v>32</v>
      </c>
      <c r="F476" s="72" t="s">
        <v>25</v>
      </c>
      <c r="G476" s="72" t="s">
        <v>25</v>
      </c>
      <c r="H476" s="72" t="s">
        <v>25</v>
      </c>
      <c r="I476" s="82">
        <v>44378</v>
      </c>
      <c r="J476" s="83">
        <f>EFEITO!$J$476*EFEITO!$Y$400</f>
        <v>0</v>
      </c>
      <c r="K476" s="83">
        <f ca="1">EFEITO!$L$476*EFEITO!$Z$473</f>
        <v>-2.3458634222568593</v>
      </c>
      <c r="L476" s="83">
        <f>EFEITO!$N$476*EFEITO!$AA$473</f>
        <v>-2.317083735814518</v>
      </c>
      <c r="M476" s="83">
        <f>$J$476-EFEITO!$K$476*EFEITO!$Y$476</f>
        <v>0</v>
      </c>
      <c r="N476" s="83">
        <f ca="1">$K$476-EFEITO!$M$476*EFEITO!$Z$476</f>
        <v>0</v>
      </c>
      <c r="O476" s="83">
        <f>$L$476-EFEITO!$O$476*EFEITO!$AA$476</f>
        <v>0</v>
      </c>
      <c r="P476" s="28"/>
      <c r="Q476" s="28"/>
      <c r="R476" s="28"/>
      <c r="S476" s="28"/>
      <c r="T476" s="28"/>
      <c r="U476" s="28"/>
      <c r="V476" s="28"/>
      <c r="W476" s="28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72" t="s">
        <v>21</v>
      </c>
      <c r="B477" s="72" t="s">
        <v>22</v>
      </c>
      <c r="C477" s="72" t="s">
        <v>23</v>
      </c>
      <c r="D477" s="72" t="s">
        <v>24</v>
      </c>
      <c r="E477" s="72" t="s">
        <v>32</v>
      </c>
      <c r="F477" s="72" t="s">
        <v>25</v>
      </c>
      <c r="G477" s="72" t="s">
        <v>25</v>
      </c>
      <c r="H477" s="72" t="s">
        <v>25</v>
      </c>
      <c r="I477" s="82">
        <v>44409</v>
      </c>
      <c r="J477" s="83">
        <f>EFEITO!$J$477*EFEITO!$Y$400</f>
        <v>0</v>
      </c>
      <c r="K477" s="83">
        <f ca="1">EFEITO!$L$477*EFEITO!$Z$473</f>
        <v>871.16837090175181</v>
      </c>
      <c r="L477" s="83">
        <f>EFEITO!$N$477*EFEITO!$AA$473</f>
        <v>860.48064189111869</v>
      </c>
      <c r="M477" s="83">
        <f>$J$477-EFEITO!$K$477*EFEITO!$Y$477</f>
        <v>0</v>
      </c>
      <c r="N477" s="83">
        <f ca="1">$K$477-EFEITO!$M$477*EFEITO!$Z$477</f>
        <v>0</v>
      </c>
      <c r="O477" s="83">
        <f>$L$477-EFEITO!$O$477*EFEITO!$AA$477</f>
        <v>0</v>
      </c>
      <c r="P477" s="28"/>
      <c r="Q477" s="28"/>
      <c r="R477" s="28"/>
      <c r="S477" s="28"/>
      <c r="T477" s="28"/>
      <c r="U477" s="28"/>
      <c r="V477" s="28"/>
      <c r="W477" s="28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72" t="s">
        <v>21</v>
      </c>
      <c r="B478" s="72" t="s">
        <v>22</v>
      </c>
      <c r="C478" s="72" t="s">
        <v>23</v>
      </c>
      <c r="D478" s="72" t="s">
        <v>24</v>
      </c>
      <c r="E478" s="72" t="s">
        <v>32</v>
      </c>
      <c r="F478" s="72" t="s">
        <v>25</v>
      </c>
      <c r="G478" s="72" t="s">
        <v>25</v>
      </c>
      <c r="H478" s="72" t="s">
        <v>25</v>
      </c>
      <c r="I478" s="82">
        <v>44440</v>
      </c>
      <c r="J478" s="83">
        <f>EFEITO!$J$478*EFEITO!$Y$400</f>
        <v>0</v>
      </c>
      <c r="K478" s="83">
        <f ca="1">EFEITO!$L$478*EFEITO!$Z$473</f>
        <v>1185.0875488619427</v>
      </c>
      <c r="L478" s="83">
        <f>EFEITO!$N$478*EFEITO!$AA$473</f>
        <v>1170.548574538298</v>
      </c>
      <c r="M478" s="83">
        <f>$J$478-EFEITO!$K$478*EFEITO!$Y$478</f>
        <v>0</v>
      </c>
      <c r="N478" s="83">
        <f ca="1">$K$478-EFEITO!$M$478*EFEITO!$Z$478</f>
        <v>0</v>
      </c>
      <c r="O478" s="83">
        <f>$L$478-EFEITO!$O$478*EFEITO!$AA$478</f>
        <v>0</v>
      </c>
      <c r="P478" s="28"/>
      <c r="Q478" s="28"/>
      <c r="R478" s="28"/>
      <c r="S478" s="28"/>
      <c r="T478" s="28"/>
      <c r="U478" s="28"/>
      <c r="V478" s="28"/>
      <c r="W478" s="28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72" t="s">
        <v>21</v>
      </c>
      <c r="B479" s="72" t="s">
        <v>22</v>
      </c>
      <c r="C479" s="72" t="s">
        <v>23</v>
      </c>
      <c r="D479" s="72" t="s">
        <v>24</v>
      </c>
      <c r="E479" s="72" t="s">
        <v>32</v>
      </c>
      <c r="F479" s="72" t="s">
        <v>25</v>
      </c>
      <c r="G479" s="72" t="s">
        <v>25</v>
      </c>
      <c r="H479" s="72" t="s">
        <v>25</v>
      </c>
      <c r="I479" s="82">
        <v>44470</v>
      </c>
      <c r="J479" s="83">
        <f>EFEITO!$J$479*EFEITO!$Y$400</f>
        <v>0</v>
      </c>
      <c r="K479" s="83">
        <f ca="1">EFEITO!$L$479*EFEITO!$Z$473</f>
        <v>1592.4147430901789</v>
      </c>
      <c r="L479" s="83">
        <f>EFEITO!$N$479*EFEITO!$AA$473</f>
        <v>1572.8785686660915</v>
      </c>
      <c r="M479" s="83">
        <f>$J$479-EFEITO!$K$479*EFEITO!$Y$479</f>
        <v>0</v>
      </c>
      <c r="N479" s="83">
        <f ca="1">$K$479-EFEITO!$M$479*EFEITO!$Z$479</f>
        <v>0</v>
      </c>
      <c r="O479" s="83">
        <f>$L$479-EFEITO!$O$479*EFEITO!$AA$479</f>
        <v>0</v>
      </c>
      <c r="P479" s="28"/>
      <c r="Q479" s="28"/>
      <c r="R479" s="28"/>
      <c r="S479" s="28"/>
      <c r="T479" s="28"/>
      <c r="U479" s="28"/>
      <c r="V479" s="28"/>
      <c r="W479" s="28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72" t="s">
        <v>21</v>
      </c>
      <c r="B480" s="72" t="s">
        <v>22</v>
      </c>
      <c r="C480" s="72" t="s">
        <v>23</v>
      </c>
      <c r="D480" s="72" t="s">
        <v>24</v>
      </c>
      <c r="E480" s="72" t="s">
        <v>32</v>
      </c>
      <c r="F480" s="72" t="s">
        <v>25</v>
      </c>
      <c r="G480" s="72" t="s">
        <v>25</v>
      </c>
      <c r="H480" s="72" t="s">
        <v>25</v>
      </c>
      <c r="I480" s="82">
        <v>44501</v>
      </c>
      <c r="J480" s="83">
        <f>EFEITO!$J$480*EFEITO!$Y$400</f>
        <v>0</v>
      </c>
      <c r="K480" s="83">
        <f ca="1">EFEITO!$L$480*EFEITO!$Z$473</f>
        <v>1317.7354623750123</v>
      </c>
      <c r="L480" s="83">
        <f>EFEITO!$N$480*EFEITO!$AA$473</f>
        <v>1301.5691275998097</v>
      </c>
      <c r="M480" s="83">
        <f>$J$480-EFEITO!$K$480*EFEITO!$Y$480</f>
        <v>0</v>
      </c>
      <c r="N480" s="83">
        <f ca="1">$K$480-EFEITO!$M$480*EFEITO!$Z$480</f>
        <v>0</v>
      </c>
      <c r="O480" s="83">
        <f>$L$480-EFEITO!$O$480*EFEITO!$AA$480</f>
        <v>0</v>
      </c>
      <c r="P480" s="28"/>
      <c r="Q480" s="28"/>
      <c r="R480" s="28"/>
      <c r="S480" s="28"/>
      <c r="T480" s="28"/>
      <c r="U480" s="28"/>
      <c r="V480" s="28"/>
      <c r="W480" s="28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72" t="s">
        <v>21</v>
      </c>
      <c r="B481" s="72" t="s">
        <v>22</v>
      </c>
      <c r="C481" s="72" t="s">
        <v>23</v>
      </c>
      <c r="D481" s="72" t="s">
        <v>24</v>
      </c>
      <c r="E481" s="72" t="s">
        <v>32</v>
      </c>
      <c r="F481" s="72" t="s">
        <v>25</v>
      </c>
      <c r="G481" s="72" t="s">
        <v>25</v>
      </c>
      <c r="H481" s="72" t="s">
        <v>25</v>
      </c>
      <c r="I481" s="82">
        <v>44531</v>
      </c>
      <c r="J481" s="83">
        <f>EFEITO!$J$481*EFEITO!$Y$400</f>
        <v>0</v>
      </c>
      <c r="K481" s="83">
        <f ca="1">EFEITO!$L$481*EFEITO!$Z$473</f>
        <v>1066.514815882414</v>
      </c>
      <c r="L481" s="83">
        <f>EFEITO!$N$481*EFEITO!$AA$473</f>
        <v>1053.4305238916731</v>
      </c>
      <c r="M481" s="83">
        <f>$J$481-EFEITO!$K$481*EFEITO!$Y$481</f>
        <v>0</v>
      </c>
      <c r="N481" s="83">
        <f ca="1">$K$481-EFEITO!$M$481*EFEITO!$Z$481</f>
        <v>0</v>
      </c>
      <c r="O481" s="83">
        <f>$L$481-EFEITO!$O$481*EFEITO!$AA$481</f>
        <v>0</v>
      </c>
      <c r="P481" s="28"/>
      <c r="Q481" s="28"/>
      <c r="R481" s="28"/>
      <c r="S481" s="28"/>
      <c r="T481" s="28"/>
      <c r="U481" s="28"/>
      <c r="V481" s="28"/>
      <c r="W481" s="28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72" t="s">
        <v>21</v>
      </c>
      <c r="B482" s="72" t="s">
        <v>22</v>
      </c>
      <c r="C482" s="72" t="s">
        <v>23</v>
      </c>
      <c r="D482" s="72" t="s">
        <v>24</v>
      </c>
      <c r="E482" s="72" t="s">
        <v>32</v>
      </c>
      <c r="F482" s="72" t="s">
        <v>25</v>
      </c>
      <c r="G482" s="72" t="s">
        <v>25</v>
      </c>
      <c r="H482" s="72" t="s">
        <v>25</v>
      </c>
      <c r="I482" s="82">
        <v>44562</v>
      </c>
      <c r="J482" s="83">
        <f>EFEITO!$J$482*EFEITO!$Y$400</f>
        <v>0</v>
      </c>
      <c r="K482" s="83">
        <f ca="1">EFEITO!$L$482*EFEITO!$Z$473</f>
        <v>1731.0339453144481</v>
      </c>
      <c r="L482" s="83">
        <f>EFEITO!$N$482*EFEITO!$AA$473</f>
        <v>1709.7971530551313</v>
      </c>
      <c r="M482" s="83">
        <f>$J$482-EFEITO!$K$482*EFEITO!$Y$482</f>
        <v>0</v>
      </c>
      <c r="N482" s="83">
        <f ca="1">$K$482-EFEITO!$M$482*EFEITO!$Z$482</f>
        <v>0</v>
      </c>
      <c r="O482" s="83">
        <f>$L$482-EFEITO!$O$482*EFEITO!$AA$482</f>
        <v>0</v>
      </c>
      <c r="P482" s="28"/>
      <c r="Q482" s="28"/>
      <c r="R482" s="28"/>
      <c r="S482" s="28"/>
      <c r="T482" s="28"/>
      <c r="U482" s="28"/>
      <c r="V482" s="28"/>
      <c r="W482" s="28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72" t="s">
        <v>21</v>
      </c>
      <c r="B483" s="72" t="s">
        <v>22</v>
      </c>
      <c r="C483" s="72" t="s">
        <v>23</v>
      </c>
      <c r="D483" s="72" t="s">
        <v>24</v>
      </c>
      <c r="E483" s="72" t="s">
        <v>32</v>
      </c>
      <c r="F483" s="72" t="s">
        <v>25</v>
      </c>
      <c r="G483" s="72" t="s">
        <v>25</v>
      </c>
      <c r="H483" s="72" t="s">
        <v>25</v>
      </c>
      <c r="I483" s="82">
        <v>44593</v>
      </c>
      <c r="J483" s="83">
        <f>EFEITO!$J$483*EFEITO!$Y$400</f>
        <v>0</v>
      </c>
      <c r="K483" s="83">
        <f ca="1">EFEITO!$L$483*EFEITO!$Z$473</f>
        <v>1737.4317546478758</v>
      </c>
      <c r="L483" s="83">
        <f>EFEITO!$N$483*EFEITO!$AA$473</f>
        <v>1716.1164723346253</v>
      </c>
      <c r="M483" s="83">
        <f>$J$483-EFEITO!$K$483*EFEITO!$Y$483</f>
        <v>0</v>
      </c>
      <c r="N483" s="83">
        <f ca="1">$K$483-EFEITO!$M$483*EFEITO!$Z$483</f>
        <v>0</v>
      </c>
      <c r="O483" s="83">
        <f>$L$483-EFEITO!$O$483*EFEITO!$AA$483</f>
        <v>0</v>
      </c>
      <c r="P483" s="28"/>
      <c r="Q483" s="28"/>
      <c r="R483" s="28"/>
      <c r="S483" s="28"/>
      <c r="T483" s="28"/>
      <c r="U483" s="28"/>
      <c r="V483" s="28"/>
      <c r="W483" s="28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72" t="s">
        <v>21</v>
      </c>
      <c r="B484" s="72" t="s">
        <v>22</v>
      </c>
      <c r="C484" s="72" t="s">
        <v>23</v>
      </c>
      <c r="D484" s="72" t="s">
        <v>24</v>
      </c>
      <c r="E484" s="72" t="s">
        <v>32</v>
      </c>
      <c r="F484" s="72" t="s">
        <v>25</v>
      </c>
      <c r="G484" s="72" t="s">
        <v>25</v>
      </c>
      <c r="H484" s="72" t="s">
        <v>25</v>
      </c>
      <c r="I484" s="82">
        <v>44621</v>
      </c>
      <c r="J484" s="83">
        <f>EFEITO!$J$484*EFEITO!$Y$400</f>
        <v>0</v>
      </c>
      <c r="K484" s="83">
        <f ca="1">EFEITO!$L$484*EFEITO!$Z$473</f>
        <v>3195.4925017360711</v>
      </c>
      <c r="L484" s="83">
        <f>EFEITO!$N$484*EFEITO!$AA$473</f>
        <v>3156.28933613134</v>
      </c>
      <c r="M484" s="83">
        <f>$J$484-EFEITO!$K$484*EFEITO!$Y$484</f>
        <v>0</v>
      </c>
      <c r="N484" s="83">
        <f ca="1">$K$484-EFEITO!$M$484*EFEITO!$Z$484</f>
        <v>0</v>
      </c>
      <c r="O484" s="83">
        <f>$L$484-EFEITO!$O$484*EFEITO!$AA$484</f>
        <v>0</v>
      </c>
      <c r="P484" s="28"/>
      <c r="Q484" s="28"/>
      <c r="R484" s="28"/>
      <c r="S484" s="28"/>
      <c r="T484" s="28"/>
      <c r="U484" s="28"/>
      <c r="V484" s="28"/>
      <c r="W484" s="28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72" t="s">
        <v>21</v>
      </c>
      <c r="B485" s="72" t="s">
        <v>22</v>
      </c>
      <c r="C485" s="72" t="s">
        <v>23</v>
      </c>
      <c r="D485" s="72" t="s">
        <v>24</v>
      </c>
      <c r="E485" s="72" t="s">
        <v>32</v>
      </c>
      <c r="F485" s="72" t="s">
        <v>25</v>
      </c>
      <c r="G485" s="72" t="s">
        <v>25</v>
      </c>
      <c r="H485" s="72" t="s">
        <v>25</v>
      </c>
      <c r="I485" s="82">
        <v>44652</v>
      </c>
      <c r="J485" s="83">
        <f>EFEITO!$J$485*EFEITO!$Y$400</f>
        <v>0</v>
      </c>
      <c r="K485" s="83">
        <f ca="1">EFEITO!$L$485*EFEITO!$Z$473</f>
        <v>3250.3004016924356</v>
      </c>
      <c r="L485" s="83">
        <f>EFEITO!$N$485*EFEITO!$AA$473</f>
        <v>3210.4248379590063</v>
      </c>
      <c r="M485" s="83">
        <f>$J$485-EFEITO!$K$485*EFEITO!$Y$485</f>
        <v>0</v>
      </c>
      <c r="N485" s="83">
        <f ca="1">$K$485-EFEITO!$M$485*EFEITO!$Z$485</f>
        <v>0</v>
      </c>
      <c r="O485" s="83">
        <f>$L$485-EFEITO!$O$485*EFEITO!$AA$485</f>
        <v>0</v>
      </c>
      <c r="P485" s="28"/>
      <c r="Q485" s="28"/>
      <c r="R485" s="28"/>
      <c r="S485" s="28"/>
      <c r="T485" s="28"/>
      <c r="U485" s="28"/>
      <c r="V485" s="28"/>
      <c r="W485" s="28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72" t="s">
        <v>21</v>
      </c>
      <c r="B486" s="72" t="s">
        <v>43</v>
      </c>
      <c r="C486" s="72" t="s">
        <v>37</v>
      </c>
      <c r="D486" s="72" t="s">
        <v>44</v>
      </c>
      <c r="E486" s="72" t="s">
        <v>25</v>
      </c>
      <c r="F486" s="72" t="s">
        <v>25</v>
      </c>
      <c r="G486" s="72" t="s">
        <v>25</v>
      </c>
      <c r="H486" s="72" t="s">
        <v>36</v>
      </c>
      <c r="I486" s="82">
        <v>44317</v>
      </c>
      <c r="J486" s="83">
        <f>EFEITO!$J$486*EFEITO!$Y$486/(1-CUSTOS!$M$38)</f>
        <v>0</v>
      </c>
      <c r="K486" s="83">
        <f ca="1">EFEITO!$L$486*EFEITO!$Z$486/(1-CUSTOS!$M$38)</f>
        <v>77.448720710118337</v>
      </c>
      <c r="L486" s="83">
        <f>EFEITO!$N$486*EFEITO!$AA$486/(1-CUSTOS!$M$38)</f>
        <v>70.144444002384958</v>
      </c>
      <c r="M486" s="83">
        <f>$J$486-EFEITO!$K$486*EFEITO!$Y$486</f>
        <v>0</v>
      </c>
      <c r="N486" s="83">
        <f ca="1">$K$486-EFEITO!$M$486*EFEITO!$Z$486</f>
        <v>4.6469232426071017</v>
      </c>
      <c r="O486" s="83">
        <f>$L$486-EFEITO!$O$486*EFEITO!$AA$486</f>
        <v>4.2086666401431074</v>
      </c>
      <c r="P486" s="28"/>
      <c r="Q486" s="28"/>
      <c r="R486" s="28"/>
      <c r="S486" s="28"/>
      <c r="T486" s="28"/>
      <c r="U486" s="28"/>
      <c r="V486" s="28"/>
      <c r="W486" s="28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72" t="s">
        <v>21</v>
      </c>
      <c r="B487" s="72" t="s">
        <v>43</v>
      </c>
      <c r="C487" s="72" t="s">
        <v>37</v>
      </c>
      <c r="D487" s="72" t="s">
        <v>44</v>
      </c>
      <c r="E487" s="72" t="s">
        <v>25</v>
      </c>
      <c r="F487" s="72" t="s">
        <v>25</v>
      </c>
      <c r="G487" s="72" t="s">
        <v>25</v>
      </c>
      <c r="H487" s="72" t="s">
        <v>36</v>
      </c>
      <c r="I487" s="82">
        <v>44348</v>
      </c>
      <c r="J487" s="83">
        <f>EFEITO!$J$487*EFEITO!$Y$487/(1-CUSTOS!$M$38)</f>
        <v>0</v>
      </c>
      <c r="K487" s="83">
        <f ca="1">EFEITO!$L$487*EFEITO!$Z$487/(1-CUSTOS!$M$38)</f>
        <v>77.681299450989556</v>
      </c>
      <c r="L487" s="83">
        <f>EFEITO!$N$487*EFEITO!$AA$487/(1-CUSTOS!$M$38)</f>
        <v>70.35508797836809</v>
      </c>
      <c r="M487" s="83">
        <f>$J$487-EFEITO!$K$487*EFEITO!$Y$487</f>
        <v>0</v>
      </c>
      <c r="N487" s="83">
        <f ca="1">$K$487-EFEITO!$M$487*EFEITO!$Z$487</f>
        <v>4.6608779670593776</v>
      </c>
      <c r="O487" s="83">
        <f>$L$487-EFEITO!$O$487*EFEITO!$AA$487</f>
        <v>4.2213052787020899</v>
      </c>
      <c r="P487" s="28"/>
      <c r="Q487" s="28"/>
      <c r="R487" s="28"/>
      <c r="S487" s="28"/>
      <c r="T487" s="28"/>
      <c r="U487" s="28"/>
      <c r="V487" s="28"/>
      <c r="W487" s="28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72" t="s">
        <v>21</v>
      </c>
      <c r="B488" s="72" t="s">
        <v>43</v>
      </c>
      <c r="C488" s="72" t="s">
        <v>37</v>
      </c>
      <c r="D488" s="72" t="s">
        <v>44</v>
      </c>
      <c r="E488" s="72" t="s">
        <v>25</v>
      </c>
      <c r="F488" s="72" t="s">
        <v>25</v>
      </c>
      <c r="G488" s="72" t="s">
        <v>25</v>
      </c>
      <c r="H488" s="72" t="s">
        <v>36</v>
      </c>
      <c r="I488" s="82">
        <v>44378</v>
      </c>
      <c r="J488" s="83">
        <f>EFEITO!$J$488*EFEITO!$Y$488/(1-CUSTOS!$M$38)</f>
        <v>0</v>
      </c>
      <c r="K488" s="83">
        <f ca="1">EFEITO!$L$488*EFEITO!$Z$488/(1-CUSTOS!$M$38)</f>
        <v>74.425197078792394</v>
      </c>
      <c r="L488" s="83">
        <f>EFEITO!$N$488*EFEITO!$AA$488/(1-CUSTOS!$M$38)</f>
        <v>67.40607231460416</v>
      </c>
      <c r="M488" s="83">
        <f>$J$488-EFEITO!$K$488*EFEITO!$Y$488</f>
        <v>0</v>
      </c>
      <c r="N488" s="83">
        <f ca="1">$K$488-EFEITO!$M$488*EFEITO!$Z$488</f>
        <v>4.4655118247275425</v>
      </c>
      <c r="O488" s="83">
        <f>$L$488-EFEITO!$O$488*EFEITO!$AA$488</f>
        <v>4.0443643388762567</v>
      </c>
      <c r="P488" s="28"/>
      <c r="Q488" s="28"/>
      <c r="R488" s="28"/>
      <c r="S488" s="28"/>
      <c r="T488" s="28"/>
      <c r="U488" s="28"/>
      <c r="V488" s="28"/>
      <c r="W488" s="28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72" t="s">
        <v>21</v>
      </c>
      <c r="B489" s="72" t="s">
        <v>43</v>
      </c>
      <c r="C489" s="72" t="s">
        <v>37</v>
      </c>
      <c r="D489" s="72" t="s">
        <v>44</v>
      </c>
      <c r="E489" s="72" t="s">
        <v>25</v>
      </c>
      <c r="F489" s="72" t="s">
        <v>25</v>
      </c>
      <c r="G489" s="72" t="s">
        <v>25</v>
      </c>
      <c r="H489" s="72" t="s">
        <v>36</v>
      </c>
      <c r="I489" s="82">
        <v>44409</v>
      </c>
      <c r="J489" s="83">
        <f>EFEITO!$J$489*EFEITO!$Y$489/(1-CUSTOS!$M$38)</f>
        <v>0</v>
      </c>
      <c r="K489" s="83">
        <f ca="1">EFEITO!$L$489*EFEITO!$Z$489/(1-CUSTOS!$M$38)</f>
        <v>88.37992153106596</v>
      </c>
      <c r="L489" s="83">
        <f>EFEITO!$N$489*EFEITO!$AA$489/(1-CUSTOS!$M$38)</f>
        <v>80.044710873592436</v>
      </c>
      <c r="M489" s="83">
        <f>$J$489-EFEITO!$K$489*EFEITO!$Y$489</f>
        <v>0</v>
      </c>
      <c r="N489" s="83">
        <f ca="1">$K$489-EFEITO!$M$489*EFEITO!$Z$489</f>
        <v>5.3027952918639585</v>
      </c>
      <c r="O489" s="83">
        <f>$L$489-EFEITO!$O$489*EFEITO!$AA$489</f>
        <v>4.8026826524155553</v>
      </c>
      <c r="P489" s="28"/>
      <c r="Q489" s="28"/>
      <c r="R489" s="28"/>
      <c r="S489" s="28"/>
      <c r="T489" s="28"/>
      <c r="U489" s="28"/>
      <c r="V489" s="28"/>
      <c r="W489" s="28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72" t="s">
        <v>21</v>
      </c>
      <c r="B490" s="72" t="s">
        <v>43</v>
      </c>
      <c r="C490" s="72" t="s">
        <v>37</v>
      </c>
      <c r="D490" s="72" t="s">
        <v>44</v>
      </c>
      <c r="E490" s="72" t="s">
        <v>25</v>
      </c>
      <c r="F490" s="72" t="s">
        <v>25</v>
      </c>
      <c r="G490" s="72" t="s">
        <v>25</v>
      </c>
      <c r="H490" s="72" t="s">
        <v>36</v>
      </c>
      <c r="I490" s="82">
        <v>44440</v>
      </c>
      <c r="J490" s="83">
        <f>EFEITO!$J$490*EFEITO!$Y$490/(1-CUSTOS!$M$38)</f>
        <v>0</v>
      </c>
      <c r="K490" s="83">
        <f ca="1">EFEITO!$L$490*EFEITO!$Z$490/(1-CUSTOS!$M$38)</f>
        <v>106.28848457815039</v>
      </c>
      <c r="L490" s="83">
        <f>EFEITO!$N$490*EFEITO!$AA$490/(1-CUSTOS!$M$38)</f>
        <v>96.264297024294066</v>
      </c>
      <c r="M490" s="83">
        <f>$J$490-EFEITO!$K$490*EFEITO!$Y$490</f>
        <v>0</v>
      </c>
      <c r="N490" s="83">
        <f ca="1">$K$490-EFEITO!$M$490*EFEITO!$Z$490</f>
        <v>6.3773090746890233</v>
      </c>
      <c r="O490" s="83">
        <f>$L$490-EFEITO!$O$490*EFEITO!$AA$490</f>
        <v>5.7758578214576488</v>
      </c>
      <c r="P490" s="28"/>
      <c r="Q490" s="28"/>
      <c r="R490" s="28"/>
      <c r="S490" s="28"/>
      <c r="T490" s="28"/>
      <c r="U490" s="28"/>
      <c r="V490" s="28"/>
      <c r="W490" s="28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72" t="s">
        <v>21</v>
      </c>
      <c r="B491" s="72" t="s">
        <v>43</v>
      </c>
      <c r="C491" s="72" t="s">
        <v>37</v>
      </c>
      <c r="D491" s="72" t="s">
        <v>44</v>
      </c>
      <c r="E491" s="72" t="s">
        <v>25</v>
      </c>
      <c r="F491" s="72" t="s">
        <v>25</v>
      </c>
      <c r="G491" s="72" t="s">
        <v>25</v>
      </c>
      <c r="H491" s="72" t="s">
        <v>36</v>
      </c>
      <c r="I491" s="82">
        <v>44470</v>
      </c>
      <c r="J491" s="83">
        <f>EFEITO!$J$491*EFEITO!$Y$491/(1-CUSTOS!$M$38)</f>
        <v>0</v>
      </c>
      <c r="K491" s="83">
        <f ca="1">EFEITO!$L$491*EFEITO!$Z$491/(1-CUSTOS!$M$38)</f>
        <v>104.19527591030935</v>
      </c>
      <c r="L491" s="83">
        <f>EFEITO!$N$491*EFEITO!$AA$491/(1-CUSTOS!$M$38)</f>
        <v>94.368501240445823</v>
      </c>
      <c r="M491" s="83">
        <f>$J$491-EFEITO!$K$491*EFEITO!$Y$491</f>
        <v>0</v>
      </c>
      <c r="N491" s="83">
        <f ca="1">$K$491-EFEITO!$M$491*EFEITO!$Z$491</f>
        <v>6.251716554618568</v>
      </c>
      <c r="O491" s="83">
        <f>$L$491-EFEITO!$O$491*EFEITO!$AA$491</f>
        <v>5.6621100744267494</v>
      </c>
      <c r="P491" s="28"/>
      <c r="Q491" s="28"/>
      <c r="R491" s="28"/>
      <c r="S491" s="28"/>
      <c r="T491" s="28"/>
      <c r="U491" s="28"/>
      <c r="V491" s="28"/>
      <c r="W491" s="28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72" t="s">
        <v>21</v>
      </c>
      <c r="B492" s="72" t="s">
        <v>43</v>
      </c>
      <c r="C492" s="72" t="s">
        <v>37</v>
      </c>
      <c r="D492" s="72" t="s">
        <v>44</v>
      </c>
      <c r="E492" s="72" t="s">
        <v>25</v>
      </c>
      <c r="F492" s="72" t="s">
        <v>25</v>
      </c>
      <c r="G492" s="72" t="s">
        <v>25</v>
      </c>
      <c r="H492" s="72" t="s">
        <v>36</v>
      </c>
      <c r="I492" s="82">
        <v>44501</v>
      </c>
      <c r="J492" s="83">
        <f>EFEITO!$J$492*EFEITO!$Y$492/(1-CUSTOS!$M$38)</f>
        <v>0</v>
      </c>
      <c r="K492" s="83">
        <f ca="1">EFEITO!$L$492*EFEITO!$Z$492/(1-CUSTOS!$M$38)</f>
        <v>110.94005939557491</v>
      </c>
      <c r="L492" s="83">
        <f>EFEITO!$N$492*EFEITO!$AA$492/(1-CUSTOS!$M$38)</f>
        <v>100.47717654395682</v>
      </c>
      <c r="M492" s="83">
        <f>$J$492-EFEITO!$K$492*EFEITO!$Y$492</f>
        <v>0</v>
      </c>
      <c r="N492" s="83">
        <f ca="1">$K$492-EFEITO!$M$492*EFEITO!$Z$492</f>
        <v>6.6564035637345</v>
      </c>
      <c r="O492" s="83">
        <f>$L$492-EFEITO!$O$492*EFEITO!$AA$492</f>
        <v>6.0286305926374126</v>
      </c>
      <c r="P492" s="28"/>
      <c r="Q492" s="28"/>
      <c r="R492" s="28"/>
      <c r="S492" s="28"/>
      <c r="T492" s="28"/>
      <c r="U492" s="28"/>
      <c r="V492" s="28"/>
      <c r="W492" s="28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72" t="s">
        <v>21</v>
      </c>
      <c r="B493" s="72" t="s">
        <v>43</v>
      </c>
      <c r="C493" s="72" t="s">
        <v>37</v>
      </c>
      <c r="D493" s="72" t="s">
        <v>44</v>
      </c>
      <c r="E493" s="72" t="s">
        <v>25</v>
      </c>
      <c r="F493" s="72" t="s">
        <v>25</v>
      </c>
      <c r="G493" s="72" t="s">
        <v>25</v>
      </c>
      <c r="H493" s="72" t="s">
        <v>36</v>
      </c>
      <c r="I493" s="82">
        <v>44531</v>
      </c>
      <c r="J493" s="83">
        <f>EFEITO!$J$493*EFEITO!$Y$493/(1-CUSTOS!$M$38)</f>
        <v>0</v>
      </c>
      <c r="K493" s="83">
        <f ca="1">EFEITO!$L$493*EFEITO!$Z$493/(1-CUSTOS!$M$38)</f>
        <v>100.47401605636973</v>
      </c>
      <c r="L493" s="83">
        <f>EFEITO!$N$493*EFEITO!$AA$493/(1-CUSTOS!$M$38)</f>
        <v>90.998197624715615</v>
      </c>
      <c r="M493" s="83">
        <f>$J$493-EFEITO!$K$493*EFEITO!$Y$493</f>
        <v>0</v>
      </c>
      <c r="N493" s="83">
        <f ca="1">$K$493-EFEITO!$M$493*EFEITO!$Z$493</f>
        <v>6.0284409633821952</v>
      </c>
      <c r="O493" s="83">
        <f>$L$493-EFEITO!$O$493*EFEITO!$AA$493</f>
        <v>5.459891857482944</v>
      </c>
      <c r="P493" s="28"/>
      <c r="Q493" s="28"/>
      <c r="R493" s="28"/>
      <c r="S493" s="28"/>
      <c r="T493" s="28"/>
      <c r="U493" s="28"/>
      <c r="V493" s="28"/>
      <c r="W493" s="28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72" t="s">
        <v>21</v>
      </c>
      <c r="B494" s="72" t="s">
        <v>43</v>
      </c>
      <c r="C494" s="72" t="s">
        <v>37</v>
      </c>
      <c r="D494" s="72" t="s">
        <v>44</v>
      </c>
      <c r="E494" s="72" t="s">
        <v>25</v>
      </c>
      <c r="F494" s="72" t="s">
        <v>25</v>
      </c>
      <c r="G494" s="72" t="s">
        <v>25</v>
      </c>
      <c r="H494" s="72" t="s">
        <v>36</v>
      </c>
      <c r="I494" s="82">
        <v>44562</v>
      </c>
      <c r="J494" s="83">
        <f>EFEITO!$J$494*EFEITO!$Y$494/(1-CUSTOS!$M$38)</f>
        <v>0</v>
      </c>
      <c r="K494" s="83">
        <f ca="1">EFEITO!$L$494*EFEITO!$Z$494/(1-CUSTOS!$M$38)</f>
        <v>98.845964870271146</v>
      </c>
      <c r="L494" s="83">
        <f>EFEITO!$N$494*EFEITO!$AA$494/(1-CUSTOS!$M$38)</f>
        <v>89.52368979283365</v>
      </c>
      <c r="M494" s="83">
        <f>$J$494-EFEITO!$K$494*EFEITO!$Y$494</f>
        <v>0</v>
      </c>
      <c r="N494" s="83">
        <f ca="1">$K$494-EFEITO!$M$494*EFEITO!$Z$494</f>
        <v>5.9307578922162776</v>
      </c>
      <c r="O494" s="83">
        <f>$L$494-EFEITO!$O$494*EFEITO!$AA$494</f>
        <v>5.3714213875700239</v>
      </c>
      <c r="P494" s="28"/>
      <c r="Q494" s="28"/>
      <c r="R494" s="28"/>
      <c r="S494" s="28"/>
      <c r="T494" s="28"/>
      <c r="U494" s="28"/>
      <c r="V494" s="28"/>
      <c r="W494" s="28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72" t="s">
        <v>21</v>
      </c>
      <c r="B495" s="72" t="s">
        <v>43</v>
      </c>
      <c r="C495" s="72" t="s">
        <v>37</v>
      </c>
      <c r="D495" s="72" t="s">
        <v>44</v>
      </c>
      <c r="E495" s="72" t="s">
        <v>25</v>
      </c>
      <c r="F495" s="72" t="s">
        <v>25</v>
      </c>
      <c r="G495" s="72" t="s">
        <v>25</v>
      </c>
      <c r="H495" s="72" t="s">
        <v>36</v>
      </c>
      <c r="I495" s="82">
        <v>44593</v>
      </c>
      <c r="J495" s="83">
        <f>EFEITO!$J$495*EFEITO!$Y$495/(1-CUSTOS!$M$38)</f>
        <v>0</v>
      </c>
      <c r="K495" s="83">
        <f ca="1">EFEITO!$L$495*EFEITO!$Z$495/(1-CUSTOS!$M$38)</f>
        <v>108.84685072773388</v>
      </c>
      <c r="L495" s="83">
        <f>EFEITO!$N$495*EFEITO!$AA$495/(1-CUSTOS!$M$38)</f>
        <v>98.581380760108573</v>
      </c>
      <c r="M495" s="83">
        <f>$J$495-EFEITO!$K$495*EFEITO!$Y$495</f>
        <v>0</v>
      </c>
      <c r="N495" s="83">
        <f ca="1">$K$495-EFEITO!$M$495*EFEITO!$Z$495</f>
        <v>6.5308110436640447</v>
      </c>
      <c r="O495" s="83">
        <f>$L$495-EFEITO!$O$495*EFEITO!$AA$495</f>
        <v>5.9148828456065132</v>
      </c>
      <c r="P495" s="28"/>
      <c r="Q495" s="28"/>
      <c r="R495" s="28"/>
      <c r="S495" s="28"/>
      <c r="T495" s="28"/>
      <c r="U495" s="28"/>
      <c r="V495" s="28"/>
      <c r="W495" s="28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72" t="s">
        <v>21</v>
      </c>
      <c r="B496" s="72" t="s">
        <v>43</v>
      </c>
      <c r="C496" s="72" t="s">
        <v>37</v>
      </c>
      <c r="D496" s="72" t="s">
        <v>44</v>
      </c>
      <c r="E496" s="72" t="s">
        <v>25</v>
      </c>
      <c r="F496" s="72" t="s">
        <v>25</v>
      </c>
      <c r="G496" s="72" t="s">
        <v>25</v>
      </c>
      <c r="H496" s="72" t="s">
        <v>36</v>
      </c>
      <c r="I496" s="82">
        <v>44621</v>
      </c>
      <c r="J496" s="83">
        <f>EFEITO!$J$496*EFEITO!$Y$496/(1-CUSTOS!$M$38)</f>
        <v>0</v>
      </c>
      <c r="K496" s="83">
        <f ca="1">EFEITO!$L$496*EFEITO!$Z$496/(1-CUSTOS!$M$38)</f>
        <v>131.87214607398525</v>
      </c>
      <c r="L496" s="83">
        <f>EFEITO!$N$496*EFEITO!$AA$496/(1-CUSTOS!$M$38)</f>
        <v>119.43513438243923</v>
      </c>
      <c r="M496" s="83">
        <f>$J$496-EFEITO!$K$496*EFEITO!$Y$496</f>
        <v>0</v>
      </c>
      <c r="N496" s="83">
        <f ca="1">$K$496-EFEITO!$M$496*EFEITO!$Z$496</f>
        <v>7.9123287644391098</v>
      </c>
      <c r="O496" s="83">
        <f>$L$496-EFEITO!$O$496*EFEITO!$AA$496</f>
        <v>7.166108062946364</v>
      </c>
      <c r="P496" s="28"/>
      <c r="Q496" s="28"/>
      <c r="R496" s="28"/>
      <c r="S496" s="28"/>
      <c r="T496" s="28"/>
      <c r="U496" s="28"/>
      <c r="V496" s="28"/>
      <c r="W496" s="28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72" t="s">
        <v>21</v>
      </c>
      <c r="B497" s="72" t="s">
        <v>43</v>
      </c>
      <c r="C497" s="72" t="s">
        <v>37</v>
      </c>
      <c r="D497" s="72" t="s">
        <v>44</v>
      </c>
      <c r="E497" s="72" t="s">
        <v>25</v>
      </c>
      <c r="F497" s="72" t="s">
        <v>25</v>
      </c>
      <c r="G497" s="72" t="s">
        <v>25</v>
      </c>
      <c r="H497" s="72" t="s">
        <v>36</v>
      </c>
      <c r="I497" s="82">
        <v>44652</v>
      </c>
      <c r="J497" s="83">
        <f>EFEITO!$J$497*EFEITO!$Y$497/(1-CUSTOS!$M$38)</f>
        <v>0</v>
      </c>
      <c r="K497" s="83">
        <f ca="1">EFEITO!$L$497*EFEITO!$Z$497/(1-CUSTOS!$M$38)</f>
        <v>105.82332709640794</v>
      </c>
      <c r="L497" s="83">
        <f>EFEITO!$N$497*EFEITO!$AA$497/(1-CUSTOS!$M$38)</f>
        <v>95.843009072327789</v>
      </c>
      <c r="M497" s="83">
        <f>$J$497-EFEITO!$K$497*EFEITO!$Y$497</f>
        <v>0</v>
      </c>
      <c r="N497" s="83">
        <f ca="1">$K$497-EFEITO!$M$497*EFEITO!$Z$497</f>
        <v>6.3493996257844856</v>
      </c>
      <c r="O497" s="83">
        <f>$L$497-EFEITO!$O$497*EFEITO!$AA$497</f>
        <v>5.7505805443396696</v>
      </c>
      <c r="P497" s="28"/>
      <c r="Q497" s="28"/>
      <c r="R497" s="28"/>
      <c r="S497" s="28"/>
      <c r="T497" s="28"/>
      <c r="U497" s="28"/>
      <c r="V497" s="28"/>
      <c r="W497" s="28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72" t="s">
        <v>21</v>
      </c>
      <c r="B498" s="72" t="s">
        <v>43</v>
      </c>
      <c r="C498" s="72" t="s">
        <v>37</v>
      </c>
      <c r="D498" s="72" t="s">
        <v>44</v>
      </c>
      <c r="E498" s="72" t="s">
        <v>25</v>
      </c>
      <c r="F498" s="72" t="s">
        <v>25</v>
      </c>
      <c r="G498" s="72" t="s">
        <v>25</v>
      </c>
      <c r="H498" s="72" t="s">
        <v>38</v>
      </c>
      <c r="I498" s="82">
        <v>44317</v>
      </c>
      <c r="J498" s="83">
        <f>EFEITO!$J$498*EFEITO!$Y$498/(1-CUSTOS!$M$38)</f>
        <v>0</v>
      </c>
      <c r="K498" s="83">
        <f ca="1">EFEITO!$L$498*EFEITO!$Z$498/(1-CUSTOS!$M$38)</f>
        <v>15.628648412484029</v>
      </c>
      <c r="L498" s="83">
        <f>EFEITO!$N$498*EFEITO!$AA$498/(1-CUSTOS!$M$38)</f>
        <v>7.3725391594098308</v>
      </c>
      <c r="M498" s="83">
        <f>$J$498-EFEITO!$K$498*EFEITO!$Y$498</f>
        <v>0</v>
      </c>
      <c r="N498" s="83">
        <f ca="1">$K$498-EFEITO!$M$498*EFEITO!$Z$498</f>
        <v>0.93771890474904218</v>
      </c>
      <c r="O498" s="83">
        <f>$L$498-EFEITO!$O$498*EFEITO!$AA$498</f>
        <v>0.44235234956459024</v>
      </c>
      <c r="P498" s="28"/>
      <c r="Q498" s="28"/>
      <c r="R498" s="28"/>
      <c r="S498" s="28"/>
      <c r="T498" s="28"/>
      <c r="U498" s="28"/>
      <c r="V498" s="28"/>
      <c r="W498" s="28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72" t="s">
        <v>21</v>
      </c>
      <c r="B499" s="72" t="s">
        <v>43</v>
      </c>
      <c r="C499" s="72" t="s">
        <v>37</v>
      </c>
      <c r="D499" s="72" t="s">
        <v>44</v>
      </c>
      <c r="E499" s="72" t="s">
        <v>25</v>
      </c>
      <c r="F499" s="72" t="s">
        <v>25</v>
      </c>
      <c r="G499" s="72" t="s">
        <v>25</v>
      </c>
      <c r="H499" s="72" t="s">
        <v>38</v>
      </c>
      <c r="I499" s="82">
        <v>44348</v>
      </c>
      <c r="J499" s="83">
        <f>EFEITO!$J$499*EFEITO!$Y$499/(1-CUSTOS!$M$38)</f>
        <v>0</v>
      </c>
      <c r="K499" s="83">
        <f ca="1">EFEITO!$L$499*EFEITO!$Z$499/(1-CUSTOS!$M$38)</f>
        <v>16.075181224269286</v>
      </c>
      <c r="L499" s="83">
        <f>EFEITO!$N$499*EFEITO!$AA$499/(1-CUSTOS!$M$38)</f>
        <v>7.5831831353929671</v>
      </c>
      <c r="M499" s="83">
        <f>$J$499-EFEITO!$K$499*EFEITO!$Y$499</f>
        <v>0</v>
      </c>
      <c r="N499" s="83">
        <f ca="1">$K$499-EFEITO!$M$499*EFEITO!$Z$499</f>
        <v>0.9645108734561596</v>
      </c>
      <c r="O499" s="83">
        <f>$L$499-EFEITO!$O$499*EFEITO!$AA$499</f>
        <v>0.45499098812357808</v>
      </c>
      <c r="P499" s="28"/>
      <c r="Q499" s="28"/>
      <c r="R499" s="28"/>
      <c r="S499" s="28"/>
      <c r="T499" s="28"/>
      <c r="U499" s="28"/>
      <c r="V499" s="28"/>
      <c r="W499" s="28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72" t="s">
        <v>21</v>
      </c>
      <c r="B500" s="72" t="s">
        <v>43</v>
      </c>
      <c r="C500" s="72" t="s">
        <v>37</v>
      </c>
      <c r="D500" s="72" t="s">
        <v>44</v>
      </c>
      <c r="E500" s="72" t="s">
        <v>25</v>
      </c>
      <c r="F500" s="72" t="s">
        <v>25</v>
      </c>
      <c r="G500" s="72" t="s">
        <v>25</v>
      </c>
      <c r="H500" s="72" t="s">
        <v>38</v>
      </c>
      <c r="I500" s="82">
        <v>44378</v>
      </c>
      <c r="J500" s="83">
        <f>EFEITO!$J$500*EFEITO!$Y$500/(1-CUSTOS!$M$38)</f>
        <v>0</v>
      </c>
      <c r="K500" s="83">
        <f ca="1">EFEITO!$L$500*EFEITO!$Z$500/(1-CUSTOS!$M$38)</f>
        <v>15.182115600698772</v>
      </c>
      <c r="L500" s="83">
        <f>EFEITO!$N$500*EFEITO!$AA$500/(1-CUSTOS!$M$38)</f>
        <v>7.161895183426692</v>
      </c>
      <c r="M500" s="83">
        <f>$J$500-EFEITO!$K$500*EFEITO!$Y$500</f>
        <v>0</v>
      </c>
      <c r="N500" s="83">
        <f ca="1">$K$500-EFEITO!$M$500*EFEITO!$Z$500</f>
        <v>0.91092693604192654</v>
      </c>
      <c r="O500" s="83">
        <f>$L$500-EFEITO!$O$500*EFEITO!$AA$500</f>
        <v>0.42971371100560152</v>
      </c>
      <c r="P500" s="28"/>
      <c r="Q500" s="28"/>
      <c r="R500" s="28"/>
      <c r="S500" s="28"/>
      <c r="T500" s="28"/>
      <c r="U500" s="28"/>
      <c r="V500" s="28"/>
      <c r="W500" s="28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72" t="s">
        <v>21</v>
      </c>
      <c r="B501" s="72" t="s">
        <v>43</v>
      </c>
      <c r="C501" s="72" t="s">
        <v>37</v>
      </c>
      <c r="D501" s="72" t="s">
        <v>44</v>
      </c>
      <c r="E501" s="72" t="s">
        <v>25</v>
      </c>
      <c r="F501" s="72" t="s">
        <v>25</v>
      </c>
      <c r="G501" s="72" t="s">
        <v>25</v>
      </c>
      <c r="H501" s="72" t="s">
        <v>38</v>
      </c>
      <c r="I501" s="82">
        <v>44409</v>
      </c>
      <c r="J501" s="83">
        <f>EFEITO!$J$501*EFEITO!$Y$501/(1-CUSTOS!$M$38)</f>
        <v>0</v>
      </c>
      <c r="K501" s="83">
        <f ca="1">EFEITO!$L$501*EFEITO!$Z$501/(1-CUSTOS!$M$38)</f>
        <v>17.414779659625058</v>
      </c>
      <c r="L501" s="83">
        <f>EFEITO!$N$501*EFEITO!$AA$501/(1-CUSTOS!$M$38)</f>
        <v>8.2151150633423811</v>
      </c>
      <c r="M501" s="83">
        <f>$J$501-EFEITO!$K$501*EFEITO!$Y$501</f>
        <v>0</v>
      </c>
      <c r="N501" s="83">
        <f ca="1">$K$501-EFEITO!$M$501*EFEITO!$Z$501</f>
        <v>1.044886779577503</v>
      </c>
      <c r="O501" s="83">
        <f>$L$501-EFEITO!$O$501*EFEITO!$AA$501</f>
        <v>0.49290690380054247</v>
      </c>
      <c r="P501" s="28"/>
      <c r="Q501" s="28"/>
      <c r="R501" s="28"/>
      <c r="S501" s="28"/>
      <c r="T501" s="28"/>
      <c r="U501" s="28"/>
      <c r="V501" s="28"/>
      <c r="W501" s="28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72" t="s">
        <v>21</v>
      </c>
      <c r="B502" s="72" t="s">
        <v>43</v>
      </c>
      <c r="C502" s="72" t="s">
        <v>37</v>
      </c>
      <c r="D502" s="72" t="s">
        <v>44</v>
      </c>
      <c r="E502" s="72" t="s">
        <v>25</v>
      </c>
      <c r="F502" s="72" t="s">
        <v>25</v>
      </c>
      <c r="G502" s="72" t="s">
        <v>25</v>
      </c>
      <c r="H502" s="72" t="s">
        <v>38</v>
      </c>
      <c r="I502" s="82">
        <v>44440</v>
      </c>
      <c r="J502" s="83">
        <f>EFEITO!$J$502*EFEITO!$Y$502/(1-CUSTOS!$M$38)</f>
        <v>0</v>
      </c>
      <c r="K502" s="83">
        <f ca="1">EFEITO!$L$502*EFEITO!$Z$502/(1-CUSTOS!$M$38)</f>
        <v>73.231381132782303</v>
      </c>
      <c r="L502" s="83">
        <f>EFEITO!$N$502*EFEITO!$AA$502/(1-CUSTOS!$M$38)</f>
        <v>34.545612061234635</v>
      </c>
      <c r="M502" s="83">
        <f>$J$502-EFEITO!$K$502*EFEITO!$Y$502</f>
        <v>0</v>
      </c>
      <c r="N502" s="83">
        <f ca="1">$K$502-EFEITO!$M$502*EFEITO!$Z$502</f>
        <v>4.3938828679669371</v>
      </c>
      <c r="O502" s="83">
        <f>$L$502-EFEITO!$O$502*EFEITO!$AA$502</f>
        <v>2.0727367236740832</v>
      </c>
      <c r="P502" s="28"/>
      <c r="Q502" s="28"/>
      <c r="R502" s="28"/>
      <c r="S502" s="28"/>
      <c r="T502" s="28"/>
      <c r="U502" s="28"/>
      <c r="V502" s="28"/>
      <c r="W502" s="28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72" t="s">
        <v>21</v>
      </c>
      <c r="B503" s="72" t="s">
        <v>43</v>
      </c>
      <c r="C503" s="72" t="s">
        <v>37</v>
      </c>
      <c r="D503" s="72" t="s">
        <v>44</v>
      </c>
      <c r="E503" s="72" t="s">
        <v>25</v>
      </c>
      <c r="F503" s="72" t="s">
        <v>25</v>
      </c>
      <c r="G503" s="72" t="s">
        <v>25</v>
      </c>
      <c r="H503" s="72" t="s">
        <v>38</v>
      </c>
      <c r="I503" s="82">
        <v>44470</v>
      </c>
      <c r="J503" s="83">
        <f>EFEITO!$J$503*EFEITO!$Y$503/(1-CUSTOS!$M$38)</f>
        <v>0</v>
      </c>
      <c r="K503" s="83">
        <f ca="1">EFEITO!$L$503*EFEITO!$Z$503/(1-CUSTOS!$M$38)</f>
        <v>14.289049977128254</v>
      </c>
      <c r="L503" s="83">
        <f>EFEITO!$N$503*EFEITO!$AA$503/(1-CUSTOS!$M$38)</f>
        <v>6.740607231460416</v>
      </c>
      <c r="M503" s="83">
        <f>$J$503-EFEITO!$K$503*EFEITO!$Y$503</f>
        <v>0</v>
      </c>
      <c r="N503" s="83">
        <f ca="1">$K$503-EFEITO!$M$503*EFEITO!$Z$503</f>
        <v>0.85734299862769525</v>
      </c>
      <c r="O503" s="83">
        <f>$L$503-EFEITO!$O$503*EFEITO!$AA$503</f>
        <v>0.40443643388762496</v>
      </c>
      <c r="P503" s="28"/>
      <c r="Q503" s="28"/>
      <c r="R503" s="28"/>
      <c r="S503" s="28"/>
      <c r="T503" s="28"/>
      <c r="U503" s="28"/>
      <c r="V503" s="28"/>
      <c r="W503" s="28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72" t="s">
        <v>21</v>
      </c>
      <c r="B504" s="72" t="s">
        <v>43</v>
      </c>
      <c r="C504" s="72" t="s">
        <v>37</v>
      </c>
      <c r="D504" s="72" t="s">
        <v>44</v>
      </c>
      <c r="E504" s="72" t="s">
        <v>25</v>
      </c>
      <c r="F504" s="72" t="s">
        <v>25</v>
      </c>
      <c r="G504" s="72" t="s">
        <v>25</v>
      </c>
      <c r="H504" s="72" t="s">
        <v>38</v>
      </c>
      <c r="I504" s="82">
        <v>44501</v>
      </c>
      <c r="J504" s="83">
        <f>EFEITO!$J$504*EFEITO!$Y$504/(1-CUSTOS!$M$38)</f>
        <v>0</v>
      </c>
      <c r="K504" s="83">
        <f ca="1">EFEITO!$L$504*EFEITO!$Z$504/(1-CUSTOS!$M$38)</f>
        <v>13.842517165342997</v>
      </c>
      <c r="L504" s="83">
        <f>EFEITO!$N$504*EFEITO!$AA$504/(1-CUSTOS!$M$38)</f>
        <v>6.529963255477278</v>
      </c>
      <c r="M504" s="83">
        <f>$J$504-EFEITO!$K$504*EFEITO!$Y$504</f>
        <v>0</v>
      </c>
      <c r="N504" s="83">
        <f ca="1">$K$504-EFEITO!$M$504*EFEITO!$Z$504</f>
        <v>0.83055102992058139</v>
      </c>
      <c r="O504" s="83">
        <f>$L$504-EFEITO!$O$504*EFEITO!$AA$504</f>
        <v>0.39179779532863712</v>
      </c>
      <c r="P504" s="28"/>
      <c r="Q504" s="28"/>
      <c r="R504" s="28"/>
      <c r="S504" s="28"/>
      <c r="T504" s="28"/>
      <c r="U504" s="28"/>
      <c r="V504" s="28"/>
      <c r="W504" s="28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72" t="s">
        <v>21</v>
      </c>
      <c r="B505" s="72" t="s">
        <v>43</v>
      </c>
      <c r="C505" s="72" t="s">
        <v>37</v>
      </c>
      <c r="D505" s="72" t="s">
        <v>44</v>
      </c>
      <c r="E505" s="72" t="s">
        <v>25</v>
      </c>
      <c r="F505" s="72" t="s">
        <v>25</v>
      </c>
      <c r="G505" s="72" t="s">
        <v>25</v>
      </c>
      <c r="H505" s="72" t="s">
        <v>38</v>
      </c>
      <c r="I505" s="82">
        <v>44531</v>
      </c>
      <c r="J505" s="83">
        <f>EFEITO!$J$505*EFEITO!$Y$505/(1-CUSTOS!$M$38)</f>
        <v>0</v>
      </c>
      <c r="K505" s="83">
        <f ca="1">EFEITO!$L$505*EFEITO!$Z$505/(1-CUSTOS!$M$38)</f>
        <v>15.182115600698772</v>
      </c>
      <c r="L505" s="83">
        <f>EFEITO!$N$505*EFEITO!$AA$505/(1-CUSTOS!$M$38)</f>
        <v>7.161895183426692</v>
      </c>
      <c r="M505" s="83">
        <f>$J$505-EFEITO!$K$505*EFEITO!$Y$505</f>
        <v>0</v>
      </c>
      <c r="N505" s="83">
        <f ca="1">$K$505-EFEITO!$M$505*EFEITO!$Z$505</f>
        <v>0.91092693604192654</v>
      </c>
      <c r="O505" s="83">
        <f>$L$505-EFEITO!$O$505*EFEITO!$AA$505</f>
        <v>0.42971371100560152</v>
      </c>
      <c r="P505" s="28"/>
      <c r="Q505" s="28"/>
      <c r="R505" s="28"/>
      <c r="S505" s="28"/>
      <c r="T505" s="28"/>
      <c r="U505" s="28"/>
      <c r="V505" s="28"/>
      <c r="W505" s="28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72" t="s">
        <v>21</v>
      </c>
      <c r="B506" s="72" t="s">
        <v>43</v>
      </c>
      <c r="C506" s="72" t="s">
        <v>37</v>
      </c>
      <c r="D506" s="72" t="s">
        <v>44</v>
      </c>
      <c r="E506" s="72" t="s">
        <v>25</v>
      </c>
      <c r="F506" s="72" t="s">
        <v>25</v>
      </c>
      <c r="G506" s="72" t="s">
        <v>25</v>
      </c>
      <c r="H506" s="72" t="s">
        <v>38</v>
      </c>
      <c r="I506" s="82">
        <v>44562</v>
      </c>
      <c r="J506" s="83">
        <f>EFEITO!$J$506*EFEITO!$Y$506/(1-CUSTOS!$M$38)</f>
        <v>0</v>
      </c>
      <c r="K506" s="83">
        <f ca="1">EFEITO!$L$506*EFEITO!$Z$506/(1-CUSTOS!$M$38)</f>
        <v>15.628648412484029</v>
      </c>
      <c r="L506" s="83">
        <f>EFEITO!$N$506*EFEITO!$AA$506/(1-CUSTOS!$M$38)</f>
        <v>7.3725391594098308</v>
      </c>
      <c r="M506" s="83">
        <f>$J$506-EFEITO!$K$506*EFEITO!$Y$506</f>
        <v>0</v>
      </c>
      <c r="N506" s="83">
        <f ca="1">$K$506-EFEITO!$M$506*EFEITO!$Z$506</f>
        <v>0.93771890474904218</v>
      </c>
      <c r="O506" s="83">
        <f>$L$506-EFEITO!$O$506*EFEITO!$AA$506</f>
        <v>0.44235234956459024</v>
      </c>
      <c r="P506" s="28"/>
      <c r="Q506" s="28"/>
      <c r="R506" s="28"/>
      <c r="S506" s="28"/>
      <c r="T506" s="28"/>
      <c r="U506" s="28"/>
      <c r="V506" s="28"/>
      <c r="W506" s="28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72" t="s">
        <v>21</v>
      </c>
      <c r="B507" s="72" t="s">
        <v>43</v>
      </c>
      <c r="C507" s="72" t="s">
        <v>37</v>
      </c>
      <c r="D507" s="72" t="s">
        <v>44</v>
      </c>
      <c r="E507" s="72" t="s">
        <v>25</v>
      </c>
      <c r="F507" s="72" t="s">
        <v>25</v>
      </c>
      <c r="G507" s="72" t="s">
        <v>25</v>
      </c>
      <c r="H507" s="72" t="s">
        <v>38</v>
      </c>
      <c r="I507" s="82">
        <v>44593</v>
      </c>
      <c r="J507" s="83">
        <f>EFEITO!$J$507*EFEITO!$Y$507/(1-CUSTOS!$M$38)</f>
        <v>0</v>
      </c>
      <c r="K507" s="83">
        <f ca="1">EFEITO!$L$507*EFEITO!$Z$507/(1-CUSTOS!$M$38)</f>
        <v>20.093976530336608</v>
      </c>
      <c r="L507" s="83">
        <f>EFEITO!$N$507*EFEITO!$AA$507/(1-CUSTOS!$M$38)</f>
        <v>9.4789789192412108</v>
      </c>
      <c r="M507" s="83">
        <f>$J$507-EFEITO!$K$507*EFEITO!$Y$507</f>
        <v>0</v>
      </c>
      <c r="N507" s="83">
        <f ca="1">$K$507-EFEITO!$M$507*EFEITO!$Z$507</f>
        <v>1.2056385918201968</v>
      </c>
      <c r="O507" s="83">
        <f>$L$507-EFEITO!$O$507*EFEITO!$AA$507</f>
        <v>0.56873873515447393</v>
      </c>
      <c r="P507" s="28"/>
      <c r="Q507" s="28"/>
      <c r="R507" s="28"/>
      <c r="S507" s="28"/>
      <c r="T507" s="28"/>
      <c r="U507" s="28"/>
      <c r="V507" s="28"/>
      <c r="W507" s="28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72" t="s">
        <v>21</v>
      </c>
      <c r="B508" s="72" t="s">
        <v>43</v>
      </c>
      <c r="C508" s="72" t="s">
        <v>37</v>
      </c>
      <c r="D508" s="72" t="s">
        <v>44</v>
      </c>
      <c r="E508" s="72" t="s">
        <v>25</v>
      </c>
      <c r="F508" s="72" t="s">
        <v>25</v>
      </c>
      <c r="G508" s="72" t="s">
        <v>25</v>
      </c>
      <c r="H508" s="72" t="s">
        <v>38</v>
      </c>
      <c r="I508" s="82">
        <v>44621</v>
      </c>
      <c r="J508" s="83">
        <f>EFEITO!$J$508*EFEITO!$Y$508/(1-CUSTOS!$M$38)</f>
        <v>0</v>
      </c>
      <c r="K508" s="83">
        <f ca="1">EFEITO!$L$508*EFEITO!$Z$508/(1-CUSTOS!$M$38)</f>
        <v>20.093976530336608</v>
      </c>
      <c r="L508" s="83">
        <f>EFEITO!$N$508*EFEITO!$AA$508/(1-CUSTOS!$M$38)</f>
        <v>9.4789789192412108</v>
      </c>
      <c r="M508" s="83">
        <f>$J$508-EFEITO!$K$508*EFEITO!$Y$508</f>
        <v>0</v>
      </c>
      <c r="N508" s="83">
        <f ca="1">$K$508-EFEITO!$M$508*EFEITO!$Z$508</f>
        <v>1.2056385918201968</v>
      </c>
      <c r="O508" s="83">
        <f>$L$508-EFEITO!$O$508*EFEITO!$AA$508</f>
        <v>0.56873873515447393</v>
      </c>
      <c r="P508" s="28"/>
      <c r="Q508" s="28"/>
      <c r="R508" s="28"/>
      <c r="S508" s="28"/>
      <c r="T508" s="28"/>
      <c r="U508" s="28"/>
      <c r="V508" s="28"/>
      <c r="W508" s="28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72" t="s">
        <v>21</v>
      </c>
      <c r="B509" s="72" t="s">
        <v>43</v>
      </c>
      <c r="C509" s="72" t="s">
        <v>37</v>
      </c>
      <c r="D509" s="72" t="s">
        <v>44</v>
      </c>
      <c r="E509" s="72" t="s">
        <v>25</v>
      </c>
      <c r="F509" s="72" t="s">
        <v>25</v>
      </c>
      <c r="G509" s="72" t="s">
        <v>25</v>
      </c>
      <c r="H509" s="72" t="s">
        <v>38</v>
      </c>
      <c r="I509" s="82">
        <v>44652</v>
      </c>
      <c r="J509" s="83">
        <f>EFEITO!$J$509*EFEITO!$Y$509/(1-CUSTOS!$M$38)</f>
        <v>0</v>
      </c>
      <c r="K509" s="83">
        <f ca="1">EFEITO!$L$509*EFEITO!$Z$509/(1-CUSTOS!$M$38)</f>
        <v>20.987042153907122</v>
      </c>
      <c r="L509" s="83">
        <f>EFEITO!$N$509*EFEITO!$AA$509/(1-CUSTOS!$M$38)</f>
        <v>9.9002668712074851</v>
      </c>
      <c r="M509" s="83">
        <f>$J$509-EFEITO!$K$509*EFEITO!$Y$509</f>
        <v>0</v>
      </c>
      <c r="N509" s="83">
        <f ca="1">$K$509-EFEITO!$M$509*EFEITO!$Z$509</f>
        <v>1.2592225292344281</v>
      </c>
      <c r="O509" s="83">
        <f>$L$509-EFEITO!$O$509*EFEITO!$AA$509</f>
        <v>0.5940160122724496</v>
      </c>
      <c r="P509" s="28"/>
      <c r="Q509" s="28"/>
      <c r="R509" s="28"/>
      <c r="S509" s="28"/>
      <c r="T509" s="28"/>
      <c r="U509" s="28"/>
      <c r="V509" s="28"/>
      <c r="W509" s="28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72" t="s">
        <v>21</v>
      </c>
      <c r="B510" s="72" t="s">
        <v>43</v>
      </c>
      <c r="C510" s="72" t="s">
        <v>37</v>
      </c>
      <c r="D510" s="72" t="s">
        <v>44</v>
      </c>
      <c r="E510" s="72" t="s">
        <v>25</v>
      </c>
      <c r="F510" s="72" t="s">
        <v>25</v>
      </c>
      <c r="G510" s="72" t="s">
        <v>25</v>
      </c>
      <c r="H510" s="72" t="s">
        <v>35</v>
      </c>
      <c r="I510" s="82">
        <v>44317</v>
      </c>
      <c r="J510" s="83">
        <f>EFEITO!$J$510*EFEITO!$Y$510/(1-CUSTOS!$M$38)</f>
        <v>0</v>
      </c>
      <c r="K510" s="83">
        <f ca="1">EFEITO!$L$510*EFEITO!$Z$510/(1-CUSTOS!$M$38)</f>
        <v>40.289707342419213</v>
      </c>
      <c r="L510" s="83">
        <f>EFEITO!$N$510*EFEITO!$AA$510/(1-CUSTOS!$M$38)</f>
        <v>12.849282534971417</v>
      </c>
      <c r="M510" s="83">
        <f>$J$510-EFEITO!$K$510*EFEITO!$Y$510</f>
        <v>0</v>
      </c>
      <c r="N510" s="83">
        <f ca="1">$K$510-EFEITO!$M$510*EFEITO!$Z$510</f>
        <v>2.4173824405451541</v>
      </c>
      <c r="O510" s="83">
        <f>$L$510-EFEITO!$O$510*EFEITO!$AA$510</f>
        <v>0.77095695209828641</v>
      </c>
      <c r="P510" s="28"/>
      <c r="Q510" s="28"/>
      <c r="R510" s="28"/>
      <c r="S510" s="28"/>
      <c r="T510" s="28"/>
      <c r="U510" s="28"/>
      <c r="V510" s="28"/>
      <c r="W510" s="28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72" t="s">
        <v>21</v>
      </c>
      <c r="B511" s="72" t="s">
        <v>43</v>
      </c>
      <c r="C511" s="72" t="s">
        <v>37</v>
      </c>
      <c r="D511" s="72" t="s">
        <v>44</v>
      </c>
      <c r="E511" s="72" t="s">
        <v>25</v>
      </c>
      <c r="F511" s="72" t="s">
        <v>25</v>
      </c>
      <c r="G511" s="72" t="s">
        <v>25</v>
      </c>
      <c r="H511" s="72" t="s">
        <v>35</v>
      </c>
      <c r="I511" s="82">
        <v>44348</v>
      </c>
      <c r="J511" s="83">
        <f>EFEITO!$J$511*EFEITO!$Y$511/(1-CUSTOS!$M$38)</f>
        <v>0</v>
      </c>
      <c r="K511" s="83">
        <f ca="1">EFEITO!$L$511*EFEITO!$Z$511/(1-CUSTOS!$M$38)</f>
        <v>49.536525421007234</v>
      </c>
      <c r="L511" s="83">
        <f>EFEITO!$N$511*EFEITO!$AA$511/(1-CUSTOS!$M$38)</f>
        <v>15.798298198735349</v>
      </c>
      <c r="M511" s="83">
        <f>$J$511-EFEITO!$K$511*EFEITO!$Y$511</f>
        <v>0</v>
      </c>
      <c r="N511" s="83">
        <f ca="1">$K$511-EFEITO!$M$511*EFEITO!$Z$511</f>
        <v>2.9721915252604347</v>
      </c>
      <c r="O511" s="83">
        <f>$L$511-EFEITO!$O$511*EFEITO!$AA$511</f>
        <v>0.94789789192412144</v>
      </c>
      <c r="P511" s="28"/>
      <c r="Q511" s="28"/>
      <c r="R511" s="28"/>
      <c r="S511" s="28"/>
      <c r="T511" s="28"/>
      <c r="U511" s="28"/>
      <c r="V511" s="28"/>
      <c r="W511" s="28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72" t="s">
        <v>21</v>
      </c>
      <c r="B512" s="72" t="s">
        <v>43</v>
      </c>
      <c r="C512" s="72" t="s">
        <v>37</v>
      </c>
      <c r="D512" s="72" t="s">
        <v>44</v>
      </c>
      <c r="E512" s="72" t="s">
        <v>25</v>
      </c>
      <c r="F512" s="72" t="s">
        <v>25</v>
      </c>
      <c r="G512" s="72" t="s">
        <v>25</v>
      </c>
      <c r="H512" s="72" t="s">
        <v>35</v>
      </c>
      <c r="I512" s="82">
        <v>44378</v>
      </c>
      <c r="J512" s="83">
        <f>EFEITO!$J$512*EFEITO!$Y$512/(1-CUSTOS!$M$38)</f>
        <v>0</v>
      </c>
      <c r="K512" s="83">
        <f ca="1">EFEITO!$L$512*EFEITO!$Z$512/(1-CUSTOS!$M$38)</f>
        <v>42.931655364872938</v>
      </c>
      <c r="L512" s="83">
        <f>EFEITO!$N$512*EFEITO!$AA$512/(1-CUSTOS!$M$38)</f>
        <v>13.691858438903971</v>
      </c>
      <c r="M512" s="83">
        <f>$J$512-EFEITO!$K$512*EFEITO!$Y$512</f>
        <v>0</v>
      </c>
      <c r="N512" s="83">
        <f ca="1">$K$512-EFEITO!$M$512*EFEITO!$Z$512</f>
        <v>2.5758993218923791</v>
      </c>
      <c r="O512" s="83">
        <f>$L$512-EFEITO!$O$512*EFEITO!$AA$512</f>
        <v>0.82151150633423953</v>
      </c>
      <c r="P512" s="28"/>
      <c r="Q512" s="28"/>
      <c r="R512" s="28"/>
      <c r="S512" s="28"/>
      <c r="T512" s="28"/>
      <c r="U512" s="28"/>
      <c r="V512" s="28"/>
      <c r="W512" s="28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72" t="s">
        <v>21</v>
      </c>
      <c r="B513" s="72" t="s">
        <v>43</v>
      </c>
      <c r="C513" s="72" t="s">
        <v>37</v>
      </c>
      <c r="D513" s="72" t="s">
        <v>44</v>
      </c>
      <c r="E513" s="72" t="s">
        <v>25</v>
      </c>
      <c r="F513" s="72" t="s">
        <v>25</v>
      </c>
      <c r="G513" s="72" t="s">
        <v>25</v>
      </c>
      <c r="H513" s="72" t="s">
        <v>35</v>
      </c>
      <c r="I513" s="82">
        <v>44409</v>
      </c>
      <c r="J513" s="83">
        <f>EFEITO!$J$513*EFEITO!$Y$513/(1-CUSTOS!$M$38)</f>
        <v>0</v>
      </c>
      <c r="K513" s="83">
        <f ca="1">EFEITO!$L$513*EFEITO!$Z$513/(1-CUSTOS!$M$38)</f>
        <v>52.178473443460952</v>
      </c>
      <c r="L513" s="83">
        <f>EFEITO!$N$513*EFEITO!$AA$513/(1-CUSTOS!$M$38)</f>
        <v>16.640874102667901</v>
      </c>
      <c r="M513" s="83">
        <f>$J$513-EFEITO!$K$513*EFEITO!$Y$513</f>
        <v>0</v>
      </c>
      <c r="N513" s="83">
        <f ca="1">$K$513-EFEITO!$M$513*EFEITO!$Z$513</f>
        <v>3.1307084066076598</v>
      </c>
      <c r="O513" s="83">
        <f>$L$513-EFEITO!$O$513*EFEITO!$AA$513</f>
        <v>0.99845244616007456</v>
      </c>
      <c r="P513" s="28"/>
      <c r="Q513" s="28"/>
      <c r="R513" s="28"/>
      <c r="S513" s="28"/>
      <c r="T513" s="28"/>
      <c r="U513" s="28"/>
      <c r="V513" s="28"/>
      <c r="W513" s="28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72" t="s">
        <v>21</v>
      </c>
      <c r="B514" s="72" t="s">
        <v>43</v>
      </c>
      <c r="C514" s="72" t="s">
        <v>37</v>
      </c>
      <c r="D514" s="72" t="s">
        <v>44</v>
      </c>
      <c r="E514" s="72" t="s">
        <v>25</v>
      </c>
      <c r="F514" s="72" t="s">
        <v>25</v>
      </c>
      <c r="G514" s="72" t="s">
        <v>25</v>
      </c>
      <c r="H514" s="72" t="s">
        <v>35</v>
      </c>
      <c r="I514" s="82">
        <v>44440</v>
      </c>
      <c r="J514" s="83">
        <f>EFEITO!$J$514*EFEITO!$Y$514/(1-CUSTOS!$M$38)</f>
        <v>0</v>
      </c>
      <c r="K514" s="83">
        <f ca="1">EFEITO!$L$514*EFEITO!$Z$514/(1-CUSTOS!$M$38)</f>
        <v>46.894577398553515</v>
      </c>
      <c r="L514" s="83">
        <f>EFEITO!$N$514*EFEITO!$AA$514/(1-CUSTOS!$M$38)</f>
        <v>14.955722294802795</v>
      </c>
      <c r="M514" s="83">
        <f>$J$514-EFEITO!$K$514*EFEITO!$Y$514</f>
        <v>0</v>
      </c>
      <c r="N514" s="83">
        <f ca="1">$K$514-EFEITO!$M$514*EFEITO!$Z$514</f>
        <v>2.8136746439132168</v>
      </c>
      <c r="O514" s="83">
        <f>$L$514-EFEITO!$O$514*EFEITO!$AA$514</f>
        <v>0.89734333768816832</v>
      </c>
      <c r="P514" s="28"/>
      <c r="Q514" s="28"/>
      <c r="R514" s="28"/>
      <c r="S514" s="28"/>
      <c r="T514" s="28"/>
      <c r="U514" s="28"/>
      <c r="V514" s="28"/>
      <c r="W514" s="28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72" t="s">
        <v>21</v>
      </c>
      <c r="B515" s="72" t="s">
        <v>43</v>
      </c>
      <c r="C515" s="72" t="s">
        <v>37</v>
      </c>
      <c r="D515" s="72" t="s">
        <v>44</v>
      </c>
      <c r="E515" s="72" t="s">
        <v>25</v>
      </c>
      <c r="F515" s="72" t="s">
        <v>25</v>
      </c>
      <c r="G515" s="72" t="s">
        <v>25</v>
      </c>
      <c r="H515" s="72" t="s">
        <v>35</v>
      </c>
      <c r="I515" s="82">
        <v>44470</v>
      </c>
      <c r="J515" s="83">
        <f>EFEITO!$J$515*EFEITO!$Y$515/(1-CUSTOS!$M$38)</f>
        <v>0</v>
      </c>
      <c r="K515" s="83">
        <f ca="1">EFEITO!$L$515*EFEITO!$Z$515/(1-CUSTOS!$M$38)</f>
        <v>40.950194348032646</v>
      </c>
      <c r="L515" s="83">
        <f>EFEITO!$N$515*EFEITO!$AA$515/(1-CUSTOS!$M$38)</f>
        <v>13.059926510954556</v>
      </c>
      <c r="M515" s="83">
        <f>$J$515-EFEITO!$K$515*EFEITO!$Y$515</f>
        <v>0</v>
      </c>
      <c r="N515" s="83">
        <f ca="1">$K$515-EFEITO!$M$515*EFEITO!$Z$515</f>
        <v>2.4570116608819603</v>
      </c>
      <c r="O515" s="83">
        <f>$L$515-EFEITO!$O$515*EFEITO!$AA$515</f>
        <v>0.78359559065727424</v>
      </c>
      <c r="P515" s="28"/>
      <c r="Q515" s="28"/>
      <c r="R515" s="28"/>
      <c r="S515" s="28"/>
      <c r="T515" s="28"/>
      <c r="U515" s="28"/>
      <c r="V515" s="28"/>
      <c r="W515" s="28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72" t="s">
        <v>21</v>
      </c>
      <c r="B516" s="72" t="s">
        <v>43</v>
      </c>
      <c r="C516" s="72" t="s">
        <v>37</v>
      </c>
      <c r="D516" s="72" t="s">
        <v>44</v>
      </c>
      <c r="E516" s="72" t="s">
        <v>25</v>
      </c>
      <c r="F516" s="72" t="s">
        <v>25</v>
      </c>
      <c r="G516" s="72" t="s">
        <v>25</v>
      </c>
      <c r="H516" s="72" t="s">
        <v>35</v>
      </c>
      <c r="I516" s="82">
        <v>44501</v>
      </c>
      <c r="J516" s="83">
        <f>EFEITO!$J$516*EFEITO!$Y$516/(1-CUSTOS!$M$38)</f>
        <v>0</v>
      </c>
      <c r="K516" s="83">
        <f ca="1">EFEITO!$L$516*EFEITO!$Z$516/(1-CUSTOS!$M$38)</f>
        <v>32.363863275058058</v>
      </c>
      <c r="L516" s="83">
        <f>EFEITO!$N$516*EFEITO!$AA$516/(1-CUSTOS!$M$38)</f>
        <v>10.321554823173763</v>
      </c>
      <c r="M516" s="83">
        <f>$J$516-EFEITO!$K$516*EFEITO!$Y$516</f>
        <v>0</v>
      </c>
      <c r="N516" s="83">
        <f ca="1">$K$516-EFEITO!$M$516*EFEITO!$Z$516</f>
        <v>1.9418317965034824</v>
      </c>
      <c r="O516" s="83">
        <f>$L$516-EFEITO!$O$516*EFEITO!$AA$516</f>
        <v>0.61929328939042705</v>
      </c>
      <c r="P516" s="28"/>
      <c r="Q516" s="28"/>
      <c r="R516" s="28"/>
      <c r="S516" s="28"/>
      <c r="T516" s="28"/>
      <c r="U516" s="28"/>
      <c r="V516" s="28"/>
      <c r="W516" s="28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72" t="s">
        <v>21</v>
      </c>
      <c r="B517" s="72" t="s">
        <v>43</v>
      </c>
      <c r="C517" s="72" t="s">
        <v>37</v>
      </c>
      <c r="D517" s="72" t="s">
        <v>44</v>
      </c>
      <c r="E517" s="72" t="s">
        <v>25</v>
      </c>
      <c r="F517" s="72" t="s">
        <v>25</v>
      </c>
      <c r="G517" s="72" t="s">
        <v>25</v>
      </c>
      <c r="H517" s="72" t="s">
        <v>35</v>
      </c>
      <c r="I517" s="82">
        <v>44531</v>
      </c>
      <c r="J517" s="83">
        <f>EFEITO!$J$517*EFEITO!$Y$517/(1-CUSTOS!$M$38)</f>
        <v>0</v>
      </c>
      <c r="K517" s="83">
        <f ca="1">EFEITO!$L$517*EFEITO!$Z$517/(1-CUSTOS!$M$38)</f>
        <v>32.363863275058058</v>
      </c>
      <c r="L517" s="83">
        <f>EFEITO!$N$517*EFEITO!$AA$517/(1-CUSTOS!$M$38)</f>
        <v>10.321554823173763</v>
      </c>
      <c r="M517" s="83">
        <f>$J$517-EFEITO!$K$517*EFEITO!$Y$517</f>
        <v>0</v>
      </c>
      <c r="N517" s="83">
        <f ca="1">$K$517-EFEITO!$M$517*EFEITO!$Z$517</f>
        <v>1.9418317965034824</v>
      </c>
      <c r="O517" s="83">
        <f>$L$517-EFEITO!$O$517*EFEITO!$AA$517</f>
        <v>0.61929328939042705</v>
      </c>
      <c r="P517" s="28"/>
      <c r="Q517" s="28"/>
      <c r="R517" s="28"/>
      <c r="S517" s="28"/>
      <c r="T517" s="28"/>
      <c r="U517" s="28"/>
      <c r="V517" s="28"/>
      <c r="W517" s="28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72" t="s">
        <v>21</v>
      </c>
      <c r="B518" s="72" t="s">
        <v>43</v>
      </c>
      <c r="C518" s="72" t="s">
        <v>37</v>
      </c>
      <c r="D518" s="72" t="s">
        <v>44</v>
      </c>
      <c r="E518" s="72" t="s">
        <v>25</v>
      </c>
      <c r="F518" s="72" t="s">
        <v>25</v>
      </c>
      <c r="G518" s="72" t="s">
        <v>25</v>
      </c>
      <c r="H518" s="72" t="s">
        <v>35</v>
      </c>
      <c r="I518" s="82">
        <v>44562</v>
      </c>
      <c r="J518" s="83">
        <f>EFEITO!$J$518*EFEITO!$Y$518/(1-CUSTOS!$M$38)</f>
        <v>0</v>
      </c>
      <c r="K518" s="83">
        <f ca="1">EFEITO!$L$518*EFEITO!$Z$518/(1-CUSTOS!$M$38)</f>
        <v>36.326785308738643</v>
      </c>
      <c r="L518" s="83">
        <f>EFEITO!$N$518*EFEITO!$AA$518/(1-CUSTOS!$M$38)</f>
        <v>11.585418679072589</v>
      </c>
      <c r="M518" s="83">
        <f>$J$518-EFEITO!$K$518*EFEITO!$Y$518</f>
        <v>0</v>
      </c>
      <c r="N518" s="83">
        <f ca="1">$K$518-EFEITO!$M$518*EFEITO!$Z$518</f>
        <v>2.1796071185243235</v>
      </c>
      <c r="O518" s="83">
        <f>$L$518-EFEITO!$O$518*EFEITO!$AA$518</f>
        <v>0.69512512074435584</v>
      </c>
      <c r="P518" s="28"/>
      <c r="Q518" s="28"/>
      <c r="R518" s="28"/>
      <c r="S518" s="28"/>
      <c r="T518" s="28"/>
      <c r="U518" s="28"/>
      <c r="V518" s="28"/>
      <c r="W518" s="28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72" t="s">
        <v>21</v>
      </c>
      <c r="B519" s="72" t="s">
        <v>43</v>
      </c>
      <c r="C519" s="72" t="s">
        <v>37</v>
      </c>
      <c r="D519" s="72" t="s">
        <v>44</v>
      </c>
      <c r="E519" s="72" t="s">
        <v>25</v>
      </c>
      <c r="F519" s="72" t="s">
        <v>25</v>
      </c>
      <c r="G519" s="72" t="s">
        <v>25</v>
      </c>
      <c r="H519" s="72" t="s">
        <v>35</v>
      </c>
      <c r="I519" s="82">
        <v>44593</v>
      </c>
      <c r="J519" s="83">
        <f>EFEITO!$J$519*EFEITO!$Y$519/(1-CUSTOS!$M$38)</f>
        <v>0</v>
      </c>
      <c r="K519" s="83">
        <f ca="1">EFEITO!$L$519*EFEITO!$Z$519/(1-CUSTOS!$M$38)</f>
        <v>43.592142370486371</v>
      </c>
      <c r="L519" s="83">
        <f>EFEITO!$N$519*EFEITO!$AA$519/(1-CUSTOS!$M$38)</f>
        <v>13.902502414887108</v>
      </c>
      <c r="M519" s="83">
        <f>$J$519-EFEITO!$K$519*EFEITO!$Y$519</f>
        <v>0</v>
      </c>
      <c r="N519" s="83">
        <f ca="1">$K$519-EFEITO!$M$519*EFEITO!$Z$519</f>
        <v>2.6155285422291854</v>
      </c>
      <c r="O519" s="83">
        <f>$L$519-EFEITO!$O$519*EFEITO!$AA$519</f>
        <v>0.83415014489322736</v>
      </c>
      <c r="P519" s="28"/>
      <c r="Q519" s="28"/>
      <c r="R519" s="28"/>
      <c r="S519" s="28"/>
      <c r="T519" s="28"/>
      <c r="U519" s="28"/>
      <c r="V519" s="28"/>
      <c r="W519" s="28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72" t="s">
        <v>21</v>
      </c>
      <c r="B520" s="72" t="s">
        <v>43</v>
      </c>
      <c r="C520" s="72" t="s">
        <v>37</v>
      </c>
      <c r="D520" s="72" t="s">
        <v>44</v>
      </c>
      <c r="E520" s="72" t="s">
        <v>25</v>
      </c>
      <c r="F520" s="72" t="s">
        <v>25</v>
      </c>
      <c r="G520" s="72" t="s">
        <v>25</v>
      </c>
      <c r="H520" s="72" t="s">
        <v>35</v>
      </c>
      <c r="I520" s="82">
        <v>44621</v>
      </c>
      <c r="J520" s="83">
        <f>EFEITO!$J$520*EFEITO!$Y$520/(1-CUSTOS!$M$38)</f>
        <v>0</v>
      </c>
      <c r="K520" s="83">
        <f ca="1">EFEITO!$L$520*EFEITO!$Z$520/(1-CUSTOS!$M$38)</f>
        <v>52.838960449074385</v>
      </c>
      <c r="L520" s="83">
        <f>EFEITO!$N$520*EFEITO!$AA$520/(1-CUSTOS!$M$38)</f>
        <v>16.85151807865104</v>
      </c>
      <c r="M520" s="83">
        <f>$J$520-EFEITO!$K$520*EFEITO!$Y$520</f>
        <v>0</v>
      </c>
      <c r="N520" s="83">
        <f ca="1">$K$520-EFEITO!$M$520*EFEITO!$Z$520</f>
        <v>3.1703376269444661</v>
      </c>
      <c r="O520" s="83">
        <f>$L$520-EFEITO!$O$520*EFEITO!$AA$520</f>
        <v>1.0110910847190642</v>
      </c>
      <c r="P520" s="28"/>
      <c r="Q520" s="28"/>
      <c r="R520" s="28"/>
      <c r="S520" s="28"/>
      <c r="T520" s="28"/>
      <c r="U520" s="28"/>
      <c r="V520" s="28"/>
      <c r="W520" s="28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72" t="s">
        <v>21</v>
      </c>
      <c r="B521" s="72" t="s">
        <v>43</v>
      </c>
      <c r="C521" s="72" t="s">
        <v>37</v>
      </c>
      <c r="D521" s="72" t="s">
        <v>44</v>
      </c>
      <c r="E521" s="72" t="s">
        <v>25</v>
      </c>
      <c r="F521" s="72" t="s">
        <v>25</v>
      </c>
      <c r="G521" s="72" t="s">
        <v>25</v>
      </c>
      <c r="H521" s="72" t="s">
        <v>35</v>
      </c>
      <c r="I521" s="82">
        <v>44652</v>
      </c>
      <c r="J521" s="83">
        <f>EFEITO!$J$521*EFEITO!$Y$521/(1-CUSTOS!$M$38)</f>
        <v>0</v>
      </c>
      <c r="K521" s="83">
        <f ca="1">EFEITO!$L$521*EFEITO!$Z$521/(1-CUSTOS!$M$38)</f>
        <v>50.857499432234093</v>
      </c>
      <c r="L521" s="83">
        <f>EFEITO!$N$521*EFEITO!$AA$521/(1-CUSTOS!$M$38)</f>
        <v>16.219586150701623</v>
      </c>
      <c r="M521" s="83">
        <f>$J$521-EFEITO!$K$521*EFEITO!$Y$521</f>
        <v>0</v>
      </c>
      <c r="N521" s="83">
        <f ca="1">$K$521-EFEITO!$M$521*EFEITO!$Z$521</f>
        <v>3.0514499659340473</v>
      </c>
      <c r="O521" s="83">
        <f>$L$521-EFEITO!$O$521*EFEITO!$AA$521</f>
        <v>0.97317516904209711</v>
      </c>
      <c r="P521" s="28"/>
      <c r="Q521" s="28"/>
      <c r="R521" s="28"/>
      <c r="S521" s="28"/>
      <c r="T521" s="28"/>
      <c r="U521" s="28"/>
      <c r="V521" s="28"/>
      <c r="W521" s="28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72" t="s">
        <v>21</v>
      </c>
      <c r="B522" s="72" t="s">
        <v>43</v>
      </c>
      <c r="C522" s="72" t="s">
        <v>23</v>
      </c>
      <c r="D522" s="72" t="s">
        <v>44</v>
      </c>
      <c r="E522" s="72" t="s">
        <v>53</v>
      </c>
      <c r="F522" s="72" t="s">
        <v>54</v>
      </c>
      <c r="G522" s="72" t="s">
        <v>25</v>
      </c>
      <c r="H522" s="72" t="s">
        <v>25</v>
      </c>
      <c r="I522" s="82">
        <v>44317</v>
      </c>
      <c r="J522" s="83">
        <f>EFEITO!$J$522*EFEITO!$Y$400</f>
        <v>0</v>
      </c>
      <c r="K522" s="83">
        <f ca="1">EFEITO!$L$522*EFEITO!$Z$400</f>
        <v>17792.098559370057</v>
      </c>
      <c r="L522" s="83">
        <f>EFEITO!$N$522*EFEITO!$AA$400</f>
        <v>11708.013473094778</v>
      </c>
      <c r="M522" s="83">
        <f>$J$522-EFEITO!$K$522*EFEITO!$Y$522</f>
        <v>0</v>
      </c>
      <c r="N522" s="83">
        <f ca="1">$K$522-EFEITO!$M$522*EFEITO!$Z$522</f>
        <v>1067.5259135622073</v>
      </c>
      <c r="O522" s="83">
        <f>$L$522-EFEITO!$O$522*EFEITO!$AA$522</f>
        <v>702.48080838568785</v>
      </c>
      <c r="P522" s="28"/>
      <c r="Q522" s="28"/>
      <c r="R522" s="28"/>
      <c r="S522" s="28"/>
      <c r="T522" s="28"/>
      <c r="U522" s="28"/>
      <c r="V522" s="28"/>
      <c r="W522" s="28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72" t="s">
        <v>21</v>
      </c>
      <c r="B523" s="72" t="s">
        <v>43</v>
      </c>
      <c r="C523" s="72" t="s">
        <v>23</v>
      </c>
      <c r="D523" s="72" t="s">
        <v>44</v>
      </c>
      <c r="E523" s="72" t="s">
        <v>53</v>
      </c>
      <c r="F523" s="72" t="s">
        <v>54</v>
      </c>
      <c r="G523" s="72" t="s">
        <v>25</v>
      </c>
      <c r="H523" s="72" t="s">
        <v>25</v>
      </c>
      <c r="I523" s="82">
        <v>44348</v>
      </c>
      <c r="J523" s="83">
        <f>EFEITO!$J$523*EFEITO!$Y$400</f>
        <v>0</v>
      </c>
      <c r="K523" s="83">
        <f ca="1">EFEITO!$L$523*EFEITO!$Z$400</f>
        <v>17332.427199374815</v>
      </c>
      <c r="L523" s="83">
        <f>EFEITO!$N$523*EFEITO!$AA$400</f>
        <v>11405.528723582991</v>
      </c>
      <c r="M523" s="83">
        <f>$J$523-EFEITO!$K$523*EFEITO!$Y$523</f>
        <v>0</v>
      </c>
      <c r="N523" s="83">
        <f ca="1">$K$523-EFEITO!$M$523*EFEITO!$Z$523</f>
        <v>1039.9456319624896</v>
      </c>
      <c r="O523" s="83">
        <f>$L$523-EFEITO!$O$523*EFEITO!$AA$523</f>
        <v>684.33172341498175</v>
      </c>
      <c r="P523" s="28"/>
      <c r="Q523" s="28"/>
      <c r="R523" s="28"/>
      <c r="S523" s="28"/>
      <c r="T523" s="28"/>
      <c r="U523" s="28"/>
      <c r="V523" s="28"/>
      <c r="W523" s="28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72" t="s">
        <v>21</v>
      </c>
      <c r="B524" s="72" t="s">
        <v>43</v>
      </c>
      <c r="C524" s="72" t="s">
        <v>23</v>
      </c>
      <c r="D524" s="72" t="s">
        <v>44</v>
      </c>
      <c r="E524" s="72" t="s">
        <v>53</v>
      </c>
      <c r="F524" s="72" t="s">
        <v>54</v>
      </c>
      <c r="G524" s="72" t="s">
        <v>25</v>
      </c>
      <c r="H524" s="72" t="s">
        <v>25</v>
      </c>
      <c r="I524" s="82">
        <v>44378</v>
      </c>
      <c r="J524" s="83">
        <f>EFEITO!$J$524*EFEITO!$Y$400</f>
        <v>0</v>
      </c>
      <c r="K524" s="83">
        <f ca="1">EFEITO!$L$524*EFEITO!$Z$400</f>
        <v>14482.528788485111</v>
      </c>
      <c r="L524" s="83">
        <f>EFEITO!$N$524*EFEITO!$AA$400</f>
        <v>9530.1654054051141</v>
      </c>
      <c r="M524" s="83">
        <f>$J$524-EFEITO!$K$524*EFEITO!$Y$524</f>
        <v>0</v>
      </c>
      <c r="N524" s="83">
        <f ca="1">$K$524-EFEITO!$M$524*EFEITO!$Z$524</f>
        <v>868.95172730910781</v>
      </c>
      <c r="O524" s="83">
        <f>$L$524-EFEITO!$O$524*EFEITO!$AA$524</f>
        <v>571.80992432430867</v>
      </c>
      <c r="P524" s="28"/>
      <c r="Q524" s="28"/>
      <c r="R524" s="28"/>
      <c r="S524" s="28"/>
      <c r="T524" s="28"/>
      <c r="U524" s="28"/>
      <c r="V524" s="28"/>
      <c r="W524" s="28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72" t="s">
        <v>21</v>
      </c>
      <c r="B525" s="72" t="s">
        <v>43</v>
      </c>
      <c r="C525" s="72" t="s">
        <v>23</v>
      </c>
      <c r="D525" s="72" t="s">
        <v>44</v>
      </c>
      <c r="E525" s="72" t="s">
        <v>53</v>
      </c>
      <c r="F525" s="72" t="s">
        <v>54</v>
      </c>
      <c r="G525" s="72" t="s">
        <v>25</v>
      </c>
      <c r="H525" s="72" t="s">
        <v>25</v>
      </c>
      <c r="I525" s="82">
        <v>44409</v>
      </c>
      <c r="J525" s="83">
        <f>EFEITO!$J$525*EFEITO!$Y$400</f>
        <v>0</v>
      </c>
      <c r="K525" s="83">
        <f ca="1">EFEITO!$L$525*EFEITO!$Z$400</f>
        <v>18688.393690279991</v>
      </c>
      <c r="L525" s="83">
        <f>EFEITO!$N$525*EFEITO!$AA$400</f>
        <v>12297.816605847562</v>
      </c>
      <c r="M525" s="83">
        <f>$J$525-EFEITO!$K$525*EFEITO!$Y$525</f>
        <v>0</v>
      </c>
      <c r="N525" s="83">
        <f ca="1">$K$525-EFEITO!$M$525*EFEITO!$Z$525</f>
        <v>1121.3036214167987</v>
      </c>
      <c r="O525" s="83">
        <f>$L$525-EFEITO!$O$525*EFEITO!$AA$525</f>
        <v>737.86899635085501</v>
      </c>
      <c r="P525" s="28"/>
      <c r="Q525" s="28"/>
      <c r="R525" s="28"/>
      <c r="S525" s="28"/>
      <c r="T525" s="28"/>
      <c r="U525" s="28"/>
      <c r="V525" s="28"/>
      <c r="W525" s="28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72" t="s">
        <v>28</v>
      </c>
      <c r="B526" s="72" t="s">
        <v>43</v>
      </c>
      <c r="C526" s="72" t="s">
        <v>23</v>
      </c>
      <c r="D526" s="72" t="s">
        <v>44</v>
      </c>
      <c r="E526" s="72" t="s">
        <v>53</v>
      </c>
      <c r="F526" s="72" t="s">
        <v>54</v>
      </c>
      <c r="G526" s="72" t="s">
        <v>25</v>
      </c>
      <c r="H526" s="72" t="s">
        <v>25</v>
      </c>
      <c r="I526" s="82">
        <v>44409</v>
      </c>
      <c r="J526" s="83">
        <f>EFEITO!$J$526*EFEITO!$Y$400</f>
        <v>0</v>
      </c>
      <c r="K526" s="83">
        <f ca="1">EFEITO!$L$526*EFEITO!$Z$400</f>
        <v>317.86466606913143</v>
      </c>
      <c r="L526" s="83">
        <f>EFEITO!$N$526*EFEITO!$AA$400</f>
        <v>209.16946815125604</v>
      </c>
      <c r="M526" s="83">
        <f>$J$526-EFEITO!$K$526*EFEITO!$Y$526</f>
        <v>0</v>
      </c>
      <c r="N526" s="83">
        <f ca="1">$K$526-EFEITO!$M$526*EFEITO!$Z$526</f>
        <v>19.071879964147911</v>
      </c>
      <c r="O526" s="83">
        <f>$L$526-EFEITO!$O$526*EFEITO!$AA$526</f>
        <v>12.550168089075385</v>
      </c>
      <c r="P526" s="28"/>
      <c r="Q526" s="28"/>
      <c r="R526" s="28"/>
      <c r="S526" s="28"/>
      <c r="T526" s="28"/>
      <c r="U526" s="28"/>
      <c r="V526" s="28"/>
      <c r="W526" s="28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72" t="s">
        <v>21</v>
      </c>
      <c r="B527" s="72" t="s">
        <v>43</v>
      </c>
      <c r="C527" s="72" t="s">
        <v>23</v>
      </c>
      <c r="D527" s="72" t="s">
        <v>44</v>
      </c>
      <c r="E527" s="72" t="s">
        <v>53</v>
      </c>
      <c r="F527" s="72" t="s">
        <v>54</v>
      </c>
      <c r="G527" s="72" t="s">
        <v>25</v>
      </c>
      <c r="H527" s="72" t="s">
        <v>25</v>
      </c>
      <c r="I527" s="82">
        <v>44440</v>
      </c>
      <c r="J527" s="83">
        <f>EFEITO!$J$527*EFEITO!$Y$400</f>
        <v>0</v>
      </c>
      <c r="K527" s="83">
        <f ca="1">EFEITO!$L$527*EFEITO!$Z$400</f>
        <v>28817.48898577398</v>
      </c>
      <c r="L527" s="83">
        <f>EFEITO!$N$527*EFEITO!$AA$400</f>
        <v>18963.223937882001</v>
      </c>
      <c r="M527" s="83">
        <f>$J$527-EFEITO!$K$527*EFEITO!$Y$527</f>
        <v>0</v>
      </c>
      <c r="N527" s="83">
        <f ca="1">$K$527-EFEITO!$M$527*EFEITO!$Z$527</f>
        <v>1729.0493391464443</v>
      </c>
      <c r="O527" s="83">
        <f>$L$527-EFEITO!$O$527*EFEITO!$AA$527</f>
        <v>1137.7934362729247</v>
      </c>
      <c r="P527" s="28"/>
      <c r="Q527" s="28"/>
      <c r="R527" s="28"/>
      <c r="S527" s="28"/>
      <c r="T527" s="28"/>
      <c r="U527" s="28"/>
      <c r="V527" s="28"/>
      <c r="W527" s="28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72" t="s">
        <v>28</v>
      </c>
      <c r="B528" s="72" t="s">
        <v>43</v>
      </c>
      <c r="C528" s="72" t="s">
        <v>23</v>
      </c>
      <c r="D528" s="72" t="s">
        <v>44</v>
      </c>
      <c r="E528" s="72" t="s">
        <v>53</v>
      </c>
      <c r="F528" s="72" t="s">
        <v>54</v>
      </c>
      <c r="G528" s="72" t="s">
        <v>25</v>
      </c>
      <c r="H528" s="72" t="s">
        <v>25</v>
      </c>
      <c r="I528" s="82">
        <v>44440</v>
      </c>
      <c r="J528" s="83">
        <f>EFEITO!$J$528*EFEITO!$Y$400</f>
        <v>0</v>
      </c>
      <c r="K528" s="83">
        <f ca="1">EFEITO!$L$528*EFEITO!$Z$400</f>
        <v>777.21592066047447</v>
      </c>
      <c r="L528" s="83">
        <f>EFEITO!$N$528*EFEITO!$AA$400</f>
        <v>511.44357368705909</v>
      </c>
      <c r="M528" s="83">
        <f>$J$528-EFEITO!$K$528*EFEITO!$Y$528</f>
        <v>0</v>
      </c>
      <c r="N528" s="83">
        <f ca="1">$K$528-EFEITO!$M$528*EFEITO!$Z$528</f>
        <v>46.632955239628586</v>
      </c>
      <c r="O528" s="83">
        <f>$L$528-EFEITO!$O$528*EFEITO!$AA$528</f>
        <v>30.686614421223624</v>
      </c>
      <c r="P528" s="28"/>
      <c r="Q528" s="28"/>
      <c r="R528" s="28"/>
      <c r="S528" s="28"/>
      <c r="T528" s="28"/>
      <c r="U528" s="28"/>
      <c r="V528" s="28"/>
      <c r="W528" s="28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72" t="s">
        <v>21</v>
      </c>
      <c r="B529" s="72" t="s">
        <v>43</v>
      </c>
      <c r="C529" s="72" t="s">
        <v>23</v>
      </c>
      <c r="D529" s="72" t="s">
        <v>44</v>
      </c>
      <c r="E529" s="72" t="s">
        <v>53</v>
      </c>
      <c r="F529" s="72" t="s">
        <v>54</v>
      </c>
      <c r="G529" s="72" t="s">
        <v>25</v>
      </c>
      <c r="H529" s="72" t="s">
        <v>25</v>
      </c>
      <c r="I529" s="82">
        <v>44470</v>
      </c>
      <c r="J529" s="83">
        <f>EFEITO!$J$529*EFEITO!$Y$400</f>
        <v>0</v>
      </c>
      <c r="K529" s="83">
        <f ca="1">EFEITO!$L$529*EFEITO!$Z$400</f>
        <v>23722.371271954878</v>
      </c>
      <c r="L529" s="83">
        <f>EFEITO!$N$529*EFEITO!$AA$400</f>
        <v>15610.403772158392</v>
      </c>
      <c r="M529" s="83">
        <f>$J$529-EFEITO!$K$529*EFEITO!$Y$529</f>
        <v>0</v>
      </c>
      <c r="N529" s="83">
        <f ca="1">$K$529-EFEITO!$M$529*EFEITO!$Z$529</f>
        <v>1423.342276317293</v>
      </c>
      <c r="O529" s="83">
        <f>$L$529-EFEITO!$O$529*EFEITO!$AA$529</f>
        <v>936.62422632950438</v>
      </c>
      <c r="P529" s="28"/>
      <c r="Q529" s="28"/>
      <c r="R529" s="28"/>
      <c r="S529" s="28"/>
      <c r="T529" s="28"/>
      <c r="U529" s="28"/>
      <c r="V529" s="28"/>
      <c r="W529" s="28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72" t="s">
        <v>28</v>
      </c>
      <c r="B530" s="72" t="s">
        <v>43</v>
      </c>
      <c r="C530" s="72" t="s">
        <v>23</v>
      </c>
      <c r="D530" s="72" t="s">
        <v>44</v>
      </c>
      <c r="E530" s="72" t="s">
        <v>53</v>
      </c>
      <c r="F530" s="72" t="s">
        <v>54</v>
      </c>
      <c r="G530" s="72" t="s">
        <v>25</v>
      </c>
      <c r="H530" s="72" t="s">
        <v>25</v>
      </c>
      <c r="I530" s="82">
        <v>44470</v>
      </c>
      <c r="J530" s="83">
        <f>EFEITO!$J$530*EFEITO!$Y$400</f>
        <v>0</v>
      </c>
      <c r="K530" s="83">
        <f ca="1">EFEITO!$L$530*EFEITO!$Z$400</f>
        <v>32.010540389640632</v>
      </c>
      <c r="L530" s="83">
        <f>EFEITO!$N$530*EFEITO!$AA$400</f>
        <v>21.064397598313803</v>
      </c>
      <c r="M530" s="83">
        <f>$J$530-EFEITO!$K$530*EFEITO!$Y$530</f>
        <v>0</v>
      </c>
      <c r="N530" s="83">
        <f ca="1">$K$530-EFEITO!$M$530*EFEITO!$Z$530</f>
        <v>1.9206324233784429</v>
      </c>
      <c r="O530" s="83">
        <f>$L$530-EFEITO!$O$530*EFEITO!$AA$530</f>
        <v>1.2638638558988333</v>
      </c>
      <c r="P530" s="28"/>
      <c r="Q530" s="28"/>
      <c r="R530" s="28"/>
      <c r="S530" s="28"/>
      <c r="T530" s="28"/>
      <c r="U530" s="28"/>
      <c r="V530" s="28"/>
      <c r="W530" s="28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72" t="s">
        <v>21</v>
      </c>
      <c r="B531" s="72" t="s">
        <v>43</v>
      </c>
      <c r="C531" s="72" t="s">
        <v>23</v>
      </c>
      <c r="D531" s="72" t="s">
        <v>44</v>
      </c>
      <c r="E531" s="72" t="s">
        <v>53</v>
      </c>
      <c r="F531" s="72" t="s">
        <v>54</v>
      </c>
      <c r="G531" s="72" t="s">
        <v>25</v>
      </c>
      <c r="H531" s="72" t="s">
        <v>25</v>
      </c>
      <c r="I531" s="82">
        <v>44501</v>
      </c>
      <c r="J531" s="83">
        <f>EFEITO!$J$531*EFEITO!$Y$400</f>
        <v>0</v>
      </c>
      <c r="K531" s="83">
        <f ca="1">EFEITO!$L$531*EFEITO!$Z$400</f>
        <v>9142.2103352813629</v>
      </c>
      <c r="L531" s="83">
        <f>EFEITO!$N$531*EFEITO!$AA$400</f>
        <v>6015.9919540784213</v>
      </c>
      <c r="M531" s="83">
        <f>$J$531-EFEITO!$K$531*EFEITO!$Y$531</f>
        <v>0</v>
      </c>
      <c r="N531" s="83">
        <f ca="1">$K$531-EFEITO!$M$531*EFEITO!$Z$531</f>
        <v>548.53262011688275</v>
      </c>
      <c r="O531" s="83">
        <f>$L$531-EFEITO!$O$531*EFEITO!$AA$531</f>
        <v>360.95951724470615</v>
      </c>
      <c r="P531" s="28"/>
      <c r="Q531" s="28"/>
      <c r="R531" s="28"/>
      <c r="S531" s="28"/>
      <c r="T531" s="28"/>
      <c r="U531" s="28"/>
      <c r="V531" s="28"/>
      <c r="W531" s="28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72" t="s">
        <v>28</v>
      </c>
      <c r="B532" s="72" t="s">
        <v>43</v>
      </c>
      <c r="C532" s="72" t="s">
        <v>23</v>
      </c>
      <c r="D532" s="72" t="s">
        <v>44</v>
      </c>
      <c r="E532" s="72" t="s">
        <v>53</v>
      </c>
      <c r="F532" s="72" t="s">
        <v>54</v>
      </c>
      <c r="G532" s="72" t="s">
        <v>25</v>
      </c>
      <c r="H532" s="72" t="s">
        <v>25</v>
      </c>
      <c r="I532" s="82">
        <v>44501</v>
      </c>
      <c r="J532" s="83">
        <f>EFEITO!$J$532*EFEITO!$Y$400</f>
        <v>0</v>
      </c>
      <c r="K532" s="83">
        <f ca="1">EFEITO!$L$532*EFEITO!$Z$400</f>
        <v>32.010540389640632</v>
      </c>
      <c r="L532" s="83">
        <f>EFEITO!$N$532*EFEITO!$AA$400</f>
        <v>21.064397598313803</v>
      </c>
      <c r="M532" s="83">
        <f>$J$532-EFEITO!$K$532*EFEITO!$Y$532</f>
        <v>0</v>
      </c>
      <c r="N532" s="83">
        <f ca="1">$K$532-EFEITO!$M$532*EFEITO!$Z$532</f>
        <v>1.9206324233784429</v>
      </c>
      <c r="O532" s="83">
        <f>$L$532-EFEITO!$O$532*EFEITO!$AA$532</f>
        <v>1.2638638558988333</v>
      </c>
      <c r="P532" s="28"/>
      <c r="Q532" s="28"/>
      <c r="R532" s="28"/>
      <c r="S532" s="28"/>
      <c r="T532" s="28"/>
      <c r="U532" s="28"/>
      <c r="V532" s="28"/>
      <c r="W532" s="28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72" t="s">
        <v>21</v>
      </c>
      <c r="B533" s="72" t="s">
        <v>43</v>
      </c>
      <c r="C533" s="72" t="s">
        <v>23</v>
      </c>
      <c r="D533" s="72" t="s">
        <v>44</v>
      </c>
      <c r="E533" s="72" t="s">
        <v>53</v>
      </c>
      <c r="F533" s="72" t="s">
        <v>54</v>
      </c>
      <c r="G533" s="72" t="s">
        <v>25</v>
      </c>
      <c r="H533" s="72" t="s">
        <v>25</v>
      </c>
      <c r="I533" s="82">
        <v>44531</v>
      </c>
      <c r="J533" s="83">
        <f>EFEITO!$J$533*EFEITO!$Y$400</f>
        <v>0</v>
      </c>
      <c r="K533" s="83">
        <f ca="1">EFEITO!$L$533*EFEITO!$Z$400</f>
        <v>9814.4316834638175</v>
      </c>
      <c r="L533" s="83">
        <f>EFEITO!$N$533*EFEITO!$AA$400</f>
        <v>6458.3443036430117</v>
      </c>
      <c r="M533" s="83">
        <f>$J$533-EFEITO!$K$533*EFEITO!$Y$533</f>
        <v>0</v>
      </c>
      <c r="N533" s="83">
        <f ca="1">$K$533-EFEITO!$M$533*EFEITO!$Z$533</f>
        <v>588.86590100782996</v>
      </c>
      <c r="O533" s="83">
        <f>$L$533-EFEITO!$O$533*EFEITO!$AA$533</f>
        <v>387.50065821858152</v>
      </c>
      <c r="P533" s="28"/>
      <c r="Q533" s="28"/>
      <c r="R533" s="28"/>
      <c r="S533" s="28"/>
      <c r="T533" s="28"/>
      <c r="U533" s="28"/>
      <c r="V533" s="28"/>
      <c r="W533" s="28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72" t="s">
        <v>28</v>
      </c>
      <c r="B534" s="72" t="s">
        <v>43</v>
      </c>
      <c r="C534" s="72" t="s">
        <v>23</v>
      </c>
      <c r="D534" s="72" t="s">
        <v>44</v>
      </c>
      <c r="E534" s="72" t="s">
        <v>53</v>
      </c>
      <c r="F534" s="72" t="s">
        <v>54</v>
      </c>
      <c r="G534" s="72" t="s">
        <v>25</v>
      </c>
      <c r="H534" s="72" t="s">
        <v>25</v>
      </c>
      <c r="I534" s="82">
        <v>44531</v>
      </c>
      <c r="J534" s="83">
        <f>EFEITO!$J$534*EFEITO!$Y$400</f>
        <v>0</v>
      </c>
      <c r="K534" s="83">
        <f ca="1">EFEITO!$L$534*EFEITO!$Z$400</f>
        <v>32.010540389640632</v>
      </c>
      <c r="L534" s="83">
        <f>EFEITO!$N$534*EFEITO!$AA$400</f>
        <v>21.064397598313803</v>
      </c>
      <c r="M534" s="83">
        <f>$J$534-EFEITO!$K$534*EFEITO!$Y$534</f>
        <v>0</v>
      </c>
      <c r="N534" s="83">
        <f ca="1">$K$534-EFEITO!$M$534*EFEITO!$Z$534</f>
        <v>1.9206324233784429</v>
      </c>
      <c r="O534" s="83">
        <f>$L$534-EFEITO!$O$534*EFEITO!$AA$534</f>
        <v>1.2638638558988333</v>
      </c>
      <c r="P534" s="28"/>
      <c r="Q534" s="28"/>
      <c r="R534" s="28"/>
      <c r="S534" s="28"/>
      <c r="T534" s="28"/>
      <c r="U534" s="28"/>
      <c r="V534" s="28"/>
      <c r="W534" s="28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72" t="s">
        <v>21</v>
      </c>
      <c r="B535" s="72" t="s">
        <v>43</v>
      </c>
      <c r="C535" s="72" t="s">
        <v>23</v>
      </c>
      <c r="D535" s="72" t="s">
        <v>44</v>
      </c>
      <c r="E535" s="72" t="s">
        <v>53</v>
      </c>
      <c r="F535" s="72" t="s">
        <v>54</v>
      </c>
      <c r="G535" s="72" t="s">
        <v>25</v>
      </c>
      <c r="H535" s="72" t="s">
        <v>25</v>
      </c>
      <c r="I535" s="82">
        <v>44562</v>
      </c>
      <c r="J535" s="83">
        <f>EFEITO!$J$535*EFEITO!$Y$400</f>
        <v>0</v>
      </c>
      <c r="K535" s="83">
        <f ca="1">EFEITO!$L$535*EFEITO!$Z$400</f>
        <v>9481.2019580076576</v>
      </c>
      <c r="L535" s="83">
        <f>EFEITO!$N$535*EFEITO!$AA$400</f>
        <v>6239.0639246445644</v>
      </c>
      <c r="M535" s="83">
        <f>$J$535-EFEITO!$K$535*EFEITO!$Y$535</f>
        <v>0</v>
      </c>
      <c r="N535" s="83">
        <f ca="1">$K$535-EFEITO!$M$535*EFEITO!$Z$535</f>
        <v>568.87211748045956</v>
      </c>
      <c r="O535" s="83">
        <f>$L$535-EFEITO!$O$535*EFEITO!$AA$535</f>
        <v>374.34383547867401</v>
      </c>
      <c r="P535" s="28"/>
      <c r="Q535" s="28"/>
      <c r="R535" s="28"/>
      <c r="S535" s="28"/>
      <c r="T535" s="28"/>
      <c r="U535" s="28"/>
      <c r="V535" s="28"/>
      <c r="W535" s="28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72" t="s">
        <v>28</v>
      </c>
      <c r="B536" s="72" t="s">
        <v>43</v>
      </c>
      <c r="C536" s="72" t="s">
        <v>23</v>
      </c>
      <c r="D536" s="72" t="s">
        <v>44</v>
      </c>
      <c r="E536" s="72" t="s">
        <v>53</v>
      </c>
      <c r="F536" s="72" t="s">
        <v>54</v>
      </c>
      <c r="G536" s="72" t="s">
        <v>25</v>
      </c>
      <c r="H536" s="72" t="s">
        <v>25</v>
      </c>
      <c r="I536" s="82">
        <v>44562</v>
      </c>
      <c r="J536" s="83">
        <f>EFEITO!$J$536*EFEITO!$Y$400</f>
        <v>0</v>
      </c>
      <c r="K536" s="83">
        <f ca="1">EFEITO!$L$536*EFEITO!$Z$400</f>
        <v>32.010540389640632</v>
      </c>
      <c r="L536" s="83">
        <f>EFEITO!$N$536*EFEITO!$AA$400</f>
        <v>21.064397598313803</v>
      </c>
      <c r="M536" s="83">
        <f>$J$536-EFEITO!$K$536*EFEITO!$Y$536</f>
        <v>0</v>
      </c>
      <c r="N536" s="83">
        <f ca="1">$K$536-EFEITO!$M$536*EFEITO!$Z$536</f>
        <v>1.9206324233784429</v>
      </c>
      <c r="O536" s="83">
        <f>$L$536-EFEITO!$O$536*EFEITO!$AA$536</f>
        <v>1.2638638558988333</v>
      </c>
      <c r="P536" s="28"/>
      <c r="Q536" s="28"/>
      <c r="R536" s="28"/>
      <c r="S536" s="28"/>
      <c r="T536" s="28"/>
      <c r="U536" s="28"/>
      <c r="V536" s="28"/>
      <c r="W536" s="28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72" t="s">
        <v>21</v>
      </c>
      <c r="B537" s="72" t="s">
        <v>43</v>
      </c>
      <c r="C537" s="72" t="s">
        <v>23</v>
      </c>
      <c r="D537" s="72" t="s">
        <v>44</v>
      </c>
      <c r="E537" s="72" t="s">
        <v>53</v>
      </c>
      <c r="F537" s="72" t="s">
        <v>54</v>
      </c>
      <c r="G537" s="72" t="s">
        <v>25</v>
      </c>
      <c r="H537" s="72" t="s">
        <v>25</v>
      </c>
      <c r="I537" s="82">
        <v>44593</v>
      </c>
      <c r="J537" s="83">
        <f>EFEITO!$J$537*EFEITO!$Y$400</f>
        <v>0</v>
      </c>
      <c r="K537" s="83">
        <f ca="1">EFEITO!$L$537*EFEITO!$Z$400</f>
        <v>9252.646699625624</v>
      </c>
      <c r="L537" s="83">
        <f>EFEITO!$N$537*EFEITO!$AA$400</f>
        <v>6088.664125792604</v>
      </c>
      <c r="M537" s="83">
        <f>$J$537-EFEITO!$K$537*EFEITO!$Y$537</f>
        <v>0</v>
      </c>
      <c r="N537" s="83">
        <f ca="1">$K$537-EFEITO!$M$537*EFEITO!$Z$537</f>
        <v>555.15880197753722</v>
      </c>
      <c r="O537" s="83">
        <f>$L$537-EFEITO!$O$537*EFEITO!$AA$537</f>
        <v>365.31984754755649</v>
      </c>
      <c r="P537" s="28"/>
      <c r="Q537" s="28"/>
      <c r="R537" s="28"/>
      <c r="S537" s="28"/>
      <c r="T537" s="28"/>
      <c r="U537" s="28"/>
      <c r="V537" s="28"/>
      <c r="W537" s="28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72" t="s">
        <v>28</v>
      </c>
      <c r="B538" s="72" t="s">
        <v>43</v>
      </c>
      <c r="C538" s="72" t="s">
        <v>23</v>
      </c>
      <c r="D538" s="72" t="s">
        <v>44</v>
      </c>
      <c r="E538" s="72" t="s">
        <v>53</v>
      </c>
      <c r="F538" s="72" t="s">
        <v>54</v>
      </c>
      <c r="G538" s="72" t="s">
        <v>25</v>
      </c>
      <c r="H538" s="72" t="s">
        <v>25</v>
      </c>
      <c r="I538" s="82">
        <v>44593</v>
      </c>
      <c r="J538" s="83">
        <f>EFEITO!$J$538*EFEITO!$Y$400</f>
        <v>0</v>
      </c>
      <c r="K538" s="83">
        <f ca="1">EFEITO!$L$538*EFEITO!$Z$400</f>
        <v>32.010540389640632</v>
      </c>
      <c r="L538" s="83">
        <f>EFEITO!$N$538*EFEITO!$AA$400</f>
        <v>21.064397598313803</v>
      </c>
      <c r="M538" s="83">
        <f>$J$538-EFEITO!$K$538*EFEITO!$Y$538</f>
        <v>0</v>
      </c>
      <c r="N538" s="83">
        <f ca="1">$K$538-EFEITO!$M$538*EFEITO!$Z$538</f>
        <v>1.9206324233784429</v>
      </c>
      <c r="O538" s="83">
        <f>$L$538-EFEITO!$O$538*EFEITO!$AA$538</f>
        <v>1.2638638558988333</v>
      </c>
      <c r="P538" s="28"/>
      <c r="Q538" s="28"/>
      <c r="R538" s="28"/>
      <c r="S538" s="28"/>
      <c r="T538" s="28"/>
      <c r="U538" s="28"/>
      <c r="V538" s="28"/>
      <c r="W538" s="28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72" t="s">
        <v>21</v>
      </c>
      <c r="B539" s="72" t="s">
        <v>43</v>
      </c>
      <c r="C539" s="72" t="s">
        <v>23</v>
      </c>
      <c r="D539" s="72" t="s">
        <v>44</v>
      </c>
      <c r="E539" s="72" t="s">
        <v>53</v>
      </c>
      <c r="F539" s="72" t="s">
        <v>54</v>
      </c>
      <c r="G539" s="72" t="s">
        <v>25</v>
      </c>
      <c r="H539" s="72" t="s">
        <v>25</v>
      </c>
      <c r="I539" s="82">
        <v>44621</v>
      </c>
      <c r="J539" s="83">
        <f>EFEITO!$J$539*EFEITO!$Y$400</f>
        <v>0</v>
      </c>
      <c r="K539" s="83">
        <f ca="1">EFEITO!$L$539*EFEITO!$Z$400</f>
        <v>11627.82879653696</v>
      </c>
      <c r="L539" s="83">
        <f>EFEITO!$N$539*EFEITO!$AA$400</f>
        <v>7651.6424275874888</v>
      </c>
      <c r="M539" s="83">
        <f>$J$539-EFEITO!$K$539*EFEITO!$Y$539</f>
        <v>0</v>
      </c>
      <c r="N539" s="83">
        <f ca="1">$K$539-EFEITO!$M$539*EFEITO!$Z$539</f>
        <v>697.66972779221942</v>
      </c>
      <c r="O539" s="83">
        <f>$L$539-EFEITO!$O$539*EFEITO!$AA$539</f>
        <v>459.09854565525075</v>
      </c>
      <c r="P539" s="28"/>
      <c r="Q539" s="28"/>
      <c r="R539" s="28"/>
      <c r="S539" s="28"/>
      <c r="T539" s="28"/>
      <c r="U539" s="28"/>
      <c r="V539" s="28"/>
      <c r="W539" s="28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72" t="s">
        <v>28</v>
      </c>
      <c r="B540" s="72" t="s">
        <v>43</v>
      </c>
      <c r="C540" s="72" t="s">
        <v>23</v>
      </c>
      <c r="D540" s="72" t="s">
        <v>44</v>
      </c>
      <c r="E540" s="72" t="s">
        <v>53</v>
      </c>
      <c r="F540" s="72" t="s">
        <v>54</v>
      </c>
      <c r="G540" s="72" t="s">
        <v>25</v>
      </c>
      <c r="H540" s="72" t="s">
        <v>25</v>
      </c>
      <c r="I540" s="82">
        <v>44621</v>
      </c>
      <c r="J540" s="83">
        <f>EFEITO!$J$540*EFEITO!$Y$400</f>
        <v>0</v>
      </c>
      <c r="K540" s="83">
        <f ca="1">EFEITO!$L$540*EFEITO!$Z$400</f>
        <v>32.010540389640632</v>
      </c>
      <c r="L540" s="83">
        <f>EFEITO!$N$540*EFEITO!$AA$400</f>
        <v>21.064397598313803</v>
      </c>
      <c r="M540" s="83">
        <f>$J$540-EFEITO!$K$540*EFEITO!$Y$540</f>
        <v>0</v>
      </c>
      <c r="N540" s="83">
        <f ca="1">$K$540-EFEITO!$M$540*EFEITO!$Z$540</f>
        <v>1.9206324233784429</v>
      </c>
      <c r="O540" s="83">
        <f>$L$540-EFEITO!$O$540*EFEITO!$AA$540</f>
        <v>1.2638638558988333</v>
      </c>
      <c r="P540" s="28"/>
      <c r="Q540" s="28"/>
      <c r="R540" s="28"/>
      <c r="S540" s="28"/>
      <c r="T540" s="28"/>
      <c r="U540" s="28"/>
      <c r="V540" s="28"/>
      <c r="W540" s="28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72" t="s">
        <v>21</v>
      </c>
      <c r="B541" s="72" t="s">
        <v>43</v>
      </c>
      <c r="C541" s="72" t="s">
        <v>23</v>
      </c>
      <c r="D541" s="72" t="s">
        <v>44</v>
      </c>
      <c r="E541" s="72" t="s">
        <v>53</v>
      </c>
      <c r="F541" s="72" t="s">
        <v>54</v>
      </c>
      <c r="G541" s="72" t="s">
        <v>25</v>
      </c>
      <c r="H541" s="72" t="s">
        <v>25</v>
      </c>
      <c r="I541" s="82">
        <v>44652</v>
      </c>
      <c r="J541" s="83">
        <f>EFEITO!$J$541*EFEITO!$Y$400</f>
        <v>0</v>
      </c>
      <c r="K541" s="83">
        <f ca="1">EFEITO!$L$541*EFEITO!$Z$400</f>
        <v>13172.657475741016</v>
      </c>
      <c r="L541" s="83">
        <f>EFEITO!$N$541*EFEITO!$AA$400</f>
        <v>8668.2102556821119</v>
      </c>
      <c r="M541" s="83">
        <f>$J$541-EFEITO!$K$541*EFEITO!$Y$541</f>
        <v>0</v>
      </c>
      <c r="N541" s="83">
        <f ca="1">$K$541-EFEITO!$M$541*EFEITO!$Z$541</f>
        <v>790.35944854446279</v>
      </c>
      <c r="O541" s="83">
        <f>$L$541-EFEITO!$O$541*EFEITO!$AA$541</f>
        <v>520.0926153409273</v>
      </c>
      <c r="P541" s="28"/>
      <c r="Q541" s="28"/>
      <c r="R541" s="28"/>
      <c r="S541" s="28"/>
      <c r="T541" s="28"/>
      <c r="U541" s="28"/>
      <c r="V541" s="28"/>
      <c r="W541" s="28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72" t="s">
        <v>21</v>
      </c>
      <c r="B542" s="72" t="s">
        <v>43</v>
      </c>
      <c r="C542" s="72" t="s">
        <v>23</v>
      </c>
      <c r="D542" s="72" t="s">
        <v>44</v>
      </c>
      <c r="E542" s="72" t="s">
        <v>53</v>
      </c>
      <c r="F542" s="72" t="s">
        <v>55</v>
      </c>
      <c r="G542" s="72" t="s">
        <v>25</v>
      </c>
      <c r="H542" s="72" t="s">
        <v>25</v>
      </c>
      <c r="I542" s="82">
        <v>44317</v>
      </c>
      <c r="J542" s="83">
        <f>EFEITO!$J$542*EFEITO!$Y$400</f>
        <v>0</v>
      </c>
      <c r="K542" s="83">
        <f ca="1">EFEITO!$L$542*EFEITO!$Z$400</f>
        <v>9172.300243247626</v>
      </c>
      <c r="L542" s="83">
        <f>EFEITO!$N$542*EFEITO!$AA$400</f>
        <v>6035.792487820836</v>
      </c>
      <c r="M542" s="83">
        <f>$J$542-EFEITO!$K$542*EFEITO!$Y$542</f>
        <v>0</v>
      </c>
      <c r="N542" s="83">
        <f ca="1">$K$542-EFEITO!$M$542*EFEITO!$Z$542</f>
        <v>5723.5153517865183</v>
      </c>
      <c r="O542" s="83">
        <f>$L$542-EFEITO!$O$542*EFEITO!$AA$542</f>
        <v>3766.3345124002017</v>
      </c>
      <c r="P542" s="28"/>
      <c r="Q542" s="28"/>
      <c r="R542" s="28"/>
      <c r="S542" s="28"/>
      <c r="T542" s="28"/>
      <c r="U542" s="28"/>
      <c r="V542" s="28"/>
      <c r="W542" s="28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72" t="s">
        <v>21</v>
      </c>
      <c r="B543" s="72" t="s">
        <v>43</v>
      </c>
      <c r="C543" s="72" t="s">
        <v>23</v>
      </c>
      <c r="D543" s="72" t="s">
        <v>44</v>
      </c>
      <c r="E543" s="72" t="s">
        <v>53</v>
      </c>
      <c r="F543" s="72" t="s">
        <v>55</v>
      </c>
      <c r="G543" s="72" t="s">
        <v>25</v>
      </c>
      <c r="H543" s="72" t="s">
        <v>25</v>
      </c>
      <c r="I543" s="82">
        <v>44348</v>
      </c>
      <c r="J543" s="83">
        <f>EFEITO!$J$543*EFEITO!$Y$400</f>
        <v>0</v>
      </c>
      <c r="K543" s="83">
        <f ca="1">EFEITO!$L$543*EFEITO!$Z$400</f>
        <v>8680.2982374588501</v>
      </c>
      <c r="L543" s="83">
        <f>EFEITO!$N$543*EFEITO!$AA$400</f>
        <v>5712.0326967347537</v>
      </c>
      <c r="M543" s="83">
        <f>$J$543-EFEITO!$K$543*EFEITO!$Y$543</f>
        <v>0</v>
      </c>
      <c r="N543" s="83">
        <f ca="1">$K$543-EFEITO!$M$543*EFEITO!$Z$543</f>
        <v>5416.5061001743234</v>
      </c>
      <c r="O543" s="83">
        <f>$L$543-EFEITO!$O$543*EFEITO!$AA$543</f>
        <v>3564.3084027624868</v>
      </c>
      <c r="P543" s="28"/>
      <c r="Q543" s="28"/>
      <c r="R543" s="28"/>
      <c r="S543" s="28"/>
      <c r="T543" s="28"/>
      <c r="U543" s="28"/>
      <c r="V543" s="28"/>
      <c r="W543" s="28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72" t="s">
        <v>21</v>
      </c>
      <c r="B544" s="72" t="s">
        <v>43</v>
      </c>
      <c r="C544" s="72" t="s">
        <v>23</v>
      </c>
      <c r="D544" s="72" t="s">
        <v>44</v>
      </c>
      <c r="E544" s="72" t="s">
        <v>53</v>
      </c>
      <c r="F544" s="72" t="s">
        <v>55</v>
      </c>
      <c r="G544" s="72" t="s">
        <v>25</v>
      </c>
      <c r="H544" s="72" t="s">
        <v>25</v>
      </c>
      <c r="I544" s="82">
        <v>44378</v>
      </c>
      <c r="J544" s="83">
        <f>EFEITO!$J$544*EFEITO!$Y$400</f>
        <v>0</v>
      </c>
      <c r="K544" s="83">
        <f ca="1">EFEITO!$L$544*EFEITO!$Z$400</f>
        <v>7542.323526607126</v>
      </c>
      <c r="L544" s="83">
        <f>EFEITO!$N$544*EFEITO!$AA$400</f>
        <v>4963.1933621146982</v>
      </c>
      <c r="M544" s="83">
        <f>$J$544-EFEITO!$K$544*EFEITO!$Y$544</f>
        <v>0</v>
      </c>
      <c r="N544" s="83">
        <f ca="1">$K$544-EFEITO!$M$544*EFEITO!$Z$544</f>
        <v>4706.4098806028469</v>
      </c>
      <c r="O544" s="83">
        <f>$L$544-EFEITO!$O$544*EFEITO!$AA$544</f>
        <v>3097.0326579595721</v>
      </c>
      <c r="P544" s="28"/>
      <c r="Q544" s="28"/>
      <c r="R544" s="28"/>
      <c r="S544" s="28"/>
      <c r="T544" s="28"/>
      <c r="U544" s="28"/>
      <c r="V544" s="28"/>
      <c r="W544" s="28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72" t="s">
        <v>21</v>
      </c>
      <c r="B545" s="72" t="s">
        <v>43</v>
      </c>
      <c r="C545" s="72" t="s">
        <v>23</v>
      </c>
      <c r="D545" s="72" t="s">
        <v>44</v>
      </c>
      <c r="E545" s="72" t="s">
        <v>53</v>
      </c>
      <c r="F545" s="72" t="s">
        <v>55</v>
      </c>
      <c r="G545" s="72" t="s">
        <v>25</v>
      </c>
      <c r="H545" s="72" t="s">
        <v>25</v>
      </c>
      <c r="I545" s="82">
        <v>44409</v>
      </c>
      <c r="J545" s="83">
        <f>EFEITO!$J$545*EFEITO!$Y$400</f>
        <v>0</v>
      </c>
      <c r="K545" s="83">
        <f ca="1">EFEITO!$L$545*EFEITO!$Z$400</f>
        <v>10284.666521787638</v>
      </c>
      <c r="L545" s="83">
        <f>EFEITO!$N$545*EFEITO!$AA$400</f>
        <v>6767.7803043622407</v>
      </c>
      <c r="M545" s="83">
        <f>$J$545-EFEITO!$K$545*EFEITO!$Y$545</f>
        <v>0</v>
      </c>
      <c r="N545" s="83">
        <f ca="1">$K$545-EFEITO!$M$545*EFEITO!$Z$545</f>
        <v>6417.6319095954868</v>
      </c>
      <c r="O545" s="83">
        <f>$L$545-EFEITO!$O$545*EFEITO!$AA$545</f>
        <v>4223.0949099220379</v>
      </c>
      <c r="P545" s="28"/>
      <c r="Q545" s="28"/>
      <c r="R545" s="28"/>
      <c r="S545" s="28"/>
      <c r="T545" s="28"/>
      <c r="U545" s="28"/>
      <c r="V545" s="28"/>
      <c r="W545" s="28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72" t="s">
        <v>28</v>
      </c>
      <c r="B546" s="72" t="s">
        <v>43</v>
      </c>
      <c r="C546" s="72" t="s">
        <v>23</v>
      </c>
      <c r="D546" s="72" t="s">
        <v>44</v>
      </c>
      <c r="E546" s="72" t="s">
        <v>53</v>
      </c>
      <c r="F546" s="72" t="s">
        <v>55</v>
      </c>
      <c r="G546" s="72" t="s">
        <v>25</v>
      </c>
      <c r="H546" s="72" t="s">
        <v>25</v>
      </c>
      <c r="I546" s="82">
        <v>44409</v>
      </c>
      <c r="J546" s="83">
        <f>EFEITO!$J$546*EFEITO!$Y$400</f>
        <v>0</v>
      </c>
      <c r="K546" s="83">
        <f ca="1">EFEITO!$L$546*EFEITO!$Z$400</f>
        <v>119.39931565335955</v>
      </c>
      <c r="L546" s="83">
        <f>EFEITO!$N$546*EFEITO!$AA$400</f>
        <v>78.570203041710471</v>
      </c>
      <c r="M546" s="83">
        <f>$J$546-EFEITO!$K$546*EFEITO!$Y$546</f>
        <v>0</v>
      </c>
      <c r="N546" s="83">
        <f ca="1">$K$546-EFEITO!$M$546*EFEITO!$Z$546</f>
        <v>7.1639589392015921</v>
      </c>
      <c r="O546" s="83">
        <f>$L$546-EFEITO!$O$546*EFEITO!$AA$546</f>
        <v>4.7142121825026351</v>
      </c>
      <c r="P546" s="28"/>
      <c r="Q546" s="28"/>
      <c r="R546" s="28"/>
      <c r="S546" s="28"/>
      <c r="T546" s="28"/>
      <c r="U546" s="28"/>
      <c r="V546" s="28"/>
      <c r="W546" s="28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72" t="s">
        <v>21</v>
      </c>
      <c r="B547" s="72" t="s">
        <v>43</v>
      </c>
      <c r="C547" s="72" t="s">
        <v>23</v>
      </c>
      <c r="D547" s="72" t="s">
        <v>44</v>
      </c>
      <c r="E547" s="72" t="s">
        <v>53</v>
      </c>
      <c r="F547" s="72" t="s">
        <v>55</v>
      </c>
      <c r="G547" s="72" t="s">
        <v>25</v>
      </c>
      <c r="H547" s="72" t="s">
        <v>25</v>
      </c>
      <c r="I547" s="82">
        <v>44440</v>
      </c>
      <c r="J547" s="83">
        <f>EFEITO!$J$547*EFEITO!$Y$400</f>
        <v>0</v>
      </c>
      <c r="K547" s="83">
        <f ca="1">EFEITO!$L$547*EFEITO!$Z$400</f>
        <v>12372.393966000001</v>
      </c>
      <c r="L547" s="83">
        <f>EFEITO!$N$547*EFEITO!$AA$400</f>
        <v>8141.6003157242676</v>
      </c>
      <c r="M547" s="83">
        <f>$J$547-EFEITO!$K$547*EFEITO!$Y$547</f>
        <v>0</v>
      </c>
      <c r="N547" s="83">
        <f ca="1">$K$547-EFEITO!$M$547*EFEITO!$Z$547</f>
        <v>7720.3738347840017</v>
      </c>
      <c r="O547" s="83">
        <f>$L$547-EFEITO!$O$547*EFEITO!$AA$547</f>
        <v>5080.3585970119439</v>
      </c>
      <c r="P547" s="28"/>
      <c r="Q547" s="28"/>
      <c r="R547" s="28"/>
      <c r="S547" s="28"/>
      <c r="T547" s="28"/>
      <c r="U547" s="28"/>
      <c r="V547" s="28"/>
      <c r="W547" s="28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72" t="s">
        <v>28</v>
      </c>
      <c r="B548" s="72" t="s">
        <v>43</v>
      </c>
      <c r="C548" s="72" t="s">
        <v>23</v>
      </c>
      <c r="D548" s="72" t="s">
        <v>44</v>
      </c>
      <c r="E548" s="72" t="s">
        <v>53</v>
      </c>
      <c r="F548" s="72" t="s">
        <v>55</v>
      </c>
      <c r="G548" s="72" t="s">
        <v>25</v>
      </c>
      <c r="H548" s="72" t="s">
        <v>25</v>
      </c>
      <c r="I548" s="82">
        <v>44440</v>
      </c>
      <c r="J548" s="83">
        <f>EFEITO!$J$548*EFEITO!$Y$400</f>
        <v>0</v>
      </c>
      <c r="K548" s="83">
        <f ca="1">EFEITO!$L$548*EFEITO!$Z$400</f>
        <v>1028.8187681230499</v>
      </c>
      <c r="L548" s="83">
        <f>EFEITO!$N$548*EFEITO!$AA$400</f>
        <v>677.00973880980553</v>
      </c>
      <c r="M548" s="83">
        <f>$J$548-EFEITO!$K$548*EFEITO!$Y$548</f>
        <v>0</v>
      </c>
      <c r="N548" s="83">
        <f ca="1">$K$548-EFEITO!$M$548*EFEITO!$Z$548</f>
        <v>61.729126087383179</v>
      </c>
      <c r="O548" s="83">
        <f>$L$548-EFEITO!$O$548*EFEITO!$AA$548</f>
        <v>40.620584328588393</v>
      </c>
      <c r="P548" s="28"/>
      <c r="Q548" s="28"/>
      <c r="R548" s="28"/>
      <c r="S548" s="28"/>
      <c r="T548" s="28"/>
      <c r="U548" s="28"/>
      <c r="V548" s="28"/>
      <c r="W548" s="28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72" t="s">
        <v>21</v>
      </c>
      <c r="B549" s="72" t="s">
        <v>43</v>
      </c>
      <c r="C549" s="72" t="s">
        <v>23</v>
      </c>
      <c r="D549" s="72" t="s">
        <v>44</v>
      </c>
      <c r="E549" s="72" t="s">
        <v>53</v>
      </c>
      <c r="F549" s="72" t="s">
        <v>55</v>
      </c>
      <c r="G549" s="72" t="s">
        <v>25</v>
      </c>
      <c r="H549" s="72" t="s">
        <v>25</v>
      </c>
      <c r="I549" s="82">
        <v>44470</v>
      </c>
      <c r="J549" s="83">
        <f>EFEITO!$J$549*EFEITO!$Y$400</f>
        <v>0</v>
      </c>
      <c r="K549" s="83">
        <f ca="1">EFEITO!$L$549*EFEITO!$Z$400</f>
        <v>10055.150947193915</v>
      </c>
      <c r="L549" s="83">
        <f>EFEITO!$N$549*EFEITO!$AA$400</f>
        <v>6616.7485735823311</v>
      </c>
      <c r="M549" s="83">
        <f>$J$549-EFEITO!$K$549*EFEITO!$Y$549</f>
        <v>0</v>
      </c>
      <c r="N549" s="83">
        <f ca="1">$K$549-EFEITO!$M$549*EFEITO!$Z$549</f>
        <v>6274.4141910490034</v>
      </c>
      <c r="O549" s="83">
        <f>$L$549-EFEITO!$O$549*EFEITO!$AA$549</f>
        <v>4128.8511099153748</v>
      </c>
      <c r="P549" s="28"/>
      <c r="Q549" s="28"/>
      <c r="R549" s="28"/>
      <c r="S549" s="28"/>
      <c r="T549" s="28"/>
      <c r="U549" s="28"/>
      <c r="V549" s="28"/>
      <c r="W549" s="28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72" t="s">
        <v>21</v>
      </c>
      <c r="B550" s="72" t="s">
        <v>43</v>
      </c>
      <c r="C550" s="72" t="s">
        <v>23</v>
      </c>
      <c r="D550" s="72" t="s">
        <v>44</v>
      </c>
      <c r="E550" s="72" t="s">
        <v>53</v>
      </c>
      <c r="F550" s="72" t="s">
        <v>55</v>
      </c>
      <c r="G550" s="72" t="s">
        <v>25</v>
      </c>
      <c r="H550" s="72" t="s">
        <v>25</v>
      </c>
      <c r="I550" s="82">
        <v>44501</v>
      </c>
      <c r="J550" s="83">
        <f>EFEITO!$J$550*EFEITO!$Y$400</f>
        <v>0</v>
      </c>
      <c r="K550" s="83">
        <f ca="1">EFEITO!$L$550*EFEITO!$Z$400</f>
        <v>1586.762487114486</v>
      </c>
      <c r="L550" s="83">
        <f>EFEITO!$N$550*EFEITO!$AA$400</f>
        <v>1044.162188948415</v>
      </c>
      <c r="M550" s="83">
        <f>$J$550-EFEITO!$K$550*EFEITO!$Y$550</f>
        <v>0</v>
      </c>
      <c r="N550" s="83">
        <f ca="1">$K$550-EFEITO!$M$550*EFEITO!$Z$550</f>
        <v>990.13979195943932</v>
      </c>
      <c r="O550" s="83">
        <f>$L$550-EFEITO!$O$550*EFEITO!$AA$550</f>
        <v>651.55720590381088</v>
      </c>
      <c r="P550" s="28"/>
      <c r="Q550" s="28"/>
      <c r="R550" s="28"/>
      <c r="S550" s="28"/>
      <c r="T550" s="28"/>
      <c r="U550" s="28"/>
      <c r="V550" s="28"/>
      <c r="W550" s="28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72" t="s">
        <v>21</v>
      </c>
      <c r="B551" s="72" t="s">
        <v>43</v>
      </c>
      <c r="C551" s="72" t="s">
        <v>23</v>
      </c>
      <c r="D551" s="72" t="s">
        <v>44</v>
      </c>
      <c r="E551" s="72" t="s">
        <v>53</v>
      </c>
      <c r="F551" s="72" t="s">
        <v>55</v>
      </c>
      <c r="G551" s="72" t="s">
        <v>25</v>
      </c>
      <c r="H551" s="72" t="s">
        <v>25</v>
      </c>
      <c r="I551" s="82">
        <v>44531</v>
      </c>
      <c r="J551" s="83">
        <f>EFEITO!$J$551*EFEITO!$Y$400</f>
        <v>0</v>
      </c>
      <c r="K551" s="83">
        <f ca="1">EFEITO!$L$551*EFEITO!$Z$400</f>
        <v>1526.5826711819616</v>
      </c>
      <c r="L551" s="83">
        <f>EFEITO!$N$551*EFEITO!$AA$400</f>
        <v>1004.5611214635852</v>
      </c>
      <c r="M551" s="83">
        <f>$J$551-EFEITO!$K$551*EFEITO!$Y$551</f>
        <v>0</v>
      </c>
      <c r="N551" s="83">
        <f ca="1">$K$551-EFEITO!$M$551*EFEITO!$Z$551</f>
        <v>952.58758681754409</v>
      </c>
      <c r="O551" s="83">
        <f>$L$551-EFEITO!$O$551*EFEITO!$AA$551</f>
        <v>626.84613979327719</v>
      </c>
      <c r="P551" s="28"/>
      <c r="Q551" s="28"/>
      <c r="R551" s="28"/>
      <c r="S551" s="28"/>
      <c r="T551" s="28"/>
      <c r="U551" s="28"/>
      <c r="V551" s="28"/>
      <c r="W551" s="28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72" t="s">
        <v>21</v>
      </c>
      <c r="B552" s="72" t="s">
        <v>43</v>
      </c>
      <c r="C552" s="72" t="s">
        <v>23</v>
      </c>
      <c r="D552" s="72" t="s">
        <v>44</v>
      </c>
      <c r="E552" s="72" t="s">
        <v>53</v>
      </c>
      <c r="F552" s="72" t="s">
        <v>55</v>
      </c>
      <c r="G552" s="72" t="s">
        <v>25</v>
      </c>
      <c r="H552" s="72" t="s">
        <v>25</v>
      </c>
      <c r="I552" s="82">
        <v>44562</v>
      </c>
      <c r="J552" s="83">
        <f>EFEITO!$J$552*EFEITO!$Y$400</f>
        <v>0</v>
      </c>
      <c r="K552" s="83">
        <f ca="1">EFEITO!$L$552*EFEITO!$Z$400</f>
        <v>1660.7068354145558</v>
      </c>
      <c r="L552" s="83">
        <f>EFEITO!$N$552*EFEITO!$AA$400</f>
        <v>1092.82094740052</v>
      </c>
      <c r="M552" s="83">
        <f>$J$552-EFEITO!$K$552*EFEITO!$Y$552</f>
        <v>0</v>
      </c>
      <c r="N552" s="83">
        <f ca="1">$K$552-EFEITO!$M$552*EFEITO!$Z$552</f>
        <v>1036.2810652986827</v>
      </c>
      <c r="O552" s="83">
        <f>$L$552-EFEITO!$O$552*EFEITO!$AA$552</f>
        <v>681.92027117792452</v>
      </c>
      <c r="P552" s="28"/>
      <c r="Q552" s="28"/>
      <c r="R552" s="28"/>
      <c r="S552" s="28"/>
      <c r="T552" s="28"/>
      <c r="U552" s="28"/>
      <c r="V552" s="28"/>
      <c r="W552" s="28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72" t="s">
        <v>21</v>
      </c>
      <c r="B553" s="72" t="s">
        <v>43</v>
      </c>
      <c r="C553" s="72" t="s">
        <v>23</v>
      </c>
      <c r="D553" s="72" t="s">
        <v>44</v>
      </c>
      <c r="E553" s="72" t="s">
        <v>53</v>
      </c>
      <c r="F553" s="72" t="s">
        <v>55</v>
      </c>
      <c r="G553" s="72" t="s">
        <v>25</v>
      </c>
      <c r="H553" s="72" t="s">
        <v>25</v>
      </c>
      <c r="I553" s="82">
        <v>44593</v>
      </c>
      <c r="J553" s="83">
        <f>EFEITO!$J$553*EFEITO!$Y$400</f>
        <v>0</v>
      </c>
      <c r="K553" s="83">
        <f ca="1">EFEITO!$L$553*EFEITO!$Z$400</f>
        <v>1804.7542671679387</v>
      </c>
      <c r="L553" s="83">
        <f>EFEITO!$N$553*EFEITO!$AA$400</f>
        <v>1187.610736592932</v>
      </c>
      <c r="M553" s="83">
        <f>$J$553-EFEITO!$K$553*EFEITO!$Y$553</f>
        <v>0</v>
      </c>
      <c r="N553" s="83">
        <f ca="1">$K$553-EFEITO!$M$553*EFEITO!$Z$553</f>
        <v>1126.1666627127938</v>
      </c>
      <c r="O553" s="83">
        <f>$L$553-EFEITO!$O$553*EFEITO!$AA$553</f>
        <v>741.06909963398959</v>
      </c>
      <c r="P553" s="28"/>
      <c r="Q553" s="28"/>
      <c r="R553" s="28"/>
      <c r="S553" s="28"/>
      <c r="T553" s="28"/>
      <c r="U553" s="28"/>
      <c r="V553" s="28"/>
      <c r="W553" s="28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72" t="s">
        <v>21</v>
      </c>
      <c r="B554" s="72" t="s">
        <v>43</v>
      </c>
      <c r="C554" s="72" t="s">
        <v>23</v>
      </c>
      <c r="D554" s="72" t="s">
        <v>44</v>
      </c>
      <c r="E554" s="72" t="s">
        <v>53</v>
      </c>
      <c r="F554" s="72" t="s">
        <v>55</v>
      </c>
      <c r="G554" s="72" t="s">
        <v>25</v>
      </c>
      <c r="H554" s="72" t="s">
        <v>25</v>
      </c>
      <c r="I554" s="82">
        <v>44621</v>
      </c>
      <c r="J554" s="83">
        <f>EFEITO!$J$554*EFEITO!$Y$400</f>
        <v>0</v>
      </c>
      <c r="K554" s="83">
        <f ca="1">EFEITO!$L$554*EFEITO!$Z$400</f>
        <v>2989.4643669885386</v>
      </c>
      <c r="L554" s="83">
        <f>EFEITO!$N$554*EFEITO!$AA$400</f>
        <v>1967.204091706526</v>
      </c>
      <c r="M554" s="83">
        <f>$J$554-EFEITO!$K$554*EFEITO!$Y$554</f>
        <v>0</v>
      </c>
      <c r="N554" s="83">
        <f ca="1">$K$554-EFEITO!$M$554*EFEITO!$Z$554</f>
        <v>1865.4257650008483</v>
      </c>
      <c r="O554" s="83">
        <f>$L$554-EFEITO!$O$554*EFEITO!$AA$554</f>
        <v>1227.5353532248723</v>
      </c>
      <c r="P554" s="28"/>
      <c r="Q554" s="28"/>
      <c r="R554" s="28"/>
      <c r="S554" s="28"/>
      <c r="T554" s="28"/>
      <c r="U554" s="28"/>
      <c r="V554" s="28"/>
      <c r="W554" s="28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72" t="s">
        <v>21</v>
      </c>
      <c r="B555" s="72" t="s">
        <v>43</v>
      </c>
      <c r="C555" s="72" t="s">
        <v>23</v>
      </c>
      <c r="D555" s="72" t="s">
        <v>44</v>
      </c>
      <c r="E555" s="72" t="s">
        <v>53</v>
      </c>
      <c r="F555" s="72" t="s">
        <v>55</v>
      </c>
      <c r="G555" s="72" t="s">
        <v>25</v>
      </c>
      <c r="H555" s="72" t="s">
        <v>25</v>
      </c>
      <c r="I555" s="82">
        <v>44652</v>
      </c>
      <c r="J555" s="83">
        <f>EFEITO!$J$555*EFEITO!$Y$400</f>
        <v>0</v>
      </c>
      <c r="K555" s="83">
        <f ca="1">EFEITO!$L$555*EFEITO!$Z$400</f>
        <v>2974.0993076015111</v>
      </c>
      <c r="L555" s="83">
        <f>EFEITO!$N$555*EFEITO!$AA$400</f>
        <v>1957.0931808593352</v>
      </c>
      <c r="M555" s="83">
        <f>$J$555-EFEITO!$K$555*EFEITO!$Y$555</f>
        <v>0</v>
      </c>
      <c r="N555" s="83">
        <f ca="1">$K$555-EFEITO!$M$555*EFEITO!$Z$555</f>
        <v>1855.8379679433431</v>
      </c>
      <c r="O555" s="83">
        <f>$L$555-EFEITO!$O$555*EFEITO!$AA$555</f>
        <v>1221.2261448562253</v>
      </c>
      <c r="P555" s="28"/>
      <c r="Q555" s="28"/>
      <c r="R555" s="28"/>
      <c r="S555" s="28"/>
      <c r="T555" s="28"/>
      <c r="U555" s="28"/>
      <c r="V555" s="28"/>
      <c r="W555" s="28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72" t="s">
        <v>21</v>
      </c>
      <c r="B556" s="72" t="s">
        <v>43</v>
      </c>
      <c r="C556" s="72" t="s">
        <v>23</v>
      </c>
      <c r="D556" s="72" t="s">
        <v>44</v>
      </c>
      <c r="E556" s="72" t="s">
        <v>56</v>
      </c>
      <c r="F556" s="72" t="s">
        <v>54</v>
      </c>
      <c r="G556" s="72" t="s">
        <v>25</v>
      </c>
      <c r="H556" s="72" t="s">
        <v>25</v>
      </c>
      <c r="I556" s="82">
        <v>44317</v>
      </c>
      <c r="J556" s="83">
        <f>EFEITO!$J$556*EFEITO!$Y$400</f>
        <v>0</v>
      </c>
      <c r="K556" s="83">
        <f ca="1">EFEITO!$L$556*EFEITO!$Z$400</f>
        <v>201.98650985863239</v>
      </c>
      <c r="L556" s="83">
        <f>EFEITO!$N$556*EFEITO!$AA$400</f>
        <v>132.91634884536009</v>
      </c>
      <c r="M556" s="83">
        <f>$J$556-EFEITO!$K$556*EFEITO!$Y$556</f>
        <v>0</v>
      </c>
      <c r="N556" s="83">
        <f ca="1">$K$556-EFEITO!$M$556*EFEITO!$Z$556</f>
        <v>12.119190591517963</v>
      </c>
      <c r="O556" s="83">
        <f>$L$556-EFEITO!$O$556*EFEITO!$AA$556</f>
        <v>7.9749809307216282</v>
      </c>
      <c r="P556" s="28"/>
      <c r="Q556" s="28"/>
      <c r="R556" s="28"/>
      <c r="S556" s="28"/>
      <c r="T556" s="28"/>
      <c r="U556" s="28"/>
      <c r="V556" s="28"/>
      <c r="W556" s="28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72" t="s">
        <v>21</v>
      </c>
      <c r="B557" s="72" t="s">
        <v>43</v>
      </c>
      <c r="C557" s="72" t="s">
        <v>23</v>
      </c>
      <c r="D557" s="72" t="s">
        <v>44</v>
      </c>
      <c r="E557" s="72" t="s">
        <v>56</v>
      </c>
      <c r="F557" s="72" t="s">
        <v>54</v>
      </c>
      <c r="G557" s="72" t="s">
        <v>25</v>
      </c>
      <c r="H557" s="72" t="s">
        <v>25</v>
      </c>
      <c r="I557" s="82">
        <v>44348</v>
      </c>
      <c r="J557" s="83">
        <f>EFEITO!$J$557*EFEITO!$Y$400</f>
        <v>0</v>
      </c>
      <c r="K557" s="83">
        <f ca="1">EFEITO!$L$557*EFEITO!$Z$400</f>
        <v>1188.871470071253</v>
      </c>
      <c r="L557" s="83">
        <f>EFEITO!$N$557*EFEITO!$AA$400</f>
        <v>782.33172680137454</v>
      </c>
      <c r="M557" s="83">
        <f>$J$557-EFEITO!$K$557*EFEITO!$Y$557</f>
        <v>0</v>
      </c>
      <c r="N557" s="83">
        <f ca="1">$K$557-EFEITO!$M$557*EFEITO!$Z$557</f>
        <v>71.332288204275301</v>
      </c>
      <c r="O557" s="83">
        <f>$L$557-EFEITO!$O$557*EFEITO!$AA$557</f>
        <v>46.939903608082545</v>
      </c>
      <c r="P557" s="28"/>
      <c r="Q557" s="28"/>
      <c r="R557" s="28"/>
      <c r="S557" s="28"/>
      <c r="T557" s="28"/>
      <c r="U557" s="28"/>
      <c r="V557" s="28"/>
      <c r="W557" s="28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72" t="s">
        <v>21</v>
      </c>
      <c r="B558" s="72" t="s">
        <v>43</v>
      </c>
      <c r="C558" s="72" t="s">
        <v>23</v>
      </c>
      <c r="D558" s="72" t="s">
        <v>44</v>
      </c>
      <c r="E558" s="72" t="s">
        <v>56</v>
      </c>
      <c r="F558" s="72" t="s">
        <v>54</v>
      </c>
      <c r="G558" s="72" t="s">
        <v>25</v>
      </c>
      <c r="H558" s="72" t="s">
        <v>25</v>
      </c>
      <c r="I558" s="82">
        <v>44378</v>
      </c>
      <c r="J558" s="83">
        <f>EFEITO!$J$558*EFEITO!$Y$400</f>
        <v>0</v>
      </c>
      <c r="K558" s="83">
        <f ca="1">EFEITO!$L$558*EFEITO!$Z$400</f>
        <v>1153.6598756426483</v>
      </c>
      <c r="L558" s="83">
        <f>EFEITO!$N$558*EFEITO!$AA$400</f>
        <v>759.16088944322939</v>
      </c>
      <c r="M558" s="83">
        <f>$J$558-EFEITO!$K$558*EFEITO!$Y$558</f>
        <v>0</v>
      </c>
      <c r="N558" s="83">
        <f ca="1">$K$558-EFEITO!$M$558*EFEITO!$Z$558</f>
        <v>69.219592538559027</v>
      </c>
      <c r="O558" s="83">
        <f>$L$558-EFEITO!$O$558*EFEITO!$AA$558</f>
        <v>45.549653366593816</v>
      </c>
      <c r="P558" s="28"/>
      <c r="Q558" s="28"/>
      <c r="R558" s="28"/>
      <c r="S558" s="28"/>
      <c r="T558" s="28"/>
      <c r="U558" s="28"/>
      <c r="V558" s="28"/>
      <c r="W558" s="28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72" t="s">
        <v>21</v>
      </c>
      <c r="B559" s="72" t="s">
        <v>43</v>
      </c>
      <c r="C559" s="72" t="s">
        <v>23</v>
      </c>
      <c r="D559" s="72" t="s">
        <v>44</v>
      </c>
      <c r="E559" s="72" t="s">
        <v>56</v>
      </c>
      <c r="F559" s="72" t="s">
        <v>54</v>
      </c>
      <c r="G559" s="72" t="s">
        <v>25</v>
      </c>
      <c r="H559" s="72" t="s">
        <v>25</v>
      </c>
      <c r="I559" s="82">
        <v>44409</v>
      </c>
      <c r="J559" s="83">
        <f>EFEITO!$J$559*EFEITO!$Y$400</f>
        <v>0</v>
      </c>
      <c r="K559" s="83">
        <f ca="1">EFEITO!$L$559*EFEITO!$Z$400</f>
        <v>1310.5115235518874</v>
      </c>
      <c r="L559" s="83">
        <f>EFEITO!$N$559*EFEITO!$AA$400</f>
        <v>862.37643767496706</v>
      </c>
      <c r="M559" s="83">
        <f>$J$559-EFEITO!$K$559*EFEITO!$Y$559</f>
        <v>0</v>
      </c>
      <c r="N559" s="83">
        <f ca="1">$K$559-EFEITO!$M$559*EFEITO!$Z$559</f>
        <v>78.630691413113254</v>
      </c>
      <c r="O559" s="83">
        <f>$L$559-EFEITO!$O$559*EFEITO!$AA$559</f>
        <v>51.742586260498115</v>
      </c>
      <c r="P559" s="28"/>
      <c r="Q559" s="28"/>
      <c r="R559" s="28"/>
      <c r="S559" s="28"/>
      <c r="T559" s="28"/>
      <c r="U559" s="28"/>
      <c r="V559" s="28"/>
      <c r="W559" s="28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72" t="s">
        <v>21</v>
      </c>
      <c r="B560" s="72" t="s">
        <v>43</v>
      </c>
      <c r="C560" s="72" t="s">
        <v>23</v>
      </c>
      <c r="D560" s="72" t="s">
        <v>44</v>
      </c>
      <c r="E560" s="72" t="s">
        <v>56</v>
      </c>
      <c r="F560" s="72" t="s">
        <v>54</v>
      </c>
      <c r="G560" s="72" t="s">
        <v>25</v>
      </c>
      <c r="H560" s="72" t="s">
        <v>25</v>
      </c>
      <c r="I560" s="82">
        <v>44440</v>
      </c>
      <c r="J560" s="83">
        <f>EFEITO!$J$560*EFEITO!$Y$400</f>
        <v>0</v>
      </c>
      <c r="K560" s="83">
        <f ca="1">EFEITO!$L$560*EFEITO!$Z$400</f>
        <v>1256.7338156972912</v>
      </c>
      <c r="L560" s="83">
        <f>EFEITO!$N$560*EFEITO!$AA$400</f>
        <v>826.98824970979979</v>
      </c>
      <c r="M560" s="83">
        <f>$J$560-EFEITO!$K$560*EFEITO!$Y$560</f>
        <v>0</v>
      </c>
      <c r="N560" s="83">
        <f ca="1">$K$560-EFEITO!$M$560*EFEITO!$Z$560</f>
        <v>75.404028941837623</v>
      </c>
      <c r="O560" s="83">
        <f>$L$560-EFEITO!$O$560*EFEITO!$AA$560</f>
        <v>49.619294982588031</v>
      </c>
      <c r="P560" s="28"/>
      <c r="Q560" s="28"/>
      <c r="R560" s="28"/>
      <c r="S560" s="28"/>
      <c r="T560" s="28"/>
      <c r="U560" s="28"/>
      <c r="V560" s="28"/>
      <c r="W560" s="28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72" t="s">
        <v>21</v>
      </c>
      <c r="B561" s="72" t="s">
        <v>43</v>
      </c>
      <c r="C561" s="72" t="s">
        <v>23</v>
      </c>
      <c r="D561" s="72" t="s">
        <v>44</v>
      </c>
      <c r="E561" s="72" t="s">
        <v>56</v>
      </c>
      <c r="F561" s="72" t="s">
        <v>54</v>
      </c>
      <c r="G561" s="72" t="s">
        <v>25</v>
      </c>
      <c r="H561" s="72" t="s">
        <v>25</v>
      </c>
      <c r="I561" s="82">
        <v>44470</v>
      </c>
      <c r="J561" s="83">
        <f>EFEITO!$J$561*EFEITO!$Y$400</f>
        <v>0</v>
      </c>
      <c r="K561" s="83">
        <f ca="1">EFEITO!$L$561*EFEITO!$Z$400</f>
        <v>543.53897581609783</v>
      </c>
      <c r="L561" s="83">
        <f>EFEITO!$N$561*EFEITO!$AA$400</f>
        <v>357.67347121936831</v>
      </c>
      <c r="M561" s="83">
        <f>$J$561-EFEITO!$K$561*EFEITO!$Y$561</f>
        <v>0</v>
      </c>
      <c r="N561" s="83">
        <f ca="1">$K$561-EFEITO!$M$561*EFEITO!$Z$561</f>
        <v>32.612338548965909</v>
      </c>
      <c r="O561" s="83">
        <f>$L$561-EFEITO!$O$561*EFEITO!$AA$561</f>
        <v>21.460408273162102</v>
      </c>
      <c r="P561" s="28"/>
      <c r="Q561" s="28"/>
      <c r="R561" s="28"/>
      <c r="S561" s="28"/>
      <c r="T561" s="28"/>
      <c r="U561" s="28"/>
      <c r="V561" s="28"/>
      <c r="W561" s="28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72" t="s">
        <v>21</v>
      </c>
      <c r="B562" s="72" t="s">
        <v>43</v>
      </c>
      <c r="C562" s="72" t="s">
        <v>23</v>
      </c>
      <c r="D562" s="72" t="s">
        <v>44</v>
      </c>
      <c r="E562" s="72" t="s">
        <v>56</v>
      </c>
      <c r="F562" s="72" t="s">
        <v>54</v>
      </c>
      <c r="G562" s="72" t="s">
        <v>25</v>
      </c>
      <c r="H562" s="72" t="s">
        <v>25</v>
      </c>
      <c r="I562" s="82">
        <v>44501</v>
      </c>
      <c r="J562" s="83">
        <f>EFEITO!$J$562*EFEITO!$Y$400</f>
        <v>0</v>
      </c>
      <c r="K562" s="83">
        <f ca="1">EFEITO!$L$562*EFEITO!$Z$400</f>
        <v>1187.9111538595637</v>
      </c>
      <c r="L562" s="83">
        <f>EFEITO!$N$562*EFEITO!$AA$400</f>
        <v>781.69979487342516</v>
      </c>
      <c r="M562" s="83">
        <f>$J$562-EFEITO!$K$562*EFEITO!$Y$562</f>
        <v>0</v>
      </c>
      <c r="N562" s="83">
        <f ca="1">$K$562-EFEITO!$M$562*EFEITO!$Z$562</f>
        <v>71.274669231573853</v>
      </c>
      <c r="O562" s="83">
        <f>$L$562-EFEITO!$O$562*EFEITO!$AA$562</f>
        <v>46.901987692405669</v>
      </c>
      <c r="P562" s="28"/>
      <c r="Q562" s="28"/>
      <c r="R562" s="28"/>
      <c r="S562" s="28"/>
      <c r="T562" s="28"/>
      <c r="U562" s="28"/>
      <c r="V562" s="28"/>
      <c r="W562" s="28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72" t="s">
        <v>21</v>
      </c>
      <c r="B563" s="72" t="s">
        <v>43</v>
      </c>
      <c r="C563" s="72" t="s">
        <v>23</v>
      </c>
      <c r="D563" s="72" t="s">
        <v>44</v>
      </c>
      <c r="E563" s="72" t="s">
        <v>56</v>
      </c>
      <c r="F563" s="72" t="s">
        <v>54</v>
      </c>
      <c r="G563" s="72" t="s">
        <v>25</v>
      </c>
      <c r="H563" s="72" t="s">
        <v>25</v>
      </c>
      <c r="I563" s="82">
        <v>44531</v>
      </c>
      <c r="J563" s="83">
        <f>EFEITO!$J$563*EFEITO!$Y$400</f>
        <v>0</v>
      </c>
      <c r="K563" s="83">
        <f ca="1">EFEITO!$L$563*EFEITO!$Z$400</f>
        <v>1062.1097301282762</v>
      </c>
      <c r="L563" s="83">
        <f>EFEITO!$N$563*EFEITO!$AA$400</f>
        <v>698.91671231205191</v>
      </c>
      <c r="M563" s="83">
        <f>$J$563-EFEITO!$K$563*EFEITO!$Y$563</f>
        <v>0</v>
      </c>
      <c r="N563" s="83">
        <f ca="1">$K$563-EFEITO!$M$563*EFEITO!$Z$563</f>
        <v>63.726583807696784</v>
      </c>
      <c r="O563" s="83">
        <f>$L$563-EFEITO!$O$563*EFEITO!$AA$563</f>
        <v>41.935002738723142</v>
      </c>
      <c r="P563" s="28"/>
      <c r="Q563" s="28"/>
      <c r="R563" s="28"/>
      <c r="S563" s="28"/>
      <c r="T563" s="28"/>
      <c r="U563" s="28"/>
      <c r="V563" s="28"/>
      <c r="W563" s="28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72" t="s">
        <v>21</v>
      </c>
      <c r="B564" s="72" t="s">
        <v>43</v>
      </c>
      <c r="C564" s="72" t="s">
        <v>23</v>
      </c>
      <c r="D564" s="72" t="s">
        <v>44</v>
      </c>
      <c r="E564" s="72" t="s">
        <v>56</v>
      </c>
      <c r="F564" s="72" t="s">
        <v>54</v>
      </c>
      <c r="G564" s="72" t="s">
        <v>25</v>
      </c>
      <c r="H564" s="72" t="s">
        <v>25</v>
      </c>
      <c r="I564" s="82">
        <v>44562</v>
      </c>
      <c r="J564" s="83">
        <f>EFEITO!$J$564*EFEITO!$Y$400</f>
        <v>0</v>
      </c>
      <c r="K564" s="83">
        <f ca="1">EFEITO!$L$564*EFEITO!$Z$400</f>
        <v>1049.9457247802127</v>
      </c>
      <c r="L564" s="83">
        <f>EFEITO!$N$564*EFEITO!$AA$400</f>
        <v>690.91224122469259</v>
      </c>
      <c r="M564" s="83">
        <f>$J$564-EFEITO!$K$564*EFEITO!$Y$564</f>
        <v>0</v>
      </c>
      <c r="N564" s="83">
        <f ca="1">$K$564-EFEITO!$M$564*EFEITO!$Z$564</f>
        <v>62.996743486812989</v>
      </c>
      <c r="O564" s="83">
        <f>$L$564-EFEITO!$O$564*EFEITO!$AA$564</f>
        <v>41.454734473481608</v>
      </c>
      <c r="P564" s="28"/>
      <c r="Q564" s="28"/>
      <c r="R564" s="28"/>
      <c r="S564" s="28"/>
      <c r="T564" s="28"/>
      <c r="U564" s="28"/>
      <c r="V564" s="28"/>
      <c r="W564" s="28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72" t="s">
        <v>21</v>
      </c>
      <c r="B565" s="72" t="s">
        <v>43</v>
      </c>
      <c r="C565" s="72" t="s">
        <v>23</v>
      </c>
      <c r="D565" s="72" t="s">
        <v>44</v>
      </c>
      <c r="E565" s="72" t="s">
        <v>56</v>
      </c>
      <c r="F565" s="72" t="s">
        <v>54</v>
      </c>
      <c r="G565" s="72" t="s">
        <v>25</v>
      </c>
      <c r="H565" s="72" t="s">
        <v>25</v>
      </c>
      <c r="I565" s="82">
        <v>44593</v>
      </c>
      <c r="J565" s="83">
        <f>EFEITO!$J$565*EFEITO!$Y$400</f>
        <v>0</v>
      </c>
      <c r="K565" s="83">
        <f ca="1">EFEITO!$L$565*EFEITO!$Z$400</f>
        <v>941.75009826322741</v>
      </c>
      <c r="L565" s="83">
        <f>EFEITO!$N$565*EFEITO!$AA$400</f>
        <v>619.71457734239209</v>
      </c>
      <c r="M565" s="83">
        <f>$J$565-EFEITO!$K$565*EFEITO!$Y$565</f>
        <v>0</v>
      </c>
      <c r="N565" s="83">
        <f ca="1">$K$565-EFEITO!$M$565*EFEITO!$Z$565</f>
        <v>56.505005895793829</v>
      </c>
      <c r="O565" s="83">
        <f>$L$565-EFEITO!$O$565*EFEITO!$AA$565</f>
        <v>37.182874640543673</v>
      </c>
      <c r="P565" s="28"/>
      <c r="Q565" s="28"/>
      <c r="R565" s="28"/>
      <c r="S565" s="28"/>
      <c r="T565" s="28"/>
      <c r="U565" s="28"/>
      <c r="V565" s="28"/>
      <c r="W565" s="28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72" t="s">
        <v>21</v>
      </c>
      <c r="B566" s="72" t="s">
        <v>43</v>
      </c>
      <c r="C566" s="72" t="s">
        <v>23</v>
      </c>
      <c r="D566" s="72" t="s">
        <v>44</v>
      </c>
      <c r="E566" s="72" t="s">
        <v>56</v>
      </c>
      <c r="F566" s="72" t="s">
        <v>54</v>
      </c>
      <c r="G566" s="72" t="s">
        <v>25</v>
      </c>
      <c r="H566" s="72" t="s">
        <v>25</v>
      </c>
      <c r="I566" s="82">
        <v>44621</v>
      </c>
      <c r="J566" s="83">
        <f>EFEITO!$J$566*EFEITO!$Y$400</f>
        <v>0</v>
      </c>
      <c r="K566" s="83">
        <f ca="1">EFEITO!$L$566*EFEITO!$Z$400</f>
        <v>947.83210093725904</v>
      </c>
      <c r="L566" s="83">
        <f>EFEITO!$N$566*EFEITO!$AA$400</f>
        <v>623.71681288607158</v>
      </c>
      <c r="M566" s="83">
        <f>$J$566-EFEITO!$K$566*EFEITO!$Y$566</f>
        <v>0</v>
      </c>
      <c r="N566" s="83">
        <f ca="1">$K$566-EFEITO!$M$566*EFEITO!$Z$566</f>
        <v>56.869926056235727</v>
      </c>
      <c r="O566" s="83">
        <f>$L$566-EFEITO!$O$566*EFEITO!$AA$566</f>
        <v>37.423008773164383</v>
      </c>
      <c r="P566" s="28"/>
      <c r="Q566" s="28"/>
      <c r="R566" s="28"/>
      <c r="S566" s="28"/>
      <c r="T566" s="28"/>
      <c r="U566" s="28"/>
      <c r="V566" s="28"/>
      <c r="W566" s="28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72" t="s">
        <v>21</v>
      </c>
      <c r="B567" s="72" t="s">
        <v>43</v>
      </c>
      <c r="C567" s="72" t="s">
        <v>23</v>
      </c>
      <c r="D567" s="72" t="s">
        <v>44</v>
      </c>
      <c r="E567" s="72" t="s">
        <v>56</v>
      </c>
      <c r="F567" s="72" t="s">
        <v>54</v>
      </c>
      <c r="G567" s="72" t="s">
        <v>25</v>
      </c>
      <c r="H567" s="72" t="s">
        <v>25</v>
      </c>
      <c r="I567" s="82">
        <v>44652</v>
      </c>
      <c r="J567" s="83">
        <f>EFEITO!$J$567*EFEITO!$Y$400</f>
        <v>0</v>
      </c>
      <c r="K567" s="83">
        <f ca="1">EFEITO!$L$567*EFEITO!$Z$400</f>
        <v>894.05439308266284</v>
      </c>
      <c r="L567" s="83">
        <f>EFEITO!$N$567*EFEITO!$AA$400</f>
        <v>588.32862492090453</v>
      </c>
      <c r="M567" s="83">
        <f>$J$567-EFEITO!$K$567*EFEITO!$Y$567</f>
        <v>0</v>
      </c>
      <c r="N567" s="83">
        <f ca="1">$K$567-EFEITO!$M$567*EFEITO!$Z$567</f>
        <v>53.643263584959868</v>
      </c>
      <c r="O567" s="83">
        <f>$L$567-EFEITO!$O$567*EFEITO!$AA$567</f>
        <v>35.299717495254413</v>
      </c>
      <c r="P567" s="28"/>
      <c r="Q567" s="28"/>
      <c r="R567" s="28"/>
      <c r="S567" s="28"/>
      <c r="T567" s="28"/>
      <c r="U567" s="28"/>
      <c r="V567" s="28"/>
      <c r="W567" s="28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72" t="s">
        <v>21</v>
      </c>
      <c r="B568" s="72" t="s">
        <v>43</v>
      </c>
      <c r="C568" s="72" t="s">
        <v>23</v>
      </c>
      <c r="D568" s="72" t="s">
        <v>44</v>
      </c>
      <c r="E568" s="72" t="s">
        <v>56</v>
      </c>
      <c r="F568" s="72" t="s">
        <v>55</v>
      </c>
      <c r="G568" s="72" t="s">
        <v>25</v>
      </c>
      <c r="H568" s="72" t="s">
        <v>25</v>
      </c>
      <c r="I568" s="82">
        <v>44317</v>
      </c>
      <c r="J568" s="83">
        <f>EFEITO!$J$568*EFEITO!$Y$400</f>
        <v>0</v>
      </c>
      <c r="K568" s="83">
        <f ca="1">EFEITO!$L$568*EFEITO!$Z$400</f>
        <v>581.63151887977028</v>
      </c>
      <c r="L568" s="83">
        <f>EFEITO!$N$568*EFEITO!$AA$400</f>
        <v>382.74010436136177</v>
      </c>
      <c r="M568" s="83">
        <f>$J$568-EFEITO!$K$568*EFEITO!$Y$568</f>
        <v>0</v>
      </c>
      <c r="N568" s="83">
        <f ca="1">$K$568-EFEITO!$M$568*EFEITO!$Z$568</f>
        <v>362.93806778097667</v>
      </c>
      <c r="O568" s="83">
        <f>$L$568-EFEITO!$O$568*EFEITO!$AA$568</f>
        <v>238.82982512148976</v>
      </c>
      <c r="P568" s="28"/>
      <c r="Q568" s="28"/>
      <c r="R568" s="28"/>
      <c r="S568" s="28"/>
      <c r="T568" s="28"/>
      <c r="U568" s="28"/>
      <c r="V568" s="28"/>
      <c r="W568" s="28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72" t="s">
        <v>21</v>
      </c>
      <c r="B569" s="72" t="s">
        <v>43</v>
      </c>
      <c r="C569" s="72" t="s">
        <v>23</v>
      </c>
      <c r="D569" s="72" t="s">
        <v>44</v>
      </c>
      <c r="E569" s="72" t="s">
        <v>56</v>
      </c>
      <c r="F569" s="72" t="s">
        <v>55</v>
      </c>
      <c r="G569" s="72" t="s">
        <v>25</v>
      </c>
      <c r="H569" s="72" t="s">
        <v>25</v>
      </c>
      <c r="I569" s="82">
        <v>44348</v>
      </c>
      <c r="J569" s="83">
        <f>EFEITO!$J$569*EFEITO!$Y$400</f>
        <v>0</v>
      </c>
      <c r="K569" s="83">
        <f ca="1">EFEITO!$L$569*EFEITO!$Z$400</f>
        <v>973.12042784507514</v>
      </c>
      <c r="L569" s="83">
        <f>EFEITO!$N$569*EFEITO!$AA$400</f>
        <v>640.3576869887396</v>
      </c>
      <c r="M569" s="83">
        <f>$J$569-EFEITO!$K$569*EFEITO!$Y$569</f>
        <v>0</v>
      </c>
      <c r="N569" s="83">
        <f ca="1">$K$569-EFEITO!$M$569*EFEITO!$Z$569</f>
        <v>607.22714697532695</v>
      </c>
      <c r="O569" s="83">
        <f>$L$569-EFEITO!$O$569*EFEITO!$AA$569</f>
        <v>399.58319668097357</v>
      </c>
      <c r="P569" s="28"/>
      <c r="Q569" s="28"/>
      <c r="R569" s="28"/>
      <c r="S569" s="28"/>
      <c r="T569" s="28"/>
      <c r="U569" s="28"/>
      <c r="V569" s="28"/>
      <c r="W569" s="28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72" t="s">
        <v>21</v>
      </c>
      <c r="B570" s="72" t="s">
        <v>43</v>
      </c>
      <c r="C570" s="72" t="s">
        <v>23</v>
      </c>
      <c r="D570" s="72" t="s">
        <v>44</v>
      </c>
      <c r="E570" s="72" t="s">
        <v>56</v>
      </c>
      <c r="F570" s="72" t="s">
        <v>55</v>
      </c>
      <c r="G570" s="72" t="s">
        <v>25</v>
      </c>
      <c r="H570" s="72" t="s">
        <v>25</v>
      </c>
      <c r="I570" s="82">
        <v>44378</v>
      </c>
      <c r="J570" s="83">
        <f>EFEITO!$J$570*EFEITO!$Y$400</f>
        <v>0</v>
      </c>
      <c r="K570" s="83">
        <f ca="1">EFEITO!$L$570*EFEITO!$Z$400</f>
        <v>754.80854238772611</v>
      </c>
      <c r="L570" s="83">
        <f>EFEITO!$N$570*EFEITO!$AA$400</f>
        <v>496.69849536823943</v>
      </c>
      <c r="M570" s="83">
        <f>$J$570-EFEITO!$K$570*EFEITO!$Y$570</f>
        <v>0</v>
      </c>
      <c r="N570" s="83">
        <f ca="1">$K$570-EFEITO!$M$570*EFEITO!$Z$570</f>
        <v>471.00053044994115</v>
      </c>
      <c r="O570" s="83">
        <f>$L$570-EFEITO!$O$570*EFEITO!$AA$570</f>
        <v>309.93986110978142</v>
      </c>
      <c r="P570" s="28"/>
      <c r="Q570" s="28"/>
      <c r="R570" s="28"/>
      <c r="S570" s="28"/>
      <c r="T570" s="28"/>
      <c r="U570" s="28"/>
      <c r="V570" s="28"/>
      <c r="W570" s="28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72" t="s">
        <v>21</v>
      </c>
      <c r="B571" s="72" t="s">
        <v>43</v>
      </c>
      <c r="C571" s="72" t="s">
        <v>23</v>
      </c>
      <c r="D571" s="72" t="s">
        <v>44</v>
      </c>
      <c r="E571" s="72" t="s">
        <v>56</v>
      </c>
      <c r="F571" s="72" t="s">
        <v>55</v>
      </c>
      <c r="G571" s="72" t="s">
        <v>25</v>
      </c>
      <c r="H571" s="72" t="s">
        <v>25</v>
      </c>
      <c r="I571" s="82">
        <v>44409</v>
      </c>
      <c r="J571" s="83">
        <f>EFEITO!$J$571*EFEITO!$Y$400</f>
        <v>0</v>
      </c>
      <c r="K571" s="83">
        <f ca="1">EFEITO!$L$571*EFEITO!$Z$400</f>
        <v>915.50145514372196</v>
      </c>
      <c r="L571" s="83">
        <f>EFEITO!$N$571*EFEITO!$AA$400</f>
        <v>602.44177131177469</v>
      </c>
      <c r="M571" s="83">
        <f>$J$571-EFEITO!$K$571*EFEITO!$Y$571</f>
        <v>0</v>
      </c>
      <c r="N571" s="83">
        <f ca="1">$K$571-EFEITO!$M$571*EFEITO!$Z$571</f>
        <v>571.27290800968262</v>
      </c>
      <c r="O571" s="83">
        <f>$L$571-EFEITO!$O$571*EFEITO!$AA$571</f>
        <v>375.92366529854746</v>
      </c>
      <c r="P571" s="28"/>
      <c r="Q571" s="28"/>
      <c r="R571" s="28"/>
      <c r="S571" s="28"/>
      <c r="T571" s="28"/>
      <c r="U571" s="28"/>
      <c r="V571" s="28"/>
      <c r="W571" s="28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72" t="s">
        <v>21</v>
      </c>
      <c r="B572" s="72" t="s">
        <v>43</v>
      </c>
      <c r="C572" s="72" t="s">
        <v>23</v>
      </c>
      <c r="D572" s="72" t="s">
        <v>44</v>
      </c>
      <c r="E572" s="72" t="s">
        <v>56</v>
      </c>
      <c r="F572" s="72" t="s">
        <v>55</v>
      </c>
      <c r="G572" s="72" t="s">
        <v>25</v>
      </c>
      <c r="H572" s="72" t="s">
        <v>25</v>
      </c>
      <c r="I572" s="82">
        <v>44440</v>
      </c>
      <c r="J572" s="83">
        <f>EFEITO!$J$572*EFEITO!$Y$400</f>
        <v>0</v>
      </c>
      <c r="K572" s="83">
        <f ca="1">EFEITO!$L$572*EFEITO!$Z$400</f>
        <v>833.23436634234565</v>
      </c>
      <c r="L572" s="83">
        <f>EFEITO!$N$572*EFEITO!$AA$400</f>
        <v>548.30626948410827</v>
      </c>
      <c r="M572" s="83">
        <f>$J$572-EFEITO!$K$572*EFEITO!$Y$572</f>
        <v>0</v>
      </c>
      <c r="N572" s="83">
        <f ca="1">$K$572-EFEITO!$M$572*EFEITO!$Z$572</f>
        <v>519.93824459762379</v>
      </c>
      <c r="O572" s="83">
        <f>$L$572-EFEITO!$O$572*EFEITO!$AA$572</f>
        <v>342.14311215808362</v>
      </c>
      <c r="P572" s="28"/>
      <c r="Q572" s="28"/>
      <c r="R572" s="28"/>
      <c r="S572" s="28"/>
      <c r="T572" s="28"/>
      <c r="U572" s="28"/>
      <c r="V572" s="28"/>
      <c r="W572" s="28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72" t="s">
        <v>21</v>
      </c>
      <c r="B573" s="72" t="s">
        <v>43</v>
      </c>
      <c r="C573" s="72" t="s">
        <v>23</v>
      </c>
      <c r="D573" s="72" t="s">
        <v>44</v>
      </c>
      <c r="E573" s="72" t="s">
        <v>56</v>
      </c>
      <c r="F573" s="72" t="s">
        <v>55</v>
      </c>
      <c r="G573" s="72" t="s">
        <v>25</v>
      </c>
      <c r="H573" s="72" t="s">
        <v>25</v>
      </c>
      <c r="I573" s="82">
        <v>44470</v>
      </c>
      <c r="J573" s="83">
        <f>EFEITO!$J$573*EFEITO!$Y$400</f>
        <v>0</v>
      </c>
      <c r="K573" s="83">
        <f ca="1">EFEITO!$L$573*EFEITO!$Z$400</f>
        <v>837.07563118910252</v>
      </c>
      <c r="L573" s="83">
        <f>EFEITO!$N$573*EFEITO!$AA$400</f>
        <v>550.83399719590591</v>
      </c>
      <c r="M573" s="83">
        <f>$J$573-EFEITO!$K$573*EFEITO!$Y$573</f>
        <v>0</v>
      </c>
      <c r="N573" s="83">
        <f ca="1">$K$573-EFEITO!$M$573*EFEITO!$Z$573</f>
        <v>522.3351938620001</v>
      </c>
      <c r="O573" s="83">
        <f>$L$573-EFEITO!$O$573*EFEITO!$AA$573</f>
        <v>343.72041425024531</v>
      </c>
      <c r="P573" s="28"/>
      <c r="Q573" s="28"/>
      <c r="R573" s="28"/>
      <c r="S573" s="28"/>
      <c r="T573" s="28"/>
      <c r="U573" s="28"/>
      <c r="V573" s="28"/>
      <c r="W573" s="28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72" t="s">
        <v>21</v>
      </c>
      <c r="B574" s="72" t="s">
        <v>43</v>
      </c>
      <c r="C574" s="72" t="s">
        <v>23</v>
      </c>
      <c r="D574" s="72" t="s">
        <v>44</v>
      </c>
      <c r="E574" s="72" t="s">
        <v>56</v>
      </c>
      <c r="F574" s="72" t="s">
        <v>55</v>
      </c>
      <c r="G574" s="72" t="s">
        <v>25</v>
      </c>
      <c r="H574" s="72" t="s">
        <v>25</v>
      </c>
      <c r="I574" s="82">
        <v>44501</v>
      </c>
      <c r="J574" s="83">
        <f>EFEITO!$J$574*EFEITO!$Y$400</f>
        <v>0</v>
      </c>
      <c r="K574" s="83">
        <f ca="1">EFEITO!$L$574*EFEITO!$Z$400</f>
        <v>742.64453703966262</v>
      </c>
      <c r="L574" s="83">
        <f>EFEITO!$N$574*EFEITO!$AA$400</f>
        <v>488.69402428088011</v>
      </c>
      <c r="M574" s="83">
        <f>$J$574-EFEITO!$K$574*EFEITO!$Y$574</f>
        <v>0</v>
      </c>
      <c r="N574" s="83">
        <f ca="1">$K$574-EFEITO!$M$574*EFEITO!$Z$574</f>
        <v>463.41019111274949</v>
      </c>
      <c r="O574" s="83">
        <f>$L$574-EFEITO!$O$574*EFEITO!$AA$574</f>
        <v>304.94507115126919</v>
      </c>
      <c r="P574" s="28"/>
      <c r="Q574" s="28"/>
      <c r="R574" s="28"/>
      <c r="S574" s="28"/>
      <c r="T574" s="28"/>
      <c r="U574" s="28"/>
      <c r="V574" s="28"/>
      <c r="W574" s="28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72" t="s">
        <v>21</v>
      </c>
      <c r="B575" s="72" t="s">
        <v>43</v>
      </c>
      <c r="C575" s="72" t="s">
        <v>23</v>
      </c>
      <c r="D575" s="72" t="s">
        <v>44</v>
      </c>
      <c r="E575" s="72" t="s">
        <v>56</v>
      </c>
      <c r="F575" s="72" t="s">
        <v>55</v>
      </c>
      <c r="G575" s="72" t="s">
        <v>25</v>
      </c>
      <c r="H575" s="72" t="s">
        <v>25</v>
      </c>
      <c r="I575" s="82">
        <v>44531</v>
      </c>
      <c r="J575" s="83">
        <f>EFEITO!$J$575*EFEITO!$Y$400</f>
        <v>0</v>
      </c>
      <c r="K575" s="83">
        <f ca="1">EFEITO!$L$575*EFEITO!$Z$400</f>
        <v>690.46735620454842</v>
      </c>
      <c r="L575" s="83">
        <f>EFEITO!$N$575*EFEITO!$AA$400</f>
        <v>454.35905619562868</v>
      </c>
      <c r="M575" s="83">
        <f>$J$575-EFEITO!$K$575*EFEITO!$Y$575</f>
        <v>0</v>
      </c>
      <c r="N575" s="83">
        <f ca="1">$K$575-EFEITO!$M$575*EFEITO!$Z$575</f>
        <v>430.85163027163827</v>
      </c>
      <c r="O575" s="83">
        <f>$L$575-EFEITO!$O$575*EFEITO!$AA$575</f>
        <v>283.52005106607231</v>
      </c>
      <c r="P575" s="28"/>
      <c r="Q575" s="28"/>
      <c r="R575" s="28"/>
      <c r="S575" s="28"/>
      <c r="T575" s="28"/>
      <c r="U575" s="28"/>
      <c r="V575" s="28"/>
      <c r="W575" s="28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72" t="s">
        <v>21</v>
      </c>
      <c r="B576" s="72" t="s">
        <v>43</v>
      </c>
      <c r="C576" s="72" t="s">
        <v>23</v>
      </c>
      <c r="D576" s="72" t="s">
        <v>44</v>
      </c>
      <c r="E576" s="72" t="s">
        <v>56</v>
      </c>
      <c r="F576" s="72" t="s">
        <v>55</v>
      </c>
      <c r="G576" s="72" t="s">
        <v>25</v>
      </c>
      <c r="H576" s="72" t="s">
        <v>25</v>
      </c>
      <c r="I576" s="82">
        <v>44562</v>
      </c>
      <c r="J576" s="83">
        <f>EFEITO!$J$576*EFEITO!$Y$400</f>
        <v>0</v>
      </c>
      <c r="K576" s="83">
        <f ca="1">EFEITO!$L$576*EFEITO!$Z$400</f>
        <v>630.60764567592037</v>
      </c>
      <c r="L576" s="83">
        <f>EFEITO!$N$576*EFEITO!$AA$400</f>
        <v>414.96863268678186</v>
      </c>
      <c r="M576" s="83">
        <f>$J$576-EFEITO!$K$576*EFEITO!$Y$576</f>
        <v>0</v>
      </c>
      <c r="N576" s="83">
        <f ca="1">$K$576-EFEITO!$M$576*EFEITO!$Z$576</f>
        <v>393.49917090177428</v>
      </c>
      <c r="O576" s="83">
        <f>$L$576-EFEITO!$O$576*EFEITO!$AA$576</f>
        <v>258.94042679655189</v>
      </c>
      <c r="P576" s="28"/>
      <c r="Q576" s="28"/>
      <c r="R576" s="28"/>
      <c r="S576" s="28"/>
      <c r="T576" s="28"/>
      <c r="U576" s="28"/>
      <c r="V576" s="28"/>
      <c r="W576" s="28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72" t="s">
        <v>21</v>
      </c>
      <c r="B577" s="72" t="s">
        <v>43</v>
      </c>
      <c r="C577" s="72" t="s">
        <v>23</v>
      </c>
      <c r="D577" s="72" t="s">
        <v>44</v>
      </c>
      <c r="E577" s="72" t="s">
        <v>56</v>
      </c>
      <c r="F577" s="72" t="s">
        <v>55</v>
      </c>
      <c r="G577" s="72" t="s">
        <v>25</v>
      </c>
      <c r="H577" s="72" t="s">
        <v>25</v>
      </c>
      <c r="I577" s="82">
        <v>44593</v>
      </c>
      <c r="J577" s="83">
        <f>EFEITO!$J$577*EFEITO!$Y$400</f>
        <v>0</v>
      </c>
      <c r="K577" s="83">
        <f ca="1">EFEITO!$L$577*EFEITO!$Z$400</f>
        <v>575.54951620573854</v>
      </c>
      <c r="L577" s="83">
        <f>EFEITO!$N$577*EFEITO!$AA$400</f>
        <v>378.73786881768217</v>
      </c>
      <c r="M577" s="83">
        <f>$J$577-EFEITO!$K$577*EFEITO!$Y$577</f>
        <v>0</v>
      </c>
      <c r="N577" s="83">
        <f ca="1">$K$577-EFEITO!$M$577*EFEITO!$Z$577</f>
        <v>359.14289811238086</v>
      </c>
      <c r="O577" s="83">
        <f>$L$577-EFEITO!$O$577*EFEITO!$AA$577</f>
        <v>236.3324301422337</v>
      </c>
      <c r="P577" s="28"/>
      <c r="Q577" s="28"/>
      <c r="R577" s="28"/>
      <c r="S577" s="28"/>
      <c r="T577" s="28"/>
      <c r="U577" s="28"/>
      <c r="V577" s="28"/>
      <c r="W577" s="28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72" t="s">
        <v>21</v>
      </c>
      <c r="B578" s="72" t="s">
        <v>43</v>
      </c>
      <c r="C578" s="72" t="s">
        <v>23</v>
      </c>
      <c r="D578" s="72" t="s">
        <v>44</v>
      </c>
      <c r="E578" s="72" t="s">
        <v>56</v>
      </c>
      <c r="F578" s="72" t="s">
        <v>55</v>
      </c>
      <c r="G578" s="72" t="s">
        <v>25</v>
      </c>
      <c r="H578" s="72" t="s">
        <v>25</v>
      </c>
      <c r="I578" s="82">
        <v>44621</v>
      </c>
      <c r="J578" s="83">
        <f>EFEITO!$J$578*EFEITO!$Y$400</f>
        <v>0</v>
      </c>
      <c r="K578" s="83">
        <f ca="1">EFEITO!$L$578*EFEITO!$Z$400</f>
        <v>568.18709191612118</v>
      </c>
      <c r="L578" s="83">
        <f>EFEITO!$N$578*EFEITO!$AA$400</f>
        <v>373.89305737006993</v>
      </c>
      <c r="M578" s="83">
        <f>$J$578-EFEITO!$K$578*EFEITO!$Y$578</f>
        <v>0</v>
      </c>
      <c r="N578" s="83">
        <f ca="1">$K$578-EFEITO!$M$578*EFEITO!$Z$578</f>
        <v>354.54874535565966</v>
      </c>
      <c r="O578" s="83">
        <f>$L$578-EFEITO!$O$578*EFEITO!$AA$578</f>
        <v>233.30926779892366</v>
      </c>
      <c r="P578" s="28"/>
      <c r="Q578" s="28"/>
      <c r="R578" s="28"/>
      <c r="S578" s="28"/>
      <c r="T578" s="28"/>
      <c r="U578" s="28"/>
      <c r="V578" s="28"/>
      <c r="W578" s="28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72" t="s">
        <v>21</v>
      </c>
      <c r="B579" s="72" t="s">
        <v>43</v>
      </c>
      <c r="C579" s="72" t="s">
        <v>23</v>
      </c>
      <c r="D579" s="72" t="s">
        <v>44</v>
      </c>
      <c r="E579" s="72" t="s">
        <v>56</v>
      </c>
      <c r="F579" s="72" t="s">
        <v>55</v>
      </c>
      <c r="G579" s="72" t="s">
        <v>25</v>
      </c>
      <c r="H579" s="72" t="s">
        <v>25</v>
      </c>
      <c r="I579" s="82">
        <v>44652</v>
      </c>
      <c r="J579" s="83">
        <f>EFEITO!$J$579*EFEITO!$Y$400</f>
        <v>0</v>
      </c>
      <c r="K579" s="83">
        <f ca="1">EFEITO!$L$579*EFEITO!$Z$400</f>
        <v>551.86171631740444</v>
      </c>
      <c r="L579" s="83">
        <f>EFEITO!$N$579*EFEITO!$AA$400</f>
        <v>363.15021459492993</v>
      </c>
      <c r="M579" s="83">
        <f>$J$579-EFEITO!$K$579*EFEITO!$Y$579</f>
        <v>0</v>
      </c>
      <c r="N579" s="83">
        <f ca="1">$K$579-EFEITO!$M$579*EFEITO!$Z$579</f>
        <v>344.3617109820604</v>
      </c>
      <c r="O579" s="83">
        <f>$L$579-EFEITO!$O$579*EFEITO!$AA$579</f>
        <v>226.6057339072363</v>
      </c>
      <c r="P579" s="28"/>
      <c r="Q579" s="28"/>
      <c r="R579" s="28"/>
      <c r="S579" s="28"/>
      <c r="T579" s="28"/>
      <c r="U579" s="28"/>
      <c r="V579" s="28"/>
      <c r="W579" s="28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72" t="s">
        <v>21</v>
      </c>
      <c r="B580" s="72" t="s">
        <v>43</v>
      </c>
      <c r="C580" s="72" t="s">
        <v>23</v>
      </c>
      <c r="D580" s="72" t="s">
        <v>44</v>
      </c>
      <c r="E580" s="72" t="s">
        <v>25</v>
      </c>
      <c r="F580" s="72" t="s">
        <v>25</v>
      </c>
      <c r="G580" s="72" t="s">
        <v>25</v>
      </c>
      <c r="H580" s="72" t="s">
        <v>25</v>
      </c>
      <c r="I580" s="82">
        <v>44317</v>
      </c>
      <c r="J580" s="83">
        <f>EFEITO!$J$580*EFEITO!$Y$400</f>
        <v>0</v>
      </c>
      <c r="K580" s="83">
        <f ca="1">EFEITO!$L$580*EFEITO!$Z$400</f>
        <v>1000761.5294715298</v>
      </c>
      <c r="L580" s="83">
        <f>EFEITO!$N$580*EFEITO!$AA$400</f>
        <v>658546.79431488353</v>
      </c>
      <c r="M580" s="83">
        <f>$J$580-EFEITO!$K$580*EFEITO!$Y$580</f>
        <v>0</v>
      </c>
      <c r="N580" s="83">
        <f ca="1">$K$580-EFEITO!$M$580*EFEITO!$Z$580</f>
        <v>60045.691768291872</v>
      </c>
      <c r="O580" s="83">
        <f>$L$580-EFEITO!$O$580*EFEITO!$AA$580</f>
        <v>39512.807658893173</v>
      </c>
      <c r="P580" s="28"/>
      <c r="Q580" s="28"/>
      <c r="R580" s="28"/>
      <c r="S580" s="28"/>
      <c r="T580" s="28"/>
      <c r="U580" s="28"/>
      <c r="V580" s="28"/>
      <c r="W580" s="28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72" t="s">
        <v>27</v>
      </c>
      <c r="B581" s="72" t="s">
        <v>43</v>
      </c>
      <c r="C581" s="72" t="s">
        <v>23</v>
      </c>
      <c r="D581" s="72" t="s">
        <v>44</v>
      </c>
      <c r="E581" s="72" t="s">
        <v>25</v>
      </c>
      <c r="F581" s="72" t="s">
        <v>25</v>
      </c>
      <c r="G581" s="72" t="s">
        <v>25</v>
      </c>
      <c r="H581" s="72" t="s">
        <v>25</v>
      </c>
      <c r="I581" s="82">
        <v>44317</v>
      </c>
      <c r="J581" s="83">
        <f>EFEITO!$J$581*EFEITO!$Y$400</f>
        <v>0</v>
      </c>
      <c r="K581" s="83">
        <f ca="1">EFEITO!$L$581*EFEITO!$Z$400</f>
        <v>-2842.2158811961913</v>
      </c>
      <c r="L581" s="83">
        <f>EFEITO!$N$581*EFEITO!$AA$400</f>
        <v>-1870.3078627542823</v>
      </c>
      <c r="M581" s="83">
        <f>$J$581-EFEITO!$K$581*EFEITO!$Y$581</f>
        <v>0</v>
      </c>
      <c r="N581" s="83">
        <f ca="1">$K$581-EFEITO!$M$581*EFEITO!$Z$581</f>
        <v>-170.53295287177161</v>
      </c>
      <c r="O581" s="83">
        <f>$L$581-EFEITO!$O$581*EFEITO!$AA$581</f>
        <v>-112.21847176525716</v>
      </c>
      <c r="P581" s="28"/>
      <c r="Q581" s="28"/>
      <c r="R581" s="28"/>
      <c r="S581" s="28"/>
      <c r="T581" s="28"/>
      <c r="U581" s="28"/>
      <c r="V581" s="28"/>
      <c r="W581" s="28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72" t="s">
        <v>28</v>
      </c>
      <c r="B582" s="72" t="s">
        <v>43</v>
      </c>
      <c r="C582" s="72" t="s">
        <v>23</v>
      </c>
      <c r="D582" s="72" t="s">
        <v>44</v>
      </c>
      <c r="E582" s="72" t="s">
        <v>25</v>
      </c>
      <c r="F582" s="72" t="s">
        <v>25</v>
      </c>
      <c r="G582" s="72" t="s">
        <v>25</v>
      </c>
      <c r="H582" s="72" t="s">
        <v>25</v>
      </c>
      <c r="I582" s="82">
        <v>44317</v>
      </c>
      <c r="J582" s="83">
        <f>EFEITO!$J$582*EFEITO!$Y$400</f>
        <v>0</v>
      </c>
      <c r="K582" s="83">
        <f ca="1">EFEITO!$L$582*EFEITO!$Z$400</f>
        <v>12147.359867060826</v>
      </c>
      <c r="L582" s="83">
        <f>EFEITO!$N$582*EFEITO!$AA$400</f>
        <v>7993.517600608121</v>
      </c>
      <c r="M582" s="83">
        <f>$J$582-EFEITO!$K$582*EFEITO!$Y$582</f>
        <v>0</v>
      </c>
      <c r="N582" s="83">
        <f ca="1">$K$582-EFEITO!$M$582*EFEITO!$Z$582</f>
        <v>728.84159202365117</v>
      </c>
      <c r="O582" s="83">
        <f>$L$582-EFEITO!$O$582*EFEITO!$AA$582</f>
        <v>479.61105603648775</v>
      </c>
      <c r="P582" s="28"/>
      <c r="Q582" s="28"/>
      <c r="R582" s="28"/>
      <c r="S582" s="28"/>
      <c r="T582" s="28"/>
      <c r="U582" s="28"/>
      <c r="V582" s="28"/>
      <c r="W582" s="28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72" t="s">
        <v>21</v>
      </c>
      <c r="B583" s="72" t="s">
        <v>43</v>
      </c>
      <c r="C583" s="72" t="s">
        <v>23</v>
      </c>
      <c r="D583" s="72" t="s">
        <v>44</v>
      </c>
      <c r="E583" s="72" t="s">
        <v>25</v>
      </c>
      <c r="F583" s="72" t="s">
        <v>25</v>
      </c>
      <c r="G583" s="72" t="s">
        <v>25</v>
      </c>
      <c r="H583" s="72" t="s">
        <v>25</v>
      </c>
      <c r="I583" s="82">
        <v>44348</v>
      </c>
      <c r="J583" s="83">
        <f>EFEITO!$J$583*EFEITO!$Y$400</f>
        <v>0</v>
      </c>
      <c r="K583" s="83">
        <f ca="1">EFEITO!$L$583*EFEITO!$Z$400</f>
        <v>909741.79861141404</v>
      </c>
      <c r="L583" s="83">
        <f>EFEITO!$N$583*EFEITO!$AA$400</f>
        <v>598651.65425191016</v>
      </c>
      <c r="M583" s="83">
        <f>$J$583-EFEITO!$K$583*EFEITO!$Y$583</f>
        <v>0</v>
      </c>
      <c r="N583" s="83">
        <f ca="1">$K$583-EFEITO!$M$583*EFEITO!$Z$583</f>
        <v>54584.507916684961</v>
      </c>
      <c r="O583" s="83">
        <f>$L$583-EFEITO!$O$583*EFEITO!$AA$583</f>
        <v>35919.099255114677</v>
      </c>
      <c r="P583" s="28"/>
      <c r="Q583" s="28"/>
      <c r="R583" s="28"/>
      <c r="S583" s="28"/>
      <c r="T583" s="28"/>
      <c r="U583" s="28"/>
      <c r="V583" s="28"/>
      <c r="W583" s="28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72" t="s">
        <v>28</v>
      </c>
      <c r="B584" s="72" t="s">
        <v>43</v>
      </c>
      <c r="C584" s="72" t="s">
        <v>23</v>
      </c>
      <c r="D584" s="72" t="s">
        <v>44</v>
      </c>
      <c r="E584" s="72" t="s">
        <v>25</v>
      </c>
      <c r="F584" s="72" t="s">
        <v>25</v>
      </c>
      <c r="G584" s="72" t="s">
        <v>25</v>
      </c>
      <c r="H584" s="72" t="s">
        <v>25</v>
      </c>
      <c r="I584" s="82">
        <v>44348</v>
      </c>
      <c r="J584" s="83">
        <f>EFEITO!$J$584*EFEITO!$Y$400</f>
        <v>0</v>
      </c>
      <c r="K584" s="83">
        <f ca="1">EFEITO!$L$584*EFEITO!$Z$400</f>
        <v>22958.599778258053</v>
      </c>
      <c r="L584" s="83">
        <f>EFEITO!$N$584*EFEITO!$AA$400</f>
        <v>15107.807245462624</v>
      </c>
      <c r="M584" s="83">
        <f>$J$584-EFEITO!$K$584*EFEITO!$Y$584</f>
        <v>0</v>
      </c>
      <c r="N584" s="83">
        <f ca="1">$K$584-EFEITO!$M$584*EFEITO!$Z$584</f>
        <v>1377.5159866954891</v>
      </c>
      <c r="O584" s="83">
        <f>$L$584-EFEITO!$O$584*EFEITO!$AA$584</f>
        <v>906.46843472775981</v>
      </c>
      <c r="P584" s="28"/>
      <c r="Q584" s="28"/>
      <c r="R584" s="28"/>
      <c r="S584" s="28"/>
      <c r="T584" s="28"/>
      <c r="U584" s="28"/>
      <c r="V584" s="28"/>
      <c r="W584" s="28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72" t="s">
        <v>21</v>
      </c>
      <c r="B585" s="72" t="s">
        <v>43</v>
      </c>
      <c r="C585" s="72" t="s">
        <v>23</v>
      </c>
      <c r="D585" s="72" t="s">
        <v>44</v>
      </c>
      <c r="E585" s="72" t="s">
        <v>25</v>
      </c>
      <c r="F585" s="72" t="s">
        <v>25</v>
      </c>
      <c r="G585" s="72" t="s">
        <v>25</v>
      </c>
      <c r="H585" s="72" t="s">
        <v>25</v>
      </c>
      <c r="I585" s="82">
        <v>44378</v>
      </c>
      <c r="J585" s="83">
        <f>EFEITO!$J$585*EFEITO!$Y$400</f>
        <v>0</v>
      </c>
      <c r="K585" s="83">
        <f ca="1">EFEITO!$L$585*EFEITO!$Z$400</f>
        <v>865185.68723226537</v>
      </c>
      <c r="L585" s="83">
        <f>EFEITO!$N$585*EFEITO!$AA$400</f>
        <v>569331.69794686511</v>
      </c>
      <c r="M585" s="83">
        <f>$J$585-EFEITO!$K$585*EFEITO!$Y$585</f>
        <v>0</v>
      </c>
      <c r="N585" s="83">
        <f ca="1">$K$585-EFEITO!$M$585*EFEITO!$Z$585</f>
        <v>51911.141233935952</v>
      </c>
      <c r="O585" s="83">
        <f>$L$585-EFEITO!$O$585*EFEITO!$AA$585</f>
        <v>34159.901876811869</v>
      </c>
      <c r="P585" s="28"/>
      <c r="Q585" s="28"/>
      <c r="R585" s="28"/>
      <c r="S585" s="28"/>
      <c r="T585" s="28"/>
      <c r="U585" s="28"/>
      <c r="V585" s="28"/>
      <c r="W585" s="28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72" t="s">
        <v>27</v>
      </c>
      <c r="B586" s="72" t="s">
        <v>43</v>
      </c>
      <c r="C586" s="72" t="s">
        <v>23</v>
      </c>
      <c r="D586" s="72" t="s">
        <v>44</v>
      </c>
      <c r="E586" s="72" t="s">
        <v>25</v>
      </c>
      <c r="F586" s="72" t="s">
        <v>25</v>
      </c>
      <c r="G586" s="72" t="s">
        <v>25</v>
      </c>
      <c r="H586" s="72" t="s">
        <v>25</v>
      </c>
      <c r="I586" s="82">
        <v>44378</v>
      </c>
      <c r="J586" s="83">
        <f>EFEITO!$J$586*EFEITO!$Y$400</f>
        <v>0</v>
      </c>
      <c r="K586" s="83">
        <f ca="1">EFEITO!$L$586*EFEITO!$Z$400</f>
        <v>-8460.0657195781223</v>
      </c>
      <c r="L586" s="83">
        <f>EFEITO!$N$586*EFEITO!$AA$400</f>
        <v>-5567.1096412583538</v>
      </c>
      <c r="M586" s="83">
        <f>$J$586-EFEITO!$K$586*EFEITO!$Y$586</f>
        <v>0</v>
      </c>
      <c r="N586" s="83">
        <f ca="1">$K$586-EFEITO!$M$586*EFEITO!$Z$586</f>
        <v>-507.60394317468854</v>
      </c>
      <c r="O586" s="83">
        <f>$L$586-EFEITO!$O$586*EFEITO!$AA$586</f>
        <v>-334.02657847550199</v>
      </c>
      <c r="P586" s="28"/>
      <c r="Q586" s="28"/>
      <c r="R586" s="28"/>
      <c r="S586" s="28"/>
      <c r="T586" s="28"/>
      <c r="U586" s="28"/>
      <c r="V586" s="28"/>
      <c r="W586" s="28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72" t="s">
        <v>28</v>
      </c>
      <c r="B587" s="72" t="s">
        <v>43</v>
      </c>
      <c r="C587" s="72" t="s">
        <v>23</v>
      </c>
      <c r="D587" s="72" t="s">
        <v>44</v>
      </c>
      <c r="E587" s="72" t="s">
        <v>25</v>
      </c>
      <c r="F587" s="72" t="s">
        <v>25</v>
      </c>
      <c r="G587" s="72" t="s">
        <v>25</v>
      </c>
      <c r="H587" s="72" t="s">
        <v>25</v>
      </c>
      <c r="I587" s="82">
        <v>44378</v>
      </c>
      <c r="J587" s="83">
        <f>EFEITO!$J$587*EFEITO!$Y$400</f>
        <v>0</v>
      </c>
      <c r="K587" s="83">
        <f ca="1">EFEITO!$L$587*EFEITO!$Z$400</f>
        <v>21878.564145511576</v>
      </c>
      <c r="L587" s="83">
        <f>EFEITO!$N$587*EFEITO!$AA$400</f>
        <v>14397.094470495516</v>
      </c>
      <c r="M587" s="83">
        <f>$J$587-EFEITO!$K$587*EFEITO!$Y$587</f>
        <v>0</v>
      </c>
      <c r="N587" s="83">
        <f ca="1">$K$587-EFEITO!$M$587*EFEITO!$Z$587</f>
        <v>1312.7138487306947</v>
      </c>
      <c r="O587" s="83">
        <f>$L$587-EFEITO!$O$587*EFEITO!$AA$587</f>
        <v>863.8256682297324</v>
      </c>
      <c r="P587" s="28"/>
      <c r="Q587" s="28"/>
      <c r="R587" s="28"/>
      <c r="S587" s="28"/>
      <c r="T587" s="28"/>
      <c r="U587" s="28"/>
      <c r="V587" s="28"/>
      <c r="W587" s="28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72" t="s">
        <v>21</v>
      </c>
      <c r="B588" s="72" t="s">
        <v>43</v>
      </c>
      <c r="C588" s="72" t="s">
        <v>23</v>
      </c>
      <c r="D588" s="72" t="s">
        <v>44</v>
      </c>
      <c r="E588" s="72" t="s">
        <v>25</v>
      </c>
      <c r="F588" s="72" t="s">
        <v>25</v>
      </c>
      <c r="G588" s="72" t="s">
        <v>25</v>
      </c>
      <c r="H588" s="72" t="s">
        <v>25</v>
      </c>
      <c r="I588" s="82">
        <v>44409</v>
      </c>
      <c r="J588" s="83">
        <f>EFEITO!$J$588*EFEITO!$Y$400</f>
        <v>0</v>
      </c>
      <c r="K588" s="83">
        <f ca="1">EFEITO!$L$588*EFEITO!$Z$400</f>
        <v>897717.99943025724</v>
      </c>
      <c r="L588" s="83">
        <f>EFEITO!$N$588*EFEITO!$AA$400</f>
        <v>590739.44522603147</v>
      </c>
      <c r="M588" s="83">
        <f>$J$588-EFEITO!$K$588*EFEITO!$Y$588</f>
        <v>0</v>
      </c>
      <c r="N588" s="83">
        <f ca="1">$K$588-EFEITO!$M$588*EFEITO!$Z$588</f>
        <v>53863.07996581553</v>
      </c>
      <c r="O588" s="83">
        <f>$L$588-EFEITO!$O$588*EFEITO!$AA$588</f>
        <v>35444.366713561933</v>
      </c>
      <c r="P588" s="28"/>
      <c r="Q588" s="28"/>
      <c r="R588" s="28"/>
      <c r="S588" s="28"/>
      <c r="T588" s="28"/>
      <c r="U588" s="28"/>
      <c r="V588" s="28"/>
      <c r="W588" s="28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72" t="s">
        <v>28</v>
      </c>
      <c r="B589" s="72" t="s">
        <v>43</v>
      </c>
      <c r="C589" s="72" t="s">
        <v>23</v>
      </c>
      <c r="D589" s="72" t="s">
        <v>44</v>
      </c>
      <c r="E589" s="72" t="s">
        <v>25</v>
      </c>
      <c r="F589" s="72" t="s">
        <v>25</v>
      </c>
      <c r="G589" s="72" t="s">
        <v>25</v>
      </c>
      <c r="H589" s="72" t="s">
        <v>25</v>
      </c>
      <c r="I589" s="82">
        <v>44409</v>
      </c>
      <c r="J589" s="83">
        <f>EFEITO!$J$589*EFEITO!$Y$400</f>
        <v>0</v>
      </c>
      <c r="K589" s="83">
        <f ca="1">EFEITO!$L$589*EFEITO!$Z$400</f>
        <v>20174.32297516711</v>
      </c>
      <c r="L589" s="83">
        <f>EFEITO!$N$589*EFEITO!$AA$400</f>
        <v>13275.62594236129</v>
      </c>
      <c r="M589" s="83">
        <f>$J$589-EFEITO!$K$589*EFEITO!$Y$589</f>
        <v>0</v>
      </c>
      <c r="N589" s="83">
        <f ca="1">$K$589-EFEITO!$M$589*EFEITO!$Z$589</f>
        <v>1210.459378510026</v>
      </c>
      <c r="O589" s="83">
        <f>$L$589-EFEITO!$O$589*EFEITO!$AA$589</f>
        <v>796.53755654167981</v>
      </c>
      <c r="P589" s="28"/>
      <c r="Q589" s="28"/>
      <c r="R589" s="28"/>
      <c r="S589" s="28"/>
      <c r="T589" s="28"/>
      <c r="U589" s="28"/>
      <c r="V589" s="28"/>
      <c r="W589" s="28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72" t="s">
        <v>21</v>
      </c>
      <c r="B590" s="72" t="s">
        <v>43</v>
      </c>
      <c r="C590" s="72" t="s">
        <v>23</v>
      </c>
      <c r="D590" s="72" t="s">
        <v>44</v>
      </c>
      <c r="E590" s="72" t="s">
        <v>25</v>
      </c>
      <c r="F590" s="72" t="s">
        <v>25</v>
      </c>
      <c r="G590" s="72" t="s">
        <v>25</v>
      </c>
      <c r="H590" s="72" t="s">
        <v>25</v>
      </c>
      <c r="I590" s="82">
        <v>44440</v>
      </c>
      <c r="J590" s="83">
        <f>EFEITO!$J$590*EFEITO!$Y$400</f>
        <v>0</v>
      </c>
      <c r="K590" s="83">
        <f ca="1">EFEITO!$L$590*EFEITO!$Z$400</f>
        <v>1047938.6638977822</v>
      </c>
      <c r="L590" s="83">
        <f>EFEITO!$N$590*EFEITO!$AA$400</f>
        <v>689591.50349527842</v>
      </c>
      <c r="M590" s="83">
        <f>$J$590-EFEITO!$K$590*EFEITO!$Y$590</f>
        <v>0</v>
      </c>
      <c r="N590" s="83">
        <f ca="1">$K$590-EFEITO!$M$590*EFEITO!$Z$590</f>
        <v>62876.319833867019</v>
      </c>
      <c r="O590" s="83">
        <f>$L$590-EFEITO!$O$590*EFEITO!$AA$590</f>
        <v>41375.490209716838</v>
      </c>
      <c r="P590" s="28"/>
      <c r="Q590" s="28"/>
      <c r="R590" s="28"/>
      <c r="S590" s="28"/>
      <c r="T590" s="28"/>
      <c r="U590" s="28"/>
      <c r="V590" s="28"/>
      <c r="W590" s="28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72" t="s">
        <v>28</v>
      </c>
      <c r="B591" s="72" t="s">
        <v>43</v>
      </c>
      <c r="C591" s="72" t="s">
        <v>23</v>
      </c>
      <c r="D591" s="72" t="s">
        <v>44</v>
      </c>
      <c r="E591" s="72" t="s">
        <v>25</v>
      </c>
      <c r="F591" s="72" t="s">
        <v>25</v>
      </c>
      <c r="G591" s="72" t="s">
        <v>25</v>
      </c>
      <c r="H591" s="72" t="s">
        <v>25</v>
      </c>
      <c r="I591" s="82">
        <v>44440</v>
      </c>
      <c r="J591" s="83">
        <f>EFEITO!$J$591*EFEITO!$Y$400</f>
        <v>0</v>
      </c>
      <c r="K591" s="83">
        <f ca="1">EFEITO!$L$591*EFEITO!$Z$400</f>
        <v>20864.79033137166</v>
      </c>
      <c r="L591" s="83">
        <f>EFEITO!$N$591*EFEITO!$AA$400</f>
        <v>13729.984998556918</v>
      </c>
      <c r="M591" s="83">
        <f>$J$591-EFEITO!$K$591*EFEITO!$Y$591</f>
        <v>0</v>
      </c>
      <c r="N591" s="83">
        <f ca="1">$K$591-EFEITO!$M$591*EFEITO!$Z$591</f>
        <v>1251.8874198823032</v>
      </c>
      <c r="O591" s="83">
        <f>$L$591-EFEITO!$O$591*EFEITO!$AA$591</f>
        <v>823.79909991341628</v>
      </c>
      <c r="P591" s="28"/>
      <c r="Q591" s="28"/>
      <c r="R591" s="28"/>
      <c r="S591" s="28"/>
      <c r="T591" s="28"/>
      <c r="U591" s="28"/>
      <c r="V591" s="28"/>
      <c r="W591" s="28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72" t="s">
        <v>21</v>
      </c>
      <c r="B592" s="72" t="s">
        <v>43</v>
      </c>
      <c r="C592" s="72" t="s">
        <v>23</v>
      </c>
      <c r="D592" s="72" t="s">
        <v>44</v>
      </c>
      <c r="E592" s="72" t="s">
        <v>25</v>
      </c>
      <c r="F592" s="72" t="s">
        <v>25</v>
      </c>
      <c r="G592" s="72" t="s">
        <v>25</v>
      </c>
      <c r="H592" s="72" t="s">
        <v>25</v>
      </c>
      <c r="I592" s="82">
        <v>44470</v>
      </c>
      <c r="J592" s="83">
        <f>EFEITO!$J$592*EFEITO!$Y$400</f>
        <v>0</v>
      </c>
      <c r="K592" s="83">
        <f ca="1">EFEITO!$L$592*EFEITO!$Z$400</f>
        <v>1021811.6608317576</v>
      </c>
      <c r="L592" s="83">
        <f>EFEITO!$N$592*EFEITO!$AA$400</f>
        <v>672398.74217553472</v>
      </c>
      <c r="M592" s="83">
        <f>$J$592-EFEITO!$K$592*EFEITO!$Y$592</f>
        <v>0</v>
      </c>
      <c r="N592" s="83">
        <f ca="1">$K$592-EFEITO!$M$592*EFEITO!$Z$592</f>
        <v>61308.699649905553</v>
      </c>
      <c r="O592" s="83">
        <f>$L$592-EFEITO!$O$592*EFEITO!$AA$592</f>
        <v>40343.924530532211</v>
      </c>
      <c r="P592" s="28"/>
      <c r="Q592" s="28"/>
      <c r="R592" s="28"/>
      <c r="S592" s="28"/>
      <c r="T592" s="28"/>
      <c r="U592" s="28"/>
      <c r="V592" s="28"/>
      <c r="W592" s="28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72" t="s">
        <v>28</v>
      </c>
      <c r="B593" s="72" t="s">
        <v>43</v>
      </c>
      <c r="C593" s="72" t="s">
        <v>23</v>
      </c>
      <c r="D593" s="72" t="s">
        <v>44</v>
      </c>
      <c r="E593" s="72" t="s">
        <v>25</v>
      </c>
      <c r="F593" s="72" t="s">
        <v>25</v>
      </c>
      <c r="G593" s="72" t="s">
        <v>25</v>
      </c>
      <c r="H593" s="72" t="s">
        <v>25</v>
      </c>
      <c r="I593" s="82">
        <v>44470</v>
      </c>
      <c r="J593" s="83">
        <f>EFEITO!$J$593*EFEITO!$Y$400</f>
        <v>0</v>
      </c>
      <c r="K593" s="83">
        <f ca="1">EFEITO!$L$593*EFEITO!$Z$400</f>
        <v>24663.481159410312</v>
      </c>
      <c r="L593" s="83">
        <f>EFEITO!$N$593*EFEITO!$AA$400</f>
        <v>16229.697061548817</v>
      </c>
      <c r="M593" s="83">
        <f>$J$593-EFEITO!$K$593*EFEITO!$Y$593</f>
        <v>0</v>
      </c>
      <c r="N593" s="83">
        <f ca="1">$K$593-EFEITO!$M$593*EFEITO!$Z$593</f>
        <v>1479.808869564622</v>
      </c>
      <c r="O593" s="83">
        <f>$L$593-EFEITO!$O$593*EFEITO!$AA$593</f>
        <v>973.78182369293063</v>
      </c>
      <c r="P593" s="28"/>
      <c r="Q593" s="28"/>
      <c r="R593" s="28"/>
      <c r="S593" s="28"/>
      <c r="T593" s="28"/>
      <c r="U593" s="28"/>
      <c r="V593" s="28"/>
      <c r="W593" s="28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72" t="s">
        <v>21</v>
      </c>
      <c r="B594" s="72" t="s">
        <v>43</v>
      </c>
      <c r="C594" s="72" t="s">
        <v>23</v>
      </c>
      <c r="D594" s="72" t="s">
        <v>44</v>
      </c>
      <c r="E594" s="72" t="s">
        <v>25</v>
      </c>
      <c r="F594" s="72" t="s">
        <v>25</v>
      </c>
      <c r="G594" s="72" t="s">
        <v>25</v>
      </c>
      <c r="H594" s="72" t="s">
        <v>25</v>
      </c>
      <c r="I594" s="82">
        <v>44501</v>
      </c>
      <c r="J594" s="83">
        <f>EFEITO!$J$594*EFEITO!$Y$400</f>
        <v>0</v>
      </c>
      <c r="K594" s="83">
        <f ca="1">EFEITO!$L$594*EFEITO!$Z$400</f>
        <v>875961.39544363017</v>
      </c>
      <c r="L594" s="83">
        <f>EFEITO!$N$594*EFEITO!$AA$400</f>
        <v>576422.6061103855</v>
      </c>
      <c r="M594" s="83">
        <f>$J$594-EFEITO!$K$594*EFEITO!$Y$594</f>
        <v>0</v>
      </c>
      <c r="N594" s="83">
        <f ca="1">$K$594-EFEITO!$M$594*EFEITO!$Z$594</f>
        <v>52557.68372661795</v>
      </c>
      <c r="O594" s="83">
        <f>$L$594-EFEITO!$O$594*EFEITO!$AA$594</f>
        <v>34585.356366623193</v>
      </c>
      <c r="P594" s="28"/>
      <c r="Q594" s="28"/>
      <c r="R594" s="28"/>
      <c r="S594" s="28"/>
      <c r="T594" s="28"/>
      <c r="U594" s="28"/>
      <c r="V594" s="28"/>
      <c r="W594" s="28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72" t="s">
        <v>27</v>
      </c>
      <c r="B595" s="72" t="s">
        <v>43</v>
      </c>
      <c r="C595" s="72" t="s">
        <v>23</v>
      </c>
      <c r="D595" s="72" t="s">
        <v>44</v>
      </c>
      <c r="E595" s="72" t="s">
        <v>25</v>
      </c>
      <c r="F595" s="72" t="s">
        <v>25</v>
      </c>
      <c r="G595" s="72" t="s">
        <v>25</v>
      </c>
      <c r="H595" s="72" t="s">
        <v>25</v>
      </c>
      <c r="I595" s="82">
        <v>44501</v>
      </c>
      <c r="J595" s="83">
        <f>EFEITO!$J$595*EFEITO!$Y$400</f>
        <v>0</v>
      </c>
      <c r="K595" s="83">
        <f ca="1">EFEITO!$L$595*EFEITO!$Z$400</f>
        <v>-3002.9087939521878</v>
      </c>
      <c r="L595" s="83">
        <f>EFEITO!$N$595*EFEITO!$AA$400</f>
        <v>-1976.0511386978176</v>
      </c>
      <c r="M595" s="83">
        <f>$J$595-EFEITO!$K$595*EFEITO!$Y$595</f>
        <v>0</v>
      </c>
      <c r="N595" s="83">
        <f ca="1">$K$595-EFEITO!$M$595*EFEITO!$Z$595</f>
        <v>-180.17452763713163</v>
      </c>
      <c r="O595" s="83">
        <f>$L$595-EFEITO!$O$595*EFEITO!$AA$595</f>
        <v>-118.5630683218692</v>
      </c>
      <c r="P595" s="28"/>
      <c r="Q595" s="28"/>
      <c r="R595" s="28"/>
      <c r="S595" s="28"/>
      <c r="T595" s="28"/>
      <c r="U595" s="28"/>
      <c r="V595" s="28"/>
      <c r="W595" s="28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72" t="s">
        <v>28</v>
      </c>
      <c r="B596" s="72" t="s">
        <v>43</v>
      </c>
      <c r="C596" s="72" t="s">
        <v>23</v>
      </c>
      <c r="D596" s="72" t="s">
        <v>44</v>
      </c>
      <c r="E596" s="72" t="s">
        <v>25</v>
      </c>
      <c r="F596" s="72" t="s">
        <v>25</v>
      </c>
      <c r="G596" s="72" t="s">
        <v>25</v>
      </c>
      <c r="H596" s="72" t="s">
        <v>25</v>
      </c>
      <c r="I596" s="82">
        <v>44501</v>
      </c>
      <c r="J596" s="83">
        <f>EFEITO!$J$596*EFEITO!$Y$400</f>
        <v>0</v>
      </c>
      <c r="K596" s="83">
        <f ca="1">EFEITO!$L$596*EFEITO!$Z$400</f>
        <v>28891.433334074049</v>
      </c>
      <c r="L596" s="83">
        <f>EFEITO!$N$596*EFEITO!$AA$400</f>
        <v>19011.882696334105</v>
      </c>
      <c r="M596" s="83">
        <f>$J$596-EFEITO!$K$596*EFEITO!$Y$596</f>
        <v>0</v>
      </c>
      <c r="N596" s="83">
        <f ca="1">$K$596-EFEITO!$M$596*EFEITO!$Z$596</f>
        <v>1733.486000044446</v>
      </c>
      <c r="O596" s="83">
        <f>$L$596-EFEITO!$O$596*EFEITO!$AA$596</f>
        <v>1140.7129617800492</v>
      </c>
      <c r="P596" s="28"/>
      <c r="Q596" s="28"/>
      <c r="R596" s="28"/>
      <c r="S596" s="28"/>
      <c r="T596" s="28"/>
      <c r="U596" s="28"/>
      <c r="V596" s="28"/>
      <c r="W596" s="28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72" t="s">
        <v>21</v>
      </c>
      <c r="B597" s="72" t="s">
        <v>43</v>
      </c>
      <c r="C597" s="72" t="s">
        <v>23</v>
      </c>
      <c r="D597" s="72" t="s">
        <v>44</v>
      </c>
      <c r="E597" s="72" t="s">
        <v>25</v>
      </c>
      <c r="F597" s="72" t="s">
        <v>25</v>
      </c>
      <c r="G597" s="72" t="s">
        <v>25</v>
      </c>
      <c r="H597" s="72" t="s">
        <v>25</v>
      </c>
      <c r="I597" s="82">
        <v>44531</v>
      </c>
      <c r="J597" s="83">
        <f>EFEITO!$J$597*EFEITO!$Y$400</f>
        <v>0</v>
      </c>
      <c r="K597" s="83">
        <f ca="1">EFEITO!$L$597*EFEITO!$Z$400</f>
        <v>879059.69564794353</v>
      </c>
      <c r="L597" s="83">
        <f>EFEITO!$N$597*EFEITO!$AA$400</f>
        <v>578461.42915392632</v>
      </c>
      <c r="M597" s="83">
        <f>$J$597-EFEITO!$K$597*EFEITO!$Y$597</f>
        <v>0</v>
      </c>
      <c r="N597" s="83">
        <f ca="1">$K$597-EFEITO!$M$597*EFEITO!$Z$597</f>
        <v>52743.581738876761</v>
      </c>
      <c r="O597" s="83">
        <f>$L$597-EFEITO!$O$597*EFEITO!$AA$597</f>
        <v>34707.685749235563</v>
      </c>
      <c r="P597" s="28"/>
      <c r="Q597" s="28"/>
      <c r="R597" s="28"/>
      <c r="S597" s="28"/>
      <c r="T597" s="28"/>
      <c r="U597" s="28"/>
      <c r="V597" s="28"/>
      <c r="W597" s="28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72" t="s">
        <v>27</v>
      </c>
      <c r="B598" s="72" t="s">
        <v>43</v>
      </c>
      <c r="C598" s="72" t="s">
        <v>23</v>
      </c>
      <c r="D598" s="72" t="s">
        <v>44</v>
      </c>
      <c r="E598" s="72" t="s">
        <v>25</v>
      </c>
      <c r="F598" s="72" t="s">
        <v>25</v>
      </c>
      <c r="G598" s="72" t="s">
        <v>25</v>
      </c>
      <c r="H598" s="72" t="s">
        <v>25</v>
      </c>
      <c r="I598" s="82">
        <v>44531</v>
      </c>
      <c r="J598" s="83">
        <f>EFEITO!$J$598*EFEITO!$Y$400</f>
        <v>0</v>
      </c>
      <c r="K598" s="83">
        <f ca="1">EFEITO!$L$598*EFEITO!$Z$400</f>
        <v>-222.47325570800237</v>
      </c>
      <c r="L598" s="83">
        <f>EFEITO!$N$598*EFEITO!$AA$400</f>
        <v>-146.39756330828089</v>
      </c>
      <c r="M598" s="83">
        <f>$J$598-EFEITO!$K$598*EFEITO!$Y$598</f>
        <v>0</v>
      </c>
      <c r="N598" s="83">
        <f ca="1">$K$598-EFEITO!$M$598*EFEITO!$Z$598</f>
        <v>-13.34839534248016</v>
      </c>
      <c r="O598" s="83">
        <f>$L$598-EFEITO!$O$598*EFEITO!$AA$598</f>
        <v>-8.7838537984968639</v>
      </c>
      <c r="P598" s="28"/>
      <c r="Q598" s="28"/>
      <c r="R598" s="28"/>
      <c r="S598" s="28"/>
      <c r="T598" s="28"/>
      <c r="U598" s="28"/>
      <c r="V598" s="28"/>
      <c r="W598" s="28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72" t="s">
        <v>28</v>
      </c>
      <c r="B599" s="72" t="s">
        <v>43</v>
      </c>
      <c r="C599" s="72" t="s">
        <v>23</v>
      </c>
      <c r="D599" s="72" t="s">
        <v>44</v>
      </c>
      <c r="E599" s="72" t="s">
        <v>25</v>
      </c>
      <c r="F599" s="72" t="s">
        <v>25</v>
      </c>
      <c r="G599" s="72" t="s">
        <v>25</v>
      </c>
      <c r="H599" s="72" t="s">
        <v>25</v>
      </c>
      <c r="I599" s="82">
        <v>44531</v>
      </c>
      <c r="J599" s="83">
        <f>EFEITO!$J$599*EFEITO!$Y$400</f>
        <v>0</v>
      </c>
      <c r="K599" s="83">
        <f ca="1">EFEITO!$L$599*EFEITO!$Z$400</f>
        <v>19396.466843698843</v>
      </c>
      <c r="L599" s="83">
        <f>EFEITO!$N$599*EFEITO!$AA$400</f>
        <v>12763.761080722265</v>
      </c>
      <c r="M599" s="83">
        <f>$J$599-EFEITO!$K$599*EFEITO!$Y$599</f>
        <v>0</v>
      </c>
      <c r="N599" s="83">
        <f ca="1">$K$599-EFEITO!$M$599*EFEITO!$Z$599</f>
        <v>1163.7880106219309</v>
      </c>
      <c r="O599" s="83">
        <f>$L$599-EFEITO!$O$599*EFEITO!$AA$599</f>
        <v>765.82566484333802</v>
      </c>
      <c r="P599" s="28"/>
      <c r="Q599" s="28"/>
      <c r="R599" s="28"/>
      <c r="S599" s="28"/>
      <c r="T599" s="28"/>
      <c r="U599" s="28"/>
      <c r="V599" s="28"/>
      <c r="W599" s="28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72" t="s">
        <v>28</v>
      </c>
      <c r="B600" s="72" t="s">
        <v>43</v>
      </c>
      <c r="C600" s="72" t="s">
        <v>23</v>
      </c>
      <c r="D600" s="72" t="s">
        <v>44</v>
      </c>
      <c r="E600" s="72" t="s">
        <v>25</v>
      </c>
      <c r="F600" s="72" t="s">
        <v>25</v>
      </c>
      <c r="G600" s="72" t="s">
        <v>25</v>
      </c>
      <c r="H600" s="72" t="s">
        <v>25</v>
      </c>
      <c r="I600" s="82">
        <v>44531</v>
      </c>
      <c r="J600" s="83">
        <f>EFEITO!$J$600*EFEITO!$Y$400</f>
        <v>0</v>
      </c>
      <c r="K600" s="83">
        <f ca="1">EFEITO!$L$600*EFEITO!$Z$400</f>
        <v>32.010540389640632</v>
      </c>
      <c r="L600" s="83">
        <f>EFEITO!$N$600*EFEITO!$AA$400</f>
        <v>21.064397598313803</v>
      </c>
      <c r="M600" s="83">
        <f>$J$600-EFEITO!$K$600*EFEITO!$Y$600</f>
        <v>0</v>
      </c>
      <c r="N600" s="83">
        <f ca="1">$K$600-EFEITO!$M$600*EFEITO!$Z$600</f>
        <v>1.9206324233784429</v>
      </c>
      <c r="O600" s="83">
        <f>$L$600-EFEITO!$O$600*EFEITO!$AA$600</f>
        <v>1.2638638558988333</v>
      </c>
      <c r="P600" s="28"/>
      <c r="Q600" s="28"/>
      <c r="R600" s="28"/>
      <c r="S600" s="28"/>
      <c r="T600" s="28"/>
      <c r="U600" s="28"/>
      <c r="V600" s="28"/>
      <c r="W600" s="28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72" t="s">
        <v>21</v>
      </c>
      <c r="B601" s="72" t="s">
        <v>43</v>
      </c>
      <c r="C601" s="72" t="s">
        <v>23</v>
      </c>
      <c r="D601" s="72" t="s">
        <v>44</v>
      </c>
      <c r="E601" s="72" t="s">
        <v>25</v>
      </c>
      <c r="F601" s="72" t="s">
        <v>25</v>
      </c>
      <c r="G601" s="72" t="s">
        <v>25</v>
      </c>
      <c r="H601" s="72" t="s">
        <v>25</v>
      </c>
      <c r="I601" s="82">
        <v>44562</v>
      </c>
      <c r="J601" s="83">
        <f>EFEITO!$J$601*EFEITO!$Y$400</f>
        <v>0</v>
      </c>
      <c r="K601" s="83">
        <f ca="1">EFEITO!$L$601*EFEITO!$Z$400</f>
        <v>848138.1538423585</v>
      </c>
      <c r="L601" s="83">
        <f>EFEITO!$N$601*EFEITO!$AA$400</f>
        <v>558113.64236190717</v>
      </c>
      <c r="M601" s="83">
        <f>$J$601-EFEITO!$K$601*EFEITO!$Y$601</f>
        <v>0</v>
      </c>
      <c r="N601" s="83">
        <f ca="1">$K$601-EFEITO!$M$601*EFEITO!$Z$601</f>
        <v>50888.289230541675</v>
      </c>
      <c r="O601" s="83">
        <f>$L$601-EFEITO!$O$601*EFEITO!$AA$601</f>
        <v>33486.818541714456</v>
      </c>
      <c r="P601" s="28"/>
      <c r="Q601" s="28"/>
      <c r="R601" s="28"/>
      <c r="S601" s="28"/>
      <c r="T601" s="28"/>
      <c r="U601" s="28"/>
      <c r="V601" s="28"/>
      <c r="W601" s="28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72" t="s">
        <v>28</v>
      </c>
      <c r="B602" s="72" t="s">
        <v>43</v>
      </c>
      <c r="C602" s="72" t="s">
        <v>23</v>
      </c>
      <c r="D602" s="72" t="s">
        <v>44</v>
      </c>
      <c r="E602" s="72" t="s">
        <v>25</v>
      </c>
      <c r="F602" s="72" t="s">
        <v>25</v>
      </c>
      <c r="G602" s="72" t="s">
        <v>25</v>
      </c>
      <c r="H602" s="72" t="s">
        <v>25</v>
      </c>
      <c r="I602" s="82">
        <v>44562</v>
      </c>
      <c r="J602" s="83">
        <f>EFEITO!$J$602*EFEITO!$Y$400</f>
        <v>0</v>
      </c>
      <c r="K602" s="83">
        <f ca="1">EFEITO!$L$602*EFEITO!$Z$400</f>
        <v>32146.905291700499</v>
      </c>
      <c r="L602" s="83">
        <f>EFEITO!$N$602*EFEITO!$AA$400</f>
        <v>21154.131932082619</v>
      </c>
      <c r="M602" s="83">
        <f>$J$602-EFEITO!$K$602*EFEITO!$Y$602</f>
        <v>0</v>
      </c>
      <c r="N602" s="83">
        <f ca="1">$K$602-EFEITO!$M$602*EFEITO!$Z$602</f>
        <v>1928.8143175020341</v>
      </c>
      <c r="O602" s="83">
        <f>$L$602-EFEITO!$O$602*EFEITO!$AA$602</f>
        <v>1269.2479159249597</v>
      </c>
      <c r="P602" s="28"/>
      <c r="Q602" s="28"/>
      <c r="R602" s="28"/>
      <c r="S602" s="28"/>
      <c r="T602" s="28"/>
      <c r="U602" s="28"/>
      <c r="V602" s="28"/>
      <c r="W602" s="28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72" t="s">
        <v>21</v>
      </c>
      <c r="B603" s="72" t="s">
        <v>43</v>
      </c>
      <c r="C603" s="72" t="s">
        <v>23</v>
      </c>
      <c r="D603" s="72" t="s">
        <v>44</v>
      </c>
      <c r="E603" s="72" t="s">
        <v>25</v>
      </c>
      <c r="F603" s="72" t="s">
        <v>25</v>
      </c>
      <c r="G603" s="72" t="s">
        <v>25</v>
      </c>
      <c r="H603" s="72" t="s">
        <v>25</v>
      </c>
      <c r="I603" s="82">
        <v>44593</v>
      </c>
      <c r="J603" s="83">
        <f>EFEITO!$J$603*EFEITO!$Y$400</f>
        <v>0</v>
      </c>
      <c r="K603" s="83">
        <f ca="1">EFEITO!$L$603*EFEITO!$Z$400</f>
        <v>867827.51713062252</v>
      </c>
      <c r="L603" s="83">
        <f>EFEITO!$N$603*EFEITO!$AA$400</f>
        <v>571070.14268065407</v>
      </c>
      <c r="M603" s="83">
        <f>$J$603-EFEITO!$K$603*EFEITO!$Y$603</f>
        <v>0</v>
      </c>
      <c r="N603" s="83">
        <f ca="1">$K$603-EFEITO!$M$603*EFEITO!$Z$603</f>
        <v>52069.651027837419</v>
      </c>
      <c r="O603" s="83">
        <f>$L$603-EFEITO!$O$603*EFEITO!$AA$603</f>
        <v>34264.208560839295</v>
      </c>
      <c r="P603" s="28"/>
      <c r="Q603" s="28"/>
      <c r="R603" s="28"/>
      <c r="S603" s="28"/>
      <c r="T603" s="28"/>
      <c r="U603" s="28"/>
      <c r="V603" s="28"/>
      <c r="W603" s="28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72" t="s">
        <v>27</v>
      </c>
      <c r="B604" s="72" t="s">
        <v>43</v>
      </c>
      <c r="C604" s="72" t="s">
        <v>23</v>
      </c>
      <c r="D604" s="72" t="s">
        <v>44</v>
      </c>
      <c r="E604" s="72" t="s">
        <v>25</v>
      </c>
      <c r="F604" s="72" t="s">
        <v>25</v>
      </c>
      <c r="G604" s="72" t="s">
        <v>25</v>
      </c>
      <c r="H604" s="72" t="s">
        <v>25</v>
      </c>
      <c r="I604" s="82">
        <v>44593</v>
      </c>
      <c r="J604" s="83">
        <f>EFEITO!$J$604*EFEITO!$Y$400</f>
        <v>0</v>
      </c>
      <c r="K604" s="83">
        <f ca="1">EFEITO!$L$604*EFEITO!$Z$400</f>
        <v>-2611.7399903907794</v>
      </c>
      <c r="L604" s="83">
        <f>EFEITO!$N$604*EFEITO!$AA$400</f>
        <v>-1718.6442000464231</v>
      </c>
      <c r="M604" s="83">
        <f>$J$604-EFEITO!$K$604*EFEITO!$Y$604</f>
        <v>0</v>
      </c>
      <c r="N604" s="83">
        <f ca="1">$K$604-EFEITO!$M$604*EFEITO!$Z$604</f>
        <v>-156.70439942344728</v>
      </c>
      <c r="O604" s="83">
        <f>$L$604-EFEITO!$O$604*EFEITO!$AA$604</f>
        <v>-103.11865200278544</v>
      </c>
      <c r="P604" s="28"/>
      <c r="Q604" s="28"/>
      <c r="R604" s="28"/>
      <c r="S604" s="28"/>
      <c r="T604" s="28"/>
      <c r="U604" s="28"/>
      <c r="V604" s="28"/>
      <c r="W604" s="28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72" t="s">
        <v>28</v>
      </c>
      <c r="B605" s="72" t="s">
        <v>43</v>
      </c>
      <c r="C605" s="72" t="s">
        <v>23</v>
      </c>
      <c r="D605" s="72" t="s">
        <v>44</v>
      </c>
      <c r="E605" s="72" t="s">
        <v>25</v>
      </c>
      <c r="F605" s="72" t="s">
        <v>25</v>
      </c>
      <c r="G605" s="72" t="s">
        <v>25</v>
      </c>
      <c r="H605" s="72" t="s">
        <v>25</v>
      </c>
      <c r="I605" s="82">
        <v>44593</v>
      </c>
      <c r="J605" s="83">
        <f>EFEITO!$J$605*EFEITO!$Y$400</f>
        <v>0</v>
      </c>
      <c r="K605" s="83">
        <f ca="1">EFEITO!$L$605*EFEITO!$Z$400</f>
        <v>27272.980411973818</v>
      </c>
      <c r="L605" s="83">
        <f>EFEITO!$N$605*EFEITO!$AA$400</f>
        <v>17946.866753763359</v>
      </c>
      <c r="M605" s="83">
        <f>$J$605-EFEITO!$K$605*EFEITO!$Y$605</f>
        <v>0</v>
      </c>
      <c r="N605" s="83">
        <f ca="1">$K$605-EFEITO!$M$605*EFEITO!$Z$605</f>
        <v>1636.3788247184311</v>
      </c>
      <c r="O605" s="83">
        <f>$L$605-EFEITO!$O$605*EFEITO!$AA$605</f>
        <v>1076.8120052258055</v>
      </c>
      <c r="P605" s="28"/>
      <c r="Q605" s="28"/>
      <c r="R605" s="28"/>
      <c r="S605" s="28"/>
      <c r="T605" s="28"/>
      <c r="U605" s="28"/>
      <c r="V605" s="28"/>
      <c r="W605" s="28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72" t="s">
        <v>21</v>
      </c>
      <c r="B606" s="72" t="s">
        <v>43</v>
      </c>
      <c r="C606" s="72" t="s">
        <v>23</v>
      </c>
      <c r="D606" s="72" t="s">
        <v>44</v>
      </c>
      <c r="E606" s="72" t="s">
        <v>25</v>
      </c>
      <c r="F606" s="72" t="s">
        <v>25</v>
      </c>
      <c r="G606" s="72" t="s">
        <v>25</v>
      </c>
      <c r="H606" s="72" t="s">
        <v>25</v>
      </c>
      <c r="I606" s="82">
        <v>44621</v>
      </c>
      <c r="J606" s="83">
        <f>EFEITO!$J$606*EFEITO!$Y$400</f>
        <v>0</v>
      </c>
      <c r="K606" s="83">
        <f ca="1">EFEITO!$L$606*EFEITO!$Z$400</f>
        <v>975976.7283640427</v>
      </c>
      <c r="L606" s="83">
        <f>EFEITO!$N$606*EFEITO!$AA$400</f>
        <v>642237.26318643708</v>
      </c>
      <c r="M606" s="83">
        <f>$J$606-EFEITO!$K$606*EFEITO!$Y$606</f>
        <v>0</v>
      </c>
      <c r="N606" s="83">
        <f ca="1">$K$606-EFEITO!$M$606*EFEITO!$Z$606</f>
        <v>58558.603701842716</v>
      </c>
      <c r="O606" s="83">
        <f>$L$606-EFEITO!$O$606*EFEITO!$AA$606</f>
        <v>38534.235791186336</v>
      </c>
      <c r="P606" s="28"/>
      <c r="Q606" s="28"/>
      <c r="R606" s="28"/>
      <c r="S606" s="28"/>
      <c r="T606" s="28"/>
      <c r="U606" s="28"/>
      <c r="V606" s="28"/>
      <c r="W606" s="28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72" t="s">
        <v>27</v>
      </c>
      <c r="B607" s="72" t="s">
        <v>43</v>
      </c>
      <c r="C607" s="72" t="s">
        <v>23</v>
      </c>
      <c r="D607" s="72" t="s">
        <v>44</v>
      </c>
      <c r="E607" s="72" t="s">
        <v>25</v>
      </c>
      <c r="F607" s="72" t="s">
        <v>25</v>
      </c>
      <c r="G607" s="72" t="s">
        <v>25</v>
      </c>
      <c r="H607" s="72" t="s">
        <v>25</v>
      </c>
      <c r="I607" s="82">
        <v>44621</v>
      </c>
      <c r="J607" s="83">
        <f>EFEITO!$J$607*EFEITO!$Y$400</f>
        <v>0</v>
      </c>
      <c r="K607" s="83">
        <f ca="1">EFEITO!$L$607*EFEITO!$Z$400</f>
        <v>168.05533704561333</v>
      </c>
      <c r="L607" s="83">
        <f>EFEITO!$N$607*EFEITO!$AA$400</f>
        <v>110.58808739114745</v>
      </c>
      <c r="M607" s="83">
        <f>$J$607-EFEITO!$K$607*EFEITO!$Y$607</f>
        <v>0</v>
      </c>
      <c r="N607" s="83">
        <f ca="1">$K$607-EFEITO!$M$607*EFEITO!$Z$607</f>
        <v>10.08332022273683</v>
      </c>
      <c r="O607" s="83">
        <f>$L$607-EFEITO!$O$607*EFEITO!$AA$607</f>
        <v>6.6352852434688572</v>
      </c>
      <c r="P607" s="28"/>
      <c r="Q607" s="28"/>
      <c r="R607" s="28"/>
      <c r="S607" s="28"/>
      <c r="T607" s="28"/>
      <c r="U607" s="28"/>
      <c r="V607" s="28"/>
      <c r="W607" s="28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72" t="s">
        <v>28</v>
      </c>
      <c r="B608" s="72" t="s">
        <v>43</v>
      </c>
      <c r="C608" s="72" t="s">
        <v>23</v>
      </c>
      <c r="D608" s="72" t="s">
        <v>44</v>
      </c>
      <c r="E608" s="72" t="s">
        <v>25</v>
      </c>
      <c r="F608" s="72" t="s">
        <v>25</v>
      </c>
      <c r="G608" s="72" t="s">
        <v>25</v>
      </c>
      <c r="H608" s="72" t="s">
        <v>25</v>
      </c>
      <c r="I608" s="82">
        <v>44621</v>
      </c>
      <c r="J608" s="83">
        <f>EFEITO!$J$608*EFEITO!$Y$400</f>
        <v>0</v>
      </c>
      <c r="K608" s="83">
        <f ca="1">EFEITO!$L$608*EFEITO!$Z$400</f>
        <v>45091.967825271175</v>
      </c>
      <c r="L608" s="83">
        <f>EFEITO!$N$608*EFEITO!$AA$400</f>
        <v>29672.574320840722</v>
      </c>
      <c r="M608" s="83">
        <f>$J$608-EFEITO!$K$608*EFEITO!$Y$608</f>
        <v>0</v>
      </c>
      <c r="N608" s="83">
        <f ca="1">$K$608-EFEITO!$M$608*EFEITO!$Z$608</f>
        <v>2705.518069516278</v>
      </c>
      <c r="O608" s="83">
        <f>$L$608-EFEITO!$O$608*EFEITO!$AA$608</f>
        <v>1780.3544592504477</v>
      </c>
      <c r="P608" s="28"/>
      <c r="Q608" s="28"/>
      <c r="R608" s="28"/>
      <c r="S608" s="28"/>
      <c r="T608" s="28"/>
      <c r="U608" s="28"/>
      <c r="V608" s="28"/>
      <c r="W608" s="28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72" t="s">
        <v>21</v>
      </c>
      <c r="B609" s="72" t="s">
        <v>43</v>
      </c>
      <c r="C609" s="72" t="s">
        <v>23</v>
      </c>
      <c r="D609" s="72" t="s">
        <v>44</v>
      </c>
      <c r="E609" s="72" t="s">
        <v>25</v>
      </c>
      <c r="F609" s="72" t="s">
        <v>25</v>
      </c>
      <c r="G609" s="72" t="s">
        <v>25</v>
      </c>
      <c r="H609" s="72" t="s">
        <v>25</v>
      </c>
      <c r="I609" s="82">
        <v>44652</v>
      </c>
      <c r="J609" s="83">
        <f>EFEITO!$J$609*EFEITO!$Y$400</f>
        <v>0</v>
      </c>
      <c r="K609" s="83">
        <f ca="1">EFEITO!$L$609*EFEITO!$Z$400</f>
        <v>917934.57631873863</v>
      </c>
      <c r="L609" s="83">
        <f>EFEITO!$N$609*EFEITO!$AA$400</f>
        <v>604042.87617322255</v>
      </c>
      <c r="M609" s="83">
        <f>$J$609-EFEITO!$K$609*EFEITO!$Y$609</f>
        <v>0</v>
      </c>
      <c r="N609" s="83">
        <f ca="1">$K$609-EFEITO!$M$609*EFEITO!$Z$609</f>
        <v>55076.074579124455</v>
      </c>
      <c r="O609" s="83">
        <f>$L$609-EFEITO!$O$609*EFEITO!$AA$609</f>
        <v>36242.572570393444</v>
      </c>
      <c r="P609" s="28"/>
      <c r="Q609" s="28"/>
      <c r="R609" s="28"/>
      <c r="S609" s="28"/>
      <c r="T609" s="28"/>
      <c r="U609" s="28"/>
      <c r="V609" s="28"/>
      <c r="W609" s="28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72" t="s">
        <v>21</v>
      </c>
      <c r="B610" s="72" t="s">
        <v>39</v>
      </c>
      <c r="C610" s="72" t="s">
        <v>37</v>
      </c>
      <c r="D610" s="72" t="s">
        <v>42</v>
      </c>
      <c r="E610" s="72" t="s">
        <v>25</v>
      </c>
      <c r="F610" s="72" t="s">
        <v>25</v>
      </c>
      <c r="G610" s="72" t="s">
        <v>25</v>
      </c>
      <c r="H610" s="72" t="s">
        <v>36</v>
      </c>
      <c r="I610" s="82">
        <v>44317</v>
      </c>
      <c r="J610" s="83">
        <f>EFEITO!$J$610*EFEITO!$Y$610</f>
        <v>0</v>
      </c>
      <c r="K610" s="83">
        <f ca="1">EFEITO!$L$610*EFEITO!$Z$610</f>
        <v>424.43814185052207</v>
      </c>
      <c r="L610" s="83">
        <f>EFEITO!$N$610*EFEITO!$AA$610</f>
        <v>363.15021459492993</v>
      </c>
      <c r="M610" s="83">
        <f>$J$610-EFEITO!$K$610*EFEITO!$Y$610</f>
        <v>0</v>
      </c>
      <c r="N610" s="83">
        <f ca="1">$K$610-EFEITO!$M$610*EFEITO!$Z$610</f>
        <v>0</v>
      </c>
      <c r="O610" s="83">
        <f>$L$610-EFEITO!$O$610*EFEITO!$AA$610</f>
        <v>0</v>
      </c>
      <c r="P610" s="28"/>
      <c r="Q610" s="28"/>
      <c r="R610" s="28"/>
      <c r="S610" s="28"/>
      <c r="T610" s="28"/>
      <c r="U610" s="28"/>
      <c r="V610" s="28"/>
      <c r="W610" s="28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72" t="s">
        <v>21</v>
      </c>
      <c r="B611" s="72" t="s">
        <v>39</v>
      </c>
      <c r="C611" s="72" t="s">
        <v>37</v>
      </c>
      <c r="D611" s="72" t="s">
        <v>42</v>
      </c>
      <c r="E611" s="72" t="s">
        <v>25</v>
      </c>
      <c r="F611" s="72" t="s">
        <v>25</v>
      </c>
      <c r="G611" s="72" t="s">
        <v>25</v>
      </c>
      <c r="H611" s="72" t="s">
        <v>36</v>
      </c>
      <c r="I611" s="82">
        <v>44348</v>
      </c>
      <c r="J611" s="83">
        <f>EFEITO!$J$611*EFEITO!$Y$611</f>
        <v>0</v>
      </c>
      <c r="K611" s="83">
        <f ca="1">EFEITO!$L$611*EFEITO!$Z$611</f>
        <v>380.86183610368772</v>
      </c>
      <c r="L611" s="83">
        <f>EFEITO!$N$611*EFEITO!$AA$611</f>
        <v>325.86623084591446</v>
      </c>
      <c r="M611" s="83">
        <f>$J$611-EFEITO!$K$611*EFEITO!$Y$611</f>
        <v>0</v>
      </c>
      <c r="N611" s="83">
        <f ca="1">$K$611-EFEITO!$M$611*EFEITO!$Z$611</f>
        <v>0</v>
      </c>
      <c r="O611" s="83">
        <f>$L$611-EFEITO!$O$611*EFEITO!$AA$611</f>
        <v>0</v>
      </c>
      <c r="P611" s="28"/>
      <c r="Q611" s="28"/>
      <c r="R611" s="28"/>
      <c r="S611" s="28"/>
      <c r="T611" s="28"/>
      <c r="U611" s="28"/>
      <c r="V611" s="28"/>
      <c r="W611" s="28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72" t="s">
        <v>21</v>
      </c>
      <c r="B612" s="72" t="s">
        <v>39</v>
      </c>
      <c r="C612" s="72" t="s">
        <v>37</v>
      </c>
      <c r="D612" s="72" t="s">
        <v>42</v>
      </c>
      <c r="E612" s="72" t="s">
        <v>25</v>
      </c>
      <c r="F612" s="72" t="s">
        <v>25</v>
      </c>
      <c r="G612" s="72" t="s">
        <v>25</v>
      </c>
      <c r="H612" s="72" t="s">
        <v>36</v>
      </c>
      <c r="I612" s="82">
        <v>44378</v>
      </c>
      <c r="J612" s="83">
        <f>EFEITO!$J$612*EFEITO!$Y$612</f>
        <v>0</v>
      </c>
      <c r="K612" s="83">
        <f ca="1">EFEITO!$L$612*EFEITO!$Z$612</f>
        <v>394.64868989929636</v>
      </c>
      <c r="L612" s="83">
        <f>EFEITO!$N$612*EFEITO!$AA$612</f>
        <v>337.66229350097024</v>
      </c>
      <c r="M612" s="83">
        <f>$J$612-EFEITO!$K$612*EFEITO!$Y$612</f>
        <v>0</v>
      </c>
      <c r="N612" s="83">
        <f ca="1">$K$612-EFEITO!$M$612*EFEITO!$Z$612</f>
        <v>0</v>
      </c>
      <c r="O612" s="83">
        <f>$L$612-EFEITO!$O$612*EFEITO!$AA$612</f>
        <v>0</v>
      </c>
      <c r="P612" s="28"/>
      <c r="Q612" s="28"/>
      <c r="R612" s="28"/>
      <c r="S612" s="28"/>
      <c r="T612" s="28"/>
      <c r="U612" s="28"/>
      <c r="V612" s="28"/>
      <c r="W612" s="28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72" t="s">
        <v>21</v>
      </c>
      <c r="B613" s="72" t="s">
        <v>39</v>
      </c>
      <c r="C613" s="72" t="s">
        <v>37</v>
      </c>
      <c r="D613" s="72" t="s">
        <v>42</v>
      </c>
      <c r="E613" s="72" t="s">
        <v>25</v>
      </c>
      <c r="F613" s="72" t="s">
        <v>25</v>
      </c>
      <c r="G613" s="72" t="s">
        <v>25</v>
      </c>
      <c r="H613" s="72" t="s">
        <v>36</v>
      </c>
      <c r="I613" s="82">
        <v>44409</v>
      </c>
      <c r="J613" s="83">
        <f>EFEITO!$J$613*EFEITO!$Y$613</f>
        <v>0</v>
      </c>
      <c r="K613" s="83">
        <f ca="1">EFEITO!$L$613*EFEITO!$Z$613</f>
        <v>339.25508089908317</v>
      </c>
      <c r="L613" s="83">
        <f>EFEITO!$N$613*EFEITO!$AA$613</f>
        <v>290.26739890476415</v>
      </c>
      <c r="M613" s="83">
        <f>$J$613-EFEITO!$K$613*EFEITO!$Y$613</f>
        <v>0</v>
      </c>
      <c r="N613" s="83">
        <f ca="1">$K$613-EFEITO!$M$613*EFEITO!$Z$613</f>
        <v>0</v>
      </c>
      <c r="O613" s="83">
        <f>$L$613-EFEITO!$O$613*EFEITO!$AA$613</f>
        <v>0</v>
      </c>
      <c r="P613" s="28"/>
      <c r="Q613" s="28"/>
      <c r="R613" s="28"/>
      <c r="S613" s="28"/>
      <c r="T613" s="28"/>
      <c r="U613" s="28"/>
      <c r="V613" s="28"/>
      <c r="W613" s="28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72" t="s">
        <v>21</v>
      </c>
      <c r="B614" s="72" t="s">
        <v>39</v>
      </c>
      <c r="C614" s="72" t="s">
        <v>37</v>
      </c>
      <c r="D614" s="72" t="s">
        <v>42</v>
      </c>
      <c r="E614" s="72" t="s">
        <v>25</v>
      </c>
      <c r="F614" s="72" t="s">
        <v>25</v>
      </c>
      <c r="G614" s="72" t="s">
        <v>25</v>
      </c>
      <c r="H614" s="72" t="s">
        <v>36</v>
      </c>
      <c r="I614" s="82">
        <v>44440</v>
      </c>
      <c r="J614" s="83">
        <f>EFEITO!$J$614*EFEITO!$Y$614</f>
        <v>0</v>
      </c>
      <c r="K614" s="83">
        <f ca="1">EFEITO!$L$614*EFEITO!$Z$614</f>
        <v>375.6917659303345</v>
      </c>
      <c r="L614" s="83">
        <f>EFEITO!$N$614*EFEITO!$AA$614</f>
        <v>321.44270735026862</v>
      </c>
      <c r="M614" s="83">
        <f>$J$614-EFEITO!$K$614*EFEITO!$Y$614</f>
        <v>0</v>
      </c>
      <c r="N614" s="83">
        <f ca="1">$K$614-EFEITO!$M$614*EFEITO!$Z$614</f>
        <v>0</v>
      </c>
      <c r="O614" s="83">
        <f>$L$614-EFEITO!$O$614*EFEITO!$AA$614</f>
        <v>0</v>
      </c>
      <c r="P614" s="28"/>
      <c r="Q614" s="28"/>
      <c r="R614" s="28"/>
      <c r="S614" s="28"/>
      <c r="T614" s="28"/>
      <c r="U614" s="28"/>
      <c r="V614" s="28"/>
      <c r="W614" s="28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72" t="s">
        <v>21</v>
      </c>
      <c r="B615" s="72" t="s">
        <v>39</v>
      </c>
      <c r="C615" s="72" t="s">
        <v>37</v>
      </c>
      <c r="D615" s="72" t="s">
        <v>42</v>
      </c>
      <c r="E615" s="72" t="s">
        <v>25</v>
      </c>
      <c r="F615" s="72" t="s">
        <v>25</v>
      </c>
      <c r="G615" s="72" t="s">
        <v>25</v>
      </c>
      <c r="H615" s="72" t="s">
        <v>36</v>
      </c>
      <c r="I615" s="82">
        <v>44470</v>
      </c>
      <c r="J615" s="83">
        <f>EFEITO!$J$615*EFEITO!$Y$615</f>
        <v>0</v>
      </c>
      <c r="K615" s="83">
        <f ca="1">EFEITO!$L$615*EFEITO!$Z$615</f>
        <v>377.66131647256429</v>
      </c>
      <c r="L615" s="83">
        <f>EFEITO!$N$615*EFEITO!$AA$615</f>
        <v>323.12785915813373</v>
      </c>
      <c r="M615" s="83">
        <f>$J$615-EFEITO!$K$615*EFEITO!$Y$615</f>
        <v>0</v>
      </c>
      <c r="N615" s="83">
        <f ca="1">$K$615-EFEITO!$M$615*EFEITO!$Z$615</f>
        <v>0</v>
      </c>
      <c r="O615" s="83">
        <f>$L$615-EFEITO!$O$615*EFEITO!$AA$615</f>
        <v>0</v>
      </c>
      <c r="P615" s="28"/>
      <c r="Q615" s="28"/>
      <c r="R615" s="28"/>
      <c r="S615" s="28"/>
      <c r="T615" s="28"/>
      <c r="U615" s="28"/>
      <c r="V615" s="28"/>
      <c r="W615" s="28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72" t="s">
        <v>21</v>
      </c>
      <c r="B616" s="72" t="s">
        <v>39</v>
      </c>
      <c r="C616" s="72" t="s">
        <v>37</v>
      </c>
      <c r="D616" s="72" t="s">
        <v>42</v>
      </c>
      <c r="E616" s="72" t="s">
        <v>25</v>
      </c>
      <c r="F616" s="72" t="s">
        <v>25</v>
      </c>
      <c r="G616" s="72" t="s">
        <v>25</v>
      </c>
      <c r="H616" s="72" t="s">
        <v>36</v>
      </c>
      <c r="I616" s="82">
        <v>44501</v>
      </c>
      <c r="J616" s="83">
        <f>EFEITO!$J$616*EFEITO!$Y$616</f>
        <v>0</v>
      </c>
      <c r="K616" s="83">
        <f ca="1">EFEITO!$L$616*EFEITO!$Z$616</f>
        <v>405.48121788156027</v>
      </c>
      <c r="L616" s="83">
        <f>EFEITO!$N$616*EFEITO!$AA$616</f>
        <v>346.93062844422832</v>
      </c>
      <c r="M616" s="83">
        <f>$J$616-EFEITO!$K$616*EFEITO!$Y$616</f>
        <v>0</v>
      </c>
      <c r="N616" s="83">
        <f ca="1">$K$616-EFEITO!$M$616*EFEITO!$Z$616</f>
        <v>0</v>
      </c>
      <c r="O616" s="83">
        <f>$L$616-EFEITO!$O$616*EFEITO!$AA$616</f>
        <v>0</v>
      </c>
      <c r="P616" s="28"/>
      <c r="Q616" s="28"/>
      <c r="R616" s="28"/>
      <c r="S616" s="28"/>
      <c r="T616" s="28"/>
      <c r="U616" s="28"/>
      <c r="V616" s="28"/>
      <c r="W616" s="28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72" t="s">
        <v>21</v>
      </c>
      <c r="B617" s="72" t="s">
        <v>39</v>
      </c>
      <c r="C617" s="72" t="s">
        <v>37</v>
      </c>
      <c r="D617" s="72" t="s">
        <v>42</v>
      </c>
      <c r="E617" s="72" t="s">
        <v>25</v>
      </c>
      <c r="F617" s="72" t="s">
        <v>25</v>
      </c>
      <c r="G617" s="72" t="s">
        <v>25</v>
      </c>
      <c r="H617" s="72" t="s">
        <v>36</v>
      </c>
      <c r="I617" s="82">
        <v>44531</v>
      </c>
      <c r="J617" s="83">
        <f>EFEITO!$J$617*EFEITO!$Y$617</f>
        <v>0</v>
      </c>
      <c r="K617" s="83">
        <f ca="1">EFEITO!$L$617*EFEITO!$Z$617</f>
        <v>355.0114852369216</v>
      </c>
      <c r="L617" s="83">
        <f>EFEITO!$N$617*EFEITO!$AA$617</f>
        <v>303.74861336768498</v>
      </c>
      <c r="M617" s="83">
        <f>$J$617-EFEITO!$K$617*EFEITO!$Y$617</f>
        <v>0</v>
      </c>
      <c r="N617" s="83">
        <f ca="1">$K$617-EFEITO!$M$617*EFEITO!$Z$617</f>
        <v>0</v>
      </c>
      <c r="O617" s="83">
        <f>$L$617-EFEITO!$O$617*EFEITO!$AA$617</f>
        <v>0</v>
      </c>
      <c r="P617" s="28"/>
      <c r="Q617" s="28"/>
      <c r="R617" s="28"/>
      <c r="S617" s="28"/>
      <c r="T617" s="28"/>
      <c r="U617" s="28"/>
      <c r="V617" s="28"/>
      <c r="W617" s="28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72" t="s">
        <v>21</v>
      </c>
      <c r="B618" s="72" t="s">
        <v>39</v>
      </c>
      <c r="C618" s="72" t="s">
        <v>37</v>
      </c>
      <c r="D618" s="72" t="s">
        <v>42</v>
      </c>
      <c r="E618" s="72" t="s">
        <v>25</v>
      </c>
      <c r="F618" s="72" t="s">
        <v>25</v>
      </c>
      <c r="G618" s="72" t="s">
        <v>25</v>
      </c>
      <c r="H618" s="72" t="s">
        <v>36</v>
      </c>
      <c r="I618" s="82">
        <v>44562</v>
      </c>
      <c r="J618" s="83">
        <f>EFEITO!$J$618*EFEITO!$Y$618</f>
        <v>0</v>
      </c>
      <c r="K618" s="83">
        <f ca="1">EFEITO!$L$618*EFEITO!$Z$618</f>
        <v>338.02411181018959</v>
      </c>
      <c r="L618" s="83">
        <f>EFEITO!$N$618*EFEITO!$AA$618</f>
        <v>289.21417902484848</v>
      </c>
      <c r="M618" s="83">
        <f>$J$618-EFEITO!$K$618*EFEITO!$Y$618</f>
        <v>0</v>
      </c>
      <c r="N618" s="83">
        <f ca="1">$K$618-EFEITO!$M$618*EFEITO!$Z$618</f>
        <v>0</v>
      </c>
      <c r="O618" s="83">
        <f>$L$618-EFEITO!$O$618*EFEITO!$AA$618</f>
        <v>0</v>
      </c>
      <c r="P618" s="28"/>
      <c r="Q618" s="28"/>
      <c r="R618" s="28"/>
      <c r="S618" s="28"/>
      <c r="T618" s="28"/>
      <c r="U618" s="28"/>
      <c r="V618" s="28"/>
      <c r="W618" s="28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72" t="s">
        <v>21</v>
      </c>
      <c r="B619" s="72" t="s">
        <v>39</v>
      </c>
      <c r="C619" s="72" t="s">
        <v>37</v>
      </c>
      <c r="D619" s="72" t="s">
        <v>42</v>
      </c>
      <c r="E619" s="72" t="s">
        <v>25</v>
      </c>
      <c r="F619" s="72" t="s">
        <v>25</v>
      </c>
      <c r="G619" s="72" t="s">
        <v>25</v>
      </c>
      <c r="H619" s="72" t="s">
        <v>36</v>
      </c>
      <c r="I619" s="82">
        <v>44593</v>
      </c>
      <c r="J619" s="83">
        <f>EFEITO!$J$619*EFEITO!$Y$619</f>
        <v>0</v>
      </c>
      <c r="K619" s="83">
        <f ca="1">EFEITO!$L$619*EFEITO!$Z$619</f>
        <v>441.67170909503284</v>
      </c>
      <c r="L619" s="83">
        <f>EFEITO!$N$619*EFEITO!$AA$619</f>
        <v>377.89529291374959</v>
      </c>
      <c r="M619" s="83">
        <f>$J$619-EFEITO!$K$619*EFEITO!$Y$619</f>
        <v>0</v>
      </c>
      <c r="N619" s="83">
        <f ca="1">$K$619-EFEITO!$M$619*EFEITO!$Z$619</f>
        <v>0</v>
      </c>
      <c r="O619" s="83">
        <f>$L$619-EFEITO!$O$619*EFEITO!$AA$619</f>
        <v>0</v>
      </c>
      <c r="P619" s="28"/>
      <c r="Q619" s="28"/>
      <c r="R619" s="28"/>
      <c r="S619" s="28"/>
      <c r="T619" s="28"/>
      <c r="U619" s="28"/>
      <c r="V619" s="28"/>
      <c r="W619" s="28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72" t="s">
        <v>21</v>
      </c>
      <c r="B620" s="72" t="s">
        <v>39</v>
      </c>
      <c r="C620" s="72" t="s">
        <v>37</v>
      </c>
      <c r="D620" s="72" t="s">
        <v>42</v>
      </c>
      <c r="E620" s="72" t="s">
        <v>25</v>
      </c>
      <c r="F620" s="72" t="s">
        <v>25</v>
      </c>
      <c r="G620" s="72" t="s">
        <v>25</v>
      </c>
      <c r="H620" s="72" t="s">
        <v>36</v>
      </c>
      <c r="I620" s="82">
        <v>44621</v>
      </c>
      <c r="J620" s="83">
        <f>EFEITO!$J$620*EFEITO!$Y$620</f>
        <v>0</v>
      </c>
      <c r="K620" s="83">
        <f ca="1">EFEITO!$L$620*EFEITO!$Z$620</f>
        <v>510.11359043751844</v>
      </c>
      <c r="L620" s="83">
        <f>EFEITO!$N$620*EFEITO!$AA$620</f>
        <v>436.45431823706195</v>
      </c>
      <c r="M620" s="83">
        <f>$J$620-EFEITO!$K$620*EFEITO!$Y$620</f>
        <v>0</v>
      </c>
      <c r="N620" s="83">
        <f ca="1">$K$620-EFEITO!$M$620*EFEITO!$Z$620</f>
        <v>0</v>
      </c>
      <c r="O620" s="83">
        <f>$L$620-EFEITO!$O$620*EFEITO!$AA$620</f>
        <v>0</v>
      </c>
      <c r="P620" s="28"/>
      <c r="Q620" s="28"/>
      <c r="R620" s="28"/>
      <c r="S620" s="28"/>
      <c r="T620" s="28"/>
      <c r="U620" s="28"/>
      <c r="V620" s="28"/>
      <c r="W620" s="28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72" t="s">
        <v>21</v>
      </c>
      <c r="B621" s="72" t="s">
        <v>39</v>
      </c>
      <c r="C621" s="72" t="s">
        <v>37</v>
      </c>
      <c r="D621" s="72" t="s">
        <v>42</v>
      </c>
      <c r="E621" s="72" t="s">
        <v>25</v>
      </c>
      <c r="F621" s="72" t="s">
        <v>25</v>
      </c>
      <c r="G621" s="72" t="s">
        <v>25</v>
      </c>
      <c r="H621" s="72" t="s">
        <v>36</v>
      </c>
      <c r="I621" s="82">
        <v>44652</v>
      </c>
      <c r="J621" s="83">
        <f>EFEITO!$J$621*EFEITO!$Y$621</f>
        <v>0</v>
      </c>
      <c r="K621" s="83">
        <f ca="1">EFEITO!$L$621*EFEITO!$Z$621</f>
        <v>324.97583946791713</v>
      </c>
      <c r="L621" s="83">
        <f>EFEITO!$N$621*EFEITO!$AA$621</f>
        <v>278.05004829774219</v>
      </c>
      <c r="M621" s="83">
        <f>$J$621-EFEITO!$K$621*EFEITO!$Y$621</f>
        <v>0</v>
      </c>
      <c r="N621" s="83">
        <f ca="1">$K$621-EFEITO!$M$621*EFEITO!$Z$621</f>
        <v>0</v>
      </c>
      <c r="O621" s="83">
        <f>$L$621-EFEITO!$O$621*EFEITO!$AA$621</f>
        <v>0</v>
      </c>
      <c r="P621" s="28"/>
      <c r="Q621" s="28"/>
      <c r="R621" s="28"/>
      <c r="S621" s="28"/>
      <c r="T621" s="28"/>
      <c r="U621" s="28"/>
      <c r="V621" s="28"/>
      <c r="W621" s="28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72" t="s">
        <v>21</v>
      </c>
      <c r="B622" s="72" t="s">
        <v>39</v>
      </c>
      <c r="C622" s="72" t="s">
        <v>37</v>
      </c>
      <c r="D622" s="72" t="s">
        <v>42</v>
      </c>
      <c r="E622" s="72" t="s">
        <v>25</v>
      </c>
      <c r="F622" s="72" t="s">
        <v>25</v>
      </c>
      <c r="G622" s="72" t="s">
        <v>25</v>
      </c>
      <c r="H622" s="72" t="s">
        <v>38</v>
      </c>
      <c r="I622" s="82">
        <v>44317</v>
      </c>
      <c r="J622" s="83">
        <f>EFEITO!$J$622*EFEITO!$Y$622</f>
        <v>0</v>
      </c>
      <c r="K622" s="83">
        <f ca="1">EFEITO!$L$622*EFEITO!$Z$622</f>
        <v>49.712601350714273</v>
      </c>
      <c r="L622" s="83">
        <f>EFEITO!$N$622*EFEITO!$AA$622</f>
        <v>21.485685550280074</v>
      </c>
      <c r="M622" s="83">
        <f>$J$622-EFEITO!$K$622*EFEITO!$Y$622</f>
        <v>0</v>
      </c>
      <c r="N622" s="83">
        <f ca="1">$K$622-EFEITO!$M$622*EFEITO!$Z$622</f>
        <v>0</v>
      </c>
      <c r="O622" s="83">
        <f>$L$622-EFEITO!$O$622*EFEITO!$AA$622</f>
        <v>0</v>
      </c>
      <c r="P622" s="28"/>
      <c r="Q622" s="28"/>
      <c r="R622" s="28"/>
      <c r="S622" s="28"/>
      <c r="T622" s="28"/>
      <c r="U622" s="28"/>
      <c r="V622" s="28"/>
      <c r="W622" s="28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72" t="s">
        <v>21</v>
      </c>
      <c r="B623" s="72" t="s">
        <v>39</v>
      </c>
      <c r="C623" s="72" t="s">
        <v>37</v>
      </c>
      <c r="D623" s="72" t="s">
        <v>42</v>
      </c>
      <c r="E623" s="72" t="s">
        <v>25</v>
      </c>
      <c r="F623" s="72" t="s">
        <v>25</v>
      </c>
      <c r="G623" s="72" t="s">
        <v>25</v>
      </c>
      <c r="H623" s="72" t="s">
        <v>38</v>
      </c>
      <c r="I623" s="82">
        <v>44348</v>
      </c>
      <c r="J623" s="83">
        <f>EFEITO!$J$623*EFEITO!$Y$623</f>
        <v>0</v>
      </c>
      <c r="K623" s="83">
        <f ca="1">EFEITO!$L$623*EFEITO!$Z$623</f>
        <v>40.452410903032209</v>
      </c>
      <c r="L623" s="83">
        <f>EFEITO!$N$623*EFEITO!$AA$623</f>
        <v>17.483450006600457</v>
      </c>
      <c r="M623" s="83">
        <f>$J$623-EFEITO!$K$623*EFEITO!$Y$623</f>
        <v>0</v>
      </c>
      <c r="N623" s="83">
        <f ca="1">$K$623-EFEITO!$M$623*EFEITO!$Z$623</f>
        <v>0</v>
      </c>
      <c r="O623" s="83">
        <f>$L$623-EFEITO!$O$623*EFEITO!$AA$623</f>
        <v>0</v>
      </c>
      <c r="P623" s="28"/>
      <c r="Q623" s="28"/>
      <c r="R623" s="28"/>
      <c r="S623" s="28"/>
      <c r="T623" s="28"/>
      <c r="U623" s="28"/>
      <c r="V623" s="28"/>
      <c r="W623" s="28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72" t="s">
        <v>21</v>
      </c>
      <c r="B624" s="72" t="s">
        <v>39</v>
      </c>
      <c r="C624" s="72" t="s">
        <v>37</v>
      </c>
      <c r="D624" s="72" t="s">
        <v>42</v>
      </c>
      <c r="E624" s="72" t="s">
        <v>25</v>
      </c>
      <c r="F624" s="72" t="s">
        <v>25</v>
      </c>
      <c r="G624" s="72" t="s">
        <v>25</v>
      </c>
      <c r="H624" s="72" t="s">
        <v>38</v>
      </c>
      <c r="I624" s="82">
        <v>44378</v>
      </c>
      <c r="J624" s="83">
        <f>EFEITO!$J$624*EFEITO!$Y$624</f>
        <v>0</v>
      </c>
      <c r="K624" s="83">
        <f ca="1">EFEITO!$L$624*EFEITO!$Z$624</f>
        <v>49.22522290609944</v>
      </c>
      <c r="L624" s="83">
        <f>EFEITO!$N$624*EFEITO!$AA$624</f>
        <v>21.275041574296939</v>
      </c>
      <c r="M624" s="83">
        <f>$J$624-EFEITO!$K$624*EFEITO!$Y$624</f>
        <v>0</v>
      </c>
      <c r="N624" s="83">
        <f ca="1">$K$624-EFEITO!$M$624*EFEITO!$Z$624</f>
        <v>0</v>
      </c>
      <c r="O624" s="83">
        <f>$L$624-EFEITO!$O$624*EFEITO!$AA$624</f>
        <v>0</v>
      </c>
      <c r="P624" s="28"/>
      <c r="Q624" s="28"/>
      <c r="R624" s="28"/>
      <c r="S624" s="28"/>
      <c r="T624" s="28"/>
      <c r="U624" s="28"/>
      <c r="V624" s="28"/>
      <c r="W624" s="28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72" t="s">
        <v>21</v>
      </c>
      <c r="B625" s="72" t="s">
        <v>39</v>
      </c>
      <c r="C625" s="72" t="s">
        <v>37</v>
      </c>
      <c r="D625" s="72" t="s">
        <v>42</v>
      </c>
      <c r="E625" s="72" t="s">
        <v>25</v>
      </c>
      <c r="F625" s="72" t="s">
        <v>25</v>
      </c>
      <c r="G625" s="72" t="s">
        <v>25</v>
      </c>
      <c r="H625" s="72" t="s">
        <v>38</v>
      </c>
      <c r="I625" s="82">
        <v>44409</v>
      </c>
      <c r="J625" s="83">
        <f>EFEITO!$J$625*EFEITO!$Y$625</f>
        <v>0</v>
      </c>
      <c r="K625" s="83">
        <f ca="1">EFEITO!$L$625*EFEITO!$Z$625</f>
        <v>34.603869567654051</v>
      </c>
      <c r="L625" s="83">
        <f>EFEITO!$N$625*EFEITO!$AA$625</f>
        <v>14.955722294802797</v>
      </c>
      <c r="M625" s="83">
        <f>$J$625-EFEITO!$K$625*EFEITO!$Y$625</f>
        <v>0</v>
      </c>
      <c r="N625" s="83">
        <f ca="1">$K$625-EFEITO!$M$625*EFEITO!$Z$625</f>
        <v>0</v>
      </c>
      <c r="O625" s="83">
        <f>$L$625-EFEITO!$O$625*EFEITO!$AA$625</f>
        <v>0</v>
      </c>
      <c r="P625" s="28"/>
      <c r="Q625" s="28"/>
      <c r="R625" s="28"/>
      <c r="S625" s="28"/>
      <c r="T625" s="28"/>
      <c r="U625" s="28"/>
      <c r="V625" s="28"/>
      <c r="W625" s="28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72" t="s">
        <v>21</v>
      </c>
      <c r="B626" s="72" t="s">
        <v>39</v>
      </c>
      <c r="C626" s="72" t="s">
        <v>37</v>
      </c>
      <c r="D626" s="72" t="s">
        <v>42</v>
      </c>
      <c r="E626" s="72" t="s">
        <v>25</v>
      </c>
      <c r="F626" s="72" t="s">
        <v>25</v>
      </c>
      <c r="G626" s="72" t="s">
        <v>25</v>
      </c>
      <c r="H626" s="72" t="s">
        <v>38</v>
      </c>
      <c r="I626" s="82">
        <v>44440</v>
      </c>
      <c r="J626" s="83">
        <f>EFEITO!$J$626*EFEITO!$Y$626</f>
        <v>0</v>
      </c>
      <c r="K626" s="83">
        <f ca="1">EFEITO!$L$626*EFEITO!$Z$626</f>
        <v>52.636872018403352</v>
      </c>
      <c r="L626" s="83">
        <f>EFEITO!$N$626*EFEITO!$AA$626</f>
        <v>22.749549406178904</v>
      </c>
      <c r="M626" s="83">
        <f>$J$626-EFEITO!$K$626*EFEITO!$Y$626</f>
        <v>0</v>
      </c>
      <c r="N626" s="83">
        <f ca="1">$K$626-EFEITO!$M$626*EFEITO!$Z$626</f>
        <v>0</v>
      </c>
      <c r="O626" s="83">
        <f>$L$626-EFEITO!$O$626*EFEITO!$AA$626</f>
        <v>0</v>
      </c>
      <c r="P626" s="28"/>
      <c r="Q626" s="28"/>
      <c r="R626" s="28"/>
      <c r="S626" s="28"/>
      <c r="T626" s="28"/>
      <c r="U626" s="28"/>
      <c r="V626" s="28"/>
      <c r="W626" s="28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72" t="s">
        <v>21</v>
      </c>
      <c r="B627" s="72" t="s">
        <v>39</v>
      </c>
      <c r="C627" s="72" t="s">
        <v>37</v>
      </c>
      <c r="D627" s="72" t="s">
        <v>42</v>
      </c>
      <c r="E627" s="72" t="s">
        <v>25</v>
      </c>
      <c r="F627" s="72" t="s">
        <v>25</v>
      </c>
      <c r="G627" s="72" t="s">
        <v>25</v>
      </c>
      <c r="H627" s="72" t="s">
        <v>38</v>
      </c>
      <c r="I627" s="82">
        <v>44470</v>
      </c>
      <c r="J627" s="83">
        <f>EFEITO!$J$627*EFEITO!$Y$627</f>
        <v>0</v>
      </c>
      <c r="K627" s="83">
        <f ca="1">EFEITO!$L$627*EFEITO!$Z$627</f>
        <v>46.788330683025208</v>
      </c>
      <c r="L627" s="83">
        <f>EFEITO!$N$627*EFEITO!$AA$627</f>
        <v>20.221821694381248</v>
      </c>
      <c r="M627" s="83">
        <f>$J$627-EFEITO!$K$627*EFEITO!$Y$627</f>
        <v>0</v>
      </c>
      <c r="N627" s="83">
        <f ca="1">$K$627-EFEITO!$M$627*EFEITO!$Z$627</f>
        <v>0</v>
      </c>
      <c r="O627" s="83">
        <f>$L$627-EFEITO!$O$627*EFEITO!$AA$627</f>
        <v>0</v>
      </c>
      <c r="P627" s="28"/>
      <c r="Q627" s="28"/>
      <c r="R627" s="28"/>
      <c r="S627" s="28"/>
      <c r="T627" s="28"/>
      <c r="U627" s="28"/>
      <c r="V627" s="28"/>
      <c r="W627" s="28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72" t="s">
        <v>21</v>
      </c>
      <c r="B628" s="72" t="s">
        <v>39</v>
      </c>
      <c r="C628" s="72" t="s">
        <v>37</v>
      </c>
      <c r="D628" s="72" t="s">
        <v>42</v>
      </c>
      <c r="E628" s="72" t="s">
        <v>25</v>
      </c>
      <c r="F628" s="72" t="s">
        <v>25</v>
      </c>
      <c r="G628" s="72" t="s">
        <v>25</v>
      </c>
      <c r="H628" s="72" t="s">
        <v>38</v>
      </c>
      <c r="I628" s="82">
        <v>44501</v>
      </c>
      <c r="J628" s="83">
        <f>EFEITO!$J$628*EFEITO!$Y$628</f>
        <v>0</v>
      </c>
      <c r="K628" s="83">
        <f ca="1">EFEITO!$L$628*EFEITO!$Z$628</f>
        <v>55.561142686092431</v>
      </c>
      <c r="L628" s="83">
        <f>EFEITO!$N$628*EFEITO!$AA$628</f>
        <v>24.013413262077734</v>
      </c>
      <c r="M628" s="83">
        <f>$J$628-EFEITO!$K$628*EFEITO!$Y$628</f>
        <v>0</v>
      </c>
      <c r="N628" s="83">
        <f ca="1">$K$628-EFEITO!$M$628*EFEITO!$Z$628</f>
        <v>0</v>
      </c>
      <c r="O628" s="83">
        <f>$L$628-EFEITO!$O$628*EFEITO!$AA$628</f>
        <v>0</v>
      </c>
      <c r="P628" s="28"/>
      <c r="Q628" s="28"/>
      <c r="R628" s="28"/>
      <c r="S628" s="28"/>
      <c r="T628" s="28"/>
      <c r="U628" s="28"/>
      <c r="V628" s="28"/>
      <c r="W628" s="28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72" t="s">
        <v>21</v>
      </c>
      <c r="B629" s="72" t="s">
        <v>39</v>
      </c>
      <c r="C629" s="72" t="s">
        <v>37</v>
      </c>
      <c r="D629" s="72" t="s">
        <v>42</v>
      </c>
      <c r="E629" s="72" t="s">
        <v>25</v>
      </c>
      <c r="F629" s="72" t="s">
        <v>25</v>
      </c>
      <c r="G629" s="72" t="s">
        <v>25</v>
      </c>
      <c r="H629" s="72" t="s">
        <v>38</v>
      </c>
      <c r="I629" s="82">
        <v>44531</v>
      </c>
      <c r="J629" s="83">
        <f>EFEITO!$J$629*EFEITO!$Y$629</f>
        <v>0</v>
      </c>
      <c r="K629" s="83">
        <f ca="1">EFEITO!$L$629*EFEITO!$Z$629</f>
        <v>45.326195349180665</v>
      </c>
      <c r="L629" s="83">
        <f>EFEITO!$N$629*EFEITO!$AA$629</f>
        <v>19.589889766431835</v>
      </c>
      <c r="M629" s="83">
        <f>$J$629-EFEITO!$K$629*EFEITO!$Y$629</f>
        <v>0</v>
      </c>
      <c r="N629" s="83">
        <f ca="1">$K$629-EFEITO!$M$629*EFEITO!$Z$629</f>
        <v>0</v>
      </c>
      <c r="O629" s="83">
        <f>$L$629-EFEITO!$O$629*EFEITO!$AA$629</f>
        <v>0</v>
      </c>
      <c r="P629" s="28"/>
      <c r="Q629" s="28"/>
      <c r="R629" s="28"/>
      <c r="S629" s="28"/>
      <c r="T629" s="28"/>
      <c r="U629" s="28"/>
      <c r="V629" s="28"/>
      <c r="W629" s="28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72" t="s">
        <v>21</v>
      </c>
      <c r="B630" s="72" t="s">
        <v>39</v>
      </c>
      <c r="C630" s="72" t="s">
        <v>37</v>
      </c>
      <c r="D630" s="72" t="s">
        <v>42</v>
      </c>
      <c r="E630" s="72" t="s">
        <v>25</v>
      </c>
      <c r="F630" s="72" t="s">
        <v>25</v>
      </c>
      <c r="G630" s="72" t="s">
        <v>25</v>
      </c>
      <c r="H630" s="72" t="s">
        <v>38</v>
      </c>
      <c r="I630" s="82">
        <v>44562</v>
      </c>
      <c r="J630" s="83">
        <f>EFEITO!$J$630*EFEITO!$Y$630</f>
        <v>0</v>
      </c>
      <c r="K630" s="83">
        <f ca="1">EFEITO!$L$630*EFEITO!$Z$630</f>
        <v>42.889303126106434</v>
      </c>
      <c r="L630" s="83">
        <f>EFEITO!$N$630*EFEITO!$AA$630</f>
        <v>18.536669886516144</v>
      </c>
      <c r="M630" s="83">
        <f>$J$630-EFEITO!$K$630*EFEITO!$Y$630</f>
        <v>0</v>
      </c>
      <c r="N630" s="83">
        <f ca="1">$K$630-EFEITO!$M$630*EFEITO!$Z$630</f>
        <v>0</v>
      </c>
      <c r="O630" s="83">
        <f>$L$630-EFEITO!$O$630*EFEITO!$AA$630</f>
        <v>0</v>
      </c>
      <c r="P630" s="28"/>
      <c r="Q630" s="28"/>
      <c r="R630" s="28"/>
      <c r="S630" s="28"/>
      <c r="T630" s="28"/>
      <c r="U630" s="28"/>
      <c r="V630" s="28"/>
      <c r="W630" s="28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72" t="s">
        <v>21</v>
      </c>
      <c r="B631" s="72" t="s">
        <v>39</v>
      </c>
      <c r="C631" s="72" t="s">
        <v>37</v>
      </c>
      <c r="D631" s="72" t="s">
        <v>42</v>
      </c>
      <c r="E631" s="72" t="s">
        <v>25</v>
      </c>
      <c r="F631" s="72" t="s">
        <v>25</v>
      </c>
      <c r="G631" s="72" t="s">
        <v>25</v>
      </c>
      <c r="H631" s="72" t="s">
        <v>38</v>
      </c>
      <c r="I631" s="82">
        <v>44593</v>
      </c>
      <c r="J631" s="83">
        <f>EFEITO!$J$631*EFEITO!$Y$631</f>
        <v>0</v>
      </c>
      <c r="K631" s="83">
        <f ca="1">EFEITO!$L$631*EFEITO!$Z$631</f>
        <v>64.333954689159654</v>
      </c>
      <c r="L631" s="83">
        <f>EFEITO!$N$631*EFEITO!$AA$631</f>
        <v>27.805004829774219</v>
      </c>
      <c r="M631" s="83">
        <f>$J$631-EFEITO!$K$631*EFEITO!$Y$631</f>
        <v>0</v>
      </c>
      <c r="N631" s="83">
        <f ca="1">$K$631-EFEITO!$M$631*EFEITO!$Z$631</f>
        <v>0</v>
      </c>
      <c r="O631" s="83">
        <f>$L$631-EFEITO!$O$631*EFEITO!$AA$631</f>
        <v>0</v>
      </c>
      <c r="P631" s="28"/>
      <c r="Q631" s="28"/>
      <c r="R631" s="28"/>
      <c r="S631" s="28"/>
      <c r="T631" s="28"/>
      <c r="U631" s="28"/>
      <c r="V631" s="28"/>
      <c r="W631" s="28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72" t="s">
        <v>21</v>
      </c>
      <c r="B632" s="72" t="s">
        <v>39</v>
      </c>
      <c r="C632" s="72" t="s">
        <v>37</v>
      </c>
      <c r="D632" s="72" t="s">
        <v>42</v>
      </c>
      <c r="E632" s="72" t="s">
        <v>25</v>
      </c>
      <c r="F632" s="72" t="s">
        <v>25</v>
      </c>
      <c r="G632" s="72" t="s">
        <v>25</v>
      </c>
      <c r="H632" s="72" t="s">
        <v>38</v>
      </c>
      <c r="I632" s="82">
        <v>44621</v>
      </c>
      <c r="J632" s="83">
        <f>EFEITO!$J$632*EFEITO!$Y$632</f>
        <v>0</v>
      </c>
      <c r="K632" s="83">
        <f ca="1">EFEITO!$L$632*EFEITO!$Z$632</f>
        <v>73.106766692226884</v>
      </c>
      <c r="L632" s="83">
        <f>EFEITO!$N$632*EFEITO!$AA$632</f>
        <v>31.596596397470698</v>
      </c>
      <c r="M632" s="83">
        <f>$J$632-EFEITO!$K$632*EFEITO!$Y$632</f>
        <v>0</v>
      </c>
      <c r="N632" s="83">
        <f ca="1">$K$632-EFEITO!$M$632*EFEITO!$Z$632</f>
        <v>0</v>
      </c>
      <c r="O632" s="83">
        <f>$L$632-EFEITO!$O$632*EFEITO!$AA$632</f>
        <v>0</v>
      </c>
      <c r="P632" s="28"/>
      <c r="Q632" s="28"/>
      <c r="R632" s="28"/>
      <c r="S632" s="28"/>
      <c r="T632" s="28"/>
      <c r="U632" s="28"/>
      <c r="V632" s="28"/>
      <c r="W632" s="28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72" t="s">
        <v>21</v>
      </c>
      <c r="B633" s="72" t="s">
        <v>39</v>
      </c>
      <c r="C633" s="72" t="s">
        <v>37</v>
      </c>
      <c r="D633" s="72" t="s">
        <v>42</v>
      </c>
      <c r="E633" s="72" t="s">
        <v>25</v>
      </c>
      <c r="F633" s="72" t="s">
        <v>25</v>
      </c>
      <c r="G633" s="72" t="s">
        <v>25</v>
      </c>
      <c r="H633" s="72" t="s">
        <v>38</v>
      </c>
      <c r="I633" s="82">
        <v>44652</v>
      </c>
      <c r="J633" s="83">
        <f>EFEITO!$J$633*EFEITO!$Y$633</f>
        <v>0</v>
      </c>
      <c r="K633" s="83">
        <f ca="1">EFEITO!$L$633*EFEITO!$Z$633</f>
        <v>44.838816904565817</v>
      </c>
      <c r="L633" s="83">
        <f>EFEITO!$N$633*EFEITO!$AA$633</f>
        <v>19.379245790448696</v>
      </c>
      <c r="M633" s="83">
        <f>$J$633-EFEITO!$K$633*EFEITO!$Y$633</f>
        <v>0</v>
      </c>
      <c r="N633" s="83">
        <f ca="1">$K$633-EFEITO!$M$633*EFEITO!$Z$633</f>
        <v>0</v>
      </c>
      <c r="O633" s="83">
        <f>$L$633-EFEITO!$O$633*EFEITO!$AA$633</f>
        <v>0</v>
      </c>
      <c r="P633" s="28"/>
      <c r="Q633" s="28"/>
      <c r="R633" s="28"/>
      <c r="S633" s="28"/>
      <c r="T633" s="28"/>
      <c r="U633" s="28"/>
      <c r="V633" s="28"/>
      <c r="W633" s="28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72" t="s">
        <v>21</v>
      </c>
      <c r="B634" s="72" t="s">
        <v>39</v>
      </c>
      <c r="C634" s="72" t="s">
        <v>37</v>
      </c>
      <c r="D634" s="72" t="s">
        <v>42</v>
      </c>
      <c r="E634" s="72" t="s">
        <v>25</v>
      </c>
      <c r="F634" s="72" t="s">
        <v>25</v>
      </c>
      <c r="G634" s="72" t="s">
        <v>25</v>
      </c>
      <c r="H634" s="72" t="s">
        <v>35</v>
      </c>
      <c r="I634" s="82">
        <v>44317</v>
      </c>
      <c r="J634" s="83">
        <f>EFEITO!$J$634*EFEITO!$Y$634</f>
        <v>0</v>
      </c>
      <c r="K634" s="83">
        <f ca="1">EFEITO!$L$634*EFEITO!$Z$634</f>
        <v>43.713786413543517</v>
      </c>
      <c r="L634" s="83">
        <f>EFEITO!$N$634*EFEITO!$AA$634</f>
        <v>12.63863855898828</v>
      </c>
      <c r="M634" s="83">
        <f>$J$634-EFEITO!$K$634*EFEITO!$Y$634</f>
        <v>0</v>
      </c>
      <c r="N634" s="83">
        <f ca="1">$K$634-EFEITO!$M$634*EFEITO!$Z$634</f>
        <v>0</v>
      </c>
      <c r="O634" s="83">
        <f>$L$634-EFEITO!$O$634*EFEITO!$AA$634</f>
        <v>0</v>
      </c>
      <c r="P634" s="28"/>
      <c r="Q634" s="28"/>
      <c r="R634" s="28"/>
      <c r="S634" s="28"/>
      <c r="T634" s="28"/>
      <c r="U634" s="28"/>
      <c r="V634" s="28"/>
      <c r="W634" s="28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72" t="s">
        <v>21</v>
      </c>
      <c r="B635" s="72" t="s">
        <v>39</v>
      </c>
      <c r="C635" s="72" t="s">
        <v>37</v>
      </c>
      <c r="D635" s="72" t="s">
        <v>42</v>
      </c>
      <c r="E635" s="72" t="s">
        <v>25</v>
      </c>
      <c r="F635" s="72" t="s">
        <v>25</v>
      </c>
      <c r="G635" s="72" t="s">
        <v>25</v>
      </c>
      <c r="H635" s="72" t="s">
        <v>35</v>
      </c>
      <c r="I635" s="82">
        <v>44348</v>
      </c>
      <c r="J635" s="83">
        <f>EFEITO!$J$635*EFEITO!$Y$635</f>
        <v>0</v>
      </c>
      <c r="K635" s="83">
        <f ca="1">EFEITO!$L$635*EFEITO!$Z$635</f>
        <v>104.18452428561204</v>
      </c>
      <c r="L635" s="83">
        <f>EFEITO!$N$635*EFEITO!$AA$635</f>
        <v>30.122088565588733</v>
      </c>
      <c r="M635" s="83">
        <f>$J$635-EFEITO!$K$635*EFEITO!$Y$635</f>
        <v>0</v>
      </c>
      <c r="N635" s="83">
        <f ca="1">$K$635-EFEITO!$M$635*EFEITO!$Z$635</f>
        <v>0</v>
      </c>
      <c r="O635" s="83">
        <f>$L$635-EFEITO!$O$635*EFEITO!$AA$635</f>
        <v>0</v>
      </c>
      <c r="P635" s="28"/>
      <c r="Q635" s="28"/>
      <c r="R635" s="28"/>
      <c r="S635" s="28"/>
      <c r="T635" s="28"/>
      <c r="U635" s="28"/>
      <c r="V635" s="28"/>
      <c r="W635" s="28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72" t="s">
        <v>21</v>
      </c>
      <c r="B636" s="72" t="s">
        <v>39</v>
      </c>
      <c r="C636" s="72" t="s">
        <v>37</v>
      </c>
      <c r="D636" s="72" t="s">
        <v>42</v>
      </c>
      <c r="E636" s="72" t="s">
        <v>25</v>
      </c>
      <c r="F636" s="72" t="s">
        <v>25</v>
      </c>
      <c r="G636" s="72" t="s">
        <v>25</v>
      </c>
      <c r="H636" s="72" t="s">
        <v>35</v>
      </c>
      <c r="I636" s="82">
        <v>44378</v>
      </c>
      <c r="J636" s="83">
        <f>EFEITO!$J$636*EFEITO!$Y$636</f>
        <v>0</v>
      </c>
      <c r="K636" s="83">
        <f ca="1">EFEITO!$L$636*EFEITO!$Z$636</f>
        <v>30.599650489480464</v>
      </c>
      <c r="L636" s="83">
        <f>EFEITO!$N$636*EFEITO!$AA$636</f>
        <v>8.8470469912917959</v>
      </c>
      <c r="M636" s="83">
        <f>$J$636-EFEITO!$K$636*EFEITO!$Y$636</f>
        <v>0</v>
      </c>
      <c r="N636" s="83">
        <f ca="1">$K$636-EFEITO!$M$636*EFEITO!$Z$636</f>
        <v>0</v>
      </c>
      <c r="O636" s="83">
        <f>$L$636-EFEITO!$O$636*EFEITO!$AA$636</f>
        <v>0</v>
      </c>
      <c r="P636" s="28"/>
      <c r="Q636" s="28"/>
      <c r="R636" s="28"/>
      <c r="S636" s="28"/>
      <c r="T636" s="28"/>
      <c r="U636" s="28"/>
      <c r="V636" s="28"/>
      <c r="W636" s="28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72" t="s">
        <v>21</v>
      </c>
      <c r="B637" s="72" t="s">
        <v>39</v>
      </c>
      <c r="C637" s="72" t="s">
        <v>37</v>
      </c>
      <c r="D637" s="72" t="s">
        <v>42</v>
      </c>
      <c r="E637" s="72" t="s">
        <v>25</v>
      </c>
      <c r="F637" s="72" t="s">
        <v>25</v>
      </c>
      <c r="G637" s="72" t="s">
        <v>25</v>
      </c>
      <c r="H637" s="72" t="s">
        <v>35</v>
      </c>
      <c r="I637" s="82">
        <v>44409</v>
      </c>
      <c r="J637" s="83">
        <f>EFEITO!$J$637*EFEITO!$Y$637</f>
        <v>0</v>
      </c>
      <c r="K637" s="83">
        <f ca="1">EFEITO!$L$637*EFEITO!$Z$637</f>
        <v>33.513902917050032</v>
      </c>
      <c r="L637" s="83">
        <f>EFEITO!$N$637*EFEITO!$AA$637</f>
        <v>9.6896228952243479</v>
      </c>
      <c r="M637" s="83">
        <f>$J$637-EFEITO!$K$637*EFEITO!$Y$637</f>
        <v>0</v>
      </c>
      <c r="N637" s="83">
        <f ca="1">$K$637-EFEITO!$M$637*EFEITO!$Z$637</f>
        <v>0</v>
      </c>
      <c r="O637" s="83">
        <f>$L$637-EFEITO!$O$637*EFEITO!$AA$637</f>
        <v>0</v>
      </c>
      <c r="P637" s="28"/>
      <c r="Q637" s="28"/>
      <c r="R637" s="28"/>
      <c r="S637" s="28"/>
      <c r="T637" s="28"/>
      <c r="U637" s="28"/>
      <c r="V637" s="28"/>
      <c r="W637" s="28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72" t="s">
        <v>21</v>
      </c>
      <c r="B638" s="72" t="s">
        <v>39</v>
      </c>
      <c r="C638" s="72" t="s">
        <v>37</v>
      </c>
      <c r="D638" s="72" t="s">
        <v>42</v>
      </c>
      <c r="E638" s="72" t="s">
        <v>25</v>
      </c>
      <c r="F638" s="72" t="s">
        <v>25</v>
      </c>
      <c r="G638" s="72" t="s">
        <v>25</v>
      </c>
      <c r="H638" s="72" t="s">
        <v>35</v>
      </c>
      <c r="I638" s="82">
        <v>44440</v>
      </c>
      <c r="J638" s="83">
        <f>EFEITO!$J$638*EFEITO!$Y$638</f>
        <v>0</v>
      </c>
      <c r="K638" s="83">
        <f ca="1">EFEITO!$L$638*EFEITO!$Z$638</f>
        <v>72862.139194094329</v>
      </c>
      <c r="L638" s="83">
        <f>EFEITO!$N$638*EFEITO!$AA$638</f>
        <v>21066.082750121666</v>
      </c>
      <c r="M638" s="83">
        <f>$J$638-EFEITO!$K$638*EFEITO!$Y$638</f>
        <v>0</v>
      </c>
      <c r="N638" s="83">
        <f ca="1">$K$638-EFEITO!$M$638*EFEITO!$Z$638</f>
        <v>0</v>
      </c>
      <c r="O638" s="83">
        <f>$L$638-EFEITO!$O$638*EFEITO!$AA$638</f>
        <v>0</v>
      </c>
      <c r="P638" s="28"/>
      <c r="Q638" s="28"/>
      <c r="R638" s="28"/>
      <c r="S638" s="28"/>
      <c r="T638" s="28"/>
      <c r="U638" s="28"/>
      <c r="V638" s="28"/>
      <c r="W638" s="28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72" t="s">
        <v>27</v>
      </c>
      <c r="B639" s="72" t="s">
        <v>39</v>
      </c>
      <c r="C639" s="72" t="s">
        <v>37</v>
      </c>
      <c r="D639" s="72" t="s">
        <v>42</v>
      </c>
      <c r="E639" s="72" t="s">
        <v>25</v>
      </c>
      <c r="F639" s="72" t="s">
        <v>25</v>
      </c>
      <c r="G639" s="72" t="s">
        <v>25</v>
      </c>
      <c r="H639" s="72" t="s">
        <v>35</v>
      </c>
      <c r="I639" s="82">
        <v>44440</v>
      </c>
      <c r="J639" s="83">
        <f>EFEITO!$J$639*EFEITO!$Y$639</f>
        <v>0</v>
      </c>
      <c r="K639" s="83">
        <f ca="1">EFEITO!$L$639*EFEITO!$Z$639</f>
        <v>-72829.353854284171</v>
      </c>
      <c r="L639" s="83">
        <f>EFEITO!$N$639*EFEITO!$AA$639</f>
        <v>-21056.603771202423</v>
      </c>
      <c r="M639" s="83">
        <f>$J$639-EFEITO!$K$639*EFEITO!$Y$639</f>
        <v>0</v>
      </c>
      <c r="N639" s="83">
        <f ca="1">$K$639-EFEITO!$M$639*EFEITO!$Z$639</f>
        <v>0</v>
      </c>
      <c r="O639" s="83">
        <f>$L$639-EFEITO!$O$639*EFEITO!$AA$639</f>
        <v>0</v>
      </c>
      <c r="P639" s="28"/>
      <c r="Q639" s="28"/>
      <c r="R639" s="28"/>
      <c r="S639" s="28"/>
      <c r="T639" s="28"/>
      <c r="U639" s="28"/>
      <c r="V639" s="28"/>
      <c r="W639" s="28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72" t="s">
        <v>21</v>
      </c>
      <c r="B640" s="72" t="s">
        <v>39</v>
      </c>
      <c r="C640" s="72" t="s">
        <v>37</v>
      </c>
      <c r="D640" s="72" t="s">
        <v>42</v>
      </c>
      <c r="E640" s="72" t="s">
        <v>25</v>
      </c>
      <c r="F640" s="72" t="s">
        <v>25</v>
      </c>
      <c r="G640" s="72" t="s">
        <v>25</v>
      </c>
      <c r="H640" s="72" t="s">
        <v>35</v>
      </c>
      <c r="I640" s="82">
        <v>44470</v>
      </c>
      <c r="J640" s="83">
        <f>EFEITO!$J$640*EFEITO!$Y$640</f>
        <v>0</v>
      </c>
      <c r="K640" s="83">
        <f ca="1">EFEITO!$L$640*EFEITO!$Z$640</f>
        <v>44.442349520435904</v>
      </c>
      <c r="L640" s="83">
        <f>EFEITO!$N$640*EFEITO!$AA$640</f>
        <v>12.849282534971419</v>
      </c>
      <c r="M640" s="83">
        <f>$J$640-EFEITO!$K$640*EFEITO!$Y$640</f>
        <v>0</v>
      </c>
      <c r="N640" s="83">
        <f ca="1">$K$640-EFEITO!$M$640*EFEITO!$Z$640</f>
        <v>0</v>
      </c>
      <c r="O640" s="83">
        <f>$L$640-EFEITO!$O$640*EFEITO!$AA$640</f>
        <v>0</v>
      </c>
      <c r="P640" s="28"/>
      <c r="Q640" s="28"/>
      <c r="R640" s="28"/>
      <c r="S640" s="28"/>
      <c r="T640" s="28"/>
      <c r="U640" s="28"/>
      <c r="V640" s="28"/>
      <c r="W640" s="28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72" t="s">
        <v>21</v>
      </c>
      <c r="B641" s="72" t="s">
        <v>39</v>
      </c>
      <c r="C641" s="72" t="s">
        <v>37</v>
      </c>
      <c r="D641" s="72" t="s">
        <v>42</v>
      </c>
      <c r="E641" s="72" t="s">
        <v>25</v>
      </c>
      <c r="F641" s="72" t="s">
        <v>25</v>
      </c>
      <c r="G641" s="72" t="s">
        <v>25</v>
      </c>
      <c r="H641" s="72" t="s">
        <v>35</v>
      </c>
      <c r="I641" s="82">
        <v>44501</v>
      </c>
      <c r="J641" s="83">
        <f>EFEITO!$J$641*EFEITO!$Y$641</f>
        <v>0</v>
      </c>
      <c r="K641" s="83">
        <f ca="1">EFEITO!$L$641*EFEITO!$Z$641</f>
        <v>47.356601948005476</v>
      </c>
      <c r="L641" s="83">
        <f>EFEITO!$N$641*EFEITO!$AA$641</f>
        <v>13.691858438903971</v>
      </c>
      <c r="M641" s="83">
        <f>$J$641-EFEITO!$K$641*EFEITO!$Y$641</f>
        <v>0</v>
      </c>
      <c r="N641" s="83">
        <f ca="1">$K$641-EFEITO!$M$641*EFEITO!$Z$641</f>
        <v>0</v>
      </c>
      <c r="O641" s="83">
        <f>$L$641-EFEITO!$O$641*EFEITO!$AA$641</f>
        <v>0</v>
      </c>
      <c r="P641" s="28"/>
      <c r="Q641" s="28"/>
      <c r="R641" s="28"/>
      <c r="S641" s="28"/>
      <c r="T641" s="28"/>
      <c r="U641" s="28"/>
      <c r="V641" s="28"/>
      <c r="W641" s="28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72" t="s">
        <v>21</v>
      </c>
      <c r="B642" s="72" t="s">
        <v>39</v>
      </c>
      <c r="C642" s="72" t="s">
        <v>37</v>
      </c>
      <c r="D642" s="72" t="s">
        <v>42</v>
      </c>
      <c r="E642" s="72" t="s">
        <v>25</v>
      </c>
      <c r="F642" s="72" t="s">
        <v>25</v>
      </c>
      <c r="G642" s="72" t="s">
        <v>25</v>
      </c>
      <c r="H642" s="72" t="s">
        <v>35</v>
      </c>
      <c r="I642" s="82">
        <v>44531</v>
      </c>
      <c r="J642" s="83">
        <f>EFEITO!$J$642*EFEITO!$Y$642</f>
        <v>0</v>
      </c>
      <c r="K642" s="83">
        <f ca="1">EFEITO!$L$642*EFEITO!$Z$642</f>
        <v>46.628038841113089</v>
      </c>
      <c r="L642" s="83">
        <f>EFEITO!$N$642*EFEITO!$AA$642</f>
        <v>13.481214462920832</v>
      </c>
      <c r="M642" s="83">
        <f>$J$642-EFEITO!$K$642*EFEITO!$Y$642</f>
        <v>0</v>
      </c>
      <c r="N642" s="83">
        <f ca="1">$K$642-EFEITO!$M$642*EFEITO!$Z$642</f>
        <v>0</v>
      </c>
      <c r="O642" s="83">
        <f>$L$642-EFEITO!$O$642*EFEITO!$AA$642</f>
        <v>0</v>
      </c>
      <c r="P642" s="28"/>
      <c r="Q642" s="28"/>
      <c r="R642" s="28"/>
      <c r="S642" s="28"/>
      <c r="T642" s="28"/>
      <c r="U642" s="28"/>
      <c r="V642" s="28"/>
      <c r="W642" s="28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72" t="s">
        <v>21</v>
      </c>
      <c r="B643" s="72" t="s">
        <v>39</v>
      </c>
      <c r="C643" s="72" t="s">
        <v>37</v>
      </c>
      <c r="D643" s="72" t="s">
        <v>42</v>
      </c>
      <c r="E643" s="72" t="s">
        <v>25</v>
      </c>
      <c r="F643" s="72" t="s">
        <v>25</v>
      </c>
      <c r="G643" s="72" t="s">
        <v>25</v>
      </c>
      <c r="H643" s="72" t="s">
        <v>35</v>
      </c>
      <c r="I643" s="82">
        <v>44562</v>
      </c>
      <c r="J643" s="83">
        <f>EFEITO!$J$643*EFEITO!$Y$643</f>
        <v>0</v>
      </c>
      <c r="K643" s="83">
        <f ca="1">EFEITO!$L$643*EFEITO!$Z$643</f>
        <v>42.985223306651122</v>
      </c>
      <c r="L643" s="83">
        <f>EFEITO!$N$643*EFEITO!$AA$643</f>
        <v>12.427994583005141</v>
      </c>
      <c r="M643" s="83">
        <f>$J$643-EFEITO!$K$643*EFEITO!$Y$643</f>
        <v>0</v>
      </c>
      <c r="N643" s="83">
        <f ca="1">$K$643-EFEITO!$M$643*EFEITO!$Z$643</f>
        <v>0</v>
      </c>
      <c r="O643" s="83">
        <f>$L$643-EFEITO!$O$643*EFEITO!$AA$643</f>
        <v>0</v>
      </c>
      <c r="P643" s="28"/>
      <c r="Q643" s="28"/>
      <c r="R643" s="28"/>
      <c r="S643" s="28"/>
      <c r="T643" s="28"/>
      <c r="U643" s="28"/>
      <c r="V643" s="28"/>
      <c r="W643" s="28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72" t="s">
        <v>21</v>
      </c>
      <c r="B644" s="72" t="s">
        <v>39</v>
      </c>
      <c r="C644" s="72" t="s">
        <v>37</v>
      </c>
      <c r="D644" s="72" t="s">
        <v>42</v>
      </c>
      <c r="E644" s="72" t="s">
        <v>25</v>
      </c>
      <c r="F644" s="72" t="s">
        <v>25</v>
      </c>
      <c r="G644" s="72" t="s">
        <v>25</v>
      </c>
      <c r="H644" s="72" t="s">
        <v>35</v>
      </c>
      <c r="I644" s="82">
        <v>44593</v>
      </c>
      <c r="J644" s="83">
        <f>EFEITO!$J$644*EFEITO!$Y$644</f>
        <v>0</v>
      </c>
      <c r="K644" s="83">
        <f ca="1">EFEITO!$L$644*EFEITO!$Z$644</f>
        <v>52.456543696252218</v>
      </c>
      <c r="L644" s="83">
        <f>EFEITO!$N$644*EFEITO!$AA$644</f>
        <v>15.166366270785936</v>
      </c>
      <c r="M644" s="83">
        <f>$J$644-EFEITO!$K$644*EFEITO!$Y$644</f>
        <v>0</v>
      </c>
      <c r="N644" s="83">
        <f ca="1">$K$644-EFEITO!$M$644*EFEITO!$Z$644</f>
        <v>0</v>
      </c>
      <c r="O644" s="83">
        <f>$L$644-EFEITO!$O$644*EFEITO!$AA$644</f>
        <v>0</v>
      </c>
      <c r="P644" s="28"/>
      <c r="Q644" s="28"/>
      <c r="R644" s="28"/>
      <c r="S644" s="28"/>
      <c r="T644" s="28"/>
      <c r="U644" s="28"/>
      <c r="V644" s="28"/>
      <c r="W644" s="28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72" t="s">
        <v>21</v>
      </c>
      <c r="B645" s="72" t="s">
        <v>39</v>
      </c>
      <c r="C645" s="72" t="s">
        <v>37</v>
      </c>
      <c r="D645" s="72" t="s">
        <v>42</v>
      </c>
      <c r="E645" s="72" t="s">
        <v>25</v>
      </c>
      <c r="F645" s="72" t="s">
        <v>25</v>
      </c>
      <c r="G645" s="72" t="s">
        <v>25</v>
      </c>
      <c r="H645" s="72" t="s">
        <v>35</v>
      </c>
      <c r="I645" s="82">
        <v>44621</v>
      </c>
      <c r="J645" s="83">
        <f>EFEITO!$J$645*EFEITO!$Y$645</f>
        <v>0</v>
      </c>
      <c r="K645" s="83">
        <f ca="1">EFEITO!$L$645*EFEITO!$Z$645</f>
        <v>69.213495154777235</v>
      </c>
      <c r="L645" s="83">
        <f>EFEITO!$N$645*EFEITO!$AA$645</f>
        <v>20.011177718398113</v>
      </c>
      <c r="M645" s="83">
        <f>$J$645-EFEITO!$K$645*EFEITO!$Y$645</f>
        <v>0</v>
      </c>
      <c r="N645" s="83">
        <f ca="1">$K$645-EFEITO!$M$645*EFEITO!$Z$645</f>
        <v>0</v>
      </c>
      <c r="O645" s="83">
        <f>$L$645-EFEITO!$O$645*EFEITO!$AA$645</f>
        <v>0</v>
      </c>
      <c r="P645" s="28"/>
      <c r="Q645" s="28"/>
      <c r="R645" s="28"/>
      <c r="S645" s="28"/>
      <c r="T645" s="28"/>
      <c r="U645" s="28"/>
      <c r="V645" s="28"/>
      <c r="W645" s="28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72" t="s">
        <v>21</v>
      </c>
      <c r="B646" s="72" t="s">
        <v>39</v>
      </c>
      <c r="C646" s="72" t="s">
        <v>37</v>
      </c>
      <c r="D646" s="72" t="s">
        <v>42</v>
      </c>
      <c r="E646" s="72" t="s">
        <v>25</v>
      </c>
      <c r="F646" s="72" t="s">
        <v>25</v>
      </c>
      <c r="G646" s="72" t="s">
        <v>25</v>
      </c>
      <c r="H646" s="72" t="s">
        <v>35</v>
      </c>
      <c r="I646" s="82">
        <v>44652</v>
      </c>
      <c r="J646" s="83">
        <f>EFEITO!$J$646*EFEITO!$Y$646</f>
        <v>0</v>
      </c>
      <c r="K646" s="83">
        <f ca="1">EFEITO!$L$646*EFEITO!$Z$646</f>
        <v>38.613844665296774</v>
      </c>
      <c r="L646" s="83">
        <f>EFEITO!$N$646*EFEITO!$AA$646</f>
        <v>11.164130727106315</v>
      </c>
      <c r="M646" s="83">
        <f>$J$646-EFEITO!$K$646*EFEITO!$Y$646</f>
        <v>0</v>
      </c>
      <c r="N646" s="83">
        <f ca="1">$K$646-EFEITO!$M$646*EFEITO!$Z$646</f>
        <v>0</v>
      </c>
      <c r="O646" s="83">
        <f>$L$646-EFEITO!$O$646*EFEITO!$AA$646</f>
        <v>0</v>
      </c>
      <c r="P646" s="28"/>
      <c r="Q646" s="28"/>
      <c r="R646" s="28"/>
      <c r="S646" s="28"/>
      <c r="T646" s="28"/>
      <c r="U646" s="28"/>
      <c r="V646" s="28"/>
      <c r="W646" s="28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72" t="s">
        <v>21</v>
      </c>
      <c r="B647" s="72" t="s">
        <v>39</v>
      </c>
      <c r="C647" s="72" t="s">
        <v>23</v>
      </c>
      <c r="D647" s="72" t="s">
        <v>42</v>
      </c>
      <c r="E647" s="72" t="s">
        <v>25</v>
      </c>
      <c r="F647" s="72" t="s">
        <v>25</v>
      </c>
      <c r="G647" s="72" t="s">
        <v>25</v>
      </c>
      <c r="H647" s="72" t="s">
        <v>25</v>
      </c>
      <c r="I647" s="82">
        <v>44317</v>
      </c>
      <c r="J647" s="83">
        <f>EFEITO!$J$647*EFEITO!$Y$647</f>
        <v>0</v>
      </c>
      <c r="K647" s="83">
        <f ca="1">EFEITO!$L$647*EFEITO!$Z$647</f>
        <v>288775.40759544942</v>
      </c>
      <c r="L647" s="83">
        <f>EFEITO!$N$647*EFEITO!$AA$647</f>
        <v>190027.40747776435</v>
      </c>
      <c r="M647" s="83">
        <f>$J$647-EFEITO!$K$647*EFEITO!$Y$647</f>
        <v>0</v>
      </c>
      <c r="N647" s="83">
        <f ca="1">$K$647-EFEITO!$M$647*EFEITO!$Z$647</f>
        <v>0</v>
      </c>
      <c r="O647" s="83">
        <f>$L$647-EFEITO!$O$647*EFEITO!$AA$647</f>
        <v>0</v>
      </c>
      <c r="P647" s="28"/>
      <c r="Q647" s="28"/>
      <c r="R647" s="28"/>
      <c r="S647" s="28"/>
      <c r="T647" s="28"/>
      <c r="U647" s="28"/>
      <c r="V647" s="28"/>
      <c r="W647" s="28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72" t="s">
        <v>28</v>
      </c>
      <c r="B648" s="72" t="s">
        <v>39</v>
      </c>
      <c r="C648" s="72" t="s">
        <v>23</v>
      </c>
      <c r="D648" s="72" t="s">
        <v>42</v>
      </c>
      <c r="E648" s="72" t="s">
        <v>25</v>
      </c>
      <c r="F648" s="72" t="s">
        <v>25</v>
      </c>
      <c r="G648" s="72" t="s">
        <v>25</v>
      </c>
      <c r="H648" s="72" t="s">
        <v>25</v>
      </c>
      <c r="I648" s="82">
        <v>44317</v>
      </c>
      <c r="J648" s="83">
        <f>EFEITO!$J$648*EFEITO!$Y$648</f>
        <v>0</v>
      </c>
      <c r="K648" s="83">
        <f ca="1">EFEITO!$L$648*EFEITO!$Z$648</f>
        <v>12354.147957977904</v>
      </c>
      <c r="L648" s="83">
        <f>EFEITO!$N$648*EFEITO!$AA$648</f>
        <v>8129.5936090932282</v>
      </c>
      <c r="M648" s="83">
        <f>$J$648-EFEITO!$K$648*EFEITO!$Y$648</f>
        <v>0</v>
      </c>
      <c r="N648" s="83">
        <f ca="1">$K$648-EFEITO!$M$648*EFEITO!$Z$648</f>
        <v>0</v>
      </c>
      <c r="O648" s="83">
        <f>$L$648-EFEITO!$O$648*EFEITO!$AA$648</f>
        <v>0</v>
      </c>
      <c r="P648" s="28"/>
      <c r="Q648" s="28"/>
      <c r="R648" s="28"/>
      <c r="S648" s="28"/>
      <c r="T648" s="28"/>
      <c r="U648" s="28"/>
      <c r="V648" s="28"/>
      <c r="W648" s="28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72" t="s">
        <v>21</v>
      </c>
      <c r="B649" s="72" t="s">
        <v>39</v>
      </c>
      <c r="C649" s="72" t="s">
        <v>23</v>
      </c>
      <c r="D649" s="72" t="s">
        <v>42</v>
      </c>
      <c r="E649" s="72" t="s">
        <v>25</v>
      </c>
      <c r="F649" s="72" t="s">
        <v>25</v>
      </c>
      <c r="G649" s="72" t="s">
        <v>25</v>
      </c>
      <c r="H649" s="72" t="s">
        <v>25</v>
      </c>
      <c r="I649" s="82">
        <v>44348</v>
      </c>
      <c r="J649" s="83">
        <f>EFEITO!$J$649*EFEITO!$Y$649</f>
        <v>0</v>
      </c>
      <c r="K649" s="83">
        <f ca="1">EFEITO!$L$649*EFEITO!$Z$649</f>
        <v>291284.07364578557</v>
      </c>
      <c r="L649" s="83">
        <f>EFEITO!$N$649*EFEITO!$AA$649</f>
        <v>191678.2243175442</v>
      </c>
      <c r="M649" s="83">
        <f>$J$649-EFEITO!$K$649*EFEITO!$Y$649</f>
        <v>0</v>
      </c>
      <c r="N649" s="83">
        <f ca="1">$K$649-EFEITO!$M$649*EFEITO!$Z$649</f>
        <v>0</v>
      </c>
      <c r="O649" s="83">
        <f>$L$649-EFEITO!$O$649*EFEITO!$AA$649</f>
        <v>0</v>
      </c>
      <c r="P649" s="28"/>
      <c r="Q649" s="28"/>
      <c r="R649" s="28"/>
      <c r="S649" s="28"/>
      <c r="T649" s="28"/>
      <c r="U649" s="28"/>
      <c r="V649" s="28"/>
      <c r="W649" s="28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72" t="s">
        <v>28</v>
      </c>
      <c r="B650" s="72" t="s">
        <v>39</v>
      </c>
      <c r="C650" s="72" t="s">
        <v>23</v>
      </c>
      <c r="D650" s="72" t="s">
        <v>42</v>
      </c>
      <c r="E650" s="72" t="s">
        <v>25</v>
      </c>
      <c r="F650" s="72" t="s">
        <v>25</v>
      </c>
      <c r="G650" s="72" t="s">
        <v>25</v>
      </c>
      <c r="H650" s="72" t="s">
        <v>25</v>
      </c>
      <c r="I650" s="82">
        <v>44348</v>
      </c>
      <c r="J650" s="83">
        <f>EFEITO!$J$650*EFEITO!$Y$650</f>
        <v>0</v>
      </c>
      <c r="K650" s="83">
        <f ca="1">EFEITO!$L$650*EFEITO!$Z$650</f>
        <v>16827.620977430182</v>
      </c>
      <c r="L650" s="83">
        <f>EFEITO!$N$650*EFEITO!$AA$650</f>
        <v>11073.343173457582</v>
      </c>
      <c r="M650" s="83">
        <f>$J$650-EFEITO!$K$650*EFEITO!$Y$650</f>
        <v>0</v>
      </c>
      <c r="N650" s="83">
        <f ca="1">$K$650-EFEITO!$M$650*EFEITO!$Z$650</f>
        <v>0</v>
      </c>
      <c r="O650" s="83">
        <f>$L$650-EFEITO!$O$650*EFEITO!$AA$650</f>
        <v>0</v>
      </c>
      <c r="P650" s="28"/>
      <c r="Q650" s="28"/>
      <c r="R650" s="28"/>
      <c r="S650" s="28"/>
      <c r="T650" s="28"/>
      <c r="U650" s="28"/>
      <c r="V650" s="28"/>
      <c r="W650" s="28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72" t="s">
        <v>21</v>
      </c>
      <c r="B651" s="72" t="s">
        <v>39</v>
      </c>
      <c r="C651" s="72" t="s">
        <v>23</v>
      </c>
      <c r="D651" s="72" t="s">
        <v>42</v>
      </c>
      <c r="E651" s="72" t="s">
        <v>25</v>
      </c>
      <c r="F651" s="72" t="s">
        <v>25</v>
      </c>
      <c r="G651" s="72" t="s">
        <v>25</v>
      </c>
      <c r="H651" s="72" t="s">
        <v>25</v>
      </c>
      <c r="I651" s="82">
        <v>44378</v>
      </c>
      <c r="J651" s="83">
        <f>EFEITO!$J$651*EFEITO!$Y$651</f>
        <v>0</v>
      </c>
      <c r="K651" s="83">
        <f ca="1">EFEITO!$L$651*EFEITO!$Z$651</f>
        <v>281177.38572856435</v>
      </c>
      <c r="L651" s="83">
        <f>EFEITO!$N$651*EFEITO!$AA$651</f>
        <v>185027.56206382858</v>
      </c>
      <c r="M651" s="83">
        <f>$J$651-EFEITO!$K$651*EFEITO!$Y$651</f>
        <v>0</v>
      </c>
      <c r="N651" s="83">
        <f ca="1">$K$651-EFEITO!$M$651*EFEITO!$Z$651</f>
        <v>0</v>
      </c>
      <c r="O651" s="83">
        <f>$L$651-EFEITO!$O$651*EFEITO!$AA$651</f>
        <v>0</v>
      </c>
      <c r="P651" s="28"/>
      <c r="Q651" s="28"/>
      <c r="R651" s="28"/>
      <c r="S651" s="28"/>
      <c r="T651" s="28"/>
      <c r="U651" s="28"/>
      <c r="V651" s="28"/>
      <c r="W651" s="28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72" t="s">
        <v>28</v>
      </c>
      <c r="B652" s="72" t="s">
        <v>39</v>
      </c>
      <c r="C652" s="72" t="s">
        <v>23</v>
      </c>
      <c r="D652" s="72" t="s">
        <v>42</v>
      </c>
      <c r="E652" s="72" t="s">
        <v>25</v>
      </c>
      <c r="F652" s="72" t="s">
        <v>25</v>
      </c>
      <c r="G652" s="72" t="s">
        <v>25</v>
      </c>
      <c r="H652" s="72" t="s">
        <v>25</v>
      </c>
      <c r="I652" s="82">
        <v>44378</v>
      </c>
      <c r="J652" s="83">
        <f>EFEITO!$J$652*EFEITO!$Y$652</f>
        <v>0</v>
      </c>
      <c r="K652" s="83">
        <f ca="1">EFEITO!$L$652*EFEITO!$Z$652</f>
        <v>14645.462439068382</v>
      </c>
      <c r="L652" s="83">
        <f>EFEITO!$N$652*EFEITO!$AA$652</f>
        <v>9637.3831891805312</v>
      </c>
      <c r="M652" s="83">
        <f>$J$652-EFEITO!$K$652*EFEITO!$Y$652</f>
        <v>0</v>
      </c>
      <c r="N652" s="83">
        <f ca="1">$K$652-EFEITO!$M$652*EFEITO!$Z$652</f>
        <v>0</v>
      </c>
      <c r="O652" s="83">
        <f>$L$652-EFEITO!$O$652*EFEITO!$AA$652</f>
        <v>0</v>
      </c>
      <c r="P652" s="28"/>
      <c r="Q652" s="28"/>
      <c r="R652" s="28"/>
      <c r="S652" s="28"/>
      <c r="T652" s="28"/>
      <c r="U652" s="28"/>
      <c r="V652" s="28"/>
      <c r="W652" s="28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72" t="s">
        <v>21</v>
      </c>
      <c r="B653" s="72" t="s">
        <v>39</v>
      </c>
      <c r="C653" s="72" t="s">
        <v>23</v>
      </c>
      <c r="D653" s="72" t="s">
        <v>42</v>
      </c>
      <c r="E653" s="72" t="s">
        <v>25</v>
      </c>
      <c r="F653" s="72" t="s">
        <v>25</v>
      </c>
      <c r="G653" s="72" t="s">
        <v>25</v>
      </c>
      <c r="H653" s="72" t="s">
        <v>25</v>
      </c>
      <c r="I653" s="82">
        <v>44409</v>
      </c>
      <c r="J653" s="83">
        <f>EFEITO!$J$653*EFEITO!$Y$653</f>
        <v>0</v>
      </c>
      <c r="K653" s="83">
        <f ca="1">EFEITO!$L$653*EFEITO!$Z$653</f>
        <v>304829.33381166199</v>
      </c>
      <c r="L653" s="83">
        <f>EFEITO!$N$653*EFEITO!$AA$653</f>
        <v>200591.62416127071</v>
      </c>
      <c r="M653" s="83">
        <f>$J$653-EFEITO!$K$653*EFEITO!$Y$653</f>
        <v>0</v>
      </c>
      <c r="N653" s="83">
        <f ca="1">$K$653-EFEITO!$M$653*EFEITO!$Z$653</f>
        <v>0</v>
      </c>
      <c r="O653" s="83">
        <f>$L$653-EFEITO!$O$653*EFEITO!$AA$653</f>
        <v>0</v>
      </c>
      <c r="P653" s="28"/>
      <c r="Q653" s="28"/>
      <c r="R653" s="28"/>
      <c r="S653" s="28"/>
      <c r="T653" s="28"/>
      <c r="U653" s="28"/>
      <c r="V653" s="28"/>
      <c r="W653" s="28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72" t="s">
        <v>28</v>
      </c>
      <c r="B654" s="72" t="s">
        <v>39</v>
      </c>
      <c r="C654" s="72" t="s">
        <v>23</v>
      </c>
      <c r="D654" s="72" t="s">
        <v>42</v>
      </c>
      <c r="E654" s="72" t="s">
        <v>25</v>
      </c>
      <c r="F654" s="72" t="s">
        <v>25</v>
      </c>
      <c r="G654" s="72" t="s">
        <v>25</v>
      </c>
      <c r="H654" s="72" t="s">
        <v>25</v>
      </c>
      <c r="I654" s="82">
        <v>44409</v>
      </c>
      <c r="J654" s="83">
        <f>EFEITO!$J$654*EFEITO!$Y$654</f>
        <v>0</v>
      </c>
      <c r="K654" s="83">
        <f ca="1">EFEITO!$L$654*EFEITO!$Z$654</f>
        <v>12857.993863710848</v>
      </c>
      <c r="L654" s="83">
        <f>EFEITO!$N$654*EFEITO!$AA$654</f>
        <v>8461.1472272906867</v>
      </c>
      <c r="M654" s="83">
        <f>$J$654-EFEITO!$K$654*EFEITO!$Y$654</f>
        <v>0</v>
      </c>
      <c r="N654" s="83">
        <f ca="1">$K$654-EFEITO!$M$654*EFEITO!$Z$654</f>
        <v>0</v>
      </c>
      <c r="O654" s="83">
        <f>$L$654-EFEITO!$O$654*EFEITO!$AA$654</f>
        <v>0</v>
      </c>
      <c r="P654" s="28"/>
      <c r="Q654" s="28"/>
      <c r="R654" s="28"/>
      <c r="S654" s="28"/>
      <c r="T654" s="28"/>
      <c r="U654" s="28"/>
      <c r="V654" s="28"/>
      <c r="W654" s="28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72" t="s">
        <v>21</v>
      </c>
      <c r="B655" s="72" t="s">
        <v>39</v>
      </c>
      <c r="C655" s="72" t="s">
        <v>23</v>
      </c>
      <c r="D655" s="72" t="s">
        <v>42</v>
      </c>
      <c r="E655" s="72" t="s">
        <v>25</v>
      </c>
      <c r="F655" s="72" t="s">
        <v>25</v>
      </c>
      <c r="G655" s="72" t="s">
        <v>25</v>
      </c>
      <c r="H655" s="72" t="s">
        <v>25</v>
      </c>
      <c r="I655" s="82">
        <v>44440</v>
      </c>
      <c r="J655" s="83">
        <f>EFEITO!$J$655*EFEITO!$Y$655</f>
        <v>0</v>
      </c>
      <c r="K655" s="83">
        <f ca="1">EFEITO!$L$655*EFEITO!$Z$655</f>
        <v>348771.16292073333</v>
      </c>
      <c r="L655" s="83">
        <f>EFEITO!$N$655*EFEITO!$AA$655</f>
        <v>229507.35467640398</v>
      </c>
      <c r="M655" s="83">
        <f>$J$655-EFEITO!$K$655*EFEITO!$Y$655</f>
        <v>0</v>
      </c>
      <c r="N655" s="83">
        <f ca="1">$K$655-EFEITO!$M$655*EFEITO!$Z$655</f>
        <v>0</v>
      </c>
      <c r="O655" s="83">
        <f>$L$655-EFEITO!$O$655*EFEITO!$AA$655</f>
        <v>0</v>
      </c>
      <c r="P655" s="28"/>
      <c r="Q655" s="28"/>
      <c r="R655" s="28"/>
      <c r="S655" s="28"/>
      <c r="T655" s="28"/>
      <c r="U655" s="28"/>
      <c r="V655" s="28"/>
      <c r="W655" s="28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72" t="s">
        <v>28</v>
      </c>
      <c r="B656" s="72" t="s">
        <v>39</v>
      </c>
      <c r="C656" s="72" t="s">
        <v>23</v>
      </c>
      <c r="D656" s="72" t="s">
        <v>42</v>
      </c>
      <c r="E656" s="72" t="s">
        <v>25</v>
      </c>
      <c r="F656" s="72" t="s">
        <v>25</v>
      </c>
      <c r="G656" s="72" t="s">
        <v>25</v>
      </c>
      <c r="H656" s="72" t="s">
        <v>25</v>
      </c>
      <c r="I656" s="82">
        <v>44440</v>
      </c>
      <c r="J656" s="83">
        <f>EFEITO!$J$656*EFEITO!$Y$656</f>
        <v>0</v>
      </c>
      <c r="K656" s="83">
        <f ca="1">EFEITO!$L$656*EFEITO!$Z$656</f>
        <v>14469.724572329254</v>
      </c>
      <c r="L656" s="83">
        <f>EFEITO!$N$656*EFEITO!$AA$656</f>
        <v>9521.7396463657878</v>
      </c>
      <c r="M656" s="83">
        <f>$J$656-EFEITO!$K$656*EFEITO!$Y$656</f>
        <v>0</v>
      </c>
      <c r="N656" s="83">
        <f ca="1">$K$656-EFEITO!$M$656*EFEITO!$Z$656</f>
        <v>0</v>
      </c>
      <c r="O656" s="83">
        <f>$L$656-EFEITO!$O$656*EFEITO!$AA$656</f>
        <v>0</v>
      </c>
      <c r="P656" s="28"/>
      <c r="Q656" s="28"/>
      <c r="R656" s="28"/>
      <c r="S656" s="28"/>
      <c r="T656" s="28"/>
      <c r="U656" s="28"/>
      <c r="V656" s="28"/>
      <c r="W656" s="28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72" t="s">
        <v>21</v>
      </c>
      <c r="B657" s="72" t="s">
        <v>39</v>
      </c>
      <c r="C657" s="72" t="s">
        <v>23</v>
      </c>
      <c r="D657" s="72" t="s">
        <v>42</v>
      </c>
      <c r="E657" s="72" t="s">
        <v>25</v>
      </c>
      <c r="F657" s="72" t="s">
        <v>25</v>
      </c>
      <c r="G657" s="72" t="s">
        <v>25</v>
      </c>
      <c r="H657" s="72" t="s">
        <v>25</v>
      </c>
      <c r="I657" s="82">
        <v>44470</v>
      </c>
      <c r="J657" s="83">
        <f>EFEITO!$J$657*EFEITO!$Y$657</f>
        <v>0</v>
      </c>
      <c r="K657" s="83">
        <f ca="1">EFEITO!$L$657*EFEITO!$Z$657</f>
        <v>365651.92139521037</v>
      </c>
      <c r="L657" s="83">
        <f>EFEITO!$N$657*EFEITO!$AA$657</f>
        <v>240615.66474987479</v>
      </c>
      <c r="M657" s="83">
        <f>$J$657-EFEITO!$K$657*EFEITO!$Y$657</f>
        <v>0</v>
      </c>
      <c r="N657" s="83">
        <f ca="1">$K$657-EFEITO!$M$657*EFEITO!$Z$657</f>
        <v>0</v>
      </c>
      <c r="O657" s="83">
        <f>$L$657-EFEITO!$O$657*EFEITO!$AA$657</f>
        <v>0</v>
      </c>
      <c r="P657" s="28"/>
      <c r="Q657" s="28"/>
      <c r="R657" s="28"/>
      <c r="S657" s="28"/>
      <c r="T657" s="28"/>
      <c r="U657" s="28"/>
      <c r="V657" s="28"/>
      <c r="W657" s="28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72" t="s">
        <v>28</v>
      </c>
      <c r="B658" s="72" t="s">
        <v>39</v>
      </c>
      <c r="C658" s="72" t="s">
        <v>23</v>
      </c>
      <c r="D658" s="72" t="s">
        <v>42</v>
      </c>
      <c r="E658" s="72" t="s">
        <v>25</v>
      </c>
      <c r="F658" s="72" t="s">
        <v>25</v>
      </c>
      <c r="G658" s="72" t="s">
        <v>25</v>
      </c>
      <c r="H658" s="72" t="s">
        <v>25</v>
      </c>
      <c r="I658" s="82">
        <v>44470</v>
      </c>
      <c r="J658" s="83">
        <f>EFEITO!$J$658*EFEITO!$Y$658</f>
        <v>0</v>
      </c>
      <c r="K658" s="83">
        <f ca="1">EFEITO!$L$658*EFEITO!$Z$658</f>
        <v>16648.682056652091</v>
      </c>
      <c r="L658" s="83">
        <f>EFEITO!$N$658*EFEITO!$AA$658</f>
        <v>10955.593190883008</v>
      </c>
      <c r="M658" s="83">
        <f>$J$658-EFEITO!$K$658*EFEITO!$Y$658</f>
        <v>0</v>
      </c>
      <c r="N658" s="83">
        <f ca="1">$K$658-EFEITO!$M$658*EFEITO!$Z$658</f>
        <v>0</v>
      </c>
      <c r="O658" s="83">
        <f>$L$658-EFEITO!$O$658*EFEITO!$AA$658</f>
        <v>0</v>
      </c>
      <c r="P658" s="28"/>
      <c r="Q658" s="28"/>
      <c r="R658" s="28"/>
      <c r="S658" s="28"/>
      <c r="T658" s="28"/>
      <c r="U658" s="28"/>
      <c r="V658" s="28"/>
      <c r="W658" s="28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72" t="s">
        <v>21</v>
      </c>
      <c r="B659" s="72" t="s">
        <v>39</v>
      </c>
      <c r="C659" s="72" t="s">
        <v>23</v>
      </c>
      <c r="D659" s="72" t="s">
        <v>42</v>
      </c>
      <c r="E659" s="72" t="s">
        <v>25</v>
      </c>
      <c r="F659" s="72" t="s">
        <v>25</v>
      </c>
      <c r="G659" s="72" t="s">
        <v>25</v>
      </c>
      <c r="H659" s="72" t="s">
        <v>25</v>
      </c>
      <c r="I659" s="82">
        <v>44501</v>
      </c>
      <c r="J659" s="83">
        <f>EFEITO!$J$659*EFEITO!$Y$659</f>
        <v>0</v>
      </c>
      <c r="K659" s="83">
        <f ca="1">EFEITO!$L$659*EFEITO!$Z$659</f>
        <v>358527.33542068803</v>
      </c>
      <c r="L659" s="83">
        <f>EFEITO!$N$659*EFEITO!$AA$659</f>
        <v>235927.36177641808</v>
      </c>
      <c r="M659" s="83">
        <f>$J$659-EFEITO!$K$659*EFEITO!$Y$659</f>
        <v>0</v>
      </c>
      <c r="N659" s="83">
        <f ca="1">$K$659-EFEITO!$M$659*EFEITO!$Z$659</f>
        <v>0</v>
      </c>
      <c r="O659" s="83">
        <f>$L$659-EFEITO!$O$659*EFEITO!$AA$659</f>
        <v>0</v>
      </c>
      <c r="P659" s="28"/>
      <c r="Q659" s="28"/>
      <c r="R659" s="28"/>
      <c r="S659" s="28"/>
      <c r="T659" s="28"/>
      <c r="U659" s="28"/>
      <c r="V659" s="28"/>
      <c r="W659" s="28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72" t="s">
        <v>28</v>
      </c>
      <c r="B660" s="72" t="s">
        <v>39</v>
      </c>
      <c r="C660" s="72" t="s">
        <v>23</v>
      </c>
      <c r="D660" s="72" t="s">
        <v>42</v>
      </c>
      <c r="E660" s="72" t="s">
        <v>25</v>
      </c>
      <c r="F660" s="72" t="s">
        <v>25</v>
      </c>
      <c r="G660" s="72" t="s">
        <v>25</v>
      </c>
      <c r="H660" s="72" t="s">
        <v>25</v>
      </c>
      <c r="I660" s="82">
        <v>44501</v>
      </c>
      <c r="J660" s="83">
        <f>EFEITO!$J$660*EFEITO!$Y$660</f>
        <v>0</v>
      </c>
      <c r="K660" s="83">
        <f ca="1">EFEITO!$L$660*EFEITO!$Z$660</f>
        <v>13150.250097468268</v>
      </c>
      <c r="L660" s="83">
        <f>EFEITO!$N$660*EFEITO!$AA$660</f>
        <v>8653.4651773632922</v>
      </c>
      <c r="M660" s="83">
        <f>$J$660-EFEITO!$K$660*EFEITO!$Y$660</f>
        <v>0</v>
      </c>
      <c r="N660" s="83">
        <f ca="1">$K$660-EFEITO!$M$660*EFEITO!$Z$660</f>
        <v>0</v>
      </c>
      <c r="O660" s="83">
        <f>$L$660-EFEITO!$O$660*EFEITO!$AA$660</f>
        <v>0</v>
      </c>
      <c r="P660" s="28"/>
      <c r="Q660" s="28"/>
      <c r="R660" s="28"/>
      <c r="S660" s="28"/>
      <c r="T660" s="28"/>
      <c r="U660" s="28"/>
      <c r="V660" s="28"/>
      <c r="W660" s="28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72" t="s">
        <v>21</v>
      </c>
      <c r="B661" s="72" t="s">
        <v>39</v>
      </c>
      <c r="C661" s="72" t="s">
        <v>23</v>
      </c>
      <c r="D661" s="72" t="s">
        <v>42</v>
      </c>
      <c r="E661" s="72" t="s">
        <v>25</v>
      </c>
      <c r="F661" s="72" t="s">
        <v>25</v>
      </c>
      <c r="G661" s="72" t="s">
        <v>25</v>
      </c>
      <c r="H661" s="72" t="s">
        <v>25</v>
      </c>
      <c r="I661" s="82">
        <v>44531</v>
      </c>
      <c r="J661" s="83">
        <f>EFEITO!$J$661*EFEITO!$Y$661</f>
        <v>0</v>
      </c>
      <c r="K661" s="83">
        <f ca="1">EFEITO!$L$661*EFEITO!$Z$661</f>
        <v>352794.88784771122</v>
      </c>
      <c r="L661" s="83">
        <f>EFEITO!$N$661*EFEITO!$AA$661</f>
        <v>232155.14945451205</v>
      </c>
      <c r="M661" s="83">
        <f>$J$661-EFEITO!$K$661*EFEITO!$Y$661</f>
        <v>0</v>
      </c>
      <c r="N661" s="83">
        <f ca="1">$K$661-EFEITO!$M$661*EFEITO!$Z$661</f>
        <v>0</v>
      </c>
      <c r="O661" s="83">
        <f>$L$661-EFEITO!$O$661*EFEITO!$AA$661</f>
        <v>0</v>
      </c>
      <c r="P661" s="28"/>
      <c r="Q661" s="28"/>
      <c r="R661" s="28"/>
      <c r="S661" s="28"/>
      <c r="T661" s="28"/>
      <c r="U661" s="28"/>
      <c r="V661" s="28"/>
      <c r="W661" s="28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72" t="s">
        <v>28</v>
      </c>
      <c r="B662" s="72" t="s">
        <v>39</v>
      </c>
      <c r="C662" s="72" t="s">
        <v>23</v>
      </c>
      <c r="D662" s="72" t="s">
        <v>42</v>
      </c>
      <c r="E662" s="72" t="s">
        <v>25</v>
      </c>
      <c r="F662" s="72" t="s">
        <v>25</v>
      </c>
      <c r="G662" s="72" t="s">
        <v>25</v>
      </c>
      <c r="H662" s="72" t="s">
        <v>25</v>
      </c>
      <c r="I662" s="82">
        <v>44531</v>
      </c>
      <c r="J662" s="83">
        <f>EFEITO!$J$662*EFEITO!$Y$662</f>
        <v>0</v>
      </c>
      <c r="K662" s="83">
        <f ca="1">EFEITO!$L$662*EFEITO!$Z$662</f>
        <v>12963.628646996662</v>
      </c>
      <c r="L662" s="83">
        <f>EFEITO!$N$662*EFEITO!$AA$662</f>
        <v>8530.6597393651227</v>
      </c>
      <c r="M662" s="83">
        <f>$J$662-EFEITO!$K$662*EFEITO!$Y$662</f>
        <v>0</v>
      </c>
      <c r="N662" s="83">
        <f ca="1">$K$662-EFEITO!$M$662*EFEITO!$Z$662</f>
        <v>0</v>
      </c>
      <c r="O662" s="83">
        <f>$L$662-EFEITO!$O$662*EFEITO!$AA$662</f>
        <v>0</v>
      </c>
      <c r="P662" s="28"/>
      <c r="Q662" s="28"/>
      <c r="R662" s="28"/>
      <c r="S662" s="28"/>
      <c r="T662" s="28"/>
      <c r="U662" s="28"/>
      <c r="V662" s="28"/>
      <c r="W662" s="28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72" t="s">
        <v>21</v>
      </c>
      <c r="B663" s="72" t="s">
        <v>39</v>
      </c>
      <c r="C663" s="72" t="s">
        <v>23</v>
      </c>
      <c r="D663" s="72" t="s">
        <v>42</v>
      </c>
      <c r="E663" s="72" t="s">
        <v>25</v>
      </c>
      <c r="F663" s="72" t="s">
        <v>25</v>
      </c>
      <c r="G663" s="72" t="s">
        <v>25</v>
      </c>
      <c r="H663" s="72" t="s">
        <v>25</v>
      </c>
      <c r="I663" s="82">
        <v>44562</v>
      </c>
      <c r="J663" s="83">
        <f>EFEITO!$J$663*EFEITO!$Y$663</f>
        <v>0</v>
      </c>
      <c r="K663" s="83">
        <f ca="1">EFEITO!$L$663*EFEITO!$Z$663</f>
        <v>348762.19996942423</v>
      </c>
      <c r="L663" s="83">
        <f>EFEITO!$N$663*EFEITO!$AA$663</f>
        <v>229501.45664507645</v>
      </c>
      <c r="M663" s="83">
        <f>$J$663-EFEITO!$K$663*EFEITO!$Y$663</f>
        <v>0</v>
      </c>
      <c r="N663" s="83">
        <f ca="1">$K$663-EFEITO!$M$663*EFEITO!$Z$663</f>
        <v>0</v>
      </c>
      <c r="O663" s="83">
        <f>$L$663-EFEITO!$O$663*EFEITO!$AA$663</f>
        <v>0</v>
      </c>
      <c r="P663" s="28"/>
      <c r="Q663" s="28"/>
      <c r="R663" s="28"/>
      <c r="S663" s="28"/>
      <c r="T663" s="28"/>
      <c r="U663" s="28"/>
      <c r="V663" s="28"/>
      <c r="W663" s="28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72" t="s">
        <v>28</v>
      </c>
      <c r="B664" s="72" t="s">
        <v>39</v>
      </c>
      <c r="C664" s="72" t="s">
        <v>23</v>
      </c>
      <c r="D664" s="72" t="s">
        <v>42</v>
      </c>
      <c r="E664" s="72" t="s">
        <v>25</v>
      </c>
      <c r="F664" s="72" t="s">
        <v>25</v>
      </c>
      <c r="G664" s="72" t="s">
        <v>25</v>
      </c>
      <c r="H664" s="72" t="s">
        <v>25</v>
      </c>
      <c r="I664" s="82">
        <v>44562</v>
      </c>
      <c r="J664" s="83">
        <f>EFEITO!$J$664*EFEITO!$Y$664</f>
        <v>0</v>
      </c>
      <c r="K664" s="83">
        <f ca="1">EFEITO!$L$664*EFEITO!$Z$664</f>
        <v>14241.489419351117</v>
      </c>
      <c r="L664" s="83">
        <f>EFEITO!$N$664*EFEITO!$AA$664</f>
        <v>9371.5504914898102</v>
      </c>
      <c r="M664" s="83">
        <f>$J$664-EFEITO!$K$664*EFEITO!$Y$664</f>
        <v>0</v>
      </c>
      <c r="N664" s="83">
        <f ca="1">$K$664-EFEITO!$M$664*EFEITO!$Z$664</f>
        <v>0</v>
      </c>
      <c r="O664" s="83">
        <f>$L$664-EFEITO!$O$664*EFEITO!$AA$664</f>
        <v>0</v>
      </c>
      <c r="P664" s="28"/>
      <c r="Q664" s="28"/>
      <c r="R664" s="28"/>
      <c r="S664" s="28"/>
      <c r="T664" s="28"/>
      <c r="U664" s="28"/>
      <c r="V664" s="28"/>
      <c r="W664" s="28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72" t="s">
        <v>21</v>
      </c>
      <c r="B665" s="72" t="s">
        <v>39</v>
      </c>
      <c r="C665" s="72" t="s">
        <v>23</v>
      </c>
      <c r="D665" s="72" t="s">
        <v>42</v>
      </c>
      <c r="E665" s="72" t="s">
        <v>25</v>
      </c>
      <c r="F665" s="72" t="s">
        <v>25</v>
      </c>
      <c r="G665" s="72" t="s">
        <v>25</v>
      </c>
      <c r="H665" s="72" t="s">
        <v>25</v>
      </c>
      <c r="I665" s="82">
        <v>44593</v>
      </c>
      <c r="J665" s="83">
        <f>EFEITO!$J$665*EFEITO!$Y$665</f>
        <v>0</v>
      </c>
      <c r="K665" s="83">
        <f ca="1">EFEITO!$L$665*EFEITO!$Z$665</f>
        <v>364724.25593471853</v>
      </c>
      <c r="L665" s="83">
        <f>EFEITO!$N$665*EFEITO!$AA$665</f>
        <v>240005.21850747563</v>
      </c>
      <c r="M665" s="83">
        <f>$J$665-EFEITO!$K$665*EFEITO!$Y$665</f>
        <v>0</v>
      </c>
      <c r="N665" s="83">
        <f ca="1">$K$665-EFEITO!$M$665*EFEITO!$Z$665</f>
        <v>0</v>
      </c>
      <c r="O665" s="83">
        <f>$L$665-EFEITO!$O$665*EFEITO!$AA$665</f>
        <v>0</v>
      </c>
      <c r="P665" s="28"/>
      <c r="Q665" s="28"/>
      <c r="R665" s="28"/>
      <c r="S665" s="28"/>
      <c r="T665" s="28"/>
      <c r="U665" s="28"/>
      <c r="V665" s="28"/>
      <c r="W665" s="28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72" t="s">
        <v>28</v>
      </c>
      <c r="B666" s="72" t="s">
        <v>39</v>
      </c>
      <c r="C666" s="72" t="s">
        <v>23</v>
      </c>
      <c r="D666" s="72" t="s">
        <v>42</v>
      </c>
      <c r="E666" s="72" t="s">
        <v>25</v>
      </c>
      <c r="F666" s="72" t="s">
        <v>25</v>
      </c>
      <c r="G666" s="72" t="s">
        <v>25</v>
      </c>
      <c r="H666" s="72" t="s">
        <v>25</v>
      </c>
      <c r="I666" s="82">
        <v>44593</v>
      </c>
      <c r="J666" s="83">
        <f>EFEITO!$J$666*EFEITO!$Y$666</f>
        <v>0</v>
      </c>
      <c r="K666" s="83">
        <f ca="1">EFEITO!$L$666*EFEITO!$Z$666</f>
        <v>16794.650120828854</v>
      </c>
      <c r="L666" s="83">
        <f>EFEITO!$N$666*EFEITO!$AA$666</f>
        <v>11051.646843931319</v>
      </c>
      <c r="M666" s="83">
        <f>$J$666-EFEITO!$K$666*EFEITO!$Y$666</f>
        <v>0</v>
      </c>
      <c r="N666" s="83">
        <f ca="1">$K$666-EFEITO!$M$666*EFEITO!$Z$666</f>
        <v>0</v>
      </c>
      <c r="O666" s="83">
        <f>$L$666-EFEITO!$O$666*EFEITO!$AA$666</f>
        <v>0</v>
      </c>
      <c r="P666" s="28"/>
      <c r="Q666" s="28"/>
      <c r="R666" s="28"/>
      <c r="S666" s="28"/>
      <c r="T666" s="28"/>
      <c r="U666" s="28"/>
      <c r="V666" s="28"/>
      <c r="W666" s="28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72" t="s">
        <v>21</v>
      </c>
      <c r="B667" s="72" t="s">
        <v>39</v>
      </c>
      <c r="C667" s="72" t="s">
        <v>23</v>
      </c>
      <c r="D667" s="72" t="s">
        <v>42</v>
      </c>
      <c r="E667" s="72" t="s">
        <v>25</v>
      </c>
      <c r="F667" s="72" t="s">
        <v>25</v>
      </c>
      <c r="G667" s="72" t="s">
        <v>25</v>
      </c>
      <c r="H667" s="72" t="s">
        <v>25</v>
      </c>
      <c r="I667" s="82">
        <v>44621</v>
      </c>
      <c r="J667" s="83">
        <f>EFEITO!$J$667*EFEITO!$Y$667</f>
        <v>0</v>
      </c>
      <c r="K667" s="83">
        <f ca="1">EFEITO!$L$667*EFEITO!$Z$667</f>
        <v>402471.0851621828</v>
      </c>
      <c r="L667" s="83">
        <f>EFEITO!$N$667*EFEITO!$AA$667</f>
        <v>264844.35615540727</v>
      </c>
      <c r="M667" s="83">
        <f>$J$667-EFEITO!$K$667*EFEITO!$Y$667</f>
        <v>0</v>
      </c>
      <c r="N667" s="83">
        <f ca="1">$K$667-EFEITO!$M$667*EFEITO!$Z$667</f>
        <v>0</v>
      </c>
      <c r="O667" s="83">
        <f>$L$667-EFEITO!$O$667*EFEITO!$AA$667</f>
        <v>0</v>
      </c>
      <c r="P667" s="28"/>
      <c r="Q667" s="28"/>
      <c r="R667" s="28"/>
      <c r="S667" s="28"/>
      <c r="T667" s="28"/>
      <c r="U667" s="28"/>
      <c r="V667" s="28"/>
      <c r="W667" s="28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72" t="s">
        <v>28</v>
      </c>
      <c r="B668" s="72" t="s">
        <v>39</v>
      </c>
      <c r="C668" s="72" t="s">
        <v>23</v>
      </c>
      <c r="D668" s="72" t="s">
        <v>42</v>
      </c>
      <c r="E668" s="72" t="s">
        <v>25</v>
      </c>
      <c r="F668" s="72" t="s">
        <v>25</v>
      </c>
      <c r="G668" s="72" t="s">
        <v>25</v>
      </c>
      <c r="H668" s="72" t="s">
        <v>25</v>
      </c>
      <c r="I668" s="82">
        <v>44621</v>
      </c>
      <c r="J668" s="83">
        <f>EFEITO!$J$668*EFEITO!$Y$668</f>
        <v>0</v>
      </c>
      <c r="K668" s="83">
        <f ca="1">EFEITO!$L$668*EFEITO!$Z$668</f>
        <v>19200.242231110347</v>
      </c>
      <c r="L668" s="83">
        <f>EFEITO!$N$668*EFEITO!$AA$668</f>
        <v>12634.636323444602</v>
      </c>
      <c r="M668" s="83">
        <f>$J$668-EFEITO!$K$668*EFEITO!$Y$668</f>
        <v>0</v>
      </c>
      <c r="N668" s="83">
        <f ca="1">$K$668-EFEITO!$M$668*EFEITO!$Z$668</f>
        <v>0</v>
      </c>
      <c r="O668" s="83">
        <f>$L$668-EFEITO!$O$668*EFEITO!$AA$668</f>
        <v>0</v>
      </c>
      <c r="P668" s="28"/>
      <c r="Q668" s="28"/>
      <c r="R668" s="28"/>
      <c r="S668" s="28"/>
      <c r="T668" s="28"/>
      <c r="U668" s="28"/>
      <c r="V668" s="28"/>
      <c r="W668" s="28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72" t="s">
        <v>21</v>
      </c>
      <c r="B669" s="72" t="s">
        <v>39</v>
      </c>
      <c r="C669" s="72" t="s">
        <v>23</v>
      </c>
      <c r="D669" s="72" t="s">
        <v>42</v>
      </c>
      <c r="E669" s="72" t="s">
        <v>25</v>
      </c>
      <c r="F669" s="72" t="s">
        <v>25</v>
      </c>
      <c r="G669" s="72" t="s">
        <v>25</v>
      </c>
      <c r="H669" s="72" t="s">
        <v>25</v>
      </c>
      <c r="I669" s="82">
        <v>44652</v>
      </c>
      <c r="J669" s="83">
        <f>EFEITO!$J$669*EFEITO!$Y$669</f>
        <v>0</v>
      </c>
      <c r="K669" s="83">
        <f ca="1">EFEITO!$L$669*EFEITO!$Z$669</f>
        <v>402255.97433076444</v>
      </c>
      <c r="L669" s="83">
        <f>EFEITO!$N$669*EFEITO!$AA$669</f>
        <v>264702.80340354663</v>
      </c>
      <c r="M669" s="83">
        <f>$J$669-EFEITO!$K$669*EFEITO!$Y$669</f>
        <v>0</v>
      </c>
      <c r="N669" s="83">
        <f ca="1">$K$669-EFEITO!$M$669*EFEITO!$Z$669</f>
        <v>0</v>
      </c>
      <c r="O669" s="83">
        <f>$L$669-EFEITO!$O$669*EFEITO!$AA$669</f>
        <v>0</v>
      </c>
      <c r="P669" s="28"/>
      <c r="Q669" s="28"/>
      <c r="R669" s="28"/>
      <c r="S669" s="28"/>
      <c r="T669" s="28"/>
      <c r="U669" s="28"/>
      <c r="V669" s="28"/>
      <c r="W669" s="28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72" t="s">
        <v>21</v>
      </c>
      <c r="B670" s="72" t="s">
        <v>39</v>
      </c>
      <c r="C670" s="72" t="s">
        <v>23</v>
      </c>
      <c r="D670" s="72" t="s">
        <v>52</v>
      </c>
      <c r="E670" s="72" t="s">
        <v>25</v>
      </c>
      <c r="F670" s="72" t="s">
        <v>25</v>
      </c>
      <c r="G670" s="72" t="s">
        <v>25</v>
      </c>
      <c r="H670" s="72" t="s">
        <v>25</v>
      </c>
      <c r="I670" s="82">
        <v>44317</v>
      </c>
      <c r="J670" s="83">
        <f>EFEITO!$J$670*EFEITO!$Y$670</f>
        <v>0</v>
      </c>
      <c r="K670" s="83">
        <f ca="1">EFEITO!$L$670*EFEITO!$Z$670</f>
        <v>4645.3696213446483</v>
      </c>
      <c r="L670" s="83">
        <f>EFEITO!$N$670*EFEITO!$AA$670</f>
        <v>3056.8653794672987</v>
      </c>
      <c r="M670" s="83">
        <f>$J$670-EFEITO!$K$670*EFEITO!$Y$670</f>
        <v>0</v>
      </c>
      <c r="N670" s="83">
        <f ca="1">$K$670-EFEITO!$M$670*EFEITO!$Z$670</f>
        <v>0</v>
      </c>
      <c r="O670" s="83">
        <f>$L$670-EFEITO!$O$670*EFEITO!$AA$670</f>
        <v>0</v>
      </c>
      <c r="P670" s="28"/>
      <c r="Q670" s="28"/>
      <c r="R670" s="28"/>
      <c r="S670" s="28"/>
      <c r="T670" s="28"/>
      <c r="U670" s="28"/>
      <c r="V670" s="28"/>
      <c r="W670" s="28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72" t="s">
        <v>21</v>
      </c>
      <c r="B671" s="72" t="s">
        <v>39</v>
      </c>
      <c r="C671" s="72" t="s">
        <v>23</v>
      </c>
      <c r="D671" s="72" t="s">
        <v>52</v>
      </c>
      <c r="E671" s="72" t="s">
        <v>25</v>
      </c>
      <c r="F671" s="72" t="s">
        <v>25</v>
      </c>
      <c r="G671" s="72" t="s">
        <v>25</v>
      </c>
      <c r="H671" s="72" t="s">
        <v>25</v>
      </c>
      <c r="I671" s="82">
        <v>44348</v>
      </c>
      <c r="J671" s="83">
        <f>EFEITO!$J$671*EFEITO!$Y$671</f>
        <v>0</v>
      </c>
      <c r="K671" s="83">
        <f ca="1">EFEITO!$L$671*EFEITO!$Z$671</f>
        <v>4806.3826395045407</v>
      </c>
      <c r="L671" s="83">
        <f>EFEITO!$N$671*EFEITO!$AA$671</f>
        <v>3162.8192993868174</v>
      </c>
      <c r="M671" s="83">
        <f>$J$671-EFEITO!$K$671*EFEITO!$Y$671</f>
        <v>0</v>
      </c>
      <c r="N671" s="83">
        <f ca="1">$K$671-EFEITO!$M$671*EFEITO!$Z$671</f>
        <v>0</v>
      </c>
      <c r="O671" s="83">
        <f>$L$671-EFEITO!$O$671*EFEITO!$AA$671</f>
        <v>0</v>
      </c>
      <c r="P671" s="28"/>
      <c r="Q671" s="28"/>
      <c r="R671" s="28"/>
      <c r="S671" s="28"/>
      <c r="T671" s="28"/>
      <c r="U671" s="28"/>
      <c r="V671" s="28"/>
      <c r="W671" s="28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72" t="s">
        <v>21</v>
      </c>
      <c r="B672" s="72" t="s">
        <v>39</v>
      </c>
      <c r="C672" s="72" t="s">
        <v>23</v>
      </c>
      <c r="D672" s="72" t="s">
        <v>52</v>
      </c>
      <c r="E672" s="72" t="s">
        <v>25</v>
      </c>
      <c r="F672" s="72" t="s">
        <v>25</v>
      </c>
      <c r="G672" s="72" t="s">
        <v>25</v>
      </c>
      <c r="H672" s="72" t="s">
        <v>25</v>
      </c>
      <c r="I672" s="82">
        <v>44378</v>
      </c>
      <c r="J672" s="83">
        <f>EFEITO!$J$672*EFEITO!$Y$672</f>
        <v>0</v>
      </c>
      <c r="K672" s="83">
        <f ca="1">EFEITO!$L$672*EFEITO!$Z$672</f>
        <v>3928.9737274244908</v>
      </c>
      <c r="L672" s="83">
        <f>EFEITO!$N$672*EFEITO!$AA$672</f>
        <v>2585.4441612170358</v>
      </c>
      <c r="M672" s="83">
        <f>$J$672-EFEITO!$K$672*EFEITO!$Y$672</f>
        <v>0</v>
      </c>
      <c r="N672" s="83">
        <f ca="1">$K$672-EFEITO!$M$672*EFEITO!$Z$672</f>
        <v>0</v>
      </c>
      <c r="O672" s="83">
        <f>$L$672-EFEITO!$O$672*EFEITO!$AA$672</f>
        <v>0</v>
      </c>
      <c r="P672" s="28"/>
      <c r="Q672" s="28"/>
      <c r="R672" s="28"/>
      <c r="S672" s="28"/>
      <c r="T672" s="28"/>
      <c r="U672" s="28"/>
      <c r="V672" s="28"/>
      <c r="W672" s="28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72" t="s">
        <v>21</v>
      </c>
      <c r="B673" s="72" t="s">
        <v>39</v>
      </c>
      <c r="C673" s="72" t="s">
        <v>23</v>
      </c>
      <c r="D673" s="72" t="s">
        <v>52</v>
      </c>
      <c r="E673" s="72" t="s">
        <v>25</v>
      </c>
      <c r="F673" s="72" t="s">
        <v>25</v>
      </c>
      <c r="G673" s="72" t="s">
        <v>25</v>
      </c>
      <c r="H673" s="72" t="s">
        <v>25</v>
      </c>
      <c r="I673" s="82">
        <v>44409</v>
      </c>
      <c r="J673" s="83">
        <f>EFEITO!$J$673*EFEITO!$Y$673</f>
        <v>0</v>
      </c>
      <c r="K673" s="83">
        <f ca="1">EFEITO!$L$673*EFEITO!$Z$673</f>
        <v>3806.0532523282709</v>
      </c>
      <c r="L673" s="83">
        <f>EFEITO!$N$673*EFEITO!$AA$673</f>
        <v>2504.5568744395109</v>
      </c>
      <c r="M673" s="83">
        <f>$J$673-EFEITO!$K$673*EFEITO!$Y$673</f>
        <v>0</v>
      </c>
      <c r="N673" s="83">
        <f ca="1">$K$673-EFEITO!$M$673*EFEITO!$Z$673</f>
        <v>0</v>
      </c>
      <c r="O673" s="83">
        <f>$L$673-EFEITO!$O$673*EFEITO!$AA$673</f>
        <v>0</v>
      </c>
      <c r="P673" s="28"/>
      <c r="Q673" s="28"/>
      <c r="R673" s="28"/>
      <c r="S673" s="28"/>
      <c r="T673" s="28"/>
      <c r="U673" s="28"/>
      <c r="V673" s="28"/>
      <c r="W673" s="28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72" t="s">
        <v>21</v>
      </c>
      <c r="B674" s="72" t="s">
        <v>39</v>
      </c>
      <c r="C674" s="72" t="s">
        <v>23</v>
      </c>
      <c r="D674" s="72" t="s">
        <v>52</v>
      </c>
      <c r="E674" s="72" t="s">
        <v>25</v>
      </c>
      <c r="F674" s="72" t="s">
        <v>25</v>
      </c>
      <c r="G674" s="72" t="s">
        <v>25</v>
      </c>
      <c r="H674" s="72" t="s">
        <v>25</v>
      </c>
      <c r="I674" s="82">
        <v>44440</v>
      </c>
      <c r="J674" s="83">
        <f>EFEITO!$J$674*EFEITO!$Y$674</f>
        <v>0</v>
      </c>
      <c r="K674" s="83">
        <f ca="1">EFEITO!$L$674*EFEITO!$Z$674</f>
        <v>5185.067332313989</v>
      </c>
      <c r="L674" s="83">
        <f>EFEITO!$N$674*EFEITO!$AA$674</f>
        <v>3412.0111229748695</v>
      </c>
      <c r="M674" s="83">
        <f>$J$674-EFEITO!$K$674*EFEITO!$Y$674</f>
        <v>0</v>
      </c>
      <c r="N674" s="83">
        <f ca="1">$K$674-EFEITO!$M$674*EFEITO!$Z$674</f>
        <v>0</v>
      </c>
      <c r="O674" s="83">
        <f>$L$674-EFEITO!$O$674*EFEITO!$AA$674</f>
        <v>0</v>
      </c>
      <c r="P674" s="28"/>
      <c r="Q674" s="28"/>
      <c r="R674" s="28"/>
      <c r="S674" s="28"/>
      <c r="T674" s="28"/>
      <c r="U674" s="28"/>
      <c r="V674" s="28"/>
      <c r="W674" s="28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72" t="s">
        <v>21</v>
      </c>
      <c r="B675" s="72" t="s">
        <v>39</v>
      </c>
      <c r="C675" s="72" t="s">
        <v>23</v>
      </c>
      <c r="D675" s="72" t="s">
        <v>52</v>
      </c>
      <c r="E675" s="72" t="s">
        <v>25</v>
      </c>
      <c r="F675" s="72" t="s">
        <v>25</v>
      </c>
      <c r="G675" s="72" t="s">
        <v>25</v>
      </c>
      <c r="H675" s="72" t="s">
        <v>25</v>
      </c>
      <c r="I675" s="82">
        <v>44470</v>
      </c>
      <c r="J675" s="83">
        <f>EFEITO!$J$675*EFEITO!$Y$675</f>
        <v>0</v>
      </c>
      <c r="K675" s="83">
        <f ca="1">EFEITO!$L$675*EFEITO!$Z$675</f>
        <v>4007.3995513791106</v>
      </c>
      <c r="L675" s="83">
        <f>EFEITO!$N$675*EFEITO!$AA$675</f>
        <v>2637.0519353329046</v>
      </c>
      <c r="M675" s="83">
        <f>$J$675-EFEITO!$K$675*EFEITO!$Y$675</f>
        <v>0</v>
      </c>
      <c r="N675" s="83">
        <f ca="1">$K$675-EFEITO!$M$675*EFEITO!$Z$675</f>
        <v>0</v>
      </c>
      <c r="O675" s="83">
        <f>$L$675-EFEITO!$O$675*EFEITO!$AA$675</f>
        <v>0</v>
      </c>
      <c r="P675" s="28"/>
      <c r="Q675" s="28"/>
      <c r="R675" s="28"/>
      <c r="S675" s="28"/>
      <c r="T675" s="28"/>
      <c r="U675" s="28"/>
      <c r="V675" s="28"/>
      <c r="W675" s="28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72" t="s">
        <v>21</v>
      </c>
      <c r="B676" s="72" t="s">
        <v>39</v>
      </c>
      <c r="C676" s="72" t="s">
        <v>23</v>
      </c>
      <c r="D676" s="72" t="s">
        <v>52</v>
      </c>
      <c r="E676" s="72" t="s">
        <v>25</v>
      </c>
      <c r="F676" s="72" t="s">
        <v>25</v>
      </c>
      <c r="G676" s="72" t="s">
        <v>25</v>
      </c>
      <c r="H676" s="72" t="s">
        <v>25</v>
      </c>
      <c r="I676" s="82">
        <v>44501</v>
      </c>
      <c r="J676" s="83">
        <f>EFEITO!$J$676*EFEITO!$Y$676</f>
        <v>0</v>
      </c>
      <c r="K676" s="83">
        <f ca="1">EFEITO!$L$676*EFEITO!$Z$676</f>
        <v>4373.6001334365992</v>
      </c>
      <c r="L676" s="83">
        <f>EFEITO!$N$676*EFEITO!$AA$676</f>
        <v>2878.0286438576145</v>
      </c>
      <c r="M676" s="83">
        <f>$J$676-EFEITO!$K$676*EFEITO!$Y$676</f>
        <v>0</v>
      </c>
      <c r="N676" s="83">
        <f ca="1">$K$676-EFEITO!$M$676*EFEITO!$Z$676</f>
        <v>0</v>
      </c>
      <c r="O676" s="83">
        <f>$L$676-EFEITO!$O$676*EFEITO!$AA$676</f>
        <v>0</v>
      </c>
      <c r="P676" s="28"/>
      <c r="Q676" s="28"/>
      <c r="R676" s="28"/>
      <c r="S676" s="28"/>
      <c r="T676" s="28"/>
      <c r="U676" s="28"/>
      <c r="V676" s="28"/>
      <c r="W676" s="28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72" t="s">
        <v>21</v>
      </c>
      <c r="B677" s="72" t="s">
        <v>39</v>
      </c>
      <c r="C677" s="72" t="s">
        <v>23</v>
      </c>
      <c r="D677" s="72" t="s">
        <v>52</v>
      </c>
      <c r="E677" s="72" t="s">
        <v>25</v>
      </c>
      <c r="F677" s="72" t="s">
        <v>25</v>
      </c>
      <c r="G677" s="72" t="s">
        <v>25</v>
      </c>
      <c r="H677" s="72" t="s">
        <v>25</v>
      </c>
      <c r="I677" s="82">
        <v>44531</v>
      </c>
      <c r="J677" s="83">
        <f>EFEITO!$J$677*EFEITO!$Y$677</f>
        <v>0</v>
      </c>
      <c r="K677" s="83">
        <f ca="1">EFEITO!$L$677*EFEITO!$Z$677</f>
        <v>4791.3376855214092</v>
      </c>
      <c r="L677" s="83">
        <f>EFEITO!$N$677*EFEITO!$AA$677</f>
        <v>3152.9190325156096</v>
      </c>
      <c r="M677" s="83">
        <f>$J$677-EFEITO!$K$677*EFEITO!$Y$677</f>
        <v>0</v>
      </c>
      <c r="N677" s="83">
        <f ca="1">$K$677-EFEITO!$M$677*EFEITO!$Z$677</f>
        <v>0</v>
      </c>
      <c r="O677" s="83">
        <f>$L$677-EFEITO!$O$677*EFEITO!$AA$677</f>
        <v>0</v>
      </c>
      <c r="P677" s="28"/>
      <c r="Q677" s="28"/>
      <c r="R677" s="28"/>
      <c r="S677" s="28"/>
      <c r="T677" s="28"/>
      <c r="U677" s="28"/>
      <c r="V677" s="28"/>
      <c r="W677" s="28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72" t="s">
        <v>21</v>
      </c>
      <c r="B678" s="72" t="s">
        <v>39</v>
      </c>
      <c r="C678" s="72" t="s">
        <v>23</v>
      </c>
      <c r="D678" s="72" t="s">
        <v>52</v>
      </c>
      <c r="E678" s="72" t="s">
        <v>25</v>
      </c>
      <c r="F678" s="72" t="s">
        <v>25</v>
      </c>
      <c r="G678" s="72" t="s">
        <v>25</v>
      </c>
      <c r="H678" s="72" t="s">
        <v>25</v>
      </c>
      <c r="I678" s="82">
        <v>44562</v>
      </c>
      <c r="J678" s="83">
        <f>EFEITO!$J$678*EFEITO!$Y$678</f>
        <v>0</v>
      </c>
      <c r="K678" s="83">
        <f ca="1">EFEITO!$L$678*EFEITO!$Z$678</f>
        <v>4282.049987922227</v>
      </c>
      <c r="L678" s="83">
        <f>EFEITO!$N$678*EFEITO!$AA$678</f>
        <v>2817.7844667264371</v>
      </c>
      <c r="M678" s="83">
        <f>$J$678-EFEITO!$K$678*EFEITO!$Y$678</f>
        <v>0</v>
      </c>
      <c r="N678" s="83">
        <f ca="1">$K$678-EFEITO!$M$678*EFEITO!$Z$678</f>
        <v>0</v>
      </c>
      <c r="O678" s="83">
        <f>$L$678-EFEITO!$O$678*EFEITO!$AA$678</f>
        <v>0</v>
      </c>
      <c r="P678" s="28"/>
      <c r="Q678" s="28"/>
      <c r="R678" s="28"/>
      <c r="S678" s="28"/>
      <c r="T678" s="28"/>
      <c r="U678" s="28"/>
      <c r="V678" s="28"/>
      <c r="W678" s="28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72" t="s">
        <v>21</v>
      </c>
      <c r="B679" s="72" t="s">
        <v>39</v>
      </c>
      <c r="C679" s="72" t="s">
        <v>23</v>
      </c>
      <c r="D679" s="72" t="s">
        <v>52</v>
      </c>
      <c r="E679" s="72" t="s">
        <v>25</v>
      </c>
      <c r="F679" s="72" t="s">
        <v>25</v>
      </c>
      <c r="G679" s="72" t="s">
        <v>25</v>
      </c>
      <c r="H679" s="72" t="s">
        <v>25</v>
      </c>
      <c r="I679" s="82">
        <v>44593</v>
      </c>
      <c r="J679" s="83">
        <f>EFEITO!$J$679*EFEITO!$Y$679</f>
        <v>0</v>
      </c>
      <c r="K679" s="83">
        <f ca="1">EFEITO!$L$679*EFEITO!$Z$679</f>
        <v>4438.2614250236738</v>
      </c>
      <c r="L679" s="83">
        <f>EFEITO!$N$679*EFEITO!$AA$679</f>
        <v>2920.5787270062083</v>
      </c>
      <c r="M679" s="83">
        <f>$J$679-EFEITO!$K$679*EFEITO!$Y$679</f>
        <v>0</v>
      </c>
      <c r="N679" s="83">
        <f ca="1">$K$679-EFEITO!$M$679*EFEITO!$Z$679</f>
        <v>0</v>
      </c>
      <c r="O679" s="83">
        <f>$L$679-EFEITO!$O$679*EFEITO!$AA$679</f>
        <v>0</v>
      </c>
      <c r="P679" s="28"/>
      <c r="Q679" s="28"/>
      <c r="R679" s="28"/>
      <c r="S679" s="28"/>
      <c r="T679" s="28"/>
      <c r="U679" s="28"/>
      <c r="V679" s="28"/>
      <c r="W679" s="28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72" t="s">
        <v>21</v>
      </c>
      <c r="B680" s="72" t="s">
        <v>39</v>
      </c>
      <c r="C680" s="72" t="s">
        <v>23</v>
      </c>
      <c r="D680" s="72" t="s">
        <v>52</v>
      </c>
      <c r="E680" s="72" t="s">
        <v>25</v>
      </c>
      <c r="F680" s="72" t="s">
        <v>25</v>
      </c>
      <c r="G680" s="72" t="s">
        <v>25</v>
      </c>
      <c r="H680" s="72" t="s">
        <v>25</v>
      </c>
      <c r="I680" s="82">
        <v>44621</v>
      </c>
      <c r="J680" s="83">
        <f>EFEITO!$J$680*EFEITO!$Y$680</f>
        <v>0</v>
      </c>
      <c r="K680" s="83">
        <f ca="1">EFEITO!$L$680*EFEITO!$Z$680</f>
        <v>5451.0749229519033</v>
      </c>
      <c r="L680" s="83">
        <f>EFEITO!$N$680*EFEITO!$AA$680</f>
        <v>3587.056267016857</v>
      </c>
      <c r="M680" s="83">
        <f>$J$680-EFEITO!$K$680*EFEITO!$Y$680</f>
        <v>0</v>
      </c>
      <c r="N680" s="83">
        <f ca="1">$K$680-EFEITO!$M$680*EFEITO!$Z$680</f>
        <v>0</v>
      </c>
      <c r="O680" s="83">
        <f>$L$680-EFEITO!$O$680*EFEITO!$AA$680</f>
        <v>0</v>
      </c>
      <c r="P680" s="28"/>
      <c r="Q680" s="28"/>
      <c r="R680" s="28"/>
      <c r="S680" s="28"/>
      <c r="T680" s="28"/>
      <c r="U680" s="28"/>
      <c r="V680" s="28"/>
      <c r="W680" s="28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72" t="s">
        <v>21</v>
      </c>
      <c r="B681" s="72" t="s">
        <v>39</v>
      </c>
      <c r="C681" s="72" t="s">
        <v>23</v>
      </c>
      <c r="D681" s="72" t="s">
        <v>52</v>
      </c>
      <c r="E681" s="72" t="s">
        <v>25</v>
      </c>
      <c r="F681" s="72" t="s">
        <v>25</v>
      </c>
      <c r="G681" s="72" t="s">
        <v>25</v>
      </c>
      <c r="H681" s="72" t="s">
        <v>25</v>
      </c>
      <c r="I681" s="82">
        <v>44652</v>
      </c>
      <c r="J681" s="83">
        <f>EFEITO!$J$681*EFEITO!$Y$681</f>
        <v>0</v>
      </c>
      <c r="K681" s="83">
        <f ca="1">EFEITO!$L$681*EFEITO!$Z$681</f>
        <v>4539.0946272510409</v>
      </c>
      <c r="L681" s="83">
        <f>EFEITO!$N$681*EFEITO!$AA$681</f>
        <v>2986.9315794408967</v>
      </c>
      <c r="M681" s="83">
        <f>$J$681-EFEITO!$K$681*EFEITO!$Y$681</f>
        <v>0</v>
      </c>
      <c r="N681" s="83">
        <f ca="1">$K$681-EFEITO!$M$681*EFEITO!$Z$681</f>
        <v>0</v>
      </c>
      <c r="O681" s="83">
        <f>$L$681-EFEITO!$O$681*EFEITO!$AA$681</f>
        <v>0</v>
      </c>
      <c r="P681" s="28"/>
      <c r="Q681" s="28"/>
      <c r="R681" s="28"/>
      <c r="S681" s="28"/>
      <c r="T681" s="28"/>
      <c r="U681" s="28"/>
      <c r="V681" s="28"/>
      <c r="W681" s="28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72" t="s">
        <v>21</v>
      </c>
      <c r="B682" s="72" t="s">
        <v>39</v>
      </c>
      <c r="C682" s="72" t="s">
        <v>23</v>
      </c>
      <c r="D682" s="72" t="s">
        <v>40</v>
      </c>
      <c r="E682" s="72" t="s">
        <v>25</v>
      </c>
      <c r="F682" s="72" t="s">
        <v>25</v>
      </c>
      <c r="G682" s="72" t="s">
        <v>25</v>
      </c>
      <c r="H682" s="72" t="s">
        <v>25</v>
      </c>
      <c r="I682" s="82">
        <v>44317</v>
      </c>
      <c r="J682" s="83">
        <f>EFEITO!$J$682*EFEITO!$Y$682</f>
        <v>0</v>
      </c>
      <c r="K682" s="83">
        <f ca="1">EFEITO!$L$682*EFEITO!$Z$682</f>
        <v>28113.257097201884</v>
      </c>
      <c r="L682" s="83">
        <f>EFEITO!$N$682*EFEITO!$AA$682</f>
        <v>18499.807190719097</v>
      </c>
      <c r="M682" s="83">
        <f>$J$682-EFEITO!$K$682*EFEITO!$Y$682</f>
        <v>0</v>
      </c>
      <c r="N682" s="83">
        <f ca="1">$K$682-EFEITO!$M$682*EFEITO!$Z$682</f>
        <v>0</v>
      </c>
      <c r="O682" s="83">
        <f>$L$682-EFEITO!$O$682*EFEITO!$AA$682</f>
        <v>0</v>
      </c>
      <c r="P682" s="28"/>
      <c r="Q682" s="28"/>
      <c r="R682" s="28"/>
      <c r="S682" s="28"/>
      <c r="T682" s="28"/>
      <c r="U682" s="28"/>
      <c r="V682" s="28"/>
      <c r="W682" s="28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72" t="s">
        <v>28</v>
      </c>
      <c r="B683" s="72" t="s">
        <v>39</v>
      </c>
      <c r="C683" s="72" t="s">
        <v>23</v>
      </c>
      <c r="D683" s="72" t="s">
        <v>40</v>
      </c>
      <c r="E683" s="72" t="s">
        <v>25</v>
      </c>
      <c r="F683" s="72" t="s">
        <v>25</v>
      </c>
      <c r="G683" s="72" t="s">
        <v>25</v>
      </c>
      <c r="H683" s="72" t="s">
        <v>25</v>
      </c>
      <c r="I683" s="82">
        <v>44317</v>
      </c>
      <c r="J683" s="83">
        <f>EFEITO!$J$683*EFEITO!$Y$683</f>
        <v>0</v>
      </c>
      <c r="K683" s="83">
        <f ca="1">EFEITO!$L$683*EFEITO!$Z$683</f>
        <v>32.010540389640632</v>
      </c>
      <c r="L683" s="83">
        <f>EFEITO!$N$683*EFEITO!$AA$683</f>
        <v>21.064397598313803</v>
      </c>
      <c r="M683" s="83">
        <f>$J$683-EFEITO!$K$683*EFEITO!$Y$683</f>
        <v>0</v>
      </c>
      <c r="N683" s="83">
        <f ca="1">$K$683-EFEITO!$M$683*EFEITO!$Z$683</f>
        <v>0</v>
      </c>
      <c r="O683" s="83">
        <f>$L$683-EFEITO!$O$683*EFEITO!$AA$683</f>
        <v>0</v>
      </c>
      <c r="P683" s="28"/>
      <c r="Q683" s="28"/>
      <c r="R683" s="28"/>
      <c r="S683" s="28"/>
      <c r="T683" s="28"/>
      <c r="U683" s="28"/>
      <c r="V683" s="28"/>
      <c r="W683" s="28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72" t="s">
        <v>21</v>
      </c>
      <c r="B684" s="72" t="s">
        <v>39</v>
      </c>
      <c r="C684" s="72" t="s">
        <v>23</v>
      </c>
      <c r="D684" s="72" t="s">
        <v>40</v>
      </c>
      <c r="E684" s="72" t="s">
        <v>25</v>
      </c>
      <c r="F684" s="72" t="s">
        <v>25</v>
      </c>
      <c r="G684" s="72" t="s">
        <v>25</v>
      </c>
      <c r="H684" s="72" t="s">
        <v>25</v>
      </c>
      <c r="I684" s="82">
        <v>44348</v>
      </c>
      <c r="J684" s="83">
        <f>EFEITO!$J$684*EFEITO!$Y$684</f>
        <v>0</v>
      </c>
      <c r="K684" s="83">
        <f ca="1">EFEITO!$L$684*EFEITO!$Z$684</f>
        <v>27332.840122502446</v>
      </c>
      <c r="L684" s="83">
        <f>EFEITO!$N$684*EFEITO!$AA$684</f>
        <v>17986.257177272204</v>
      </c>
      <c r="M684" s="83">
        <f>$J$684-EFEITO!$K$684*EFEITO!$Y$684</f>
        <v>0</v>
      </c>
      <c r="N684" s="83">
        <f ca="1">$K$684-EFEITO!$M$684*EFEITO!$Z$684</f>
        <v>0</v>
      </c>
      <c r="O684" s="83">
        <f>$L$684-EFEITO!$O$684*EFEITO!$AA$684</f>
        <v>0</v>
      </c>
      <c r="P684" s="28"/>
      <c r="Q684" s="28"/>
      <c r="R684" s="28"/>
      <c r="S684" s="28"/>
      <c r="T684" s="28"/>
      <c r="U684" s="28"/>
      <c r="V684" s="28"/>
      <c r="W684" s="28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72" t="s">
        <v>28</v>
      </c>
      <c r="B685" s="72" t="s">
        <v>39</v>
      </c>
      <c r="C685" s="72" t="s">
        <v>23</v>
      </c>
      <c r="D685" s="72" t="s">
        <v>40</v>
      </c>
      <c r="E685" s="72" t="s">
        <v>25</v>
      </c>
      <c r="F685" s="72" t="s">
        <v>25</v>
      </c>
      <c r="G685" s="72" t="s">
        <v>25</v>
      </c>
      <c r="H685" s="72" t="s">
        <v>25</v>
      </c>
      <c r="I685" s="82">
        <v>44348</v>
      </c>
      <c r="J685" s="83">
        <f>EFEITO!$J$685*EFEITO!$Y$685</f>
        <v>0</v>
      </c>
      <c r="K685" s="83">
        <f ca="1">EFEITO!$L$685*EFEITO!$Z$685</f>
        <v>32.010540389640632</v>
      </c>
      <c r="L685" s="83">
        <f>EFEITO!$N$685*EFEITO!$AA$685</f>
        <v>21.064397598313803</v>
      </c>
      <c r="M685" s="83">
        <f>$J$685-EFEITO!$K$685*EFEITO!$Y$685</f>
        <v>0</v>
      </c>
      <c r="N685" s="83">
        <f ca="1">$K$685-EFEITO!$M$685*EFEITO!$Z$685</f>
        <v>0</v>
      </c>
      <c r="O685" s="83">
        <f>$L$685-EFEITO!$O$685*EFEITO!$AA$685</f>
        <v>0</v>
      </c>
      <c r="P685" s="28"/>
      <c r="Q685" s="28"/>
      <c r="R685" s="28"/>
      <c r="S685" s="28"/>
      <c r="T685" s="28"/>
      <c r="U685" s="28"/>
      <c r="V685" s="28"/>
      <c r="W685" s="28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72" t="s">
        <v>21</v>
      </c>
      <c r="B686" s="72" t="s">
        <v>39</v>
      </c>
      <c r="C686" s="72" t="s">
        <v>23</v>
      </c>
      <c r="D686" s="72" t="s">
        <v>40</v>
      </c>
      <c r="E686" s="72" t="s">
        <v>25</v>
      </c>
      <c r="F686" s="72" t="s">
        <v>25</v>
      </c>
      <c r="G686" s="72" t="s">
        <v>25</v>
      </c>
      <c r="H686" s="72" t="s">
        <v>25</v>
      </c>
      <c r="I686" s="82">
        <v>44378</v>
      </c>
      <c r="J686" s="83">
        <f>EFEITO!$J$686*EFEITO!$Y$686</f>
        <v>0</v>
      </c>
      <c r="K686" s="83">
        <f ca="1">EFEITO!$L$686*EFEITO!$Z$686</f>
        <v>26836.676746463017</v>
      </c>
      <c r="L686" s="83">
        <f>EFEITO!$N$686*EFEITO!$AA$686</f>
        <v>17659.759014498341</v>
      </c>
      <c r="M686" s="83">
        <f>$J$686-EFEITO!$K$686*EFEITO!$Y$686</f>
        <v>0</v>
      </c>
      <c r="N686" s="83">
        <f ca="1">$K$686-EFEITO!$M$686*EFEITO!$Z$686</f>
        <v>0</v>
      </c>
      <c r="O686" s="83">
        <f>$L$686-EFEITO!$O$686*EFEITO!$AA$686</f>
        <v>0</v>
      </c>
      <c r="P686" s="28"/>
      <c r="Q686" s="28"/>
      <c r="R686" s="28"/>
      <c r="S686" s="28"/>
      <c r="T686" s="28"/>
      <c r="U686" s="28"/>
      <c r="V686" s="28"/>
      <c r="W686" s="28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72" t="s">
        <v>28</v>
      </c>
      <c r="B687" s="72" t="s">
        <v>39</v>
      </c>
      <c r="C687" s="72" t="s">
        <v>23</v>
      </c>
      <c r="D687" s="72" t="s">
        <v>40</v>
      </c>
      <c r="E687" s="72" t="s">
        <v>25</v>
      </c>
      <c r="F687" s="72" t="s">
        <v>25</v>
      </c>
      <c r="G687" s="72" t="s">
        <v>25</v>
      </c>
      <c r="H687" s="72" t="s">
        <v>25</v>
      </c>
      <c r="I687" s="82">
        <v>44378</v>
      </c>
      <c r="J687" s="83">
        <f>EFEITO!$J$687*EFEITO!$Y$687</f>
        <v>0</v>
      </c>
      <c r="K687" s="83">
        <f ca="1">EFEITO!$L$687*EFEITO!$Z$687</f>
        <v>32.010540389640632</v>
      </c>
      <c r="L687" s="83">
        <f>EFEITO!$N$687*EFEITO!$AA$687</f>
        <v>21.064397598313803</v>
      </c>
      <c r="M687" s="83">
        <f>$J$687-EFEITO!$K$687*EFEITO!$Y$687</f>
        <v>0</v>
      </c>
      <c r="N687" s="83">
        <f ca="1">$K$687-EFEITO!$M$687*EFEITO!$Z$687</f>
        <v>0</v>
      </c>
      <c r="O687" s="83">
        <f>$L$687-EFEITO!$O$687*EFEITO!$AA$687</f>
        <v>0</v>
      </c>
      <c r="P687" s="28"/>
      <c r="Q687" s="28"/>
      <c r="R687" s="28"/>
      <c r="S687" s="28"/>
      <c r="T687" s="28"/>
      <c r="U687" s="28"/>
      <c r="V687" s="28"/>
      <c r="W687" s="28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72" t="s">
        <v>21</v>
      </c>
      <c r="B688" s="72" t="s">
        <v>39</v>
      </c>
      <c r="C688" s="72" t="s">
        <v>23</v>
      </c>
      <c r="D688" s="72" t="s">
        <v>40</v>
      </c>
      <c r="E688" s="72" t="s">
        <v>25</v>
      </c>
      <c r="F688" s="72" t="s">
        <v>25</v>
      </c>
      <c r="G688" s="72" t="s">
        <v>25</v>
      </c>
      <c r="H688" s="72" t="s">
        <v>25</v>
      </c>
      <c r="I688" s="82">
        <v>44409</v>
      </c>
      <c r="J688" s="83">
        <f>EFEITO!$J$688*EFEITO!$Y$688</f>
        <v>0</v>
      </c>
      <c r="K688" s="83">
        <f ca="1">EFEITO!$L$688*EFEITO!$Z$688</f>
        <v>28770.113385997309</v>
      </c>
      <c r="L688" s="83">
        <f>EFEITO!$N$688*EFEITO!$AA$688</f>
        <v>18932.048629436493</v>
      </c>
      <c r="M688" s="83">
        <f>$J$688-EFEITO!$K$688*EFEITO!$Y$688</f>
        <v>0</v>
      </c>
      <c r="N688" s="83">
        <f ca="1">$K$688-EFEITO!$M$688*EFEITO!$Z$688</f>
        <v>0</v>
      </c>
      <c r="O688" s="83">
        <f>$L$688-EFEITO!$O$688*EFEITO!$AA$688</f>
        <v>0</v>
      </c>
      <c r="P688" s="28"/>
      <c r="Q688" s="28"/>
      <c r="R688" s="28"/>
      <c r="S688" s="28"/>
      <c r="T688" s="28"/>
      <c r="U688" s="28"/>
      <c r="V688" s="28"/>
      <c r="W688" s="28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72" t="s">
        <v>28</v>
      </c>
      <c r="B689" s="72" t="s">
        <v>39</v>
      </c>
      <c r="C689" s="72" t="s">
        <v>23</v>
      </c>
      <c r="D689" s="72" t="s">
        <v>40</v>
      </c>
      <c r="E689" s="72" t="s">
        <v>25</v>
      </c>
      <c r="F689" s="72" t="s">
        <v>25</v>
      </c>
      <c r="G689" s="72" t="s">
        <v>25</v>
      </c>
      <c r="H689" s="72" t="s">
        <v>25</v>
      </c>
      <c r="I689" s="82">
        <v>44409</v>
      </c>
      <c r="J689" s="83">
        <f>EFEITO!$J$689*EFEITO!$Y$689</f>
        <v>0</v>
      </c>
      <c r="K689" s="83">
        <f ca="1">EFEITO!$L$689*EFEITO!$Z$689</f>
        <v>32.010540389640632</v>
      </c>
      <c r="L689" s="83">
        <f>EFEITO!$N$689*EFEITO!$AA$689</f>
        <v>21.064397598313803</v>
      </c>
      <c r="M689" s="83">
        <f>$J$689-EFEITO!$K$689*EFEITO!$Y$689</f>
        <v>0</v>
      </c>
      <c r="N689" s="83">
        <f ca="1">$K$689-EFEITO!$M$689*EFEITO!$Z$689</f>
        <v>0</v>
      </c>
      <c r="O689" s="83">
        <f>$L$689-EFEITO!$O$689*EFEITO!$AA$689</f>
        <v>0</v>
      </c>
      <c r="P689" s="28"/>
      <c r="Q689" s="28"/>
      <c r="R689" s="28"/>
      <c r="S689" s="28"/>
      <c r="T689" s="28"/>
      <c r="U689" s="28"/>
      <c r="V689" s="28"/>
      <c r="W689" s="28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72" t="s">
        <v>21</v>
      </c>
      <c r="B690" s="72" t="s">
        <v>39</v>
      </c>
      <c r="C690" s="72" t="s">
        <v>23</v>
      </c>
      <c r="D690" s="72" t="s">
        <v>40</v>
      </c>
      <c r="E690" s="72" t="s">
        <v>25</v>
      </c>
      <c r="F690" s="72" t="s">
        <v>25</v>
      </c>
      <c r="G690" s="72" t="s">
        <v>25</v>
      </c>
      <c r="H690" s="72" t="s">
        <v>25</v>
      </c>
      <c r="I690" s="82">
        <v>44440</v>
      </c>
      <c r="J690" s="83">
        <f>EFEITO!$J$690*EFEITO!$Y$690</f>
        <v>0</v>
      </c>
      <c r="K690" s="83">
        <f ca="1">EFEITO!$L$690*EFEITO!$Z$690</f>
        <v>31447.474984186851</v>
      </c>
      <c r="L690" s="83">
        <f>EFEITO!$N$690*EFEITO!$AA$690</f>
        <v>20693.874844559461</v>
      </c>
      <c r="M690" s="83">
        <f>$J$690-EFEITO!$K$690*EFEITO!$Y$690</f>
        <v>0</v>
      </c>
      <c r="N690" s="83">
        <f ca="1">$K$690-EFEITO!$M$690*EFEITO!$Z$690</f>
        <v>0</v>
      </c>
      <c r="O690" s="83">
        <f>$L$690-EFEITO!$O$690*EFEITO!$AA$690</f>
        <v>0</v>
      </c>
      <c r="P690" s="28"/>
      <c r="Q690" s="28"/>
      <c r="R690" s="28"/>
      <c r="S690" s="28"/>
      <c r="T690" s="28"/>
      <c r="U690" s="28"/>
      <c r="V690" s="28"/>
      <c r="W690" s="28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72" t="s">
        <v>28</v>
      </c>
      <c r="B691" s="72" t="s">
        <v>39</v>
      </c>
      <c r="C691" s="72" t="s">
        <v>23</v>
      </c>
      <c r="D691" s="72" t="s">
        <v>40</v>
      </c>
      <c r="E691" s="72" t="s">
        <v>25</v>
      </c>
      <c r="F691" s="72" t="s">
        <v>25</v>
      </c>
      <c r="G691" s="72" t="s">
        <v>25</v>
      </c>
      <c r="H691" s="72" t="s">
        <v>25</v>
      </c>
      <c r="I691" s="82">
        <v>44440</v>
      </c>
      <c r="J691" s="83">
        <f>EFEITO!$J$691*EFEITO!$Y$691</f>
        <v>0</v>
      </c>
      <c r="K691" s="83">
        <f ca="1">EFEITO!$L$691*EFEITO!$Z$691</f>
        <v>32.010540389640632</v>
      </c>
      <c r="L691" s="83">
        <f>EFEITO!$N$691*EFEITO!$AA$691</f>
        <v>21.064397598313803</v>
      </c>
      <c r="M691" s="83">
        <f>$J$691-EFEITO!$K$691*EFEITO!$Y$691</f>
        <v>0</v>
      </c>
      <c r="N691" s="83">
        <f ca="1">$K$691-EFEITO!$M$691*EFEITO!$Z$691</f>
        <v>0</v>
      </c>
      <c r="O691" s="83">
        <f>$L$691-EFEITO!$O$691*EFEITO!$AA$691</f>
        <v>0</v>
      </c>
      <c r="P691" s="28"/>
      <c r="Q691" s="28"/>
      <c r="R691" s="28"/>
      <c r="S691" s="28"/>
      <c r="T691" s="28"/>
      <c r="U691" s="28"/>
      <c r="V691" s="28"/>
      <c r="W691" s="28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72" t="s">
        <v>21</v>
      </c>
      <c r="B692" s="72" t="s">
        <v>39</v>
      </c>
      <c r="C692" s="72" t="s">
        <v>23</v>
      </c>
      <c r="D692" s="72" t="s">
        <v>40</v>
      </c>
      <c r="E692" s="72" t="s">
        <v>25</v>
      </c>
      <c r="F692" s="72" t="s">
        <v>25</v>
      </c>
      <c r="G692" s="72" t="s">
        <v>25</v>
      </c>
      <c r="H692" s="72" t="s">
        <v>25</v>
      </c>
      <c r="I692" s="82">
        <v>44470</v>
      </c>
      <c r="J692" s="83">
        <f>EFEITO!$J$692*EFEITO!$Y$692</f>
        <v>0</v>
      </c>
      <c r="K692" s="83">
        <f ca="1">EFEITO!$L$692*EFEITO!$Z$692</f>
        <v>34844.753635739413</v>
      </c>
      <c r="L692" s="83">
        <f>EFEITO!$N$692*EFEITO!$AA$692</f>
        <v>22929.439361668505</v>
      </c>
      <c r="M692" s="83">
        <f>$J$692-EFEITO!$K$692*EFEITO!$Y$692</f>
        <v>0</v>
      </c>
      <c r="N692" s="83">
        <f ca="1">$K$692-EFEITO!$M$692*EFEITO!$Z$692</f>
        <v>0</v>
      </c>
      <c r="O692" s="83">
        <f>$L$692-EFEITO!$O$692*EFEITO!$AA$692</f>
        <v>0</v>
      </c>
      <c r="P692" s="28"/>
      <c r="Q692" s="28"/>
      <c r="R692" s="28"/>
      <c r="S692" s="28"/>
      <c r="T692" s="28"/>
      <c r="U692" s="28"/>
      <c r="V692" s="28"/>
      <c r="W692" s="28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72" t="s">
        <v>28</v>
      </c>
      <c r="B693" s="72" t="s">
        <v>39</v>
      </c>
      <c r="C693" s="72" t="s">
        <v>23</v>
      </c>
      <c r="D693" s="72" t="s">
        <v>40</v>
      </c>
      <c r="E693" s="72" t="s">
        <v>25</v>
      </c>
      <c r="F693" s="72" t="s">
        <v>25</v>
      </c>
      <c r="G693" s="72" t="s">
        <v>25</v>
      </c>
      <c r="H693" s="72" t="s">
        <v>25</v>
      </c>
      <c r="I693" s="82">
        <v>44470</v>
      </c>
      <c r="J693" s="83">
        <f>EFEITO!$J$693*EFEITO!$Y$693</f>
        <v>0</v>
      </c>
      <c r="K693" s="83">
        <f ca="1">EFEITO!$L$693*EFEITO!$Z$693</f>
        <v>96.031621168921887</v>
      </c>
      <c r="L693" s="83">
        <f>EFEITO!$N$693*EFEITO!$AA$693</f>
        <v>63.193192794941396</v>
      </c>
      <c r="M693" s="83">
        <f>$J$693-EFEITO!$K$693*EFEITO!$Y$693</f>
        <v>0</v>
      </c>
      <c r="N693" s="83">
        <f ca="1">$K$693-EFEITO!$M$693*EFEITO!$Z$693</f>
        <v>0</v>
      </c>
      <c r="O693" s="83">
        <f>$L$693-EFEITO!$O$693*EFEITO!$AA$693</f>
        <v>0</v>
      </c>
      <c r="P693" s="28"/>
      <c r="Q693" s="28"/>
      <c r="R693" s="28"/>
      <c r="S693" s="28"/>
      <c r="T693" s="28"/>
      <c r="U693" s="28"/>
      <c r="V693" s="28"/>
      <c r="W693" s="28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72" t="s">
        <v>21</v>
      </c>
      <c r="B694" s="72" t="s">
        <v>39</v>
      </c>
      <c r="C694" s="72" t="s">
        <v>23</v>
      </c>
      <c r="D694" s="72" t="s">
        <v>40</v>
      </c>
      <c r="E694" s="72" t="s">
        <v>25</v>
      </c>
      <c r="F694" s="72" t="s">
        <v>25</v>
      </c>
      <c r="G694" s="72" t="s">
        <v>25</v>
      </c>
      <c r="H694" s="72" t="s">
        <v>25</v>
      </c>
      <c r="I694" s="82">
        <v>44501</v>
      </c>
      <c r="J694" s="83">
        <f>EFEITO!$J$694*EFEITO!$Y$694</f>
        <v>0</v>
      </c>
      <c r="K694" s="83">
        <f ca="1">EFEITO!$L$694*EFEITO!$Z$694</f>
        <v>35460.3163274322</v>
      </c>
      <c r="L694" s="83">
        <f>EFEITO!$N$694*EFEITO!$AA$694</f>
        <v>23334.507727484081</v>
      </c>
      <c r="M694" s="83">
        <f>$J$694-EFEITO!$K$694*EFEITO!$Y$694</f>
        <v>0</v>
      </c>
      <c r="N694" s="83">
        <f ca="1">$K$694-EFEITO!$M$694*EFEITO!$Z$694</f>
        <v>0</v>
      </c>
      <c r="O694" s="83">
        <f>$L$694-EFEITO!$O$694*EFEITO!$AA$694</f>
        <v>0</v>
      </c>
      <c r="P694" s="28"/>
      <c r="Q694" s="28"/>
      <c r="R694" s="28"/>
      <c r="S694" s="28"/>
      <c r="T694" s="28"/>
      <c r="U694" s="28"/>
      <c r="V694" s="28"/>
      <c r="W694" s="28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72" t="s">
        <v>28</v>
      </c>
      <c r="B695" s="72" t="s">
        <v>39</v>
      </c>
      <c r="C695" s="72" t="s">
        <v>23</v>
      </c>
      <c r="D695" s="72" t="s">
        <v>40</v>
      </c>
      <c r="E695" s="72" t="s">
        <v>25</v>
      </c>
      <c r="F695" s="72" t="s">
        <v>25</v>
      </c>
      <c r="G695" s="72" t="s">
        <v>25</v>
      </c>
      <c r="H695" s="72" t="s">
        <v>25</v>
      </c>
      <c r="I695" s="82">
        <v>44501</v>
      </c>
      <c r="J695" s="83">
        <f>EFEITO!$J$695*EFEITO!$Y$695</f>
        <v>0</v>
      </c>
      <c r="K695" s="83">
        <f ca="1">EFEITO!$L$695*EFEITO!$Z$695</f>
        <v>96.031621168921887</v>
      </c>
      <c r="L695" s="83">
        <f>EFEITO!$N$695*EFEITO!$AA$695</f>
        <v>63.193192794941396</v>
      </c>
      <c r="M695" s="83">
        <f>$J$695-EFEITO!$K$695*EFEITO!$Y$695</f>
        <v>0</v>
      </c>
      <c r="N695" s="83">
        <f ca="1">$K$695-EFEITO!$M$695*EFEITO!$Z$695</f>
        <v>0</v>
      </c>
      <c r="O695" s="83">
        <f>$L$695-EFEITO!$O$695*EFEITO!$AA$695</f>
        <v>0</v>
      </c>
      <c r="P695" s="28"/>
      <c r="Q695" s="28"/>
      <c r="R695" s="28"/>
      <c r="S695" s="28"/>
      <c r="T695" s="28"/>
      <c r="U695" s="28"/>
      <c r="V695" s="28"/>
      <c r="W695" s="28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72" t="s">
        <v>21</v>
      </c>
      <c r="B696" s="72" t="s">
        <v>39</v>
      </c>
      <c r="C696" s="72" t="s">
        <v>23</v>
      </c>
      <c r="D696" s="72" t="s">
        <v>40</v>
      </c>
      <c r="E696" s="72" t="s">
        <v>25</v>
      </c>
      <c r="F696" s="72" t="s">
        <v>25</v>
      </c>
      <c r="G696" s="72" t="s">
        <v>25</v>
      </c>
      <c r="H696" s="72" t="s">
        <v>25</v>
      </c>
      <c r="I696" s="82">
        <v>44531</v>
      </c>
      <c r="J696" s="83">
        <f>EFEITO!$J$696*EFEITO!$Y$696</f>
        <v>0</v>
      </c>
      <c r="K696" s="83">
        <f ca="1">EFEITO!$L$696*EFEITO!$Z$696</f>
        <v>34820.105519639386</v>
      </c>
      <c r="L696" s="83">
        <f>EFEITO!$N$696*EFEITO!$AA$696</f>
        <v>22913.219775517802</v>
      </c>
      <c r="M696" s="83">
        <f>$J$696-EFEITO!$K$696*EFEITO!$Y$696</f>
        <v>0</v>
      </c>
      <c r="N696" s="83">
        <f ca="1">$K$696-EFEITO!$M$696*EFEITO!$Z$696</f>
        <v>0</v>
      </c>
      <c r="O696" s="83">
        <f>$L$696-EFEITO!$O$696*EFEITO!$AA$696</f>
        <v>0</v>
      </c>
      <c r="P696" s="28"/>
      <c r="Q696" s="28"/>
      <c r="R696" s="28"/>
      <c r="S696" s="28"/>
      <c r="T696" s="28"/>
      <c r="U696" s="28"/>
      <c r="V696" s="28"/>
      <c r="W696" s="28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72" t="s">
        <v>27</v>
      </c>
      <c r="B697" s="72" t="s">
        <v>39</v>
      </c>
      <c r="C697" s="72" t="s">
        <v>23</v>
      </c>
      <c r="D697" s="72" t="s">
        <v>40</v>
      </c>
      <c r="E697" s="72" t="s">
        <v>25</v>
      </c>
      <c r="F697" s="72" t="s">
        <v>25</v>
      </c>
      <c r="G697" s="72" t="s">
        <v>25</v>
      </c>
      <c r="H697" s="72" t="s">
        <v>25</v>
      </c>
      <c r="I697" s="82">
        <v>44531</v>
      </c>
      <c r="J697" s="83">
        <f>EFEITO!$J$697*EFEITO!$Y$697</f>
        <v>0</v>
      </c>
      <c r="K697" s="83">
        <f ca="1">EFEITO!$L$697*EFEITO!$Z$697</f>
        <v>1598.9264924625495</v>
      </c>
      <c r="L697" s="83">
        <f>EFEITO!$N$697*EFEITO!$AA$697</f>
        <v>1052.1666600357744</v>
      </c>
      <c r="M697" s="83">
        <f>$J$697-EFEITO!$K$697*EFEITO!$Y$697</f>
        <v>0</v>
      </c>
      <c r="N697" s="83">
        <f ca="1">$K$697-EFEITO!$M$697*EFEITO!$Z$697</f>
        <v>0</v>
      </c>
      <c r="O697" s="83">
        <f>$L$697-EFEITO!$O$697*EFEITO!$AA$697</f>
        <v>0</v>
      </c>
      <c r="P697" s="28"/>
      <c r="Q697" s="28"/>
      <c r="R697" s="28"/>
      <c r="S697" s="28"/>
      <c r="T697" s="28"/>
      <c r="U697" s="28"/>
      <c r="V697" s="28"/>
      <c r="W697" s="28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72" t="s">
        <v>28</v>
      </c>
      <c r="B698" s="72" t="s">
        <v>39</v>
      </c>
      <c r="C698" s="72" t="s">
        <v>23</v>
      </c>
      <c r="D698" s="72" t="s">
        <v>40</v>
      </c>
      <c r="E698" s="72" t="s">
        <v>25</v>
      </c>
      <c r="F698" s="72" t="s">
        <v>25</v>
      </c>
      <c r="G698" s="72" t="s">
        <v>25</v>
      </c>
      <c r="H698" s="72" t="s">
        <v>25</v>
      </c>
      <c r="I698" s="82">
        <v>44531</v>
      </c>
      <c r="J698" s="83">
        <f>EFEITO!$J$698*EFEITO!$Y$698</f>
        <v>0</v>
      </c>
      <c r="K698" s="83">
        <f ca="1">EFEITO!$L$698*EFEITO!$Z$698</f>
        <v>96.031621168921887</v>
      </c>
      <c r="L698" s="83">
        <f>EFEITO!$N$698*EFEITO!$AA$698</f>
        <v>63.193192794941396</v>
      </c>
      <c r="M698" s="83">
        <f>$J$698-EFEITO!$K$698*EFEITO!$Y$698</f>
        <v>0</v>
      </c>
      <c r="N698" s="83">
        <f ca="1">$K$698-EFEITO!$M$698*EFEITO!$Z$698</f>
        <v>0</v>
      </c>
      <c r="O698" s="83">
        <f>$L$698-EFEITO!$O$698*EFEITO!$AA$698</f>
        <v>0</v>
      </c>
      <c r="P698" s="28"/>
      <c r="Q698" s="28"/>
      <c r="R698" s="28"/>
      <c r="S698" s="28"/>
      <c r="T698" s="28"/>
      <c r="U698" s="28"/>
      <c r="V698" s="28"/>
      <c r="W698" s="28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72" t="s">
        <v>21</v>
      </c>
      <c r="B699" s="72" t="s">
        <v>39</v>
      </c>
      <c r="C699" s="72" t="s">
        <v>23</v>
      </c>
      <c r="D699" s="72" t="s">
        <v>40</v>
      </c>
      <c r="E699" s="72" t="s">
        <v>25</v>
      </c>
      <c r="F699" s="72" t="s">
        <v>25</v>
      </c>
      <c r="G699" s="72" t="s">
        <v>25</v>
      </c>
      <c r="H699" s="72" t="s">
        <v>25</v>
      </c>
      <c r="I699" s="82">
        <v>44562</v>
      </c>
      <c r="J699" s="83">
        <f>EFEITO!$J$699*EFEITO!$Y$699</f>
        <v>0</v>
      </c>
      <c r="K699" s="83">
        <f ca="1">EFEITO!$L$699*EFEITO!$Z$699</f>
        <v>32789.356837320585</v>
      </c>
      <c r="L699" s="83">
        <f>EFEITO!$N$699*EFEITO!$AA$699</f>
        <v>21576.894391880778</v>
      </c>
      <c r="M699" s="83">
        <f>$J$699-EFEITO!$K$699*EFEITO!$Y$699</f>
        <v>0</v>
      </c>
      <c r="N699" s="83">
        <f ca="1">$K$699-EFEITO!$M$699*EFEITO!$Z$699</f>
        <v>0</v>
      </c>
      <c r="O699" s="83">
        <f>$L$699-EFEITO!$O$699*EFEITO!$AA$699</f>
        <v>0</v>
      </c>
      <c r="P699" s="28"/>
      <c r="Q699" s="28"/>
      <c r="R699" s="28"/>
      <c r="S699" s="28"/>
      <c r="T699" s="28"/>
      <c r="U699" s="28"/>
      <c r="V699" s="28"/>
      <c r="W699" s="28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72" t="s">
        <v>28</v>
      </c>
      <c r="B700" s="72" t="s">
        <v>39</v>
      </c>
      <c r="C700" s="72" t="s">
        <v>23</v>
      </c>
      <c r="D700" s="72" t="s">
        <v>40</v>
      </c>
      <c r="E700" s="72" t="s">
        <v>25</v>
      </c>
      <c r="F700" s="72" t="s">
        <v>25</v>
      </c>
      <c r="G700" s="72" t="s">
        <v>25</v>
      </c>
      <c r="H700" s="72" t="s">
        <v>25</v>
      </c>
      <c r="I700" s="82">
        <v>44562</v>
      </c>
      <c r="J700" s="83">
        <f>EFEITO!$J$700*EFEITO!$Y$700</f>
        <v>0</v>
      </c>
      <c r="K700" s="83">
        <f ca="1">EFEITO!$L$700*EFEITO!$Z$700</f>
        <v>96.031621168921887</v>
      </c>
      <c r="L700" s="83">
        <f>EFEITO!$N$700*EFEITO!$AA$700</f>
        <v>63.193192794941396</v>
      </c>
      <c r="M700" s="83">
        <f>$J$700-EFEITO!$K$700*EFEITO!$Y$700</f>
        <v>0</v>
      </c>
      <c r="N700" s="83">
        <f ca="1">$K$700-EFEITO!$M$700*EFEITO!$Z$700</f>
        <v>0</v>
      </c>
      <c r="O700" s="83">
        <f>$L$700-EFEITO!$O$700*EFEITO!$AA$700</f>
        <v>0</v>
      </c>
      <c r="P700" s="28"/>
      <c r="Q700" s="28"/>
      <c r="R700" s="28"/>
      <c r="S700" s="28"/>
      <c r="T700" s="28"/>
      <c r="U700" s="28"/>
      <c r="V700" s="28"/>
      <c r="W700" s="28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72" t="s">
        <v>21</v>
      </c>
      <c r="B701" s="72" t="s">
        <v>39</v>
      </c>
      <c r="C701" s="72" t="s">
        <v>23</v>
      </c>
      <c r="D701" s="72" t="s">
        <v>40</v>
      </c>
      <c r="E701" s="72" t="s">
        <v>25</v>
      </c>
      <c r="F701" s="72" t="s">
        <v>25</v>
      </c>
      <c r="G701" s="72" t="s">
        <v>25</v>
      </c>
      <c r="H701" s="72" t="s">
        <v>25</v>
      </c>
      <c r="I701" s="82">
        <v>44593</v>
      </c>
      <c r="J701" s="83">
        <f>EFEITO!$J$701*EFEITO!$Y$701</f>
        <v>0</v>
      </c>
      <c r="K701" s="83">
        <f ca="1">EFEITO!$L$701*EFEITO!$Z$701</f>
        <v>37895.358134872164</v>
      </c>
      <c r="L701" s="83">
        <f>EFEITO!$N$701*EFEITO!$AA$701</f>
        <v>24936.876452787808</v>
      </c>
      <c r="M701" s="83">
        <f>$J$701-EFEITO!$K$701*EFEITO!$Y$701</f>
        <v>0</v>
      </c>
      <c r="N701" s="83">
        <f ca="1">$K$701-EFEITO!$M$701*EFEITO!$Z$701</f>
        <v>0</v>
      </c>
      <c r="O701" s="83">
        <f>$L$701-EFEITO!$O$701*EFEITO!$AA$701</f>
        <v>0</v>
      </c>
      <c r="P701" s="28"/>
      <c r="Q701" s="28"/>
      <c r="R701" s="28"/>
      <c r="S701" s="28"/>
      <c r="T701" s="28"/>
      <c r="U701" s="28"/>
      <c r="V701" s="28"/>
      <c r="W701" s="28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72" t="s">
        <v>28</v>
      </c>
      <c r="B702" s="72" t="s">
        <v>39</v>
      </c>
      <c r="C702" s="72" t="s">
        <v>23</v>
      </c>
      <c r="D702" s="72" t="s">
        <v>40</v>
      </c>
      <c r="E702" s="72" t="s">
        <v>25</v>
      </c>
      <c r="F702" s="72" t="s">
        <v>25</v>
      </c>
      <c r="G702" s="72" t="s">
        <v>25</v>
      </c>
      <c r="H702" s="72" t="s">
        <v>25</v>
      </c>
      <c r="I702" s="82">
        <v>44593</v>
      </c>
      <c r="J702" s="83">
        <f>EFEITO!$J$702*EFEITO!$Y$702</f>
        <v>0</v>
      </c>
      <c r="K702" s="83">
        <f ca="1">EFEITO!$L$702*EFEITO!$Z$702</f>
        <v>96.031621168921887</v>
      </c>
      <c r="L702" s="83">
        <f>EFEITO!$N$702*EFEITO!$AA$702</f>
        <v>63.193192794941396</v>
      </c>
      <c r="M702" s="83">
        <f>$J$702-EFEITO!$K$702*EFEITO!$Y$702</f>
        <v>0</v>
      </c>
      <c r="N702" s="83">
        <f ca="1">$K$702-EFEITO!$M$702*EFEITO!$Z$702</f>
        <v>0</v>
      </c>
      <c r="O702" s="83">
        <f>$L$702-EFEITO!$O$702*EFEITO!$AA$702</f>
        <v>0</v>
      </c>
      <c r="P702" s="28"/>
      <c r="Q702" s="28"/>
      <c r="R702" s="28"/>
      <c r="S702" s="28"/>
      <c r="T702" s="28"/>
      <c r="U702" s="28"/>
      <c r="V702" s="28"/>
      <c r="W702" s="28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72" t="s">
        <v>21</v>
      </c>
      <c r="B703" s="72" t="s">
        <v>39</v>
      </c>
      <c r="C703" s="72" t="s">
        <v>23</v>
      </c>
      <c r="D703" s="72" t="s">
        <v>40</v>
      </c>
      <c r="E703" s="72" t="s">
        <v>25</v>
      </c>
      <c r="F703" s="72" t="s">
        <v>25</v>
      </c>
      <c r="G703" s="72" t="s">
        <v>25</v>
      </c>
      <c r="H703" s="72" t="s">
        <v>25</v>
      </c>
      <c r="I703" s="82">
        <v>44621</v>
      </c>
      <c r="J703" s="83">
        <f>EFEITO!$J$703*EFEITO!$Y$703</f>
        <v>0</v>
      </c>
      <c r="K703" s="83">
        <f ca="1">EFEITO!$L$703*EFEITO!$Z$703</f>
        <v>37823.974629803262</v>
      </c>
      <c r="L703" s="83">
        <f>EFEITO!$N$703*EFEITO!$AA$703</f>
        <v>24889.90284614357</v>
      </c>
      <c r="M703" s="83">
        <f>$J$703-EFEITO!$K$703*EFEITO!$Y$703</f>
        <v>0</v>
      </c>
      <c r="N703" s="83">
        <f ca="1">$K$703-EFEITO!$M$703*EFEITO!$Z$703</f>
        <v>0</v>
      </c>
      <c r="O703" s="83">
        <f>$L$703-EFEITO!$O$703*EFEITO!$AA$703</f>
        <v>0</v>
      </c>
      <c r="P703" s="28"/>
      <c r="Q703" s="28"/>
      <c r="R703" s="28"/>
      <c r="S703" s="28"/>
      <c r="T703" s="28"/>
      <c r="U703" s="28"/>
      <c r="V703" s="28"/>
      <c r="W703" s="28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72" t="s">
        <v>28</v>
      </c>
      <c r="B704" s="72" t="s">
        <v>39</v>
      </c>
      <c r="C704" s="72" t="s">
        <v>23</v>
      </c>
      <c r="D704" s="72" t="s">
        <v>40</v>
      </c>
      <c r="E704" s="72" t="s">
        <v>25</v>
      </c>
      <c r="F704" s="72" t="s">
        <v>25</v>
      </c>
      <c r="G704" s="72" t="s">
        <v>25</v>
      </c>
      <c r="H704" s="72" t="s">
        <v>25</v>
      </c>
      <c r="I704" s="82">
        <v>44621</v>
      </c>
      <c r="J704" s="83">
        <f>EFEITO!$J$704*EFEITO!$Y$704</f>
        <v>0</v>
      </c>
      <c r="K704" s="83">
        <f ca="1">EFEITO!$L$704*EFEITO!$Z$704</f>
        <v>160.05270194820315</v>
      </c>
      <c r="L704" s="83">
        <f>EFEITO!$N$704*EFEITO!$AA$704</f>
        <v>105.321987991569</v>
      </c>
      <c r="M704" s="83">
        <f>$J$704-EFEITO!$K$704*EFEITO!$Y$704</f>
        <v>0</v>
      </c>
      <c r="N704" s="83">
        <f ca="1">$K$704-EFEITO!$M$704*EFEITO!$Z$704</f>
        <v>0</v>
      </c>
      <c r="O704" s="83">
        <f>$L$704-EFEITO!$O$704*EFEITO!$AA$704</f>
        <v>0</v>
      </c>
      <c r="P704" s="28"/>
      <c r="Q704" s="28"/>
      <c r="R704" s="28"/>
      <c r="S704" s="28"/>
      <c r="T704" s="28"/>
      <c r="U704" s="28"/>
      <c r="V704" s="28"/>
      <c r="W704" s="28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72" t="s">
        <v>21</v>
      </c>
      <c r="B705" s="72" t="s">
        <v>39</v>
      </c>
      <c r="C705" s="72" t="s">
        <v>23</v>
      </c>
      <c r="D705" s="72" t="s">
        <v>40</v>
      </c>
      <c r="E705" s="72" t="s">
        <v>25</v>
      </c>
      <c r="F705" s="72" t="s">
        <v>25</v>
      </c>
      <c r="G705" s="72" t="s">
        <v>25</v>
      </c>
      <c r="H705" s="72" t="s">
        <v>25</v>
      </c>
      <c r="I705" s="82">
        <v>44652</v>
      </c>
      <c r="J705" s="83">
        <f>EFEITO!$J$705*EFEITO!$Y$705</f>
        <v>0</v>
      </c>
      <c r="K705" s="83">
        <f ca="1">EFEITO!$L$705*EFEITO!$Z$705</f>
        <v>38435.055845841503</v>
      </c>
      <c r="L705" s="83">
        <f>EFEITO!$N$705*EFEITO!$AA$705</f>
        <v>25292.02219629538</v>
      </c>
      <c r="M705" s="83">
        <f>$J$705-EFEITO!$K$705*EFEITO!$Y$705</f>
        <v>0</v>
      </c>
      <c r="N705" s="83">
        <f ca="1">$K$705-EFEITO!$M$705*EFEITO!$Z$705</f>
        <v>0</v>
      </c>
      <c r="O705" s="83">
        <f>$L$705-EFEITO!$O$705*EFEITO!$AA$705</f>
        <v>0</v>
      </c>
      <c r="P705" s="28"/>
      <c r="Q705" s="28"/>
      <c r="R705" s="28"/>
      <c r="S705" s="28"/>
      <c r="T705" s="28"/>
      <c r="U705" s="28"/>
      <c r="V705" s="28"/>
      <c r="W705" s="28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72" t="s">
        <v>21</v>
      </c>
      <c r="B706" s="72" t="s">
        <v>39</v>
      </c>
      <c r="C706" s="72" t="s">
        <v>23</v>
      </c>
      <c r="D706" s="72" t="s">
        <v>45</v>
      </c>
      <c r="E706" s="72" t="s">
        <v>25</v>
      </c>
      <c r="F706" s="72" t="s">
        <v>25</v>
      </c>
      <c r="G706" s="72" t="s">
        <v>25</v>
      </c>
      <c r="H706" s="72" t="s">
        <v>25</v>
      </c>
      <c r="I706" s="82">
        <v>44317</v>
      </c>
      <c r="J706" s="83">
        <f>EFEITO!$J$706*EFEITO!$Y$706</f>
        <v>0</v>
      </c>
      <c r="K706" s="83">
        <f ca="1">EFEITO!$L$706*EFEITO!$Z$706</f>
        <v>24785.441318294845</v>
      </c>
      <c r="L706" s="83">
        <f>EFEITO!$N$706*EFEITO!$AA$706</f>
        <v>16309.952416398393</v>
      </c>
      <c r="M706" s="83">
        <f>$J$706-EFEITO!$K$706*EFEITO!$Y$706</f>
        <v>0</v>
      </c>
      <c r="N706" s="83">
        <f ca="1">$K$706-EFEITO!$M$706*EFEITO!$Z$706</f>
        <v>0</v>
      </c>
      <c r="O706" s="83">
        <f>$L$706-EFEITO!$O$706*EFEITO!$AA$706</f>
        <v>0</v>
      </c>
      <c r="P706" s="28"/>
      <c r="Q706" s="28"/>
      <c r="R706" s="28"/>
      <c r="S706" s="28"/>
      <c r="T706" s="28"/>
      <c r="U706" s="28"/>
      <c r="V706" s="28"/>
      <c r="W706" s="28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72" t="s">
        <v>21</v>
      </c>
      <c r="B707" s="72" t="s">
        <v>39</v>
      </c>
      <c r="C707" s="72" t="s">
        <v>23</v>
      </c>
      <c r="D707" s="72" t="s">
        <v>45</v>
      </c>
      <c r="E707" s="72" t="s">
        <v>25</v>
      </c>
      <c r="F707" s="72" t="s">
        <v>25</v>
      </c>
      <c r="G707" s="72" t="s">
        <v>25</v>
      </c>
      <c r="H707" s="72" t="s">
        <v>25</v>
      </c>
      <c r="I707" s="82">
        <v>44348</v>
      </c>
      <c r="J707" s="83">
        <f>EFEITO!$J$707*EFEITO!$Y$707</f>
        <v>0</v>
      </c>
      <c r="K707" s="83">
        <f ca="1">EFEITO!$L$707*EFEITO!$Z$707</f>
        <v>27632.458780549478</v>
      </c>
      <c r="L707" s="83">
        <f>EFEITO!$N$707*EFEITO!$AA$707</f>
        <v>18183.41993879242</v>
      </c>
      <c r="M707" s="83">
        <f>$J$707-EFEITO!$K$707*EFEITO!$Y$707</f>
        <v>0</v>
      </c>
      <c r="N707" s="83">
        <f ca="1">$K$707-EFEITO!$M$707*EFEITO!$Z$707</f>
        <v>0</v>
      </c>
      <c r="O707" s="83">
        <f>$L$707-EFEITO!$O$707*EFEITO!$AA$707</f>
        <v>0</v>
      </c>
      <c r="P707" s="28"/>
      <c r="Q707" s="28"/>
      <c r="R707" s="28"/>
      <c r="S707" s="28"/>
      <c r="T707" s="28"/>
      <c r="U707" s="28"/>
      <c r="V707" s="28"/>
      <c r="W707" s="28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72" t="s">
        <v>21</v>
      </c>
      <c r="B708" s="72" t="s">
        <v>39</v>
      </c>
      <c r="C708" s="72" t="s">
        <v>23</v>
      </c>
      <c r="D708" s="72" t="s">
        <v>45</v>
      </c>
      <c r="E708" s="72" t="s">
        <v>25</v>
      </c>
      <c r="F708" s="72" t="s">
        <v>25</v>
      </c>
      <c r="G708" s="72" t="s">
        <v>25</v>
      </c>
      <c r="H708" s="72" t="s">
        <v>25</v>
      </c>
      <c r="I708" s="82">
        <v>44378</v>
      </c>
      <c r="J708" s="83">
        <f>EFEITO!$J$708*EFEITO!$Y$708</f>
        <v>0</v>
      </c>
      <c r="K708" s="83">
        <f ca="1">EFEITO!$L$708*EFEITO!$Z$708</f>
        <v>27138.536142337325</v>
      </c>
      <c r="L708" s="83">
        <f>EFEITO!$N$708*EFEITO!$AA$708</f>
        <v>17858.396283850441</v>
      </c>
      <c r="M708" s="83">
        <f>$J$708-EFEITO!$K$708*EFEITO!$Y$708</f>
        <v>0</v>
      </c>
      <c r="N708" s="83">
        <f ca="1">$K$708-EFEITO!$M$708*EFEITO!$Z$708</f>
        <v>0</v>
      </c>
      <c r="O708" s="83">
        <f>$L$708-EFEITO!$O$708*EFEITO!$AA$708</f>
        <v>0</v>
      </c>
      <c r="P708" s="28"/>
      <c r="Q708" s="28"/>
      <c r="R708" s="28"/>
      <c r="S708" s="28"/>
      <c r="T708" s="28"/>
      <c r="U708" s="28"/>
      <c r="V708" s="28"/>
      <c r="W708" s="28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72" t="s">
        <v>21</v>
      </c>
      <c r="B709" s="72" t="s">
        <v>39</v>
      </c>
      <c r="C709" s="72" t="s">
        <v>23</v>
      </c>
      <c r="D709" s="72" t="s">
        <v>45</v>
      </c>
      <c r="E709" s="72" t="s">
        <v>25</v>
      </c>
      <c r="F709" s="72" t="s">
        <v>25</v>
      </c>
      <c r="G709" s="72" t="s">
        <v>25</v>
      </c>
      <c r="H709" s="72" t="s">
        <v>25</v>
      </c>
      <c r="I709" s="82">
        <v>44409</v>
      </c>
      <c r="J709" s="83">
        <f>EFEITO!$J$709*EFEITO!$Y$709</f>
        <v>0</v>
      </c>
      <c r="K709" s="83">
        <f ca="1">EFEITO!$L$709*EFEITO!$Z$709</f>
        <v>30395.288521579361</v>
      </c>
      <c r="L709" s="83">
        <f>EFEITO!$N$709*EFEITO!$AA$709</f>
        <v>20001.488095502886</v>
      </c>
      <c r="M709" s="83">
        <f>$J$709-EFEITO!$K$709*EFEITO!$Y$709</f>
        <v>0</v>
      </c>
      <c r="N709" s="83">
        <f ca="1">$K$709-EFEITO!$M$709*EFEITO!$Z$709</f>
        <v>0</v>
      </c>
      <c r="O709" s="83">
        <f>$L$709-EFEITO!$O$709*EFEITO!$AA$709</f>
        <v>0</v>
      </c>
      <c r="P709" s="28"/>
      <c r="Q709" s="28"/>
      <c r="R709" s="28"/>
      <c r="S709" s="28"/>
      <c r="T709" s="28"/>
      <c r="U709" s="28"/>
      <c r="V709" s="28"/>
      <c r="W709" s="28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72" t="s">
        <v>21</v>
      </c>
      <c r="B710" s="72" t="s">
        <v>39</v>
      </c>
      <c r="C710" s="72" t="s">
        <v>23</v>
      </c>
      <c r="D710" s="72" t="s">
        <v>45</v>
      </c>
      <c r="E710" s="72" t="s">
        <v>25</v>
      </c>
      <c r="F710" s="72" t="s">
        <v>25</v>
      </c>
      <c r="G710" s="72" t="s">
        <v>25</v>
      </c>
      <c r="H710" s="72" t="s">
        <v>25</v>
      </c>
      <c r="I710" s="82">
        <v>44440</v>
      </c>
      <c r="J710" s="83">
        <f>EFEITO!$J$710*EFEITO!$Y$710</f>
        <v>0</v>
      </c>
      <c r="K710" s="83">
        <f ca="1">EFEITO!$L$710*EFEITO!$Z$710</f>
        <v>36706.16655939701</v>
      </c>
      <c r="L710" s="83">
        <f>EFEITO!$N$710*EFEITO!$AA$710</f>
        <v>24154.334082010453</v>
      </c>
      <c r="M710" s="83">
        <f>$J$710-EFEITO!$K$710*EFEITO!$Y$710</f>
        <v>0</v>
      </c>
      <c r="N710" s="83">
        <f ca="1">$K$710-EFEITO!$M$710*EFEITO!$Z$710</f>
        <v>0</v>
      </c>
      <c r="O710" s="83">
        <f>$L$710-EFEITO!$O$710*EFEITO!$AA$710</f>
        <v>0</v>
      </c>
      <c r="P710" s="28"/>
      <c r="Q710" s="28"/>
      <c r="R710" s="28"/>
      <c r="S710" s="28"/>
      <c r="T710" s="28"/>
      <c r="U710" s="28"/>
      <c r="V710" s="28"/>
      <c r="W710" s="28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72" t="s">
        <v>21</v>
      </c>
      <c r="B711" s="72" t="s">
        <v>39</v>
      </c>
      <c r="C711" s="72" t="s">
        <v>23</v>
      </c>
      <c r="D711" s="72" t="s">
        <v>45</v>
      </c>
      <c r="E711" s="72" t="s">
        <v>25</v>
      </c>
      <c r="F711" s="72" t="s">
        <v>25</v>
      </c>
      <c r="G711" s="72" t="s">
        <v>25</v>
      </c>
      <c r="H711" s="72" t="s">
        <v>25</v>
      </c>
      <c r="I711" s="82">
        <v>44470</v>
      </c>
      <c r="J711" s="83">
        <f>EFEITO!$J$711*EFEITO!$Y$711</f>
        <v>0</v>
      </c>
      <c r="K711" s="83">
        <f ca="1">EFEITO!$L$711*EFEITO!$Z$711</f>
        <v>35290.660463367109</v>
      </c>
      <c r="L711" s="83">
        <f>EFEITO!$N$711*EFEITO!$AA$711</f>
        <v>23222.866420213017</v>
      </c>
      <c r="M711" s="83">
        <f>$J$711-EFEITO!$K$711*EFEITO!$Y$711</f>
        <v>0</v>
      </c>
      <c r="N711" s="83">
        <f ca="1">$K$711-EFEITO!$M$711*EFEITO!$Z$711</f>
        <v>0</v>
      </c>
      <c r="O711" s="83">
        <f>$L$711-EFEITO!$O$711*EFEITO!$AA$711</f>
        <v>0</v>
      </c>
      <c r="P711" s="28"/>
      <c r="Q711" s="28"/>
      <c r="R711" s="28"/>
      <c r="S711" s="28"/>
      <c r="T711" s="28"/>
      <c r="U711" s="28"/>
      <c r="V711" s="28"/>
      <c r="W711" s="28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72" t="s">
        <v>21</v>
      </c>
      <c r="B712" s="72" t="s">
        <v>39</v>
      </c>
      <c r="C712" s="72" t="s">
        <v>23</v>
      </c>
      <c r="D712" s="72" t="s">
        <v>45</v>
      </c>
      <c r="E712" s="72" t="s">
        <v>25</v>
      </c>
      <c r="F712" s="72" t="s">
        <v>25</v>
      </c>
      <c r="G712" s="72" t="s">
        <v>25</v>
      </c>
      <c r="H712" s="72" t="s">
        <v>25</v>
      </c>
      <c r="I712" s="82">
        <v>44501</v>
      </c>
      <c r="J712" s="83">
        <f>EFEITO!$J$712*EFEITO!$Y$712</f>
        <v>0</v>
      </c>
      <c r="K712" s="83">
        <f ca="1">EFEITO!$L$712*EFEITO!$Z$712</f>
        <v>38227.627544116629</v>
      </c>
      <c r="L712" s="83">
        <f>EFEITO!$N$712*EFEITO!$AA$712</f>
        <v>25155.524899858305</v>
      </c>
      <c r="M712" s="83">
        <f>$J$712-EFEITO!$K$712*EFEITO!$Y$712</f>
        <v>0</v>
      </c>
      <c r="N712" s="83">
        <f ca="1">$K$712-EFEITO!$M$712*EFEITO!$Z$712</f>
        <v>0</v>
      </c>
      <c r="O712" s="83">
        <f>$L$712-EFEITO!$O$712*EFEITO!$AA$712</f>
        <v>0</v>
      </c>
      <c r="P712" s="28"/>
      <c r="Q712" s="28"/>
      <c r="R712" s="28"/>
      <c r="S712" s="28"/>
      <c r="T712" s="28"/>
      <c r="U712" s="28"/>
      <c r="V712" s="28"/>
      <c r="W712" s="28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72" t="s">
        <v>21</v>
      </c>
      <c r="B713" s="72" t="s">
        <v>39</v>
      </c>
      <c r="C713" s="72" t="s">
        <v>23</v>
      </c>
      <c r="D713" s="72" t="s">
        <v>45</v>
      </c>
      <c r="E713" s="72" t="s">
        <v>25</v>
      </c>
      <c r="F713" s="72" t="s">
        <v>25</v>
      </c>
      <c r="G713" s="72" t="s">
        <v>25</v>
      </c>
      <c r="H713" s="72" t="s">
        <v>25</v>
      </c>
      <c r="I713" s="82">
        <v>44531</v>
      </c>
      <c r="J713" s="83">
        <f>EFEITO!$J$713*EFEITO!$Y$713</f>
        <v>0</v>
      </c>
      <c r="K713" s="83">
        <f ca="1">EFEITO!$L$713*EFEITO!$Z$713</f>
        <v>38504.51871848703</v>
      </c>
      <c r="L713" s="83">
        <f>EFEITO!$N$713*EFEITO!$AA$713</f>
        <v>25337.731939083722</v>
      </c>
      <c r="M713" s="83">
        <f>$J$713-EFEITO!$K$713*EFEITO!$Y$713</f>
        <v>0</v>
      </c>
      <c r="N713" s="83">
        <f ca="1">$K$713-EFEITO!$M$713*EFEITO!$Z$713</f>
        <v>0</v>
      </c>
      <c r="O713" s="83">
        <f>$L$713-EFEITO!$O$713*EFEITO!$AA$713</f>
        <v>0</v>
      </c>
      <c r="P713" s="28"/>
      <c r="Q713" s="28"/>
      <c r="R713" s="28"/>
      <c r="S713" s="28"/>
      <c r="T713" s="28"/>
      <c r="U713" s="28"/>
      <c r="V713" s="28"/>
      <c r="W713" s="28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72" t="s">
        <v>21</v>
      </c>
      <c r="B714" s="72" t="s">
        <v>39</v>
      </c>
      <c r="C714" s="72" t="s">
        <v>23</v>
      </c>
      <c r="D714" s="72" t="s">
        <v>45</v>
      </c>
      <c r="E714" s="72" t="s">
        <v>25</v>
      </c>
      <c r="F714" s="72" t="s">
        <v>25</v>
      </c>
      <c r="G714" s="72" t="s">
        <v>25</v>
      </c>
      <c r="H714" s="72" t="s">
        <v>25</v>
      </c>
      <c r="I714" s="82">
        <v>44562</v>
      </c>
      <c r="J714" s="83">
        <f>EFEITO!$J$714*EFEITO!$Y$714</f>
        <v>0</v>
      </c>
      <c r="K714" s="83">
        <f ca="1">EFEITO!$L$714*EFEITO!$Z$714</f>
        <v>29992.595923477686</v>
      </c>
      <c r="L714" s="83">
        <f>EFEITO!$N$714*EFEITO!$AA$714</f>
        <v>19736.497973716097</v>
      </c>
      <c r="M714" s="83">
        <f>$J$714-EFEITO!$K$714*EFEITO!$Y$714</f>
        <v>0</v>
      </c>
      <c r="N714" s="83">
        <f ca="1">$K$714-EFEITO!$M$714*EFEITO!$Z$714</f>
        <v>0</v>
      </c>
      <c r="O714" s="83">
        <f>$L$714-EFEITO!$O$714*EFEITO!$AA$714</f>
        <v>0</v>
      </c>
      <c r="P714" s="28"/>
      <c r="Q714" s="28"/>
      <c r="R714" s="28"/>
      <c r="S714" s="28"/>
      <c r="T714" s="28"/>
      <c r="U714" s="28"/>
      <c r="V714" s="28"/>
      <c r="W714" s="28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72" t="s">
        <v>27</v>
      </c>
      <c r="B715" s="72" t="s">
        <v>39</v>
      </c>
      <c r="C715" s="72" t="s">
        <v>23</v>
      </c>
      <c r="D715" s="72" t="s">
        <v>45</v>
      </c>
      <c r="E715" s="72" t="s">
        <v>25</v>
      </c>
      <c r="F715" s="72" t="s">
        <v>25</v>
      </c>
      <c r="G715" s="72" t="s">
        <v>25</v>
      </c>
      <c r="H715" s="72" t="s">
        <v>25</v>
      </c>
      <c r="I715" s="82">
        <v>44562</v>
      </c>
      <c r="J715" s="83">
        <f>EFEITO!$J$715*EFEITO!$Y$715</f>
        <v>0</v>
      </c>
      <c r="K715" s="83">
        <f ca="1">EFEITO!$L$715*EFEITO!$Z$715</f>
        <v>-114.91783999880985</v>
      </c>
      <c r="L715" s="83">
        <f>EFEITO!$N$715*EFEITO!$AA$715</f>
        <v>-75.621187377946541</v>
      </c>
      <c r="M715" s="83">
        <f>$J$715-EFEITO!$K$715*EFEITO!$Y$715</f>
        <v>0</v>
      </c>
      <c r="N715" s="83">
        <f ca="1">$K$715-EFEITO!$M$715*EFEITO!$Z$715</f>
        <v>0</v>
      </c>
      <c r="O715" s="83">
        <f>$L$715-EFEITO!$O$715*EFEITO!$AA$715</f>
        <v>0</v>
      </c>
      <c r="P715" s="28"/>
      <c r="Q715" s="28"/>
      <c r="R715" s="28"/>
      <c r="S715" s="28"/>
      <c r="T715" s="28"/>
      <c r="U715" s="28"/>
      <c r="V715" s="28"/>
      <c r="W715" s="28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72" t="s">
        <v>21</v>
      </c>
      <c r="B716" s="72" t="s">
        <v>39</v>
      </c>
      <c r="C716" s="72" t="s">
        <v>23</v>
      </c>
      <c r="D716" s="72" t="s">
        <v>45</v>
      </c>
      <c r="E716" s="72" t="s">
        <v>25</v>
      </c>
      <c r="F716" s="72" t="s">
        <v>25</v>
      </c>
      <c r="G716" s="72" t="s">
        <v>25</v>
      </c>
      <c r="H716" s="72" t="s">
        <v>25</v>
      </c>
      <c r="I716" s="82">
        <v>44593</v>
      </c>
      <c r="J716" s="83">
        <f>EFEITO!$J$716*EFEITO!$Y$716</f>
        <v>0</v>
      </c>
      <c r="K716" s="83">
        <f ca="1">EFEITO!$L$716*EFEITO!$Z$716</f>
        <v>32909.396363781743</v>
      </c>
      <c r="L716" s="83">
        <f>EFEITO!$N$716*EFEITO!$AA$716</f>
        <v>21655.885882874452</v>
      </c>
      <c r="M716" s="83">
        <f>$J$716-EFEITO!$K$716*EFEITO!$Y$716</f>
        <v>0</v>
      </c>
      <c r="N716" s="83">
        <f ca="1">$K$716-EFEITO!$M$716*EFEITO!$Z$716</f>
        <v>0</v>
      </c>
      <c r="O716" s="83">
        <f>$L$716-EFEITO!$O$716*EFEITO!$AA$716</f>
        <v>0</v>
      </c>
      <c r="P716" s="28"/>
      <c r="Q716" s="28"/>
      <c r="R716" s="28"/>
      <c r="S716" s="28"/>
      <c r="T716" s="28"/>
      <c r="U716" s="28"/>
      <c r="V716" s="28"/>
      <c r="W716" s="28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72" t="s">
        <v>21</v>
      </c>
      <c r="B717" s="72" t="s">
        <v>39</v>
      </c>
      <c r="C717" s="72" t="s">
        <v>23</v>
      </c>
      <c r="D717" s="72" t="s">
        <v>45</v>
      </c>
      <c r="E717" s="72" t="s">
        <v>25</v>
      </c>
      <c r="F717" s="72" t="s">
        <v>25</v>
      </c>
      <c r="G717" s="72" t="s">
        <v>25</v>
      </c>
      <c r="H717" s="72" t="s">
        <v>25</v>
      </c>
      <c r="I717" s="82">
        <v>44621</v>
      </c>
      <c r="J717" s="83">
        <f>EFEITO!$J$717*EFEITO!$Y$717</f>
        <v>0</v>
      </c>
      <c r="K717" s="83">
        <f ca="1">EFEITO!$L$717*EFEITO!$Z$717</f>
        <v>44344.84181257696</v>
      </c>
      <c r="L717" s="83">
        <f>EFEITO!$N$717*EFEITO!$AA$717</f>
        <v>29180.931280896075</v>
      </c>
      <c r="M717" s="83">
        <f>$J$717-EFEITO!$K$717*EFEITO!$Y$717</f>
        <v>0</v>
      </c>
      <c r="N717" s="83">
        <f ca="1">$K$717-EFEITO!$M$717*EFEITO!$Z$717</f>
        <v>0</v>
      </c>
      <c r="O717" s="83">
        <f>$L$717-EFEITO!$O$717*EFEITO!$AA$717</f>
        <v>0</v>
      </c>
      <c r="P717" s="28"/>
      <c r="Q717" s="28"/>
      <c r="R717" s="28"/>
      <c r="S717" s="28"/>
      <c r="T717" s="28"/>
      <c r="U717" s="28"/>
      <c r="V717" s="28"/>
      <c r="W717" s="28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72" t="s">
        <v>21</v>
      </c>
      <c r="B718" s="72" t="s">
        <v>39</v>
      </c>
      <c r="C718" s="72" t="s">
        <v>23</v>
      </c>
      <c r="D718" s="72" t="s">
        <v>45</v>
      </c>
      <c r="E718" s="72" t="s">
        <v>25</v>
      </c>
      <c r="F718" s="72" t="s">
        <v>25</v>
      </c>
      <c r="G718" s="72" t="s">
        <v>25</v>
      </c>
      <c r="H718" s="72" t="s">
        <v>25</v>
      </c>
      <c r="I718" s="82">
        <v>44652</v>
      </c>
      <c r="J718" s="83">
        <f>EFEITO!$J$718*EFEITO!$Y$718</f>
        <v>0</v>
      </c>
      <c r="K718" s="83">
        <f ca="1">EFEITO!$L$718*EFEITO!$Z$718</f>
        <v>42903.727284235334</v>
      </c>
      <c r="L718" s="83">
        <f>EFEITO!$N$718*EFEITO!$AA$718</f>
        <v>28232.612101019986</v>
      </c>
      <c r="M718" s="83">
        <f>$J$718-EFEITO!$K$718*EFEITO!$Y$718</f>
        <v>0</v>
      </c>
      <c r="N718" s="83">
        <f ca="1">$K$718-EFEITO!$M$718*EFEITO!$Z$718</f>
        <v>0</v>
      </c>
      <c r="O718" s="83">
        <f>$L$718-EFEITO!$O$718*EFEITO!$AA$718</f>
        <v>0</v>
      </c>
      <c r="P718" s="28"/>
      <c r="Q718" s="28"/>
      <c r="R718" s="28"/>
      <c r="S718" s="28"/>
      <c r="T718" s="28"/>
      <c r="U718" s="28"/>
      <c r="V718" s="28"/>
      <c r="W718" s="28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72" t="s">
        <v>21</v>
      </c>
      <c r="B719" s="72" t="s">
        <v>39</v>
      </c>
      <c r="C719" s="72" t="s">
        <v>23</v>
      </c>
      <c r="D719" s="72" t="s">
        <v>50</v>
      </c>
      <c r="E719" s="72" t="s">
        <v>51</v>
      </c>
      <c r="F719" s="72" t="s">
        <v>25</v>
      </c>
      <c r="G719" s="72" t="s">
        <v>25</v>
      </c>
      <c r="H719" s="72" t="s">
        <v>25</v>
      </c>
      <c r="I719" s="82">
        <v>44317</v>
      </c>
      <c r="J719" s="83">
        <f>EFEITO!$J$719*EFEITO!$Y$718</f>
        <v>0</v>
      </c>
      <c r="K719" s="83">
        <f ca="1">EFEITO!$L$719*EFEITO!$Z$718</f>
        <v>25873.479586138728</v>
      </c>
      <c r="L719" s="83">
        <f>EFEITO!$N$719*EFEITO!$AA$718</f>
        <v>17025.931290765078</v>
      </c>
      <c r="M719" s="83">
        <f>$J$719-EFEITO!$K$719*EFEITO!$Y$719</f>
        <v>0</v>
      </c>
      <c r="N719" s="83">
        <f ca="1">$K$719-EFEITO!$M$719*EFEITO!$Z$719</f>
        <v>776.20438758415912</v>
      </c>
      <c r="O719" s="83">
        <f>$L$719-EFEITO!$O$719*EFEITO!$AA$719</f>
        <v>510.77793872295297</v>
      </c>
      <c r="P719" s="28"/>
      <c r="Q719" s="28"/>
      <c r="R719" s="28"/>
      <c r="S719" s="28"/>
      <c r="T719" s="28"/>
      <c r="U719" s="28"/>
      <c r="V719" s="28"/>
      <c r="W719" s="28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72" t="s">
        <v>21</v>
      </c>
      <c r="B720" s="72" t="s">
        <v>39</v>
      </c>
      <c r="C720" s="72" t="s">
        <v>23</v>
      </c>
      <c r="D720" s="72" t="s">
        <v>50</v>
      </c>
      <c r="E720" s="72" t="s">
        <v>51</v>
      </c>
      <c r="F720" s="72" t="s">
        <v>25</v>
      </c>
      <c r="G720" s="72" t="s">
        <v>25</v>
      </c>
      <c r="H720" s="72" t="s">
        <v>25</v>
      </c>
      <c r="I720" s="82">
        <v>44348</v>
      </c>
      <c r="J720" s="83">
        <f>EFEITO!$J$720*EFEITO!$Y$718</f>
        <v>0</v>
      </c>
      <c r="K720" s="83">
        <f ca="1">EFEITO!$L$720*EFEITO!$Z$718</f>
        <v>24516.232673617964</v>
      </c>
      <c r="L720" s="83">
        <f>EFEITO!$N$720*EFEITO!$AA$718</f>
        <v>16132.800832596573</v>
      </c>
      <c r="M720" s="83">
        <f>$J$720-EFEITO!$K$720*EFEITO!$Y$720</f>
        <v>0</v>
      </c>
      <c r="N720" s="83">
        <f ca="1">$K$720-EFEITO!$M$720*EFEITO!$Z$720</f>
        <v>735.48698020853772</v>
      </c>
      <c r="O720" s="83">
        <f>$L$720-EFEITO!$O$720*EFEITO!$AA$720</f>
        <v>483.98402497789903</v>
      </c>
      <c r="P720" s="28"/>
      <c r="Q720" s="28"/>
      <c r="R720" s="28"/>
      <c r="S720" s="28"/>
      <c r="T720" s="28"/>
      <c r="U720" s="28"/>
      <c r="V720" s="28"/>
      <c r="W720" s="28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72" t="s">
        <v>21</v>
      </c>
      <c r="B721" s="72" t="s">
        <v>39</v>
      </c>
      <c r="C721" s="72" t="s">
        <v>23</v>
      </c>
      <c r="D721" s="72" t="s">
        <v>50</v>
      </c>
      <c r="E721" s="72" t="s">
        <v>51</v>
      </c>
      <c r="F721" s="72" t="s">
        <v>25</v>
      </c>
      <c r="G721" s="72" t="s">
        <v>25</v>
      </c>
      <c r="H721" s="72" t="s">
        <v>25</v>
      </c>
      <c r="I721" s="82">
        <v>44378</v>
      </c>
      <c r="J721" s="83">
        <f>EFEITO!$J$721*EFEITO!$Y$718</f>
        <v>0</v>
      </c>
      <c r="K721" s="83">
        <f ca="1">EFEITO!$L$721*EFEITO!$Z$718</f>
        <v>23775.828874405579</v>
      </c>
      <c r="L721" s="83">
        <f>EFEITO!$N$721*EFEITO!$AA$718</f>
        <v>15645.581316147576</v>
      </c>
      <c r="M721" s="83">
        <f>$J$721-EFEITO!$K$721*EFEITO!$Y$721</f>
        <v>0</v>
      </c>
      <c r="N721" s="83">
        <f ca="1">$K$721-EFEITO!$M$721*EFEITO!$Z$721</f>
        <v>713.27486623216464</v>
      </c>
      <c r="O721" s="83">
        <f>$L$721-EFEITO!$O$721*EFEITO!$AA$721</f>
        <v>469.36743948442745</v>
      </c>
      <c r="P721" s="28"/>
      <c r="Q721" s="28"/>
      <c r="R721" s="28"/>
      <c r="S721" s="28"/>
      <c r="T721" s="28"/>
      <c r="U721" s="28"/>
      <c r="V721" s="28"/>
      <c r="W721" s="28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72" t="s">
        <v>21</v>
      </c>
      <c r="B722" s="72" t="s">
        <v>39</v>
      </c>
      <c r="C722" s="72" t="s">
        <v>23</v>
      </c>
      <c r="D722" s="72" t="s">
        <v>50</v>
      </c>
      <c r="E722" s="72" t="s">
        <v>51</v>
      </c>
      <c r="F722" s="72" t="s">
        <v>25</v>
      </c>
      <c r="G722" s="72" t="s">
        <v>25</v>
      </c>
      <c r="H722" s="72" t="s">
        <v>25</v>
      </c>
      <c r="I722" s="82">
        <v>44409</v>
      </c>
      <c r="J722" s="83">
        <f>EFEITO!$J$722*EFEITO!$Y$718</f>
        <v>0</v>
      </c>
      <c r="K722" s="83">
        <f ca="1">EFEITO!$L$722*EFEITO!$Z$718</f>
        <v>24691.330329549302</v>
      </c>
      <c r="L722" s="83">
        <f>EFEITO!$N$722*EFEITO!$AA$718</f>
        <v>16248.023087459351</v>
      </c>
      <c r="M722" s="83">
        <f>$J$722-EFEITO!$K$722*EFEITO!$Y$722</f>
        <v>0</v>
      </c>
      <c r="N722" s="83">
        <f ca="1">$K$722-EFEITO!$M$722*EFEITO!$Z$722</f>
        <v>740.73990988648075</v>
      </c>
      <c r="O722" s="83">
        <f>$L$722-EFEITO!$O$722*EFEITO!$AA$722</f>
        <v>487.44069262378071</v>
      </c>
      <c r="P722" s="28"/>
      <c r="Q722" s="28"/>
      <c r="R722" s="28"/>
      <c r="S722" s="28"/>
      <c r="T722" s="28"/>
      <c r="U722" s="28"/>
      <c r="V722" s="28"/>
      <c r="W722" s="28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72" t="s">
        <v>21</v>
      </c>
      <c r="B723" s="72" t="s">
        <v>39</v>
      </c>
      <c r="C723" s="72" t="s">
        <v>23</v>
      </c>
      <c r="D723" s="72" t="s">
        <v>50</v>
      </c>
      <c r="E723" s="72" t="s">
        <v>51</v>
      </c>
      <c r="F723" s="72" t="s">
        <v>25</v>
      </c>
      <c r="G723" s="72" t="s">
        <v>25</v>
      </c>
      <c r="H723" s="72" t="s">
        <v>25</v>
      </c>
      <c r="I723" s="82">
        <v>44440</v>
      </c>
      <c r="J723" s="83">
        <f>EFEITO!$J$723*EFEITO!$Y$718</f>
        <v>0</v>
      </c>
      <c r="K723" s="83">
        <f ca="1">EFEITO!$L$723*EFEITO!$Z$718</f>
        <v>28871.906904436364</v>
      </c>
      <c r="L723" s="83">
        <f>EFEITO!$N$723*EFEITO!$AA$718</f>
        <v>18999.03341379913</v>
      </c>
      <c r="M723" s="83">
        <f>$J$723-EFEITO!$K$723*EFEITO!$Y$723</f>
        <v>0</v>
      </c>
      <c r="N723" s="83">
        <f ca="1">$K$723-EFEITO!$M$723*EFEITO!$Z$723</f>
        <v>866.15720713308838</v>
      </c>
      <c r="O723" s="83">
        <f>$L$723-EFEITO!$O$723*EFEITO!$AA$723</f>
        <v>569.97100241397493</v>
      </c>
      <c r="P723" s="28"/>
      <c r="Q723" s="28"/>
      <c r="R723" s="28"/>
      <c r="S723" s="28"/>
      <c r="T723" s="28"/>
      <c r="U723" s="28"/>
      <c r="V723" s="28"/>
      <c r="W723" s="28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72" t="s">
        <v>21</v>
      </c>
      <c r="B724" s="72" t="s">
        <v>39</v>
      </c>
      <c r="C724" s="72" t="s">
        <v>23</v>
      </c>
      <c r="D724" s="72" t="s">
        <v>50</v>
      </c>
      <c r="E724" s="72" t="s">
        <v>51</v>
      </c>
      <c r="F724" s="72" t="s">
        <v>25</v>
      </c>
      <c r="G724" s="72" t="s">
        <v>25</v>
      </c>
      <c r="H724" s="72" t="s">
        <v>25</v>
      </c>
      <c r="I724" s="82">
        <v>44470</v>
      </c>
      <c r="J724" s="83">
        <f>EFEITO!$J$724*EFEITO!$Y$718</f>
        <v>0</v>
      </c>
      <c r="K724" s="83">
        <f ca="1">EFEITO!$L$724*EFEITO!$Z$718</f>
        <v>21401.286988302036</v>
      </c>
      <c r="L724" s="83">
        <f>EFEITO!$N$724*EFEITO!$AA$718</f>
        <v>14083.024302304657</v>
      </c>
      <c r="M724" s="83">
        <f>$J$724-EFEITO!$K$724*EFEITO!$Y$724</f>
        <v>0</v>
      </c>
      <c r="N724" s="83">
        <f ca="1">$K$724-EFEITO!$M$724*EFEITO!$Z$724</f>
        <v>642.03860964906198</v>
      </c>
      <c r="O724" s="83">
        <f>$L$724-EFEITO!$O$724*EFEITO!$AA$724</f>
        <v>422.4907290691408</v>
      </c>
      <c r="P724" s="28"/>
      <c r="Q724" s="28"/>
      <c r="R724" s="28"/>
      <c r="S724" s="28"/>
      <c r="T724" s="28"/>
      <c r="U724" s="28"/>
      <c r="V724" s="28"/>
      <c r="W724" s="28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72" t="s">
        <v>21</v>
      </c>
      <c r="B725" s="72" t="s">
        <v>39</v>
      </c>
      <c r="C725" s="72" t="s">
        <v>23</v>
      </c>
      <c r="D725" s="72" t="s">
        <v>50</v>
      </c>
      <c r="E725" s="72" t="s">
        <v>51</v>
      </c>
      <c r="F725" s="72" t="s">
        <v>25</v>
      </c>
      <c r="G725" s="72" t="s">
        <v>25</v>
      </c>
      <c r="H725" s="72" t="s">
        <v>25</v>
      </c>
      <c r="I725" s="82">
        <v>44501</v>
      </c>
      <c r="J725" s="83">
        <f>EFEITO!$J$725*EFEITO!$Y$718</f>
        <v>0</v>
      </c>
      <c r="K725" s="83">
        <f ca="1">EFEITO!$L$725*EFEITO!$Z$718</f>
        <v>20051.40250007089</v>
      </c>
      <c r="L725" s="83">
        <f>EFEITO!$N$725*EFEITO!$AA$718</f>
        <v>13194.738655583766</v>
      </c>
      <c r="M725" s="83">
        <f>$J$725-EFEITO!$K$725*EFEITO!$Y$725</f>
        <v>0</v>
      </c>
      <c r="N725" s="83">
        <f ca="1">$K$725-EFEITO!$M$725*EFEITO!$Z$725</f>
        <v>601.54207500212578</v>
      </c>
      <c r="O725" s="83">
        <f>$L$725-EFEITO!$O$725*EFEITO!$AA$725</f>
        <v>395.84215966751435</v>
      </c>
      <c r="P725" s="28"/>
      <c r="Q725" s="28"/>
      <c r="R725" s="28"/>
      <c r="S725" s="28"/>
      <c r="T725" s="28"/>
      <c r="U725" s="28"/>
      <c r="V725" s="28"/>
      <c r="W725" s="28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72" t="s">
        <v>21</v>
      </c>
      <c r="B726" s="72" t="s">
        <v>39</v>
      </c>
      <c r="C726" s="72" t="s">
        <v>23</v>
      </c>
      <c r="D726" s="72" t="s">
        <v>50</v>
      </c>
      <c r="E726" s="72" t="s">
        <v>51</v>
      </c>
      <c r="F726" s="72" t="s">
        <v>25</v>
      </c>
      <c r="G726" s="72" t="s">
        <v>25</v>
      </c>
      <c r="H726" s="72" t="s">
        <v>25</v>
      </c>
      <c r="I726" s="82">
        <v>44531</v>
      </c>
      <c r="J726" s="83">
        <f>EFEITO!$J$726*EFEITO!$Y$718</f>
        <v>0</v>
      </c>
      <c r="K726" s="83">
        <f ca="1">EFEITO!$L$726*EFEITO!$Z$718</f>
        <v>33901.082905052805</v>
      </c>
      <c r="L726" s="83">
        <f>EFEITO!$N$726*EFEITO!$AA$718</f>
        <v>22308.460920470214</v>
      </c>
      <c r="M726" s="83">
        <f>$J$726-EFEITO!$K$726*EFEITO!$Y$726</f>
        <v>0</v>
      </c>
      <c r="N726" s="83">
        <f ca="1">$K$726-EFEITO!$M$726*EFEITO!$Z$726</f>
        <v>1017.0324871515768</v>
      </c>
      <c r="O726" s="83">
        <f>$L$726-EFEITO!$O$726*EFEITO!$AA$726</f>
        <v>669.25382761410583</v>
      </c>
      <c r="P726" s="28"/>
      <c r="Q726" s="28"/>
      <c r="R726" s="28"/>
      <c r="S726" s="28"/>
      <c r="T726" s="28"/>
      <c r="U726" s="28"/>
      <c r="V726" s="28"/>
      <c r="W726" s="28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72" t="s">
        <v>21</v>
      </c>
      <c r="B727" s="72" t="s">
        <v>39</v>
      </c>
      <c r="C727" s="72" t="s">
        <v>23</v>
      </c>
      <c r="D727" s="72" t="s">
        <v>50</v>
      </c>
      <c r="E727" s="72" t="s">
        <v>51</v>
      </c>
      <c r="F727" s="72" t="s">
        <v>25</v>
      </c>
      <c r="G727" s="72" t="s">
        <v>25</v>
      </c>
      <c r="H727" s="72" t="s">
        <v>25</v>
      </c>
      <c r="I727" s="82">
        <v>44562</v>
      </c>
      <c r="J727" s="83">
        <f>EFEITO!$J$727*EFEITO!$Y$718</f>
        <v>0</v>
      </c>
      <c r="K727" s="83">
        <f ca="1">EFEITO!$L$727*EFEITO!$Z$718</f>
        <v>26483.600485965278</v>
      </c>
      <c r="L727" s="83">
        <f>EFEITO!$N$727*EFEITO!$AA$718</f>
        <v>17427.418708988938</v>
      </c>
      <c r="M727" s="83">
        <f>$J$727-EFEITO!$K$727*EFEITO!$Y$727</f>
        <v>0</v>
      </c>
      <c r="N727" s="83">
        <f ca="1">$K$727-EFEITO!$M$727*EFEITO!$Z$727</f>
        <v>794.50801457895795</v>
      </c>
      <c r="O727" s="83">
        <f>$L$727-EFEITO!$O$727*EFEITO!$AA$727</f>
        <v>522.82256126966968</v>
      </c>
      <c r="P727" s="28"/>
      <c r="Q727" s="28"/>
      <c r="R727" s="28"/>
      <c r="S727" s="28"/>
      <c r="T727" s="28"/>
      <c r="U727" s="28"/>
      <c r="V727" s="28"/>
      <c r="W727" s="28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72" t="s">
        <v>21</v>
      </c>
      <c r="B728" s="72" t="s">
        <v>39</v>
      </c>
      <c r="C728" s="72" t="s">
        <v>23</v>
      </c>
      <c r="D728" s="72" t="s">
        <v>50</v>
      </c>
      <c r="E728" s="72" t="s">
        <v>51</v>
      </c>
      <c r="F728" s="72" t="s">
        <v>25</v>
      </c>
      <c r="G728" s="72" t="s">
        <v>25</v>
      </c>
      <c r="H728" s="72" t="s">
        <v>25</v>
      </c>
      <c r="I728" s="82">
        <v>44593</v>
      </c>
      <c r="J728" s="83">
        <f>EFEITO!$J$728*EFEITO!$Y$718</f>
        <v>0</v>
      </c>
      <c r="K728" s="83">
        <f ca="1">EFEITO!$L$728*EFEITO!$Z$718</f>
        <v>24392.031776906162</v>
      </c>
      <c r="L728" s="83">
        <f>EFEITO!$N$728*EFEITO!$AA$718</f>
        <v>16051.070969915118</v>
      </c>
      <c r="M728" s="83">
        <f>$J$728-EFEITO!$K$728*EFEITO!$Y$728</f>
        <v>0</v>
      </c>
      <c r="N728" s="83">
        <f ca="1">$K$728-EFEITO!$M$728*EFEITO!$Z$728</f>
        <v>731.76095330718454</v>
      </c>
      <c r="O728" s="83">
        <f>$L$728-EFEITO!$O$728*EFEITO!$AA$728</f>
        <v>481.53212909745525</v>
      </c>
      <c r="P728" s="28"/>
      <c r="Q728" s="28"/>
      <c r="R728" s="28"/>
      <c r="S728" s="28"/>
      <c r="T728" s="28"/>
      <c r="U728" s="28"/>
      <c r="V728" s="28"/>
      <c r="W728" s="28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72" t="s">
        <v>21</v>
      </c>
      <c r="B729" s="72" t="s">
        <v>39</v>
      </c>
      <c r="C729" s="72" t="s">
        <v>23</v>
      </c>
      <c r="D729" s="72" t="s">
        <v>50</v>
      </c>
      <c r="E729" s="72" t="s">
        <v>51</v>
      </c>
      <c r="F729" s="72" t="s">
        <v>25</v>
      </c>
      <c r="G729" s="72" t="s">
        <v>25</v>
      </c>
      <c r="H729" s="72" t="s">
        <v>25</v>
      </c>
      <c r="I729" s="82">
        <v>44621</v>
      </c>
      <c r="J729" s="83">
        <f>EFEITO!$J$729*EFEITO!$Y$718</f>
        <v>0</v>
      </c>
      <c r="K729" s="83">
        <f ca="1">EFEITO!$L$729*EFEITO!$Z$718</f>
        <v>27008.25324295149</v>
      </c>
      <c r="L729" s="83">
        <f>EFEITO!$N$729*EFEITO!$AA$718</f>
        <v>17772.664185625305</v>
      </c>
      <c r="M729" s="83">
        <f>$J$729-EFEITO!$K$729*EFEITO!$Y$729</f>
        <v>0</v>
      </c>
      <c r="N729" s="83">
        <f ca="1">$K$729-EFEITO!$M$729*EFEITO!$Z$729</f>
        <v>810.24759728854406</v>
      </c>
      <c r="O729" s="83">
        <f>$L$729-EFEITO!$O$729*EFEITO!$AA$729</f>
        <v>533.17992556876197</v>
      </c>
      <c r="P729" s="28"/>
      <c r="Q729" s="28"/>
      <c r="R729" s="28"/>
      <c r="S729" s="28"/>
      <c r="T729" s="28"/>
      <c r="U729" s="28"/>
      <c r="V729" s="28"/>
      <c r="W729" s="28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72" t="s">
        <v>21</v>
      </c>
      <c r="B730" s="72" t="s">
        <v>39</v>
      </c>
      <c r="C730" s="72" t="s">
        <v>23</v>
      </c>
      <c r="D730" s="72" t="s">
        <v>50</v>
      </c>
      <c r="E730" s="72" t="s">
        <v>51</v>
      </c>
      <c r="F730" s="72" t="s">
        <v>25</v>
      </c>
      <c r="G730" s="72" t="s">
        <v>25</v>
      </c>
      <c r="H730" s="72" t="s">
        <v>25</v>
      </c>
      <c r="I730" s="82">
        <v>44652</v>
      </c>
      <c r="J730" s="83">
        <f>EFEITO!$J$730*EFEITO!$Y$718</f>
        <v>0</v>
      </c>
      <c r="K730" s="83">
        <f ca="1">EFEITO!$L$730*EFEITO!$Z$718</f>
        <v>30084.78627979985</v>
      </c>
      <c r="L730" s="83">
        <f>EFEITO!$N$730*EFEITO!$AA$718</f>
        <v>19797.163438799242</v>
      </c>
      <c r="M730" s="83">
        <f>$J$730-EFEITO!$K$730*EFEITO!$Y$730</f>
        <v>0</v>
      </c>
      <c r="N730" s="83">
        <f ca="1">$K$730-EFEITO!$M$730*EFEITO!$Z$730</f>
        <v>902.5435883939972</v>
      </c>
      <c r="O730" s="83">
        <f>$L$730-EFEITO!$O$730*EFEITO!$AA$730</f>
        <v>593.91490316397903</v>
      </c>
      <c r="P730" s="28"/>
      <c r="Q730" s="28"/>
      <c r="R730" s="28"/>
      <c r="S730" s="28"/>
      <c r="T730" s="28"/>
      <c r="U730" s="28"/>
      <c r="V730" s="28"/>
      <c r="W730" s="28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72" t="s">
        <v>21</v>
      </c>
      <c r="B731" s="72" t="s">
        <v>46</v>
      </c>
      <c r="C731" s="72" t="s">
        <v>23</v>
      </c>
      <c r="D731" s="72" t="s">
        <v>47</v>
      </c>
      <c r="E731" s="72" t="s">
        <v>48</v>
      </c>
      <c r="F731" s="72" t="s">
        <v>25</v>
      </c>
      <c r="G731" s="72" t="s">
        <v>25</v>
      </c>
      <c r="H731" s="72" t="s">
        <v>25</v>
      </c>
      <c r="I731" s="82">
        <v>44317</v>
      </c>
      <c r="J731" s="83">
        <f>EFEITO!$J$731*EFEITO!$Y$731</f>
        <v>0</v>
      </c>
      <c r="K731" s="83">
        <f ca="1">EFEITO!$L$731*EFEITO!$Z$731</f>
        <v>55491.008007870994</v>
      </c>
      <c r="L731" s="83">
        <f>EFEITO!$N$731*EFEITO!$AA$731</f>
        <v>36515.61771782174</v>
      </c>
      <c r="M731" s="83">
        <f>$J$731-EFEITO!$K$731*EFEITO!$Y$731</f>
        <v>0</v>
      </c>
      <c r="N731" s="83">
        <f ca="1">$K$731-EFEITO!$M$731*EFEITO!$Z$731</f>
        <v>0</v>
      </c>
      <c r="O731" s="83">
        <f>$L$731-EFEITO!$O$731*EFEITO!$AA$731</f>
        <v>0</v>
      </c>
      <c r="P731" s="28"/>
      <c r="Q731" s="28"/>
      <c r="R731" s="28"/>
      <c r="S731" s="28"/>
      <c r="T731" s="28"/>
      <c r="U731" s="28"/>
      <c r="V731" s="28"/>
      <c r="W731" s="28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72" t="s">
        <v>21</v>
      </c>
      <c r="B732" s="72" t="s">
        <v>46</v>
      </c>
      <c r="C732" s="72" t="s">
        <v>23</v>
      </c>
      <c r="D732" s="72" t="s">
        <v>47</v>
      </c>
      <c r="E732" s="72" t="s">
        <v>48</v>
      </c>
      <c r="F732" s="72" t="s">
        <v>25</v>
      </c>
      <c r="G732" s="72" t="s">
        <v>25</v>
      </c>
      <c r="H732" s="72" t="s">
        <v>25</v>
      </c>
      <c r="I732" s="82">
        <v>44348</v>
      </c>
      <c r="J732" s="83">
        <f>EFEITO!$J$732*EFEITO!$Y$732</f>
        <v>0</v>
      </c>
      <c r="K732" s="83">
        <f ca="1">EFEITO!$L$732*EFEITO!$Z$732</f>
        <v>55260.900238280068</v>
      </c>
      <c r="L732" s="83">
        <f>EFEITO!$N$732*EFEITO!$AA$732</f>
        <v>36364.196295686263</v>
      </c>
      <c r="M732" s="83">
        <f>$J$732-EFEITO!$K$732*EFEITO!$Y$732</f>
        <v>0</v>
      </c>
      <c r="N732" s="83">
        <f ca="1">$K$732-EFEITO!$M$732*EFEITO!$Z$732</f>
        <v>0</v>
      </c>
      <c r="O732" s="83">
        <f>$L$732-EFEITO!$O$732*EFEITO!$AA$732</f>
        <v>0</v>
      </c>
      <c r="P732" s="28"/>
      <c r="Q732" s="28"/>
      <c r="R732" s="28"/>
      <c r="S732" s="28"/>
      <c r="T732" s="28"/>
      <c r="U732" s="28"/>
      <c r="V732" s="28"/>
      <c r="W732" s="28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72" t="s">
        <v>21</v>
      </c>
      <c r="B733" s="72" t="s">
        <v>46</v>
      </c>
      <c r="C733" s="72" t="s">
        <v>23</v>
      </c>
      <c r="D733" s="72" t="s">
        <v>47</v>
      </c>
      <c r="E733" s="72" t="s">
        <v>48</v>
      </c>
      <c r="F733" s="72" t="s">
        <v>25</v>
      </c>
      <c r="G733" s="72" t="s">
        <v>25</v>
      </c>
      <c r="H733" s="72" t="s">
        <v>25</v>
      </c>
      <c r="I733" s="82">
        <v>44378</v>
      </c>
      <c r="J733" s="83">
        <f>EFEITO!$J$733*EFEITO!$Y$733</f>
        <v>0</v>
      </c>
      <c r="K733" s="83">
        <f ca="1">EFEITO!$L$733*EFEITO!$Z$733</f>
        <v>56088.020591407992</v>
      </c>
      <c r="L733" s="83">
        <f>EFEITO!$N$733*EFEITO!$AA$733</f>
        <v>36908.479265229093</v>
      </c>
      <c r="M733" s="83">
        <f>$J$733-EFEITO!$K$733*EFEITO!$Y$733</f>
        <v>0</v>
      </c>
      <c r="N733" s="83">
        <f ca="1">$K$733-EFEITO!$M$733*EFEITO!$Z$733</f>
        <v>0</v>
      </c>
      <c r="O733" s="83">
        <f>$L$733-EFEITO!$O$733*EFEITO!$AA$733</f>
        <v>0</v>
      </c>
      <c r="P733" s="28"/>
      <c r="Q733" s="28"/>
      <c r="R733" s="28"/>
      <c r="S733" s="28"/>
      <c r="T733" s="28"/>
      <c r="U733" s="28"/>
      <c r="V733" s="28"/>
      <c r="W733" s="28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72" t="s">
        <v>21</v>
      </c>
      <c r="B734" s="72" t="s">
        <v>46</v>
      </c>
      <c r="C734" s="72" t="s">
        <v>23</v>
      </c>
      <c r="D734" s="72" t="s">
        <v>47</v>
      </c>
      <c r="E734" s="72" t="s">
        <v>48</v>
      </c>
      <c r="F734" s="72" t="s">
        <v>25</v>
      </c>
      <c r="G734" s="72" t="s">
        <v>25</v>
      </c>
      <c r="H734" s="72" t="s">
        <v>25</v>
      </c>
      <c r="I734" s="82">
        <v>44409</v>
      </c>
      <c r="J734" s="83">
        <f>EFEITO!$J$734*EFEITO!$Y$734</f>
        <v>0</v>
      </c>
      <c r="K734" s="83">
        <f ca="1">EFEITO!$L$734*EFEITO!$Z$734</f>
        <v>56232.916302481695</v>
      </c>
      <c r="L734" s="83">
        <f>EFEITO!$N$734*EFEITO!$AA$734</f>
        <v>37003.827260957856</v>
      </c>
      <c r="M734" s="83">
        <f>$J$734-EFEITO!$K$734*EFEITO!$Y$734</f>
        <v>0</v>
      </c>
      <c r="N734" s="83">
        <f ca="1">$K$734-EFEITO!$M$734*EFEITO!$Z$734</f>
        <v>0</v>
      </c>
      <c r="O734" s="83">
        <f>$L$734-EFEITO!$O$734*EFEITO!$AA$734</f>
        <v>0</v>
      </c>
      <c r="P734" s="28"/>
      <c r="Q734" s="28"/>
      <c r="R734" s="28"/>
      <c r="S734" s="28"/>
      <c r="T734" s="28"/>
      <c r="U734" s="28"/>
      <c r="V734" s="28"/>
      <c r="W734" s="28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72" t="s">
        <v>21</v>
      </c>
      <c r="B735" s="72" t="s">
        <v>46</v>
      </c>
      <c r="C735" s="72" t="s">
        <v>23</v>
      </c>
      <c r="D735" s="72" t="s">
        <v>47</v>
      </c>
      <c r="E735" s="72" t="s">
        <v>48</v>
      </c>
      <c r="F735" s="72" t="s">
        <v>25</v>
      </c>
      <c r="G735" s="72" t="s">
        <v>25</v>
      </c>
      <c r="H735" s="72" t="s">
        <v>25</v>
      </c>
      <c r="I735" s="82">
        <v>44440</v>
      </c>
      <c r="J735" s="83">
        <f>EFEITO!$J$735*EFEITO!$Y$735</f>
        <v>0</v>
      </c>
      <c r="K735" s="83">
        <f ca="1">EFEITO!$L$735*EFEITO!$Z$735</f>
        <v>54617.936524013741</v>
      </c>
      <c r="L735" s="83">
        <f>EFEITO!$N$735*EFEITO!$AA$735</f>
        <v>35941.096805526526</v>
      </c>
      <c r="M735" s="83">
        <f>$J$735-EFEITO!$K$735*EFEITO!$Y$735</f>
        <v>0</v>
      </c>
      <c r="N735" s="83">
        <f ca="1">$K$735-EFEITO!$M$735*EFEITO!$Z$735</f>
        <v>0</v>
      </c>
      <c r="O735" s="83">
        <f>$L$735-EFEITO!$O$735*EFEITO!$AA$735</f>
        <v>0</v>
      </c>
      <c r="P735" s="28"/>
      <c r="Q735" s="28"/>
      <c r="R735" s="28"/>
      <c r="S735" s="28"/>
      <c r="T735" s="28"/>
      <c r="U735" s="28"/>
      <c r="V735" s="28"/>
      <c r="W735" s="28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72" t="s">
        <v>21</v>
      </c>
      <c r="B736" s="72" t="s">
        <v>46</v>
      </c>
      <c r="C736" s="72" t="s">
        <v>23</v>
      </c>
      <c r="D736" s="72" t="s">
        <v>47</v>
      </c>
      <c r="E736" s="72" t="s">
        <v>48</v>
      </c>
      <c r="F736" s="72" t="s">
        <v>25</v>
      </c>
      <c r="G736" s="72" t="s">
        <v>25</v>
      </c>
      <c r="H736" s="72" t="s">
        <v>25</v>
      </c>
      <c r="I736" s="82">
        <v>44470</v>
      </c>
      <c r="J736" s="83">
        <f>EFEITO!$J$736*EFEITO!$Y$736</f>
        <v>0</v>
      </c>
      <c r="K736" s="83">
        <f ca="1">EFEITO!$L$736*EFEITO!$Z$736</f>
        <v>54892.586960556859</v>
      </c>
      <c r="L736" s="83">
        <f>EFEITO!$N$736*EFEITO!$AA$736</f>
        <v>36121.829336920062</v>
      </c>
      <c r="M736" s="83">
        <f>$J$736-EFEITO!$K$736*EFEITO!$Y$736</f>
        <v>0</v>
      </c>
      <c r="N736" s="83">
        <f ca="1">$K$736-EFEITO!$M$736*EFEITO!$Z$736</f>
        <v>0</v>
      </c>
      <c r="O736" s="83">
        <f>$L$736-EFEITO!$O$736*EFEITO!$AA$736</f>
        <v>0</v>
      </c>
      <c r="P736" s="28"/>
      <c r="Q736" s="28"/>
      <c r="R736" s="28"/>
      <c r="S736" s="28"/>
      <c r="T736" s="28"/>
      <c r="U736" s="28"/>
      <c r="V736" s="28"/>
      <c r="W736" s="28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72" t="s">
        <v>21</v>
      </c>
      <c r="B737" s="72" t="s">
        <v>46</v>
      </c>
      <c r="C737" s="72" t="s">
        <v>23</v>
      </c>
      <c r="D737" s="72" t="s">
        <v>47</v>
      </c>
      <c r="E737" s="72" t="s">
        <v>48</v>
      </c>
      <c r="F737" s="72" t="s">
        <v>25</v>
      </c>
      <c r="G737" s="72" t="s">
        <v>25</v>
      </c>
      <c r="H737" s="72" t="s">
        <v>25</v>
      </c>
      <c r="I737" s="82">
        <v>44501</v>
      </c>
      <c r="J737" s="83">
        <f>EFEITO!$J$737*EFEITO!$Y$737</f>
        <v>0</v>
      </c>
      <c r="K737" s="83">
        <f ca="1">EFEITO!$L$737*EFEITO!$Z$737</f>
        <v>53281.656515448194</v>
      </c>
      <c r="L737" s="83">
        <f>EFEITO!$N$737*EFEITO!$AA$737</f>
        <v>35061.763527784919</v>
      </c>
      <c r="M737" s="83">
        <f>$J$737-EFEITO!$K$737*EFEITO!$Y$737</f>
        <v>0</v>
      </c>
      <c r="N737" s="83">
        <f ca="1">$K$737-EFEITO!$M$737*EFEITO!$Z$737</f>
        <v>0</v>
      </c>
      <c r="O737" s="83">
        <f>$L$737-EFEITO!$O$737*EFEITO!$AA$737</f>
        <v>0</v>
      </c>
      <c r="P737" s="28"/>
      <c r="Q737" s="28"/>
      <c r="R737" s="28"/>
      <c r="S737" s="28"/>
      <c r="T737" s="28"/>
      <c r="U737" s="28"/>
      <c r="V737" s="28"/>
      <c r="W737" s="28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72" t="s">
        <v>21</v>
      </c>
      <c r="B738" s="72" t="s">
        <v>46</v>
      </c>
      <c r="C738" s="72" t="s">
        <v>23</v>
      </c>
      <c r="D738" s="72" t="s">
        <v>47</v>
      </c>
      <c r="E738" s="72" t="s">
        <v>48</v>
      </c>
      <c r="F738" s="72" t="s">
        <v>25</v>
      </c>
      <c r="G738" s="72" t="s">
        <v>25</v>
      </c>
      <c r="H738" s="72" t="s">
        <v>25</v>
      </c>
      <c r="I738" s="82">
        <v>44531</v>
      </c>
      <c r="J738" s="83">
        <f>EFEITO!$J$738*EFEITO!$Y$738</f>
        <v>0</v>
      </c>
      <c r="K738" s="83">
        <f ca="1">EFEITO!$L$738*EFEITO!$Z$738</f>
        <v>54432.371421374999</v>
      </c>
      <c r="L738" s="83">
        <f>EFEITO!$N$738*EFEITO!$AA$738</f>
        <v>35818.986492649106</v>
      </c>
      <c r="M738" s="83">
        <f>$J$738-EFEITO!$K$738*EFEITO!$Y$738</f>
        <v>0</v>
      </c>
      <c r="N738" s="83">
        <f ca="1">$K$738-EFEITO!$M$738*EFEITO!$Z$738</f>
        <v>0</v>
      </c>
      <c r="O738" s="83">
        <f>$L$738-EFEITO!$O$738*EFEITO!$AA$738</f>
        <v>0</v>
      </c>
      <c r="P738" s="28"/>
      <c r="Q738" s="28"/>
      <c r="R738" s="28"/>
      <c r="S738" s="28"/>
      <c r="T738" s="28"/>
      <c r="U738" s="28"/>
      <c r="V738" s="28"/>
      <c r="W738" s="28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72" t="s">
        <v>21</v>
      </c>
      <c r="B739" s="72" t="s">
        <v>46</v>
      </c>
      <c r="C739" s="72" t="s">
        <v>23</v>
      </c>
      <c r="D739" s="72" t="s">
        <v>47</v>
      </c>
      <c r="E739" s="72" t="s">
        <v>48</v>
      </c>
      <c r="F739" s="72" t="s">
        <v>25</v>
      </c>
      <c r="G739" s="72" t="s">
        <v>25</v>
      </c>
      <c r="H739" s="72" t="s">
        <v>25</v>
      </c>
      <c r="I739" s="82">
        <v>44562</v>
      </c>
      <c r="J739" s="83">
        <f>EFEITO!$J$739*EFEITO!$Y$739</f>
        <v>0</v>
      </c>
      <c r="K739" s="83">
        <f ca="1">EFEITO!$L$739*EFEITO!$Z$739</f>
        <v>53451.904574510496</v>
      </c>
      <c r="L739" s="83">
        <f>EFEITO!$N$739*EFEITO!$AA$739</f>
        <v>35173.794526411548</v>
      </c>
      <c r="M739" s="83">
        <f>$J$739-EFEITO!$K$739*EFEITO!$Y$739</f>
        <v>0</v>
      </c>
      <c r="N739" s="83">
        <f ca="1">$K$739-EFEITO!$M$739*EFEITO!$Z$739</f>
        <v>0</v>
      </c>
      <c r="O739" s="83">
        <f>$L$739-EFEITO!$O$739*EFEITO!$AA$739</f>
        <v>0</v>
      </c>
      <c r="P739" s="28"/>
      <c r="Q739" s="28"/>
      <c r="R739" s="28"/>
      <c r="S739" s="28"/>
      <c r="T739" s="28"/>
      <c r="U739" s="28"/>
      <c r="V739" s="28"/>
      <c r="W739" s="28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72" t="s">
        <v>21</v>
      </c>
      <c r="B740" s="72" t="s">
        <v>46</v>
      </c>
      <c r="C740" s="72" t="s">
        <v>23</v>
      </c>
      <c r="D740" s="72" t="s">
        <v>47</v>
      </c>
      <c r="E740" s="72" t="s">
        <v>48</v>
      </c>
      <c r="F740" s="72" t="s">
        <v>25</v>
      </c>
      <c r="G740" s="72" t="s">
        <v>25</v>
      </c>
      <c r="H740" s="72" t="s">
        <v>25</v>
      </c>
      <c r="I740" s="82">
        <v>44593</v>
      </c>
      <c r="J740" s="83">
        <f>EFEITO!$J$740*EFEITO!$Y$740</f>
        <v>0</v>
      </c>
      <c r="K740" s="83">
        <f ca="1">EFEITO!$L$740*EFEITO!$Z$740</f>
        <v>49286.725069550856</v>
      </c>
      <c r="L740" s="83">
        <f>EFEITO!$N$740*EFEITO!$AA$740</f>
        <v>32432.916175316561</v>
      </c>
      <c r="M740" s="83">
        <f>$J$740-EFEITO!$K$740*EFEITO!$Y$740</f>
        <v>0</v>
      </c>
      <c r="N740" s="83">
        <f ca="1">$K$740-EFEITO!$M$740*EFEITO!$Z$740</f>
        <v>0</v>
      </c>
      <c r="O740" s="83">
        <f>$L$740-EFEITO!$O$740*EFEITO!$AA$740</f>
        <v>0</v>
      </c>
      <c r="P740" s="28"/>
      <c r="Q740" s="28"/>
      <c r="R740" s="28"/>
      <c r="S740" s="28"/>
      <c r="T740" s="28"/>
      <c r="U740" s="28"/>
      <c r="V740" s="28"/>
      <c r="W740" s="28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72" t="s">
        <v>21</v>
      </c>
      <c r="B741" s="72" t="s">
        <v>46</v>
      </c>
      <c r="C741" s="72" t="s">
        <v>23</v>
      </c>
      <c r="D741" s="72" t="s">
        <v>47</v>
      </c>
      <c r="E741" s="72" t="s">
        <v>48</v>
      </c>
      <c r="F741" s="72" t="s">
        <v>25</v>
      </c>
      <c r="G741" s="72" t="s">
        <v>25</v>
      </c>
      <c r="H741" s="72" t="s">
        <v>25</v>
      </c>
      <c r="I741" s="82">
        <v>44621</v>
      </c>
      <c r="J741" s="83">
        <f>EFEITO!$J$741*EFEITO!$Y$741</f>
        <v>0</v>
      </c>
      <c r="K741" s="83">
        <f ca="1">EFEITO!$L$741*EFEITO!$Z$741</f>
        <v>55514.599776138159</v>
      </c>
      <c r="L741" s="83">
        <f>EFEITO!$N$741*EFEITO!$AA$741</f>
        <v>36531.142178851696</v>
      </c>
      <c r="M741" s="83">
        <f>$J$741-EFEITO!$K$741*EFEITO!$Y$741</f>
        <v>0</v>
      </c>
      <c r="N741" s="83">
        <f ca="1">$K$741-EFEITO!$M$741*EFEITO!$Z$741</f>
        <v>0</v>
      </c>
      <c r="O741" s="83">
        <f>$L$741-EFEITO!$O$741*EFEITO!$AA$741</f>
        <v>0</v>
      </c>
      <c r="P741" s="28"/>
      <c r="Q741" s="28"/>
      <c r="R741" s="28"/>
      <c r="S741" s="28"/>
      <c r="T741" s="28"/>
      <c r="U741" s="28"/>
      <c r="V741" s="28"/>
      <c r="W741" s="28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72" t="s">
        <v>21</v>
      </c>
      <c r="B742" s="72" t="s">
        <v>46</v>
      </c>
      <c r="C742" s="72" t="s">
        <v>23</v>
      </c>
      <c r="D742" s="72" t="s">
        <v>47</v>
      </c>
      <c r="E742" s="72" t="s">
        <v>48</v>
      </c>
      <c r="F742" s="72" t="s">
        <v>25</v>
      </c>
      <c r="G742" s="72" t="s">
        <v>25</v>
      </c>
      <c r="H742" s="72" t="s">
        <v>25</v>
      </c>
      <c r="I742" s="82">
        <v>44652</v>
      </c>
      <c r="J742" s="83">
        <f>EFEITO!$J$742*EFEITO!$Y$742</f>
        <v>0</v>
      </c>
      <c r="K742" s="83">
        <f ca="1">EFEITO!$L$742*EFEITO!$Z$742</f>
        <v>54447.68846495144</v>
      </c>
      <c r="L742" s="83">
        <f>EFEITO!$N$742*EFEITO!$AA$742</f>
        <v>35829.065806899896</v>
      </c>
      <c r="M742" s="83">
        <f>$J$742-EFEITO!$K$742*EFEITO!$Y$742</f>
        <v>0</v>
      </c>
      <c r="N742" s="83">
        <f ca="1">$K$742-EFEITO!$M$742*EFEITO!$Z$742</f>
        <v>0</v>
      </c>
      <c r="O742" s="83">
        <f>$L$742-EFEITO!$O$742*EFEITO!$AA$742</f>
        <v>0</v>
      </c>
      <c r="P742" s="28"/>
      <c r="Q742" s="28"/>
      <c r="R742" s="28"/>
      <c r="S742" s="28"/>
      <c r="T742" s="28"/>
      <c r="U742" s="28"/>
      <c r="V742" s="28"/>
      <c r="W742" s="28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72" t="s">
        <v>21</v>
      </c>
      <c r="B743" s="72" t="s">
        <v>46</v>
      </c>
      <c r="C743" s="72" t="s">
        <v>23</v>
      </c>
      <c r="D743" s="72" t="s">
        <v>47</v>
      </c>
      <c r="E743" s="72" t="s">
        <v>49</v>
      </c>
      <c r="F743" s="72" t="s">
        <v>25</v>
      </c>
      <c r="G743" s="72" t="s">
        <v>25</v>
      </c>
      <c r="H743" s="72" t="s">
        <v>25</v>
      </c>
      <c r="I743" s="82">
        <v>44317</v>
      </c>
      <c r="J743" s="83">
        <f>EFEITO!$J$743*EFEITO!$Y$743</f>
        <v>0</v>
      </c>
      <c r="K743" s="83">
        <f ca="1">EFEITO!$L$743*EFEITO!$Z$743</f>
        <v>5496.465869224412</v>
      </c>
      <c r="L743" s="83">
        <f>EFEITO!$N$743*EFEITO!$AA$743</f>
        <v>3616.9255828112655</v>
      </c>
      <c r="M743" s="83">
        <f>$J$743-EFEITO!$K$743*EFEITO!$Y$743</f>
        <v>0</v>
      </c>
      <c r="N743" s="83">
        <f ca="1">$K$743-EFEITO!$M$743*EFEITO!$Z$743</f>
        <v>0</v>
      </c>
      <c r="O743" s="83">
        <f>$L$743-EFEITO!$O$743*EFEITO!$AA$743</f>
        <v>0</v>
      </c>
      <c r="P743" s="28"/>
      <c r="Q743" s="28"/>
      <c r="R743" s="28"/>
      <c r="S743" s="28"/>
      <c r="T743" s="28"/>
      <c r="U743" s="28"/>
      <c r="V743" s="28"/>
      <c r="W743" s="28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72" t="s">
        <v>21</v>
      </c>
      <c r="B744" s="72" t="s">
        <v>46</v>
      </c>
      <c r="C744" s="72" t="s">
        <v>23</v>
      </c>
      <c r="D744" s="72" t="s">
        <v>47</v>
      </c>
      <c r="E744" s="72" t="s">
        <v>49</v>
      </c>
      <c r="F744" s="72" t="s">
        <v>25</v>
      </c>
      <c r="G744" s="72" t="s">
        <v>25</v>
      </c>
      <c r="H744" s="72" t="s">
        <v>25</v>
      </c>
      <c r="I744" s="82">
        <v>44348</v>
      </c>
      <c r="J744" s="83">
        <f>EFEITO!$J$744*EFEITO!$Y$744</f>
        <v>0</v>
      </c>
      <c r="K744" s="83">
        <f ca="1">EFEITO!$L$744*EFEITO!$Z$744</f>
        <v>5318.9994333042441</v>
      </c>
      <c r="L744" s="83">
        <f>EFEITO!$N$744*EFEITO!$AA$744</f>
        <v>3500.144562526214</v>
      </c>
      <c r="M744" s="83">
        <f>$J$744-EFEITO!$K$744*EFEITO!$Y$744</f>
        <v>0</v>
      </c>
      <c r="N744" s="83">
        <f ca="1">$K$744-EFEITO!$M$744*EFEITO!$Z$744</f>
        <v>0</v>
      </c>
      <c r="O744" s="83">
        <f>$L$744-EFEITO!$O$744*EFEITO!$AA$744</f>
        <v>0</v>
      </c>
      <c r="P744" s="28"/>
      <c r="Q744" s="28"/>
      <c r="R744" s="28"/>
      <c r="S744" s="28"/>
      <c r="T744" s="28"/>
      <c r="U744" s="28"/>
      <c r="V744" s="28"/>
      <c r="W744" s="28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72" t="s">
        <v>21</v>
      </c>
      <c r="B745" s="72" t="s">
        <v>46</v>
      </c>
      <c r="C745" s="72" t="s">
        <v>23</v>
      </c>
      <c r="D745" s="72" t="s">
        <v>47</v>
      </c>
      <c r="E745" s="72" t="s">
        <v>49</v>
      </c>
      <c r="F745" s="72" t="s">
        <v>25</v>
      </c>
      <c r="G745" s="72" t="s">
        <v>25</v>
      </c>
      <c r="H745" s="72" t="s">
        <v>25</v>
      </c>
      <c r="I745" s="82">
        <v>44378</v>
      </c>
      <c r="J745" s="83">
        <f>EFEITO!$J$745*EFEITO!$Y$745</f>
        <v>0</v>
      </c>
      <c r="K745" s="83">
        <f ca="1">EFEITO!$L$745*EFEITO!$Z$745</f>
        <v>5496.465869224412</v>
      </c>
      <c r="L745" s="83">
        <f>EFEITO!$N$745*EFEITO!$AA$745</f>
        <v>3616.9255828112655</v>
      </c>
      <c r="M745" s="83">
        <f>$J$745-EFEITO!$K$745*EFEITO!$Y$745</f>
        <v>0</v>
      </c>
      <c r="N745" s="83">
        <f ca="1">$K$745-EFEITO!$M$745*EFEITO!$Z$745</f>
        <v>0</v>
      </c>
      <c r="O745" s="83">
        <f>$L$745-EFEITO!$O$745*EFEITO!$AA$745</f>
        <v>0</v>
      </c>
      <c r="P745" s="28"/>
      <c r="Q745" s="28"/>
      <c r="R745" s="28"/>
      <c r="S745" s="28"/>
      <c r="T745" s="28"/>
      <c r="U745" s="28"/>
      <c r="V745" s="28"/>
      <c r="W745" s="28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72" t="s">
        <v>21</v>
      </c>
      <c r="B746" s="72" t="s">
        <v>46</v>
      </c>
      <c r="C746" s="72" t="s">
        <v>23</v>
      </c>
      <c r="D746" s="72" t="s">
        <v>47</v>
      </c>
      <c r="E746" s="72" t="s">
        <v>49</v>
      </c>
      <c r="F746" s="72" t="s">
        <v>25</v>
      </c>
      <c r="G746" s="72" t="s">
        <v>25</v>
      </c>
      <c r="H746" s="72" t="s">
        <v>25</v>
      </c>
      <c r="I746" s="82">
        <v>44409</v>
      </c>
      <c r="J746" s="83">
        <f>EFEITO!$J$746*EFEITO!$Y$746</f>
        <v>0</v>
      </c>
      <c r="K746" s="83">
        <f ca="1">EFEITO!$L$746*EFEITO!$Z$746</f>
        <v>5496.465869224412</v>
      </c>
      <c r="L746" s="83">
        <f>EFEITO!$N$746*EFEITO!$AA$746</f>
        <v>3616.9255828112655</v>
      </c>
      <c r="M746" s="83">
        <f>$J$746-EFEITO!$K$746*EFEITO!$Y$746</f>
        <v>0</v>
      </c>
      <c r="N746" s="83">
        <f ca="1">$K$746-EFEITO!$M$746*EFEITO!$Z$746</f>
        <v>0</v>
      </c>
      <c r="O746" s="83">
        <f>$L$746-EFEITO!$O$746*EFEITO!$AA$746</f>
        <v>0</v>
      </c>
      <c r="P746" s="28"/>
      <c r="Q746" s="28"/>
      <c r="R746" s="28"/>
      <c r="S746" s="28"/>
      <c r="T746" s="28"/>
      <c r="U746" s="28"/>
      <c r="V746" s="28"/>
      <c r="W746" s="28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72" t="s">
        <v>21</v>
      </c>
      <c r="B747" s="72" t="s">
        <v>46</v>
      </c>
      <c r="C747" s="72" t="s">
        <v>23</v>
      </c>
      <c r="D747" s="72" t="s">
        <v>47</v>
      </c>
      <c r="E747" s="72" t="s">
        <v>49</v>
      </c>
      <c r="F747" s="72" t="s">
        <v>25</v>
      </c>
      <c r="G747" s="72" t="s">
        <v>25</v>
      </c>
      <c r="H747" s="72" t="s">
        <v>25</v>
      </c>
      <c r="I747" s="82">
        <v>44440</v>
      </c>
      <c r="J747" s="83">
        <f>EFEITO!$J$747*EFEITO!$Y$747</f>
        <v>0</v>
      </c>
      <c r="K747" s="83">
        <f ca="1">EFEITO!$L$747*EFEITO!$Z$747</f>
        <v>5318.9994333042441</v>
      </c>
      <c r="L747" s="83">
        <f>EFEITO!$N$747*EFEITO!$AA$747</f>
        <v>3500.144562526214</v>
      </c>
      <c r="M747" s="83">
        <f>$J$747-EFEITO!$K$747*EFEITO!$Y$747</f>
        <v>0</v>
      </c>
      <c r="N747" s="83">
        <f ca="1">$K$747-EFEITO!$M$747*EFEITO!$Z$747</f>
        <v>0</v>
      </c>
      <c r="O747" s="83">
        <f>$L$747-EFEITO!$O$747*EFEITO!$AA$747</f>
        <v>0</v>
      </c>
      <c r="P747" s="28"/>
      <c r="Q747" s="28"/>
      <c r="R747" s="28"/>
      <c r="S747" s="28"/>
      <c r="T747" s="28"/>
      <c r="U747" s="28"/>
      <c r="V747" s="28"/>
      <c r="W747" s="28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72" t="s">
        <v>21</v>
      </c>
      <c r="B748" s="72" t="s">
        <v>46</v>
      </c>
      <c r="C748" s="72" t="s">
        <v>23</v>
      </c>
      <c r="D748" s="72" t="s">
        <v>47</v>
      </c>
      <c r="E748" s="72" t="s">
        <v>49</v>
      </c>
      <c r="F748" s="72" t="s">
        <v>25</v>
      </c>
      <c r="G748" s="72" t="s">
        <v>25</v>
      </c>
      <c r="H748" s="72" t="s">
        <v>25</v>
      </c>
      <c r="I748" s="82">
        <v>44470</v>
      </c>
      <c r="J748" s="83">
        <f>EFEITO!$J$748*EFEITO!$Y$748</f>
        <v>0</v>
      </c>
      <c r="K748" s="83">
        <f ca="1">EFEITO!$L$748*EFEITO!$Z$748</f>
        <v>5496.465869224412</v>
      </c>
      <c r="L748" s="83">
        <f>EFEITO!$N$748*EFEITO!$AA$748</f>
        <v>3616.9255828112655</v>
      </c>
      <c r="M748" s="83">
        <f>$J$748-EFEITO!$K$748*EFEITO!$Y$748</f>
        <v>0</v>
      </c>
      <c r="N748" s="83">
        <f ca="1">$K$748-EFEITO!$M$748*EFEITO!$Z$748</f>
        <v>0</v>
      </c>
      <c r="O748" s="83">
        <f>$L$748-EFEITO!$O$748*EFEITO!$AA$748</f>
        <v>0</v>
      </c>
      <c r="P748" s="28"/>
      <c r="Q748" s="28"/>
      <c r="R748" s="28"/>
      <c r="S748" s="28"/>
      <c r="T748" s="28"/>
      <c r="U748" s="28"/>
      <c r="V748" s="28"/>
      <c r="W748" s="28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72" t="s">
        <v>21</v>
      </c>
      <c r="B749" s="72" t="s">
        <v>46</v>
      </c>
      <c r="C749" s="72" t="s">
        <v>23</v>
      </c>
      <c r="D749" s="72" t="s">
        <v>47</v>
      </c>
      <c r="E749" s="72" t="s">
        <v>49</v>
      </c>
      <c r="F749" s="72" t="s">
        <v>25</v>
      </c>
      <c r="G749" s="72" t="s">
        <v>25</v>
      </c>
      <c r="H749" s="72" t="s">
        <v>25</v>
      </c>
      <c r="I749" s="82">
        <v>44501</v>
      </c>
      <c r="J749" s="83">
        <f>EFEITO!$J$749*EFEITO!$Y$749</f>
        <v>0</v>
      </c>
      <c r="K749" s="83">
        <f ca="1">EFEITO!$L$749*EFEITO!$Z$749</f>
        <v>5318.9994333042441</v>
      </c>
      <c r="L749" s="83">
        <f>EFEITO!$N$749*EFEITO!$AA$749</f>
        <v>3500.144562526214</v>
      </c>
      <c r="M749" s="83">
        <f>$J$749-EFEITO!$K$749*EFEITO!$Y$749</f>
        <v>0</v>
      </c>
      <c r="N749" s="83">
        <f ca="1">$K$749-EFEITO!$M$749*EFEITO!$Z$749</f>
        <v>0</v>
      </c>
      <c r="O749" s="83">
        <f>$L$749-EFEITO!$O$749*EFEITO!$AA$749</f>
        <v>0</v>
      </c>
      <c r="P749" s="28"/>
      <c r="Q749" s="28"/>
      <c r="R749" s="28"/>
      <c r="S749" s="28"/>
      <c r="T749" s="28"/>
      <c r="U749" s="28"/>
      <c r="V749" s="28"/>
      <c r="W749" s="28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72" t="s">
        <v>21</v>
      </c>
      <c r="B750" s="72" t="s">
        <v>46</v>
      </c>
      <c r="C750" s="72" t="s">
        <v>23</v>
      </c>
      <c r="D750" s="72" t="s">
        <v>47</v>
      </c>
      <c r="E750" s="72" t="s">
        <v>49</v>
      </c>
      <c r="F750" s="72" t="s">
        <v>25</v>
      </c>
      <c r="G750" s="72" t="s">
        <v>25</v>
      </c>
      <c r="H750" s="72" t="s">
        <v>25</v>
      </c>
      <c r="I750" s="82">
        <v>44531</v>
      </c>
      <c r="J750" s="83">
        <f>EFEITO!$J$750*EFEITO!$Y$750</f>
        <v>0</v>
      </c>
      <c r="K750" s="83">
        <f ca="1">EFEITO!$L$750*EFEITO!$Z$750</f>
        <v>5496.465869224412</v>
      </c>
      <c r="L750" s="83">
        <f>EFEITO!$N$750*EFEITO!$AA$750</f>
        <v>3616.9255828112655</v>
      </c>
      <c r="M750" s="83">
        <f>$J$750-EFEITO!$K$750*EFEITO!$Y$750</f>
        <v>0</v>
      </c>
      <c r="N750" s="83">
        <f ca="1">$K$750-EFEITO!$M$750*EFEITO!$Z$750</f>
        <v>0</v>
      </c>
      <c r="O750" s="83">
        <f>$L$750-EFEITO!$O$750*EFEITO!$AA$750</f>
        <v>0</v>
      </c>
      <c r="P750" s="28"/>
      <c r="Q750" s="28"/>
      <c r="R750" s="28"/>
      <c r="S750" s="28"/>
      <c r="T750" s="28"/>
      <c r="U750" s="28"/>
      <c r="V750" s="28"/>
      <c r="W750" s="28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72" t="s">
        <v>21</v>
      </c>
      <c r="B751" s="72" t="s">
        <v>46</v>
      </c>
      <c r="C751" s="72" t="s">
        <v>23</v>
      </c>
      <c r="D751" s="72" t="s">
        <v>47</v>
      </c>
      <c r="E751" s="72" t="s">
        <v>49</v>
      </c>
      <c r="F751" s="72" t="s">
        <v>25</v>
      </c>
      <c r="G751" s="72" t="s">
        <v>25</v>
      </c>
      <c r="H751" s="72" t="s">
        <v>25</v>
      </c>
      <c r="I751" s="82">
        <v>44562</v>
      </c>
      <c r="J751" s="83">
        <f>EFEITO!$J$751*EFEITO!$Y$751</f>
        <v>0</v>
      </c>
      <c r="K751" s="83">
        <f ca="1">EFEITO!$L$751*EFEITO!$Z$751</f>
        <v>5496.465869224412</v>
      </c>
      <c r="L751" s="83">
        <f>EFEITO!$N$751*EFEITO!$AA$751</f>
        <v>3616.9255828112655</v>
      </c>
      <c r="M751" s="83">
        <f>$J$751-EFEITO!$K$751*EFEITO!$Y$751</f>
        <v>0</v>
      </c>
      <c r="N751" s="83">
        <f ca="1">$K$751-EFEITO!$M$751*EFEITO!$Z$751</f>
        <v>0</v>
      </c>
      <c r="O751" s="83">
        <f>$L$751-EFEITO!$O$751*EFEITO!$AA$751</f>
        <v>0</v>
      </c>
      <c r="P751" s="28"/>
      <c r="Q751" s="28"/>
      <c r="R751" s="28"/>
      <c r="S751" s="28"/>
      <c r="T751" s="28"/>
      <c r="U751" s="28"/>
      <c r="V751" s="28"/>
      <c r="W751" s="28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72" t="s">
        <v>21</v>
      </c>
      <c r="B752" s="72" t="s">
        <v>46</v>
      </c>
      <c r="C752" s="72" t="s">
        <v>23</v>
      </c>
      <c r="D752" s="72" t="s">
        <v>47</v>
      </c>
      <c r="E752" s="72" t="s">
        <v>49</v>
      </c>
      <c r="F752" s="72" t="s">
        <v>25</v>
      </c>
      <c r="G752" s="72" t="s">
        <v>25</v>
      </c>
      <c r="H752" s="72" t="s">
        <v>25</v>
      </c>
      <c r="I752" s="82">
        <v>44593</v>
      </c>
      <c r="J752" s="83">
        <f>EFEITO!$J$752*EFEITO!$Y$752</f>
        <v>0</v>
      </c>
      <c r="K752" s="83">
        <f ca="1">EFEITO!$L$752*EFEITO!$Z$752</f>
        <v>4964.4506879485853</v>
      </c>
      <c r="L752" s="83">
        <f>EFEITO!$N$752*EFEITO!$AA$752</f>
        <v>3266.8352947272901</v>
      </c>
      <c r="M752" s="83">
        <f>$J$752-EFEITO!$K$752*EFEITO!$Y$752</f>
        <v>0</v>
      </c>
      <c r="N752" s="83">
        <f ca="1">$K$752-EFEITO!$M$752*EFEITO!$Z$752</f>
        <v>0</v>
      </c>
      <c r="O752" s="83">
        <f>$L$752-EFEITO!$O$752*EFEITO!$AA$752</f>
        <v>0</v>
      </c>
      <c r="P752" s="28"/>
      <c r="Q752" s="28"/>
      <c r="R752" s="28"/>
      <c r="S752" s="28"/>
      <c r="T752" s="28"/>
      <c r="U752" s="28"/>
      <c r="V752" s="28"/>
      <c r="W752" s="28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72" t="s">
        <v>21</v>
      </c>
      <c r="B753" s="72" t="s">
        <v>46</v>
      </c>
      <c r="C753" s="72" t="s">
        <v>23</v>
      </c>
      <c r="D753" s="72" t="s">
        <v>47</v>
      </c>
      <c r="E753" s="72" t="s">
        <v>49</v>
      </c>
      <c r="F753" s="72" t="s">
        <v>25</v>
      </c>
      <c r="G753" s="72" t="s">
        <v>25</v>
      </c>
      <c r="H753" s="72" t="s">
        <v>25</v>
      </c>
      <c r="I753" s="82">
        <v>44621</v>
      </c>
      <c r="J753" s="83">
        <f>EFEITO!$J$753*EFEITO!$Y$753</f>
        <v>0</v>
      </c>
      <c r="K753" s="83">
        <f ca="1">EFEITO!$L$753*EFEITO!$Z$753</f>
        <v>5496.465869224412</v>
      </c>
      <c r="L753" s="83">
        <f>EFEITO!$N$753*EFEITO!$AA$753</f>
        <v>3616.9255828112655</v>
      </c>
      <c r="M753" s="83">
        <f>$J$753-EFEITO!$K$753*EFEITO!$Y$753</f>
        <v>0</v>
      </c>
      <c r="N753" s="83">
        <f ca="1">$K$753-EFEITO!$M$753*EFEITO!$Z$753</f>
        <v>0</v>
      </c>
      <c r="O753" s="83">
        <f>$L$753-EFEITO!$O$753*EFEITO!$AA$753</f>
        <v>0</v>
      </c>
      <c r="P753" s="28"/>
      <c r="Q753" s="28"/>
      <c r="R753" s="28"/>
      <c r="S753" s="28"/>
      <c r="T753" s="28"/>
      <c r="U753" s="28"/>
      <c r="V753" s="28"/>
      <c r="W753" s="28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72" t="s">
        <v>21</v>
      </c>
      <c r="B754" s="72" t="s">
        <v>46</v>
      </c>
      <c r="C754" s="72" t="s">
        <v>23</v>
      </c>
      <c r="D754" s="72" t="s">
        <v>47</v>
      </c>
      <c r="E754" s="72" t="s">
        <v>49</v>
      </c>
      <c r="F754" s="72" t="s">
        <v>25</v>
      </c>
      <c r="G754" s="72" t="s">
        <v>25</v>
      </c>
      <c r="H754" s="72" t="s">
        <v>25</v>
      </c>
      <c r="I754" s="82">
        <v>44652</v>
      </c>
      <c r="J754" s="83">
        <f>EFEITO!$J$754*EFEITO!$Y$754</f>
        <v>0</v>
      </c>
      <c r="K754" s="83">
        <f ca="1">EFEITO!$L$754*EFEITO!$Z$754</f>
        <v>5318.9994333042441</v>
      </c>
      <c r="L754" s="83">
        <f>EFEITO!$N$754*EFEITO!$AA$754</f>
        <v>3500.144562526214</v>
      </c>
      <c r="M754" s="83">
        <f>$J$754-EFEITO!$K$754*EFEITO!$Y$754</f>
        <v>0</v>
      </c>
      <c r="N754" s="83">
        <f ca="1">$K$754-EFEITO!$M$754*EFEITO!$Z$754</f>
        <v>0</v>
      </c>
      <c r="O754" s="83">
        <f>$L$754-EFEITO!$O$754*EFEITO!$AA$754</f>
        <v>0</v>
      </c>
      <c r="P754" s="28"/>
      <c r="Q754" s="28"/>
      <c r="R754" s="28"/>
      <c r="S754" s="28"/>
      <c r="T754" s="28"/>
      <c r="U754" s="28"/>
      <c r="V754" s="28"/>
      <c r="W754" s="28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DF550-5A04-492B-8D0A-83FC96BABB28}">
  <dimension ref="A1:BD103"/>
  <sheetViews>
    <sheetView showGridLines="0" topLeftCell="B28" workbookViewId="0">
      <selection activeCell="L53" sqref="L53:BD10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5" width="4.140625" style="9" bestFit="1" customWidth="1"/>
    <col min="16" max="16" width="4.42578125" style="9" bestFit="1" customWidth="1"/>
    <col min="17" max="18" width="10" style="9" bestFit="1" customWidth="1"/>
    <col min="19" max="21" width="8.7109375" style="9" bestFit="1" customWidth="1"/>
    <col min="22" max="23" width="9.85546875" style="9" bestFit="1" customWidth="1"/>
    <col min="24" max="24" width="10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6" width="7.85546875" style="9" bestFit="1" customWidth="1"/>
    <col min="37" max="38" width="4.140625" style="9" bestFit="1" customWidth="1"/>
    <col min="39" max="39" width="4.42578125" style="9" bestFit="1" customWidth="1"/>
    <col min="40" max="41" width="10" style="9" bestFit="1" customWidth="1"/>
    <col min="42" max="44" width="8.7109375" style="9" bestFit="1" customWidth="1"/>
    <col min="45" max="46" width="9.85546875" style="9" bestFit="1" customWidth="1"/>
    <col min="47" max="47" width="10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132" t="s">
        <v>66</v>
      </c>
      <c r="B1" s="132" t="s">
        <v>67</v>
      </c>
      <c r="C1" s="132" t="s">
        <v>68</v>
      </c>
      <c r="D1" s="132" t="s">
        <v>69</v>
      </c>
      <c r="E1" s="132" t="s">
        <v>70</v>
      </c>
      <c r="F1" s="132" t="s">
        <v>15</v>
      </c>
      <c r="G1" s="132" t="s">
        <v>72</v>
      </c>
      <c r="H1" s="132" t="s">
        <v>73</v>
      </c>
      <c r="I1" s="132" t="s">
        <v>717</v>
      </c>
      <c r="J1" s="126"/>
      <c r="L1" s="133" t="s">
        <v>909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I1" s="133" t="s">
        <v>910</v>
      </c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</row>
    <row r="2" spans="1:56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26"/>
      <c r="L2" s="133" t="s">
        <v>617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I2" s="133" t="s">
        <v>617</v>
      </c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</row>
    <row r="3" spans="1:56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26"/>
      <c r="L3" s="133" t="s">
        <v>618</v>
      </c>
      <c r="M3" s="133"/>
      <c r="N3" s="133"/>
      <c r="O3" s="133"/>
      <c r="P3" s="133"/>
      <c r="Q3" s="133"/>
      <c r="R3" s="133"/>
      <c r="S3" s="133"/>
      <c r="T3" s="133" t="s">
        <v>627</v>
      </c>
      <c r="U3" s="133"/>
      <c r="V3" s="133"/>
      <c r="W3" s="133"/>
      <c r="X3" s="133"/>
      <c r="Y3" s="133"/>
      <c r="Z3" s="133"/>
      <c r="AA3" s="85" t="s">
        <v>635</v>
      </c>
      <c r="AB3" s="133" t="s">
        <v>637</v>
      </c>
      <c r="AC3" s="133"/>
      <c r="AD3" s="133" t="s">
        <v>640</v>
      </c>
      <c r="AE3" s="133"/>
      <c r="AF3" s="133"/>
      <c r="AG3" s="133"/>
      <c r="AI3" s="133" t="s">
        <v>618</v>
      </c>
      <c r="AJ3" s="133"/>
      <c r="AK3" s="133"/>
      <c r="AL3" s="133"/>
      <c r="AM3" s="133"/>
      <c r="AN3" s="133"/>
      <c r="AO3" s="133"/>
      <c r="AP3" s="133"/>
      <c r="AQ3" s="133" t="s">
        <v>627</v>
      </c>
      <c r="AR3" s="133"/>
      <c r="AS3" s="133"/>
      <c r="AT3" s="133"/>
      <c r="AU3" s="133"/>
      <c r="AV3" s="133"/>
      <c r="AW3" s="133"/>
      <c r="AX3" s="85" t="s">
        <v>635</v>
      </c>
      <c r="AY3" s="133" t="s">
        <v>637</v>
      </c>
      <c r="AZ3" s="133"/>
      <c r="BA3" s="133" t="s">
        <v>640</v>
      </c>
      <c r="BB3" s="133"/>
      <c r="BC3" s="133"/>
      <c r="BD3" s="133"/>
    </row>
    <row r="4" spans="1:56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26"/>
      <c r="L4" s="85" t="s">
        <v>702</v>
      </c>
      <c r="M4" s="85" t="s">
        <v>619</v>
      </c>
      <c r="N4" s="85" t="s">
        <v>620</v>
      </c>
      <c r="O4" s="85" t="s">
        <v>621</v>
      </c>
      <c r="P4" s="85" t="s">
        <v>622</v>
      </c>
      <c r="Q4" s="85" t="s">
        <v>623</v>
      </c>
      <c r="R4" s="85" t="s">
        <v>624</v>
      </c>
      <c r="S4" s="85" t="s">
        <v>625</v>
      </c>
      <c r="T4" s="85" t="s">
        <v>628</v>
      </c>
      <c r="U4" s="85" t="s">
        <v>629</v>
      </c>
      <c r="V4" s="85" t="s">
        <v>630</v>
      </c>
      <c r="W4" s="85" t="s">
        <v>631</v>
      </c>
      <c r="X4" s="85" t="s">
        <v>632</v>
      </c>
      <c r="Y4" s="85" t="s">
        <v>633</v>
      </c>
      <c r="Z4" s="85" t="s">
        <v>634</v>
      </c>
      <c r="AA4" s="85" t="s">
        <v>636</v>
      </c>
      <c r="AB4" s="85" t="s">
        <v>638</v>
      </c>
      <c r="AC4" s="85" t="s">
        <v>639</v>
      </c>
      <c r="AD4" s="85" t="s">
        <v>641</v>
      </c>
      <c r="AE4" s="85" t="s">
        <v>642</v>
      </c>
      <c r="AF4" s="85" t="s">
        <v>643</v>
      </c>
      <c r="AG4" s="85" t="s">
        <v>644</v>
      </c>
      <c r="AI4" s="85" t="s">
        <v>702</v>
      </c>
      <c r="AJ4" s="85" t="s">
        <v>619</v>
      </c>
      <c r="AK4" s="85" t="s">
        <v>620</v>
      </c>
      <c r="AL4" s="85" t="s">
        <v>621</v>
      </c>
      <c r="AM4" s="85" t="s">
        <v>622</v>
      </c>
      <c r="AN4" s="85" t="s">
        <v>623</v>
      </c>
      <c r="AO4" s="85" t="s">
        <v>624</v>
      </c>
      <c r="AP4" s="85" t="s">
        <v>625</v>
      </c>
      <c r="AQ4" s="85" t="s">
        <v>628</v>
      </c>
      <c r="AR4" s="85" t="s">
        <v>629</v>
      </c>
      <c r="AS4" s="85" t="s">
        <v>630</v>
      </c>
      <c r="AT4" s="85" t="s">
        <v>631</v>
      </c>
      <c r="AU4" s="85" t="s">
        <v>632</v>
      </c>
      <c r="AV4" s="85" t="s">
        <v>633</v>
      </c>
      <c r="AW4" s="85" t="s">
        <v>634</v>
      </c>
      <c r="AX4" s="85" t="s">
        <v>636</v>
      </c>
      <c r="AY4" s="85" t="s">
        <v>638</v>
      </c>
      <c r="AZ4" s="85" t="s">
        <v>639</v>
      </c>
      <c r="BA4" s="85" t="s">
        <v>641</v>
      </c>
      <c r="BB4" s="85" t="s">
        <v>642</v>
      </c>
      <c r="BC4" s="85" t="s">
        <v>643</v>
      </c>
      <c r="BD4" s="85" t="s">
        <v>644</v>
      </c>
    </row>
    <row r="5" spans="1:56" ht="11.25" customHeight="1" x14ac:dyDescent="0.25">
      <c r="A5" s="131" t="s">
        <v>33</v>
      </c>
      <c r="B5" s="131" t="s">
        <v>41</v>
      </c>
      <c r="C5" s="131" t="s">
        <v>25</v>
      </c>
      <c r="D5" s="131" t="s">
        <v>25</v>
      </c>
      <c r="E5" s="131" t="s">
        <v>25</v>
      </c>
      <c r="F5" s="131" t="s">
        <v>25</v>
      </c>
      <c r="G5" s="44" t="s">
        <v>80</v>
      </c>
      <c r="H5" s="44" t="s">
        <v>79</v>
      </c>
      <c r="I5" s="44">
        <f>'MERCADO TUSD'!$U$2</f>
        <v>2147</v>
      </c>
      <c r="J5" s="18"/>
      <c r="L5" s="26">
        <f>('TUSD BE'!$L$5+'TUSD BF'!$L$5+'TUSD CVA'!$L$5)*1</f>
        <v>0</v>
      </c>
      <c r="M5" s="26">
        <f>('TUSD BE'!$M$5+'TUSD BF'!$M$5+'TUSD CVA'!$M$5)*1</f>
        <v>0</v>
      </c>
      <c r="N5" s="26">
        <f ca="1">('TUSD BE'!$N$5+'TUSD BF'!$N$5+'TUSD CVA'!$N$5)*1</f>
        <v>0</v>
      </c>
      <c r="O5" s="26">
        <f>('TUSD BE'!$O$5+'TUSD BF'!$O$5+'TUSD CVA'!$O$5)*1</f>
        <v>0</v>
      </c>
      <c r="P5" s="26">
        <f>('TUSD BE'!$P$5+'TUSD BF'!$P$5+'TUSD CVA'!$P$5)*1</f>
        <v>0</v>
      </c>
      <c r="Q5" s="26">
        <f>('TUSD BE'!$Q$5+'TUSD BF'!$Q$5+'TUSD CVA'!$Q$5)*1</f>
        <v>0</v>
      </c>
      <c r="R5" s="26">
        <f>('TUSD BE'!$R$5+'TUSD BF'!$R$5+'TUSD CVA'!$R$5)*1</f>
        <v>0</v>
      </c>
      <c r="S5" s="26">
        <f>('TUSD BE'!$S$5+'TUSD BF'!$S$5+'TUSD CVA'!$S$5)*1</f>
        <v>0</v>
      </c>
      <c r="T5" s="26">
        <f>('TUSD BE'!$U$5+'TUSD BF'!$U$5+'TUSD CVA'!$U$5)*1</f>
        <v>3.1845785629214918</v>
      </c>
      <c r="U5" s="26">
        <f>('TUSD BE'!$V$5+'TUSD BF'!$V$5+'TUSD CVA'!$V$5)*1</f>
        <v>2.50416460455342</v>
      </c>
      <c r="V5" s="26">
        <f>('TUSD BE'!$W$5+'TUSD BF'!$W$5+'TUSD CVA'!$W$5)*1</f>
        <v>0</v>
      </c>
      <c r="W5" s="26">
        <f>('TUSD BE'!$X$5+'TUSD BF'!$X$5+'TUSD CVA'!$X$5)*1</f>
        <v>0</v>
      </c>
      <c r="X5" s="26">
        <f>('TUSD BE'!$Y$5+'TUSD BF'!$Y$5+'TUSD CVA'!$Y$5)*1</f>
        <v>4.5684618397359555</v>
      </c>
      <c r="Y5" s="26">
        <f>('TUSD BE'!$Z$5+'TUSD BF'!$Z$5+'TUSD CVA'!$Z$5)*1</f>
        <v>0</v>
      </c>
      <c r="Z5" s="26">
        <f>('TUSD BE'!$AA$5+'TUSD BF'!$AA$5+'TUSD CVA'!$AA$5)*1</f>
        <v>0</v>
      </c>
      <c r="AA5" s="26">
        <f>('TUSD BE'!$AC$5+'TUSD BF'!$AC$5+'TUSD CVA'!$AC$5)*1</f>
        <v>26.170081991914699</v>
      </c>
      <c r="AB5" s="26">
        <f ca="1">('TUSD BE'!$AE$5+'TUSD BF'!$AE$5+'TUSD CVA'!$AE$5)*1</f>
        <v>0</v>
      </c>
      <c r="AC5" s="26">
        <f ca="1">('TUSD BE'!$AF$5+'TUSD BF'!$AF$5+'TUSD CVA'!$AF$5)*1</f>
        <v>0</v>
      </c>
      <c r="AD5" s="26">
        <f>('TUSD BE'!$AH$5+'TUSD BF'!$AH$5+'TUSD CVA'!$AH$5)*1</f>
        <v>0</v>
      </c>
      <c r="AE5" s="26">
        <f>('TUSD BE'!$AI$5+'TUSD BF'!$AI$5+'TUSD CVA'!$AI$5)*1</f>
        <v>0</v>
      </c>
      <c r="AF5" s="26">
        <f ca="1">('TUSD BE'!$AJ$5+'TUSD BF'!$AJ$5+'TUSD CVA'!$AJ$5)*1</f>
        <v>0</v>
      </c>
      <c r="AG5" s="26">
        <f ca="1">('TUSD BE'!$AK$5+'TUSD BF'!$AK$5+'TUSD CVA'!$AK$5)*1</f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4.4724123370445996</v>
      </c>
      <c r="AR5" s="26">
        <v>4.55469519837155</v>
      </c>
      <c r="AS5" s="26">
        <v>0</v>
      </c>
      <c r="AT5" s="26">
        <v>0</v>
      </c>
      <c r="AU5" s="26">
        <v>4.6483419046317902</v>
      </c>
      <c r="AV5" s="26">
        <v>0</v>
      </c>
      <c r="AW5" s="26">
        <v>0</v>
      </c>
      <c r="AX5" s="26">
        <v>22.797395571217599</v>
      </c>
      <c r="AY5" s="26">
        <v>0.22301693430158601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</row>
    <row r="6" spans="1:56" ht="11.25" customHeight="1" x14ac:dyDescent="0.25">
      <c r="A6" s="131"/>
      <c r="B6" s="131"/>
      <c r="C6" s="131"/>
      <c r="D6" s="131"/>
      <c r="E6" s="131"/>
      <c r="F6" s="131"/>
      <c r="G6" s="44" t="s">
        <v>81</v>
      </c>
      <c r="H6" s="44" t="s">
        <v>79</v>
      </c>
      <c r="I6" s="44">
        <f>'MERCADO TUSD'!$U$3</f>
        <v>2668</v>
      </c>
      <c r="J6" s="18"/>
      <c r="L6" s="26">
        <f>('TUSD BE'!$L$6+'TUSD BF'!$L$6+'TUSD CVA'!$L$6)*1</f>
        <v>0</v>
      </c>
      <c r="M6" s="26">
        <f>('TUSD BE'!$M$6+'TUSD BF'!$M$6+'TUSD CVA'!$M$6)*1</f>
        <v>0</v>
      </c>
      <c r="N6" s="26">
        <f ca="1">('TUSD BE'!$N$6+'TUSD BF'!$N$6+'TUSD CVA'!$N$6)*1</f>
        <v>0</v>
      </c>
      <c r="O6" s="26">
        <f>('TUSD BE'!$O$6+'TUSD BF'!$O$6+'TUSD CVA'!$O$6)*1</f>
        <v>0</v>
      </c>
      <c r="P6" s="26">
        <f>('TUSD BE'!$P$6+'TUSD BF'!$P$6+'TUSD CVA'!$P$6)*1</f>
        <v>0</v>
      </c>
      <c r="Q6" s="26">
        <f>('TUSD BE'!$Q$6+'TUSD BF'!$Q$6+'TUSD CVA'!$Q$6)*1</f>
        <v>0</v>
      </c>
      <c r="R6" s="26">
        <f>('TUSD BE'!$R$6+'TUSD BF'!$R$6+'TUSD CVA'!$R$6)*1</f>
        <v>0</v>
      </c>
      <c r="S6" s="26">
        <f>('TUSD BE'!$S$6+'TUSD BF'!$S$6+'TUSD CVA'!$S$6)*1</f>
        <v>0</v>
      </c>
      <c r="T6" s="26">
        <f>('TUSD BE'!$U$6+'TUSD BF'!$U$6+'TUSD CVA'!$U$6)*1</f>
        <v>3.1378947828301804</v>
      </c>
      <c r="U6" s="26">
        <f>('TUSD BE'!$V$6+'TUSD BF'!$V$6+'TUSD CVA'!$V$6)*1</f>
        <v>2.4917517801161524</v>
      </c>
      <c r="V6" s="26">
        <f>('TUSD BE'!$W$6+'TUSD BF'!$W$6+'TUSD CVA'!$W$6)*1</f>
        <v>0</v>
      </c>
      <c r="W6" s="26">
        <f>('TUSD BE'!$X$6+'TUSD BF'!$X$6+'TUSD CVA'!$X$6)*1</f>
        <v>0</v>
      </c>
      <c r="X6" s="26">
        <f>('TUSD BE'!$Y$6+'TUSD BF'!$Y$6+'TUSD CVA'!$Y$6)*1</f>
        <v>4.5013534550811034</v>
      </c>
      <c r="Y6" s="26">
        <f>('TUSD BE'!$Z$6+'TUSD BF'!$Z$6+'TUSD CVA'!$Z$6)*1</f>
        <v>0</v>
      </c>
      <c r="Z6" s="26">
        <f>('TUSD BE'!$AA$6+'TUSD BF'!$AA$6+'TUSD CVA'!$AA$6)*1</f>
        <v>0</v>
      </c>
      <c r="AA6" s="26">
        <f>('TUSD BE'!$AC$6+'TUSD BF'!$AC$6+'TUSD CVA'!$AC$6)*1</f>
        <v>6.5490419111422176</v>
      </c>
      <c r="AB6" s="26">
        <f ca="1">('TUSD BE'!$AE$6+'TUSD BF'!$AE$6+'TUSD CVA'!$AE$6)*1</f>
        <v>0</v>
      </c>
      <c r="AC6" s="26">
        <f ca="1">('TUSD BE'!$AF$6+'TUSD BF'!$AF$6+'TUSD CVA'!$AF$6)*1</f>
        <v>0</v>
      </c>
      <c r="AD6" s="26">
        <f>('TUSD BE'!$AH$6+'TUSD BF'!$AH$6+'TUSD CVA'!$AH$6)*1</f>
        <v>0</v>
      </c>
      <c r="AE6" s="26">
        <f>('TUSD BE'!$AI$6+'TUSD BF'!$AI$6+'TUSD CVA'!$AI$6)*1</f>
        <v>0</v>
      </c>
      <c r="AF6" s="26">
        <f ca="1">('TUSD BE'!$AJ$6+'TUSD BF'!$AJ$6+'TUSD CVA'!$AJ$6)*1</f>
        <v>0</v>
      </c>
      <c r="AG6" s="26">
        <f ca="1">('TUSD BE'!$AK$6+'TUSD BF'!$AK$6+'TUSD CVA'!$AK$6)*1</f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4.4067726560696698</v>
      </c>
      <c r="AR6" s="26">
        <v>4.5321256403165098</v>
      </c>
      <c r="AS6" s="26">
        <v>0</v>
      </c>
      <c r="AT6" s="26">
        <v>0</v>
      </c>
      <c r="AU6" s="26">
        <v>4.5800002243392202</v>
      </c>
      <c r="AV6" s="26">
        <v>0</v>
      </c>
      <c r="AW6" s="26">
        <v>0</v>
      </c>
      <c r="AX6" s="26">
        <v>5.7050060283114101</v>
      </c>
      <c r="AY6" s="26">
        <v>9.6153308655760397E-2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</row>
    <row r="7" spans="1:56" ht="11.25" customHeight="1" x14ac:dyDescent="0.25">
      <c r="A7" s="131"/>
      <c r="B7" s="131"/>
      <c r="C7" s="131"/>
      <c r="D7" s="131"/>
      <c r="E7" s="131"/>
      <c r="F7" s="131"/>
      <c r="G7" s="44" t="s">
        <v>82</v>
      </c>
      <c r="H7" s="44" t="s">
        <v>76</v>
      </c>
      <c r="I7" s="44">
        <f>'MERCADO TUSD'!$U$4</f>
        <v>669.6350000000001</v>
      </c>
      <c r="J7" s="18"/>
      <c r="L7" s="26">
        <f>('TUSD BE'!$L$7+'TUSD BF'!$L$7+'TUSD CVA'!$L$7)*1</f>
        <v>0</v>
      </c>
      <c r="M7" s="26">
        <f>('TUSD BE'!$M$7+'TUSD BF'!$M$7+'TUSD CVA'!$M$7)*1</f>
        <v>0.49814410358433731</v>
      </c>
      <c r="N7" s="26">
        <f ca="1">('TUSD BE'!$N$7+'TUSD BF'!$N$7+'TUSD CVA'!$N$7)*1</f>
        <v>0</v>
      </c>
      <c r="O7" s="26">
        <f>('TUSD BE'!$O$7+'TUSD BF'!$O$7+'TUSD CVA'!$O$7)*1</f>
        <v>0</v>
      </c>
      <c r="P7" s="26">
        <f>('TUSD BE'!$P$7+'TUSD BF'!$P$7+'TUSD CVA'!$P$7)*1</f>
        <v>0</v>
      </c>
      <c r="Q7" s="26">
        <f>('TUSD BE'!$Q$7+'TUSD BF'!$Q$7+'TUSD CVA'!$Q$7)*1</f>
        <v>77.501363715248516</v>
      </c>
      <c r="R7" s="26">
        <f>('TUSD BE'!$R$7+'TUSD BF'!$R$7+'TUSD CVA'!$R$7)*1</f>
        <v>14.581564549707696</v>
      </c>
      <c r="S7" s="26">
        <f>('TUSD BE'!$S$7+'TUSD BF'!$S$7+'TUSD CVA'!$S$7)*1</f>
        <v>0</v>
      </c>
      <c r="T7" s="26">
        <f>('TUSD BE'!$U$7+'TUSD BF'!$U$7+'TUSD CVA'!$U$7)*1</f>
        <v>0</v>
      </c>
      <c r="U7" s="26">
        <f>('TUSD BE'!$V$7+'TUSD BF'!$V$7+'TUSD CVA'!$V$7)*1</f>
        <v>0</v>
      </c>
      <c r="V7" s="26">
        <f>('TUSD BE'!$W$7+'TUSD BF'!$W$7+'TUSD CVA'!$W$7)*1</f>
        <v>0</v>
      </c>
      <c r="W7" s="26">
        <f>('TUSD BE'!$X$7+'TUSD BF'!$X$7+'TUSD CVA'!$X$7)*1</f>
        <v>0</v>
      </c>
      <c r="X7" s="26">
        <f>('TUSD BE'!$Y$7+'TUSD BF'!$Y$7+'TUSD CVA'!$Y$7)*1</f>
        <v>0</v>
      </c>
      <c r="Y7" s="26">
        <f>('TUSD BE'!$Z$7+'TUSD BF'!$Z$7+'TUSD CVA'!$Z$7)*1</f>
        <v>0</v>
      </c>
      <c r="Z7" s="26">
        <f>('TUSD BE'!$AA$7+'TUSD BF'!$AA$7+'TUSD CVA'!$AA$7)*1</f>
        <v>0</v>
      </c>
      <c r="AA7" s="26">
        <f>('TUSD BE'!$AC$7+'TUSD BF'!$AC$7+'TUSD CVA'!$AC$7)*1</f>
        <v>0</v>
      </c>
      <c r="AB7" s="26">
        <f ca="1">('TUSD BE'!$AE$7+'TUSD BF'!$AE$7+'TUSD CVA'!$AE$7)*1</f>
        <v>0</v>
      </c>
      <c r="AC7" s="26">
        <f ca="1">('TUSD BE'!$AF$7+'TUSD BF'!$AF$7+'TUSD CVA'!$AF$7)*1</f>
        <v>0</v>
      </c>
      <c r="AD7" s="26">
        <f>('TUSD BE'!$AH$7+'TUSD BF'!$AH$7+'TUSD CVA'!$AH$7)*1</f>
        <v>7.7063674787247356</v>
      </c>
      <c r="AE7" s="26">
        <f>('TUSD BE'!$AI$7+'TUSD BF'!$AI$7+'TUSD CVA'!$AI$7)*1</f>
        <v>5.9023261310437433E-2</v>
      </c>
      <c r="AF7" s="26">
        <f ca="1">('TUSD BE'!$AJ$7+'TUSD BF'!$AJ$7+'TUSD CVA'!$AJ$7)*1</f>
        <v>0</v>
      </c>
      <c r="AG7" s="26">
        <f ca="1">('TUSD BE'!$AK$7+'TUSD BF'!$AK$7+'TUSD CVA'!$AK$7)*1</f>
        <v>0</v>
      </c>
      <c r="AI7" s="26">
        <v>0</v>
      </c>
      <c r="AJ7" s="26">
        <v>0.41914207789744001</v>
      </c>
      <c r="AK7" s="26">
        <v>0</v>
      </c>
      <c r="AL7" s="26">
        <v>0</v>
      </c>
      <c r="AM7" s="26">
        <v>0</v>
      </c>
      <c r="AN7" s="26">
        <v>49.8626855447461</v>
      </c>
      <c r="AO7" s="26">
        <v>8.9396205722802904</v>
      </c>
      <c r="AP7" s="26">
        <v>0</v>
      </c>
      <c r="AQ7" s="26">
        <v>0</v>
      </c>
      <c r="AR7" s="26">
        <v>0</v>
      </c>
      <c r="AS7" s="26">
        <v>0</v>
      </c>
      <c r="AT7" s="26">
        <v>0</v>
      </c>
      <c r="AU7" s="26">
        <v>0</v>
      </c>
      <c r="AV7" s="26">
        <v>0</v>
      </c>
      <c r="AW7" s="26">
        <v>0</v>
      </c>
      <c r="AX7" s="26">
        <v>0</v>
      </c>
      <c r="AY7" s="26">
        <v>0.323644113940731</v>
      </c>
      <c r="AZ7" s="26">
        <v>0</v>
      </c>
      <c r="BA7" s="26">
        <v>6.0689132853621599</v>
      </c>
      <c r="BB7" s="26">
        <v>0</v>
      </c>
      <c r="BC7" s="26">
        <v>0</v>
      </c>
      <c r="BD7" s="26">
        <v>0</v>
      </c>
    </row>
    <row r="8" spans="1:56" ht="11.25" customHeight="1" x14ac:dyDescent="0.25">
      <c r="A8" s="131"/>
      <c r="B8" s="131"/>
      <c r="C8" s="131"/>
      <c r="D8" s="131"/>
      <c r="E8" s="86" t="s">
        <v>83</v>
      </c>
      <c r="F8" s="86" t="s">
        <v>25</v>
      </c>
      <c r="G8" s="44" t="s">
        <v>82</v>
      </c>
      <c r="H8" s="44" t="s">
        <v>76</v>
      </c>
      <c r="I8" s="44">
        <f>'MERCADO TUSD'!$U$5</f>
        <v>0</v>
      </c>
      <c r="J8" s="18"/>
      <c r="L8" s="26">
        <f>('TUSD BE'!$L$8+'TUSD BF'!$L$8+'TUSD CVA'!$L$8)*1</f>
        <v>0</v>
      </c>
      <c r="M8" s="26">
        <f>('TUSD BE'!$M$8+'TUSD BF'!$M$8+'TUSD CVA'!$M$8)*1</f>
        <v>0.49814410358433731</v>
      </c>
      <c r="N8" s="26">
        <f ca="1">('TUSD BE'!$N$8+'TUSD BF'!$N$8+'TUSD CVA'!$N$8)*1</f>
        <v>0</v>
      </c>
      <c r="O8" s="26">
        <f>('TUSD BE'!$O$8+'TUSD BF'!$O$8+'TUSD CVA'!$O$8)*1</f>
        <v>0</v>
      </c>
      <c r="P8" s="26">
        <f>('TUSD BE'!$P$8+'TUSD BF'!$P$8+'TUSD CVA'!$P$8)*1</f>
        <v>0</v>
      </c>
      <c r="Q8" s="26">
        <f>('TUSD BE'!$Q$8+'TUSD BF'!$Q$8+'TUSD CVA'!$Q$8)*1</f>
        <v>0</v>
      </c>
      <c r="R8" s="26">
        <f>('TUSD BE'!$R$8+'TUSD BF'!$R$8+'TUSD CVA'!$R$8)*1</f>
        <v>0</v>
      </c>
      <c r="S8" s="26">
        <f>('TUSD BE'!$S$8+'TUSD BF'!$S$8+'TUSD CVA'!$S$8)*1</f>
        <v>0</v>
      </c>
      <c r="T8" s="26">
        <f>('TUSD BE'!$U$8+'TUSD BF'!$U$8+'TUSD CVA'!$U$8)*1</f>
        <v>0</v>
      </c>
      <c r="U8" s="26">
        <f>('TUSD BE'!$V$8+'TUSD BF'!$V$8+'TUSD CVA'!$V$8)*1</f>
        <v>0</v>
      </c>
      <c r="V8" s="26">
        <f>('TUSD BE'!$W$8+'TUSD BF'!$W$8+'TUSD CVA'!$W$8)*1</f>
        <v>0</v>
      </c>
      <c r="W8" s="26">
        <f>('TUSD BE'!$X$8+'TUSD BF'!$X$8+'TUSD CVA'!$X$8)*1</f>
        <v>0</v>
      </c>
      <c r="X8" s="26">
        <f>('TUSD BE'!$Y$8+'TUSD BF'!$Y$8+'TUSD CVA'!$Y$8)*1</f>
        <v>0</v>
      </c>
      <c r="Y8" s="26">
        <f>('TUSD BE'!$Z$8+'TUSD BF'!$Z$8+'TUSD CVA'!$Z$8)*1</f>
        <v>0</v>
      </c>
      <c r="Z8" s="26">
        <f>('TUSD BE'!$AA$8+'TUSD BF'!$AA$8+'TUSD CVA'!$AA$8)*1</f>
        <v>0</v>
      </c>
      <c r="AA8" s="26">
        <f>('TUSD BE'!$AC$8+'TUSD BF'!$AC$8+'TUSD CVA'!$AC$8)*1</f>
        <v>0</v>
      </c>
      <c r="AB8" s="26">
        <f ca="1">('TUSD BE'!$AE$8+'TUSD BF'!$AE$8+'TUSD CVA'!$AE$8)*1</f>
        <v>0</v>
      </c>
      <c r="AC8" s="26">
        <f ca="1">('TUSD BE'!$AF$8+'TUSD BF'!$AF$8+'TUSD CVA'!$AF$8)*1</f>
        <v>0</v>
      </c>
      <c r="AD8" s="26">
        <f>('TUSD BE'!$AH$8+'TUSD BF'!$AH$8+'TUSD CVA'!$AH$8)*1</f>
        <v>7.7063674787247356</v>
      </c>
      <c r="AE8" s="26">
        <f>('TUSD BE'!$AI$8+'TUSD BF'!$AI$8+'TUSD CVA'!$AI$8)*1</f>
        <v>5.9023261310437433E-2</v>
      </c>
      <c r="AF8" s="26">
        <f ca="1">('TUSD BE'!$AJ$8+'TUSD BF'!$AJ$8+'TUSD CVA'!$AJ$8)*1</f>
        <v>0</v>
      </c>
      <c r="AG8" s="26">
        <f ca="1">('TUSD BE'!$AK$8+'TUSD BF'!$AK$8+'TUSD CVA'!$AK$8)*1</f>
        <v>0</v>
      </c>
      <c r="AI8" s="26">
        <v>0</v>
      </c>
      <c r="AJ8" s="26">
        <v>0.41914207789744001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  <c r="AR8" s="26">
        <v>0</v>
      </c>
      <c r="AS8" s="26">
        <v>0</v>
      </c>
      <c r="AT8" s="26">
        <v>0</v>
      </c>
      <c r="AU8" s="26">
        <v>0</v>
      </c>
      <c r="AV8" s="26">
        <v>0</v>
      </c>
      <c r="AW8" s="26">
        <v>0</v>
      </c>
      <c r="AX8" s="26">
        <v>0</v>
      </c>
      <c r="AY8" s="26">
        <v>2.8491212412007801E-2</v>
      </c>
      <c r="AZ8" s="26">
        <v>0</v>
      </c>
      <c r="BA8" s="26">
        <v>6.0689132853621599</v>
      </c>
      <c r="BB8" s="26">
        <v>0</v>
      </c>
      <c r="BC8" s="26">
        <v>0</v>
      </c>
      <c r="BD8" s="26">
        <v>0</v>
      </c>
    </row>
    <row r="9" spans="1:56" ht="11.25" customHeight="1" x14ac:dyDescent="0.25">
      <c r="A9" s="131"/>
      <c r="B9" s="86" t="s">
        <v>84</v>
      </c>
      <c r="C9" s="86" t="s">
        <v>25</v>
      </c>
      <c r="D9" s="86" t="s">
        <v>25</v>
      </c>
      <c r="E9" s="86" t="s">
        <v>25</v>
      </c>
      <c r="F9" s="86" t="s">
        <v>25</v>
      </c>
      <c r="G9" s="44" t="s">
        <v>9</v>
      </c>
      <c r="H9" s="44" t="s">
        <v>79</v>
      </c>
      <c r="I9" s="44">
        <f>'MERCADO TUSD'!$U$6</f>
        <v>0</v>
      </c>
      <c r="J9" s="18"/>
      <c r="L9" s="26">
        <f>('TUSD BE'!$L$9+'TUSD BF'!$L$9+'TUSD CVA'!$L$9)*1</f>
        <v>0</v>
      </c>
      <c r="M9" s="26">
        <f>('TUSD BE'!$M$9+'TUSD BF'!$M$9+'TUSD CVA'!$M$9)*1</f>
        <v>0</v>
      </c>
      <c r="N9" s="26">
        <f ca="1">('TUSD BE'!$N$9+'TUSD BF'!$N$9+'TUSD CVA'!$N$9)*1</f>
        <v>0</v>
      </c>
      <c r="O9" s="26">
        <f>('TUSD BE'!$O$9+'TUSD BF'!$O$9+'TUSD CVA'!$O$9)*1</f>
        <v>0</v>
      </c>
      <c r="P9" s="26">
        <f>('TUSD BE'!$P$9+'TUSD BF'!$P$9+'TUSD CVA'!$P$9)*1</f>
        <v>0</v>
      </c>
      <c r="Q9" s="26">
        <f>('TUSD BE'!$Q$9+'TUSD BF'!$Q$9+'TUSD CVA'!$Q$9)*1</f>
        <v>0</v>
      </c>
      <c r="R9" s="26">
        <f>('TUSD BE'!$R$9+'TUSD BF'!$R$9+'TUSD CVA'!$R$9)*1</f>
        <v>0</v>
      </c>
      <c r="S9" s="26">
        <f>('TUSD BE'!$S$9+'TUSD BF'!$S$9+'TUSD CVA'!$S$9)*1</f>
        <v>0</v>
      </c>
      <c r="T9" s="26">
        <f>('TUSD BE'!$U$9+'TUSD BF'!$U$9+'TUSD CVA'!$U$9)*1</f>
        <v>0</v>
      </c>
      <c r="U9" s="26">
        <f>('TUSD BE'!$V$9+'TUSD BF'!$V$9+'TUSD CVA'!$V$9)*1</f>
        <v>0</v>
      </c>
      <c r="V9" s="26">
        <f>('TUSD BE'!$W$9+'TUSD BF'!$W$9+'TUSD CVA'!$W$9)*1</f>
        <v>0</v>
      </c>
      <c r="W9" s="26">
        <f>('TUSD BE'!$X$9+'TUSD BF'!$X$9+'TUSD CVA'!$X$9)*1</f>
        <v>0</v>
      </c>
      <c r="X9" s="26">
        <f>('TUSD BE'!$Y$9+'TUSD BF'!$Y$9+'TUSD CVA'!$Y$9)*1</f>
        <v>0</v>
      </c>
      <c r="Y9" s="26">
        <f>('TUSD BE'!$Z$9+'TUSD BF'!$Z$9+'TUSD CVA'!$Z$9)*1</f>
        <v>0</v>
      </c>
      <c r="Z9" s="26">
        <f>('TUSD BE'!$AA$9+'TUSD BF'!$AA$9+'TUSD CVA'!$AA$9)*1</f>
        <v>0</v>
      </c>
      <c r="AA9" s="26">
        <f>('TUSD BE'!$AC$9+'TUSD BF'!$AC$9+'TUSD CVA'!$AC$9)*1</f>
        <v>3.3831254474664947</v>
      </c>
      <c r="AB9" s="26">
        <f ca="1">('TUSD BE'!$AE$9+'TUSD BF'!$AE$9+'TUSD CVA'!$AE$9)*1</f>
        <v>0</v>
      </c>
      <c r="AC9" s="26">
        <f ca="1">('TUSD BE'!$AF$9+'TUSD BF'!$AF$9+'TUSD CVA'!$AF$9)*1</f>
        <v>0</v>
      </c>
      <c r="AD9" s="26">
        <f>('TUSD BE'!$AH$9+'TUSD BF'!$AH$9+'TUSD CVA'!$AH$9)*1</f>
        <v>0</v>
      </c>
      <c r="AE9" s="26">
        <f>('TUSD BE'!$AI$9+'TUSD BF'!$AI$9+'TUSD CVA'!$AI$9)*1</f>
        <v>0</v>
      </c>
      <c r="AF9" s="26">
        <f ca="1">('TUSD BE'!$AJ$9+'TUSD BF'!$AJ$9+'TUSD CVA'!$AJ$9)*1</f>
        <v>0</v>
      </c>
      <c r="AG9" s="26">
        <f ca="1">('TUSD BE'!$AK$9+'TUSD BF'!$AK$9+'TUSD CVA'!$AK$9)*1</f>
        <v>0</v>
      </c>
      <c r="AI9" s="26">
        <v>0</v>
      </c>
      <c r="AJ9" s="26">
        <v>0</v>
      </c>
      <c r="AK9" s="26">
        <v>0</v>
      </c>
      <c r="AL9" s="26">
        <v>0</v>
      </c>
      <c r="AM9" s="26">
        <v>0</v>
      </c>
      <c r="AN9" s="26">
        <v>0</v>
      </c>
      <c r="AO9" s="26">
        <v>0</v>
      </c>
      <c r="AP9" s="26">
        <v>0</v>
      </c>
      <c r="AQ9" s="26">
        <v>0</v>
      </c>
      <c r="AR9" s="26">
        <v>0</v>
      </c>
      <c r="AS9" s="26">
        <v>0</v>
      </c>
      <c r="AT9" s="26">
        <v>0</v>
      </c>
      <c r="AU9" s="26">
        <v>0</v>
      </c>
      <c r="AV9" s="26">
        <v>0</v>
      </c>
      <c r="AW9" s="26">
        <v>0</v>
      </c>
      <c r="AX9" s="26">
        <v>2.9471285652560102</v>
      </c>
      <c r="AY9" s="26">
        <v>2.1764136557830001E-2</v>
      </c>
      <c r="AZ9" s="26">
        <v>0</v>
      </c>
      <c r="BA9" s="26">
        <v>0</v>
      </c>
      <c r="BB9" s="26">
        <v>0</v>
      </c>
      <c r="BC9" s="26">
        <v>0</v>
      </c>
      <c r="BD9" s="26">
        <v>0</v>
      </c>
    </row>
    <row r="10" spans="1:56" ht="11.25" customHeight="1" x14ac:dyDescent="0.25">
      <c r="A10" s="131"/>
      <c r="B10" s="131" t="s">
        <v>34</v>
      </c>
      <c r="C10" s="131" t="s">
        <v>25</v>
      </c>
      <c r="D10" s="131" t="s">
        <v>25</v>
      </c>
      <c r="E10" s="131" t="s">
        <v>25</v>
      </c>
      <c r="F10" s="131" t="s">
        <v>25</v>
      </c>
      <c r="G10" s="44" t="s">
        <v>9</v>
      </c>
      <c r="H10" s="44" t="s">
        <v>79</v>
      </c>
      <c r="I10" s="44">
        <f>'MERCADO TUSD'!$U$7</f>
        <v>318117</v>
      </c>
      <c r="J10" s="18"/>
      <c r="L10" s="26">
        <f>('TUSD BE'!$L$10+'TUSD BF'!$L$10+'TUSD CVA'!$L$10)*1</f>
        <v>0</v>
      </c>
      <c r="M10" s="26">
        <f>('TUSD BE'!$M$10+'TUSD BF'!$M$10+'TUSD CVA'!$M$10)*1</f>
        <v>0</v>
      </c>
      <c r="N10" s="26">
        <f ca="1">('TUSD BE'!$N$10+'TUSD BF'!$N$10+'TUSD CVA'!$N$10)*1</f>
        <v>0</v>
      </c>
      <c r="O10" s="26">
        <f>('TUSD BE'!$O$10+'TUSD BF'!$O$10+'TUSD CVA'!$O$10)*1</f>
        <v>0</v>
      </c>
      <c r="P10" s="26">
        <f>('TUSD BE'!$P$10+'TUSD BF'!$P$10+'TUSD CVA'!$P$10)*1</f>
        <v>0</v>
      </c>
      <c r="Q10" s="26">
        <f>('TUSD BE'!$Q$10+'TUSD BF'!$Q$10+'TUSD CVA'!$Q$10)*1</f>
        <v>0</v>
      </c>
      <c r="R10" s="26">
        <f>('TUSD BE'!$R$10+'TUSD BF'!$R$10+'TUSD CVA'!$R$10)*1</f>
        <v>0</v>
      </c>
      <c r="S10" s="26">
        <f>('TUSD BE'!$S$10+'TUSD BF'!$S$10+'TUSD CVA'!$S$10)*1</f>
        <v>0</v>
      </c>
      <c r="T10" s="26">
        <f>('TUSD BE'!$U$10+'TUSD BF'!$U$10+'TUSD CVA'!$U$10)*1</f>
        <v>3.1378947828301804</v>
      </c>
      <c r="U10" s="26">
        <f>('TUSD BE'!$V$10+'TUSD BF'!$V$10+'TUSD CVA'!$V$10)*1</f>
        <v>2.4917517801161524</v>
      </c>
      <c r="V10" s="26">
        <f>('TUSD BE'!$W$10+'TUSD BF'!$W$10+'TUSD CVA'!$W$10)*1</f>
        <v>0</v>
      </c>
      <c r="W10" s="26">
        <f>('TUSD BE'!$X$10+'TUSD BF'!$X$10+'TUSD CVA'!$X$10)*1</f>
        <v>0</v>
      </c>
      <c r="X10" s="26">
        <f>('TUSD BE'!$Y$10+'TUSD BF'!$Y$10+'TUSD CVA'!$Y$10)*1</f>
        <v>4.5013534550811034</v>
      </c>
      <c r="Y10" s="26">
        <f>('TUSD BE'!$Z$10+'TUSD BF'!$Z$10+'TUSD CVA'!$Z$10)*1</f>
        <v>0</v>
      </c>
      <c r="Z10" s="26">
        <f>('TUSD BE'!$AA$10+'TUSD BF'!$AA$10+'TUSD CVA'!$AA$10)*1</f>
        <v>0</v>
      </c>
      <c r="AA10" s="26">
        <f>('TUSD BE'!$AC$10+'TUSD BF'!$AC$10+'TUSD CVA'!$AC$10)*1</f>
        <v>6.5490419111422176</v>
      </c>
      <c r="AB10" s="26">
        <f ca="1">('TUSD BE'!$AE$10+'TUSD BF'!$AE$10+'TUSD CVA'!$AE$10)*1</f>
        <v>0</v>
      </c>
      <c r="AC10" s="26">
        <f ca="1">('TUSD BE'!$AF$10+'TUSD BF'!$AF$10+'TUSD CVA'!$AF$10)*1</f>
        <v>0</v>
      </c>
      <c r="AD10" s="26">
        <f>('TUSD BE'!$AH$10+'TUSD BF'!$AH$10+'TUSD CVA'!$AH$10)*1</f>
        <v>0</v>
      </c>
      <c r="AE10" s="26">
        <f>('TUSD BE'!$AI$10+'TUSD BF'!$AI$10+'TUSD CVA'!$AI$10)*1</f>
        <v>0</v>
      </c>
      <c r="AF10" s="26">
        <f ca="1">('TUSD BE'!$AJ$10+'TUSD BF'!$AJ$10+'TUSD CVA'!$AJ$10)*1</f>
        <v>0</v>
      </c>
      <c r="AG10" s="26">
        <f ca="1">('TUSD BE'!$AK$10+'TUSD BF'!$AK$10+'TUSD CVA'!$AK$10)*1</f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4.4067726560696698</v>
      </c>
      <c r="AR10" s="26">
        <v>4.5321256403165098</v>
      </c>
      <c r="AS10" s="26">
        <v>0</v>
      </c>
      <c r="AT10" s="26">
        <v>0</v>
      </c>
      <c r="AU10" s="26">
        <v>4.5800002243392202</v>
      </c>
      <c r="AV10" s="26">
        <v>0</v>
      </c>
      <c r="AW10" s="26">
        <v>0</v>
      </c>
      <c r="AX10" s="26">
        <v>5.7050060283114101</v>
      </c>
      <c r="AY10" s="26">
        <v>9.6153308655760397E-2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</row>
    <row r="11" spans="1:56" ht="11.25" customHeight="1" x14ac:dyDescent="0.25">
      <c r="A11" s="131"/>
      <c r="B11" s="131"/>
      <c r="C11" s="131"/>
      <c r="D11" s="131"/>
      <c r="E11" s="131"/>
      <c r="F11" s="131"/>
      <c r="G11" s="44" t="s">
        <v>77</v>
      </c>
      <c r="H11" s="44" t="s">
        <v>76</v>
      </c>
      <c r="I11" s="44">
        <f>'MERCADO TUSD'!$U$8</f>
        <v>5116.8689999999997</v>
      </c>
      <c r="J11" s="18"/>
      <c r="L11" s="26">
        <f>('TUSD BE'!$L$11+'TUSD BF'!$L$11+'TUSD CVA'!$L$11)*1</f>
        <v>0</v>
      </c>
      <c r="M11" s="26">
        <f>('TUSD BE'!$M$11+'TUSD BF'!$M$11+'TUSD CVA'!$M$11)*1</f>
        <v>0.49814410358433731</v>
      </c>
      <c r="N11" s="26">
        <f ca="1">('TUSD BE'!$N$11+'TUSD BF'!$N$11+'TUSD CVA'!$N$11)*1</f>
        <v>0</v>
      </c>
      <c r="O11" s="26">
        <f>('TUSD BE'!$O$11+'TUSD BF'!$O$11+'TUSD CVA'!$O$11)*1</f>
        <v>0</v>
      </c>
      <c r="P11" s="26">
        <f>('TUSD BE'!$P$11+'TUSD BF'!$P$11+'TUSD CVA'!$P$11)*1</f>
        <v>0</v>
      </c>
      <c r="Q11" s="26">
        <f>('TUSD BE'!$Q$11+'TUSD BF'!$Q$11+'TUSD CVA'!$Q$11)*1</f>
        <v>77.501363715248516</v>
      </c>
      <c r="R11" s="26">
        <f>('TUSD BE'!$R$11+'TUSD BF'!$R$11+'TUSD CVA'!$R$11)*1</f>
        <v>14.581564549707696</v>
      </c>
      <c r="S11" s="26">
        <f>('TUSD BE'!$S$11+'TUSD BF'!$S$11+'TUSD CVA'!$S$11)*1</f>
        <v>0</v>
      </c>
      <c r="T11" s="26">
        <f>('TUSD BE'!$U$11+'TUSD BF'!$U$11+'TUSD CVA'!$U$11)*1</f>
        <v>76.589009990115755</v>
      </c>
      <c r="U11" s="26">
        <f>('TUSD BE'!$V$11+'TUSD BF'!$V$11+'TUSD CVA'!$V$11)*1</f>
        <v>60.226813782768048</v>
      </c>
      <c r="V11" s="26">
        <f>('TUSD BE'!$W$11+'TUSD BF'!$W$11+'TUSD CVA'!$W$11)*1</f>
        <v>0</v>
      </c>
      <c r="W11" s="26">
        <f>('TUSD BE'!$X$11+'TUSD BF'!$X$11+'TUSD CVA'!$X$11)*1</f>
        <v>0</v>
      </c>
      <c r="X11" s="26">
        <f>('TUSD BE'!$Y$11+'TUSD BF'!$Y$11+'TUSD CVA'!$Y$11)*1</f>
        <v>109.87098789396271</v>
      </c>
      <c r="Y11" s="26">
        <f>('TUSD BE'!$Z$11+'TUSD BF'!$Z$11+'TUSD CVA'!$Z$11)*1</f>
        <v>0</v>
      </c>
      <c r="Z11" s="26">
        <f>('TUSD BE'!$AA$11+'TUSD BF'!$AA$11+'TUSD CVA'!$AA$11)*1</f>
        <v>0</v>
      </c>
      <c r="AA11" s="26">
        <f>('TUSD BE'!$AC$11+'TUSD BF'!$AC$11+'TUSD CVA'!$AC$11)*1</f>
        <v>629.389777512823</v>
      </c>
      <c r="AB11" s="26">
        <f ca="1">('TUSD BE'!$AE$11+'TUSD BF'!$AE$11+'TUSD CVA'!$AE$11)*1</f>
        <v>0</v>
      </c>
      <c r="AC11" s="26">
        <f ca="1">('TUSD BE'!$AF$11+'TUSD BF'!$AF$11+'TUSD CVA'!$AF$11)*1</f>
        <v>0</v>
      </c>
      <c r="AD11" s="26">
        <f>('TUSD BE'!$AH$11+'TUSD BF'!$AH$11+'TUSD CVA'!$AH$11)*1</f>
        <v>7.7063674787247356</v>
      </c>
      <c r="AE11" s="26">
        <f>('TUSD BE'!$AI$11+'TUSD BF'!$AI$11+'TUSD CVA'!$AI$11)*1</f>
        <v>5.9023261310437433E-2</v>
      </c>
      <c r="AF11" s="26">
        <f ca="1">('TUSD BE'!$AJ$11+'TUSD BF'!$AJ$11+'TUSD CVA'!$AJ$11)*1</f>
        <v>0</v>
      </c>
      <c r="AG11" s="26">
        <f ca="1">('TUSD BE'!$AK$11+'TUSD BF'!$AK$11+'TUSD CVA'!$AK$11)*1</f>
        <v>0</v>
      </c>
      <c r="AI11" s="26">
        <v>0</v>
      </c>
      <c r="AJ11" s="26">
        <v>0.41914207789744001</v>
      </c>
      <c r="AK11" s="26">
        <v>0</v>
      </c>
      <c r="AL11" s="26">
        <v>0</v>
      </c>
      <c r="AM11" s="26">
        <v>0</v>
      </c>
      <c r="AN11" s="26">
        <v>49.8626855447461</v>
      </c>
      <c r="AO11" s="26">
        <v>8.9396205722802904</v>
      </c>
      <c r="AP11" s="26">
        <v>0</v>
      </c>
      <c r="AQ11" s="26">
        <v>107.560584784526</v>
      </c>
      <c r="AR11" s="26">
        <v>109.542471898776</v>
      </c>
      <c r="AS11" s="26">
        <v>0</v>
      </c>
      <c r="AT11" s="26">
        <v>0</v>
      </c>
      <c r="AU11" s="26">
        <v>111.791814225736</v>
      </c>
      <c r="AV11" s="26">
        <v>0</v>
      </c>
      <c r="AW11" s="26">
        <v>0</v>
      </c>
      <c r="AX11" s="26">
        <v>548.27656989525303</v>
      </c>
      <c r="AY11" s="26">
        <v>5.6871959868068398</v>
      </c>
      <c r="AZ11" s="26">
        <v>0</v>
      </c>
      <c r="BA11" s="26">
        <v>6.0689132853621599</v>
      </c>
      <c r="BB11" s="26">
        <v>0</v>
      </c>
      <c r="BC11" s="26">
        <v>0</v>
      </c>
      <c r="BD11" s="26">
        <v>0</v>
      </c>
    </row>
    <row r="12" spans="1:56" ht="11.25" customHeight="1" x14ac:dyDescent="0.25">
      <c r="A12" s="131"/>
      <c r="B12" s="131"/>
      <c r="C12" s="131"/>
      <c r="D12" s="131"/>
      <c r="E12" s="131"/>
      <c r="F12" s="131"/>
      <c r="G12" s="44" t="s">
        <v>78</v>
      </c>
      <c r="H12" s="44" t="s">
        <v>76</v>
      </c>
      <c r="I12" s="44">
        <f>'MERCADO TUSD'!$U$9</f>
        <v>80201.053999999989</v>
      </c>
      <c r="J12" s="18"/>
      <c r="L12" s="26">
        <f>('TUSD BE'!$L$12+'TUSD BF'!$L$12+'TUSD CVA'!$L$12)*1</f>
        <v>0</v>
      </c>
      <c r="M12" s="26">
        <f>('TUSD BE'!$M$12+'TUSD BF'!$M$12+'TUSD CVA'!$M$12)*1</f>
        <v>0.49814410358433731</v>
      </c>
      <c r="N12" s="26">
        <f ca="1">('TUSD BE'!$N$12+'TUSD BF'!$N$12+'TUSD CVA'!$N$12)*1</f>
        <v>0</v>
      </c>
      <c r="O12" s="26">
        <f>('TUSD BE'!$O$12+'TUSD BF'!$O$12+'TUSD CVA'!$O$12)*1</f>
        <v>0</v>
      </c>
      <c r="P12" s="26">
        <f>('TUSD BE'!$P$12+'TUSD BF'!$P$12+'TUSD CVA'!$P$12)*1</f>
        <v>0</v>
      </c>
      <c r="Q12" s="26">
        <f>('TUSD BE'!$Q$12+'TUSD BF'!$Q$12+'TUSD CVA'!$Q$12)*1</f>
        <v>77.501363715248516</v>
      </c>
      <c r="R12" s="26">
        <f>('TUSD BE'!$R$12+'TUSD BF'!$R$12+'TUSD CVA'!$R$12)*1</f>
        <v>14.581564549707696</v>
      </c>
      <c r="S12" s="26">
        <f>('TUSD BE'!$S$12+'TUSD BF'!$S$12+'TUSD CVA'!$S$12)*1</f>
        <v>0</v>
      </c>
      <c r="T12" s="26">
        <f>('TUSD BE'!$U$12+'TUSD BF'!$U$12+'TUSD CVA'!$U$12)*1</f>
        <v>0</v>
      </c>
      <c r="U12" s="26">
        <f>('TUSD BE'!$V$12+'TUSD BF'!$V$12+'TUSD CVA'!$V$12)*1</f>
        <v>0</v>
      </c>
      <c r="V12" s="26">
        <f>('TUSD BE'!$W$12+'TUSD BF'!$W$12+'TUSD CVA'!$W$12)*1</f>
        <v>0</v>
      </c>
      <c r="W12" s="26">
        <f>('TUSD BE'!$X$12+'TUSD BF'!$X$12+'TUSD CVA'!$X$12)*1</f>
        <v>0</v>
      </c>
      <c r="X12" s="26">
        <f>('TUSD BE'!$Y$12+'TUSD BF'!$Y$12+'TUSD CVA'!$Y$12)*1</f>
        <v>0</v>
      </c>
      <c r="Y12" s="26">
        <f>('TUSD BE'!$Z$12+'TUSD BF'!$Z$12+'TUSD CVA'!$Z$12)*1</f>
        <v>0</v>
      </c>
      <c r="Z12" s="26">
        <f>('TUSD BE'!$AA$12+'TUSD BF'!$AA$12+'TUSD CVA'!$AA$12)*1</f>
        <v>0</v>
      </c>
      <c r="AA12" s="26">
        <f>('TUSD BE'!$AC$12+'TUSD BF'!$AC$12+'TUSD CVA'!$AC$12)*1</f>
        <v>0</v>
      </c>
      <c r="AB12" s="26">
        <f ca="1">('TUSD BE'!$AE$12+'TUSD BF'!$AE$12+'TUSD CVA'!$AE$12)*1</f>
        <v>0</v>
      </c>
      <c r="AC12" s="26">
        <f ca="1">('TUSD BE'!$AF$12+'TUSD BF'!$AF$12+'TUSD CVA'!$AF$12)*1</f>
        <v>0</v>
      </c>
      <c r="AD12" s="26">
        <f>('TUSD BE'!$AH$12+'TUSD BF'!$AH$12+'TUSD CVA'!$AH$12)*1</f>
        <v>7.7063674787247356</v>
      </c>
      <c r="AE12" s="26">
        <f>('TUSD BE'!$AI$12+'TUSD BF'!$AI$12+'TUSD CVA'!$AI$12)*1</f>
        <v>5.9023261310437433E-2</v>
      </c>
      <c r="AF12" s="26">
        <f ca="1">('TUSD BE'!$AJ$12+'TUSD BF'!$AJ$12+'TUSD CVA'!$AJ$12)*1</f>
        <v>0</v>
      </c>
      <c r="AG12" s="26">
        <f ca="1">('TUSD BE'!$AK$12+'TUSD BF'!$AK$12+'TUSD CVA'!$AK$12)*1</f>
        <v>0</v>
      </c>
      <c r="AI12" s="26">
        <v>0</v>
      </c>
      <c r="AJ12" s="26">
        <v>0.41914207789744001</v>
      </c>
      <c r="AK12" s="26">
        <v>0</v>
      </c>
      <c r="AL12" s="26">
        <v>0</v>
      </c>
      <c r="AM12" s="26">
        <v>0</v>
      </c>
      <c r="AN12" s="26">
        <v>49.8626855447461</v>
      </c>
      <c r="AO12" s="26">
        <v>8.9396205722802904</v>
      </c>
      <c r="AP12" s="26">
        <v>0</v>
      </c>
      <c r="AQ12" s="26">
        <v>0</v>
      </c>
      <c r="AR12" s="26">
        <v>0</v>
      </c>
      <c r="AS12" s="26">
        <v>0</v>
      </c>
      <c r="AT12" s="26">
        <v>0</v>
      </c>
      <c r="AU12" s="26">
        <v>0</v>
      </c>
      <c r="AV12" s="26">
        <v>0</v>
      </c>
      <c r="AW12" s="26">
        <v>0</v>
      </c>
      <c r="AX12" s="26">
        <v>0</v>
      </c>
      <c r="AY12" s="26">
        <v>0.323644113940731</v>
      </c>
      <c r="AZ12" s="26">
        <v>0</v>
      </c>
      <c r="BA12" s="26">
        <v>6.0689132853621599</v>
      </c>
      <c r="BB12" s="26">
        <v>0</v>
      </c>
      <c r="BC12" s="26">
        <v>0</v>
      </c>
      <c r="BD12" s="26">
        <v>0</v>
      </c>
    </row>
    <row r="13" spans="1:56" ht="11.25" customHeight="1" x14ac:dyDescent="0.25">
      <c r="A13" s="131"/>
      <c r="B13" s="131"/>
      <c r="C13" s="131"/>
      <c r="D13" s="131"/>
      <c r="E13" s="131" t="s">
        <v>83</v>
      </c>
      <c r="F13" s="131" t="s">
        <v>25</v>
      </c>
      <c r="G13" s="44" t="s">
        <v>77</v>
      </c>
      <c r="H13" s="44" t="s">
        <v>76</v>
      </c>
      <c r="I13" s="44">
        <f>'MERCADO TUSD'!$U$10</f>
        <v>0</v>
      </c>
      <c r="J13" s="18"/>
      <c r="L13" s="26">
        <f>('TUSD BE'!$L$13+'TUSD BF'!$L$13+'TUSD CVA'!$L$13)*1</f>
        <v>0</v>
      </c>
      <c r="M13" s="26">
        <f>('TUSD BE'!$M$13+'TUSD BF'!$M$13+'TUSD CVA'!$M$13)*1</f>
        <v>0.49814410358433731</v>
      </c>
      <c r="N13" s="26">
        <f ca="1">('TUSD BE'!$N$13+'TUSD BF'!$N$13+'TUSD CVA'!$N$13)*1</f>
        <v>0</v>
      </c>
      <c r="O13" s="26">
        <f>('TUSD BE'!$O$13+'TUSD BF'!$O$13+'TUSD CVA'!$O$13)*1</f>
        <v>0</v>
      </c>
      <c r="P13" s="26">
        <f>('TUSD BE'!$P$13+'TUSD BF'!$P$13+'TUSD CVA'!$P$13)*1</f>
        <v>0</v>
      </c>
      <c r="Q13" s="26">
        <f>('TUSD BE'!$Q$13+'TUSD BF'!$Q$13+'TUSD CVA'!$Q$13)*1</f>
        <v>0</v>
      </c>
      <c r="R13" s="26">
        <f>('TUSD BE'!$R$13+'TUSD BF'!$R$13+'TUSD CVA'!$R$13)*1</f>
        <v>0</v>
      </c>
      <c r="S13" s="26">
        <f>('TUSD BE'!$S$13+'TUSD BF'!$S$13+'TUSD CVA'!$S$13)*1</f>
        <v>0</v>
      </c>
      <c r="T13" s="26">
        <f>('TUSD BE'!$U$13+'TUSD BF'!$U$13+'TUSD CVA'!$U$13)*1</f>
        <v>76.589009990115755</v>
      </c>
      <c r="U13" s="26">
        <f>('TUSD BE'!$V$13+'TUSD BF'!$V$13+'TUSD CVA'!$V$13)*1</f>
        <v>60.226813782768048</v>
      </c>
      <c r="V13" s="26">
        <f>('TUSD BE'!$W$13+'TUSD BF'!$W$13+'TUSD CVA'!$W$13)*1</f>
        <v>0</v>
      </c>
      <c r="W13" s="26">
        <f>('TUSD BE'!$X$13+'TUSD BF'!$X$13+'TUSD CVA'!$X$13)*1</f>
        <v>0</v>
      </c>
      <c r="X13" s="26">
        <f>('TUSD BE'!$Y$13+'TUSD BF'!$Y$13+'TUSD CVA'!$Y$13)*1</f>
        <v>109.87098789396271</v>
      </c>
      <c r="Y13" s="26">
        <f>('TUSD BE'!$Z$13+'TUSD BF'!$Z$13+'TUSD CVA'!$Z$13)*1</f>
        <v>0</v>
      </c>
      <c r="Z13" s="26">
        <f>('TUSD BE'!$AA$13+'TUSD BF'!$AA$13+'TUSD CVA'!$AA$13)*1</f>
        <v>0</v>
      </c>
      <c r="AA13" s="26">
        <f>('TUSD BE'!$AC$13+'TUSD BF'!$AC$13+'TUSD CVA'!$AC$13)*1</f>
        <v>629.389777512823</v>
      </c>
      <c r="AB13" s="26">
        <f ca="1">('TUSD BE'!$AE$13+'TUSD BF'!$AE$13+'TUSD CVA'!$AE$13)*1</f>
        <v>0</v>
      </c>
      <c r="AC13" s="26">
        <f ca="1">('TUSD BE'!$AF$13+'TUSD BF'!$AF$13+'TUSD CVA'!$AF$13)*1</f>
        <v>0</v>
      </c>
      <c r="AD13" s="26">
        <f>('TUSD BE'!$AH$13+'TUSD BF'!$AH$13+'TUSD CVA'!$AH$13)*1</f>
        <v>7.7063674787247356</v>
      </c>
      <c r="AE13" s="26">
        <f>('TUSD BE'!$AI$13+'TUSD BF'!$AI$13+'TUSD CVA'!$AI$13)*1</f>
        <v>5.9023261310437433E-2</v>
      </c>
      <c r="AF13" s="26">
        <f ca="1">('TUSD BE'!$AJ$13+'TUSD BF'!$AJ$13+'TUSD CVA'!$AJ$13)*1</f>
        <v>0</v>
      </c>
      <c r="AG13" s="26">
        <f ca="1">('TUSD BE'!$AK$13+'TUSD BF'!$AK$13+'TUSD CVA'!$AK$13)*1</f>
        <v>0</v>
      </c>
      <c r="AI13" s="26">
        <v>0</v>
      </c>
      <c r="AJ13" s="26">
        <v>0.41914207789744001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107.560584784526</v>
      </c>
      <c r="AR13" s="26">
        <v>109.542471898776</v>
      </c>
      <c r="AS13" s="26">
        <v>0</v>
      </c>
      <c r="AT13" s="26">
        <v>0</v>
      </c>
      <c r="AU13" s="26">
        <v>111.791814225736</v>
      </c>
      <c r="AV13" s="26">
        <v>0</v>
      </c>
      <c r="AW13" s="26">
        <v>0</v>
      </c>
      <c r="AX13" s="26">
        <v>548.27656989525303</v>
      </c>
      <c r="AY13" s="26">
        <v>5.3920430852781198</v>
      </c>
      <c r="AZ13" s="26">
        <v>0</v>
      </c>
      <c r="BA13" s="26">
        <v>6.0689132853621599</v>
      </c>
      <c r="BB13" s="26">
        <v>0</v>
      </c>
      <c r="BC13" s="26">
        <v>0</v>
      </c>
      <c r="BD13" s="26">
        <v>0</v>
      </c>
    </row>
    <row r="14" spans="1:56" ht="11.25" customHeight="1" x14ac:dyDescent="0.25">
      <c r="A14" s="131"/>
      <c r="B14" s="131"/>
      <c r="C14" s="131"/>
      <c r="D14" s="131"/>
      <c r="E14" s="131"/>
      <c r="F14" s="131"/>
      <c r="G14" s="44" t="s">
        <v>78</v>
      </c>
      <c r="H14" s="44" t="s">
        <v>76</v>
      </c>
      <c r="I14" s="44">
        <f>'MERCADO TUSD'!$U$11</f>
        <v>0</v>
      </c>
      <c r="J14" s="18"/>
      <c r="L14" s="26">
        <f>('TUSD BE'!$L$14+'TUSD BF'!$L$14+'TUSD CVA'!$L$14)*1</f>
        <v>0</v>
      </c>
      <c r="M14" s="26">
        <f>('TUSD BE'!$M$14+'TUSD BF'!$M$14+'TUSD CVA'!$M$14)*1</f>
        <v>0.49814410358433731</v>
      </c>
      <c r="N14" s="26">
        <f ca="1">('TUSD BE'!$N$14+'TUSD BF'!$N$14+'TUSD CVA'!$N$14)*1</f>
        <v>0</v>
      </c>
      <c r="O14" s="26">
        <f>('TUSD BE'!$O$14+'TUSD BF'!$O$14+'TUSD CVA'!$O$14)*1</f>
        <v>0</v>
      </c>
      <c r="P14" s="26">
        <f>('TUSD BE'!$P$14+'TUSD BF'!$P$14+'TUSD CVA'!$P$14)*1</f>
        <v>0</v>
      </c>
      <c r="Q14" s="26">
        <f>('TUSD BE'!$Q$14+'TUSD BF'!$Q$14+'TUSD CVA'!$Q$14)*1</f>
        <v>0</v>
      </c>
      <c r="R14" s="26">
        <f>('TUSD BE'!$R$14+'TUSD BF'!$R$14+'TUSD CVA'!$R$14)*1</f>
        <v>0</v>
      </c>
      <c r="S14" s="26">
        <f>('TUSD BE'!$S$14+'TUSD BF'!$S$14+'TUSD CVA'!$S$14)*1</f>
        <v>0</v>
      </c>
      <c r="T14" s="26">
        <f>('TUSD BE'!$U$14+'TUSD BF'!$U$14+'TUSD CVA'!$U$14)*1</f>
        <v>0</v>
      </c>
      <c r="U14" s="26">
        <f>('TUSD BE'!$V$14+'TUSD BF'!$V$14+'TUSD CVA'!$V$14)*1</f>
        <v>0</v>
      </c>
      <c r="V14" s="26">
        <f>('TUSD BE'!$W$14+'TUSD BF'!$W$14+'TUSD CVA'!$W$14)*1</f>
        <v>0</v>
      </c>
      <c r="W14" s="26">
        <f>('TUSD BE'!$X$14+'TUSD BF'!$X$14+'TUSD CVA'!$X$14)*1</f>
        <v>0</v>
      </c>
      <c r="X14" s="26">
        <f>('TUSD BE'!$Y$14+'TUSD BF'!$Y$14+'TUSD CVA'!$Y$14)*1</f>
        <v>0</v>
      </c>
      <c r="Y14" s="26">
        <f>('TUSD BE'!$Z$14+'TUSD BF'!$Z$14+'TUSD CVA'!$Z$14)*1</f>
        <v>0</v>
      </c>
      <c r="Z14" s="26">
        <f>('TUSD BE'!$AA$14+'TUSD BF'!$AA$14+'TUSD CVA'!$AA$14)*1</f>
        <v>0</v>
      </c>
      <c r="AA14" s="26">
        <f>('TUSD BE'!$AC$14+'TUSD BF'!$AC$14+'TUSD CVA'!$AC$14)*1</f>
        <v>0</v>
      </c>
      <c r="AB14" s="26">
        <f ca="1">('TUSD BE'!$AE$14+'TUSD BF'!$AE$14+'TUSD CVA'!$AE$14)*1</f>
        <v>0</v>
      </c>
      <c r="AC14" s="26">
        <f ca="1">('TUSD BE'!$AF$14+'TUSD BF'!$AF$14+'TUSD CVA'!$AF$14)*1</f>
        <v>0</v>
      </c>
      <c r="AD14" s="26">
        <f>('TUSD BE'!$AH$14+'TUSD BF'!$AH$14+'TUSD CVA'!$AH$14)*1</f>
        <v>7.7063674787247356</v>
      </c>
      <c r="AE14" s="26">
        <f>('TUSD BE'!$AI$14+'TUSD BF'!$AI$14+'TUSD CVA'!$AI$14)*1</f>
        <v>5.9023261310437433E-2</v>
      </c>
      <c r="AF14" s="26">
        <f ca="1">('TUSD BE'!$AJ$14+'TUSD BF'!$AJ$14+'TUSD CVA'!$AJ$14)*1</f>
        <v>0</v>
      </c>
      <c r="AG14" s="26">
        <f ca="1">('TUSD BE'!$AK$14+'TUSD BF'!$AK$14+'TUSD CVA'!$AK$14)*1</f>
        <v>0</v>
      </c>
      <c r="AI14" s="26">
        <v>0</v>
      </c>
      <c r="AJ14" s="26">
        <v>0.41914207789744001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  <c r="AR14" s="26">
        <v>0</v>
      </c>
      <c r="AS14" s="26">
        <v>0</v>
      </c>
      <c r="AT14" s="26">
        <v>0</v>
      </c>
      <c r="AU14" s="26">
        <v>0</v>
      </c>
      <c r="AV14" s="26">
        <v>0</v>
      </c>
      <c r="AW14" s="26">
        <v>0</v>
      </c>
      <c r="AX14" s="26">
        <v>0</v>
      </c>
      <c r="AY14" s="26">
        <v>2.8491212412007801E-2</v>
      </c>
      <c r="AZ14" s="26">
        <v>0</v>
      </c>
      <c r="BA14" s="26">
        <v>6.0689132853621599</v>
      </c>
      <c r="BB14" s="26">
        <v>0</v>
      </c>
      <c r="BC14" s="26">
        <v>0</v>
      </c>
      <c r="BD14" s="26">
        <v>0</v>
      </c>
    </row>
    <row r="15" spans="1:56" ht="11.25" customHeight="1" x14ac:dyDescent="0.25">
      <c r="A15" s="131" t="s">
        <v>85</v>
      </c>
      <c r="B15" s="131" t="s">
        <v>84</v>
      </c>
      <c r="C15" s="131" t="s">
        <v>25</v>
      </c>
      <c r="D15" s="131" t="s">
        <v>25</v>
      </c>
      <c r="E15" s="86" t="s">
        <v>86</v>
      </c>
      <c r="F15" s="86" t="s">
        <v>25</v>
      </c>
      <c r="G15" s="44" t="s">
        <v>9</v>
      </c>
      <c r="H15" s="44" t="s">
        <v>79</v>
      </c>
      <c r="I15" s="44">
        <f>'MERCADO TUSD'!$U$12+0.00000001</f>
        <v>1E-8</v>
      </c>
      <c r="J15" s="18"/>
      <c r="L15" s="26">
        <f>('TUSD BE'!$L$15+'TUSD BF'!$L$15+'TUSD CVA'!$L$15)*1</f>
        <v>0</v>
      </c>
      <c r="M15" s="26">
        <f>('TUSD BE'!$M$15+'TUSD BF'!$M$15+'TUSD CVA'!$M$15)*1</f>
        <v>0</v>
      </c>
      <c r="N15" s="26">
        <f ca="1">('TUSD BE'!$N$15+'TUSD BF'!$N$15+'TUSD CVA'!$N$15)*1</f>
        <v>0</v>
      </c>
      <c r="O15" s="26">
        <f>('TUSD BE'!$O$15+'TUSD BF'!$O$15+'TUSD CVA'!$O$15)*1</f>
        <v>0</v>
      </c>
      <c r="P15" s="26">
        <f>('TUSD BE'!$P$15+'TUSD BF'!$P$15+'TUSD CVA'!$P$15)*1</f>
        <v>0</v>
      </c>
      <c r="Q15" s="26">
        <f>('TUSD BE'!$Q$15+'TUSD BF'!$Q$15+'TUSD CVA'!$Q$15)*1</f>
        <v>0</v>
      </c>
      <c r="R15" s="26">
        <f>('TUSD BE'!$R$15+'TUSD BF'!$R$15+'TUSD CVA'!$R$15)*1</f>
        <v>0</v>
      </c>
      <c r="S15" s="26">
        <f>('TUSD BE'!$S$15+'TUSD BF'!$S$15+'TUSD CVA'!$S$15)*1</f>
        <v>0</v>
      </c>
      <c r="T15" s="26">
        <f>('TUSD BE'!$U$15+'TUSD BF'!$U$15+'TUSD CVA'!$U$15)*1</f>
        <v>0</v>
      </c>
      <c r="U15" s="26">
        <f>('TUSD BE'!$V$15+'TUSD BF'!$V$15+'TUSD CVA'!$V$15)*1</f>
        <v>0</v>
      </c>
      <c r="V15" s="26">
        <f>('TUSD BE'!$W$15+'TUSD BF'!$W$15+'TUSD CVA'!$W$15)*1</f>
        <v>0</v>
      </c>
      <c r="W15" s="26">
        <f>('TUSD BE'!$X$15+'TUSD BF'!$X$15+'TUSD CVA'!$X$15)*1</f>
        <v>0</v>
      </c>
      <c r="X15" s="26">
        <f>('TUSD BE'!$Y$15+'TUSD BF'!$Y$15+'TUSD CVA'!$Y$15)*1</f>
        <v>0</v>
      </c>
      <c r="Y15" s="26">
        <f>('TUSD BE'!$Z$15+'TUSD BF'!$Z$15+'TUSD CVA'!$Z$15)*1</f>
        <v>0</v>
      </c>
      <c r="Z15" s="26">
        <f>('TUSD BE'!$AA$15+'TUSD BF'!$AA$15+'TUSD CVA'!$AA$15)*1</f>
        <v>0</v>
      </c>
      <c r="AA15" s="26">
        <f>('TUSD BE'!$AC$15+'TUSD BF'!$AC$15+'TUSD CVA'!$AC$15)*1</f>
        <v>3.7783781957109355</v>
      </c>
      <c r="AB15" s="26">
        <f ca="1">('TUSD BE'!$AE$15+'TUSD BF'!$AE$15+'TUSD CVA'!$AE$15)*1</f>
        <v>0</v>
      </c>
      <c r="AC15" s="26">
        <f ca="1">('TUSD BE'!$AF$15+'TUSD BF'!$AF$15+'TUSD CVA'!$AF$15)*1</f>
        <v>0</v>
      </c>
      <c r="AD15" s="26">
        <f>('TUSD BE'!$AH$15+'TUSD BF'!$AH$15+'TUSD CVA'!$AH$15)*1</f>
        <v>0</v>
      </c>
      <c r="AE15" s="26">
        <f>('TUSD BE'!$AI$15+'TUSD BF'!$AI$15+'TUSD CVA'!$AI$15)*1</f>
        <v>0</v>
      </c>
      <c r="AF15" s="26">
        <f ca="1">('TUSD BE'!$AJ$15+'TUSD BF'!$AJ$15+'TUSD CVA'!$AJ$15)*1</f>
        <v>0</v>
      </c>
      <c r="AG15" s="26">
        <f ca="1">('TUSD BE'!$AK$15+'TUSD BF'!$AK$15+'TUSD CVA'!$AK$15)*1</f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</row>
    <row r="16" spans="1:56" ht="11.25" customHeight="1" x14ac:dyDescent="0.25">
      <c r="A16" s="131"/>
      <c r="B16" s="131"/>
      <c r="C16" s="131"/>
      <c r="D16" s="131"/>
      <c r="E16" s="86" t="s">
        <v>87</v>
      </c>
      <c r="F16" s="86" t="s">
        <v>25</v>
      </c>
      <c r="G16" s="44" t="s">
        <v>9</v>
      </c>
      <c r="H16" s="44" t="s">
        <v>79</v>
      </c>
      <c r="I16" s="44">
        <f>'MERCADO TUSD'!$U$13+0.00000001</f>
        <v>1E-8</v>
      </c>
      <c r="J16" s="18"/>
      <c r="L16" s="26">
        <f>('TUSD BE'!$L$16+'TUSD BF'!$L$16+'TUSD CVA'!$L$16)*1</f>
        <v>0</v>
      </c>
      <c r="M16" s="26">
        <f>('TUSD BE'!$M$16+'TUSD BF'!$M$16+'TUSD CVA'!$M$16)*1</f>
        <v>0</v>
      </c>
      <c r="N16" s="26">
        <f ca="1">('TUSD BE'!$N$16+'TUSD BF'!$N$16+'TUSD CVA'!$N$16)*1</f>
        <v>0</v>
      </c>
      <c r="O16" s="26">
        <f>('TUSD BE'!$O$16+'TUSD BF'!$O$16+'TUSD CVA'!$O$16)*1</f>
        <v>0</v>
      </c>
      <c r="P16" s="26">
        <f>('TUSD BE'!$P$16+'TUSD BF'!$P$16+'TUSD CVA'!$P$16)*1</f>
        <v>0</v>
      </c>
      <c r="Q16" s="26">
        <f>('TUSD BE'!$Q$16+'TUSD BF'!$Q$16+'TUSD CVA'!$Q$16)*1</f>
        <v>0</v>
      </c>
      <c r="R16" s="26">
        <f>('TUSD BE'!$R$16+'TUSD BF'!$R$16+'TUSD CVA'!$R$16)*1</f>
        <v>0</v>
      </c>
      <c r="S16" s="26">
        <f>('TUSD BE'!$S$16+'TUSD BF'!$S$16+'TUSD CVA'!$S$16)*1</f>
        <v>0</v>
      </c>
      <c r="T16" s="26">
        <f>('TUSD BE'!$U$16+'TUSD BF'!$U$16+'TUSD CVA'!$U$16)*1</f>
        <v>0</v>
      </c>
      <c r="U16" s="26">
        <f>('TUSD BE'!$V$16+'TUSD BF'!$V$16+'TUSD CVA'!$V$16)*1</f>
        <v>0</v>
      </c>
      <c r="V16" s="26">
        <f>('TUSD BE'!$W$16+'TUSD BF'!$W$16+'TUSD CVA'!$W$16)*1</f>
        <v>0</v>
      </c>
      <c r="W16" s="26">
        <f>('TUSD BE'!$X$16+'TUSD BF'!$X$16+'TUSD CVA'!$X$16)*1</f>
        <v>0</v>
      </c>
      <c r="X16" s="26">
        <f>('TUSD BE'!$Y$16+'TUSD BF'!$Y$16+'TUSD CVA'!$Y$16)*1</f>
        <v>0</v>
      </c>
      <c r="Y16" s="26">
        <f>('TUSD BE'!$Z$16+'TUSD BF'!$Z$16+'TUSD CVA'!$Z$16)*1</f>
        <v>0</v>
      </c>
      <c r="Z16" s="26">
        <f>('TUSD BE'!$AA$16+'TUSD BF'!$AA$16+'TUSD CVA'!$AA$16)*1</f>
        <v>0</v>
      </c>
      <c r="AA16" s="26">
        <f>('TUSD BE'!$AC$16+'TUSD BF'!$AC$16+'TUSD CVA'!$AC$16)*1</f>
        <v>7.6862294054405931</v>
      </c>
      <c r="AB16" s="26">
        <f ca="1">('TUSD BE'!$AE$16+'TUSD BF'!$AE$16+'TUSD CVA'!$AE$16)*1</f>
        <v>0</v>
      </c>
      <c r="AC16" s="26">
        <f ca="1">('TUSD BE'!$AF$16+'TUSD BF'!$AF$16+'TUSD CVA'!$AF$16)*1</f>
        <v>0</v>
      </c>
      <c r="AD16" s="26">
        <f>('TUSD BE'!$AH$16+'TUSD BF'!$AH$16+'TUSD CVA'!$AH$16)*1</f>
        <v>0</v>
      </c>
      <c r="AE16" s="26">
        <f>('TUSD BE'!$AI$16+'TUSD BF'!$AI$16+'TUSD CVA'!$AI$16)*1</f>
        <v>0</v>
      </c>
      <c r="AF16" s="26">
        <f ca="1">('TUSD BE'!$AJ$16+'TUSD BF'!$AJ$16+'TUSD CVA'!$AJ$16)*1</f>
        <v>0</v>
      </c>
      <c r="AG16" s="26">
        <f ca="1">('TUSD BE'!$AK$16+'TUSD BF'!$AK$16+'TUSD CVA'!$AK$16)*1</f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</row>
    <row r="17" spans="1:56" ht="11.25" customHeight="1" x14ac:dyDescent="0.25">
      <c r="A17" s="131" t="s">
        <v>22</v>
      </c>
      <c r="B17" s="131" t="s">
        <v>37</v>
      </c>
      <c r="C17" s="131" t="s">
        <v>24</v>
      </c>
      <c r="D17" s="131" t="s">
        <v>24</v>
      </c>
      <c r="E17" s="131" t="s">
        <v>25</v>
      </c>
      <c r="F17" s="131" t="s">
        <v>25</v>
      </c>
      <c r="G17" s="44" t="s">
        <v>77</v>
      </c>
      <c r="H17" s="44" t="s">
        <v>76</v>
      </c>
      <c r="I17" s="44">
        <f>'MERCADO TUSD'!$U$14</f>
        <v>4.6139999999999999</v>
      </c>
      <c r="J17" s="18"/>
      <c r="L17" s="26">
        <f>('TUSD BE'!$L$17+'TUSD BF'!$L$17+'TUSD CVA'!$L$17)*1</f>
        <v>0</v>
      </c>
      <c r="M17" s="26">
        <f>('TUSD BE'!$M$17+'TUSD BF'!$M$17+'TUSD CVA'!$M$17)*1</f>
        <v>1.1765423397400243</v>
      </c>
      <c r="N17" s="26">
        <f ca="1">('TUSD BE'!$N$17+'TUSD BF'!$N$17+'TUSD CVA'!$N$17)*1</f>
        <v>0</v>
      </c>
      <c r="O17" s="26">
        <f>('TUSD BE'!$O$17+'TUSD BF'!$O$17+'TUSD CVA'!$O$17)*1</f>
        <v>0</v>
      </c>
      <c r="P17" s="26">
        <f>('TUSD BE'!$P$17+'TUSD BF'!$P$17+'TUSD CVA'!$P$17)*1</f>
        <v>0</v>
      </c>
      <c r="Q17" s="26">
        <f>('TUSD BE'!$Q$17+'TUSD BF'!$Q$17+'TUSD CVA'!$Q$17)*1</f>
        <v>92.263528232438702</v>
      </c>
      <c r="R17" s="26">
        <f>('TUSD BE'!$R$17+'TUSD BF'!$R$17+'TUSD CVA'!$R$17)*1</f>
        <v>14.581564549707696</v>
      </c>
      <c r="S17" s="26">
        <f>('TUSD BE'!$S$17+'TUSD BF'!$S$17+'TUSD CVA'!$S$17)*1</f>
        <v>0</v>
      </c>
      <c r="T17" s="26">
        <f>('TUSD BE'!$U$17+'TUSD BF'!$U$17+'TUSD CVA'!$U$17)*1</f>
        <v>36.277111758894058</v>
      </c>
      <c r="U17" s="26">
        <f>('TUSD BE'!$V$17+'TUSD BF'!$V$17+'TUSD CVA'!$V$17)*1</f>
        <v>28.6321081107276</v>
      </c>
      <c r="V17" s="26">
        <f>('TUSD BE'!$W$17+'TUSD BF'!$W$17+'TUSD CVA'!$W$17)*1</f>
        <v>0</v>
      </c>
      <c r="W17" s="26">
        <f>('TUSD BE'!$X$17+'TUSD BF'!$X$17+'TUSD CVA'!$X$17)*1</f>
        <v>0</v>
      </c>
      <c r="X17" s="26">
        <f>('TUSD BE'!$Y$17+'TUSD BF'!$Y$17+'TUSD CVA'!$Y$17)*1</f>
        <v>52.041483046364881</v>
      </c>
      <c r="Y17" s="26">
        <f>('TUSD BE'!$Z$17+'TUSD BF'!$Z$17+'TUSD CVA'!$Z$17)*1</f>
        <v>0</v>
      </c>
      <c r="Z17" s="26">
        <f>('TUSD BE'!$AA$17+'TUSD BF'!$AA$17+'TUSD CVA'!$AA$17)*1</f>
        <v>0</v>
      </c>
      <c r="AA17" s="26">
        <f>('TUSD BE'!$AC$17+'TUSD BF'!$AC$17+'TUSD CVA'!$AC$17)*1</f>
        <v>369.308105076027</v>
      </c>
      <c r="AB17" s="26">
        <f ca="1">('TUSD BE'!$AE$17+'TUSD BF'!$AE$17+'TUSD CVA'!$AE$17)*1</f>
        <v>0</v>
      </c>
      <c r="AC17" s="26">
        <f ca="1">('TUSD BE'!$AF$17+'TUSD BF'!$AF$17+'TUSD CVA'!$AF$17)*1</f>
        <v>0</v>
      </c>
      <c r="AD17" s="26">
        <f>('TUSD BE'!$AH$17+'TUSD BF'!$AH$17+'TUSD CVA'!$AH$17)*1</f>
        <v>17.446482312309563</v>
      </c>
      <c r="AE17" s="26">
        <f>('TUSD BE'!$AI$17+'TUSD BF'!$AI$17+'TUSD CVA'!$AI$17)*1</f>
        <v>0.13362304449018783</v>
      </c>
      <c r="AF17" s="26">
        <f ca="1">('TUSD BE'!$AJ$17+'TUSD BF'!$AJ$17+'TUSD CVA'!$AJ$17)*1</f>
        <v>0</v>
      </c>
      <c r="AG17" s="26">
        <f ca="1">('TUSD BE'!$AK$17+'TUSD BF'!$AK$17+'TUSD CVA'!$AK$17)*1</f>
        <v>0</v>
      </c>
      <c r="AI17" s="26">
        <v>0</v>
      </c>
      <c r="AJ17" s="26">
        <v>1.02720797757391</v>
      </c>
      <c r="AK17" s="26">
        <v>0</v>
      </c>
      <c r="AL17" s="26">
        <v>0</v>
      </c>
      <c r="AM17" s="26">
        <v>0</v>
      </c>
      <c r="AN17" s="26">
        <v>57.3134316606277</v>
      </c>
      <c r="AO17" s="26">
        <v>8.9396205722802904</v>
      </c>
      <c r="AP17" s="26">
        <v>0</v>
      </c>
      <c r="AQ17" s="26">
        <v>50.947089273441598</v>
      </c>
      <c r="AR17" s="26">
        <v>52.076945461922101</v>
      </c>
      <c r="AS17" s="26">
        <v>0</v>
      </c>
      <c r="AT17" s="26">
        <v>0</v>
      </c>
      <c r="AU17" s="26">
        <v>52.951288960943202</v>
      </c>
      <c r="AV17" s="26">
        <v>0</v>
      </c>
      <c r="AW17" s="26">
        <v>0</v>
      </c>
      <c r="AX17" s="26">
        <v>321.71316913107199</v>
      </c>
      <c r="AY17" s="26">
        <v>3.39668310428037</v>
      </c>
      <c r="AZ17" s="26">
        <v>0</v>
      </c>
      <c r="BA17" s="26">
        <v>13.739395002697499</v>
      </c>
      <c r="BB17" s="26">
        <v>0</v>
      </c>
      <c r="BC17" s="26">
        <v>0</v>
      </c>
      <c r="BD17" s="26">
        <v>0</v>
      </c>
    </row>
    <row r="18" spans="1:56" ht="11.25" customHeight="1" x14ac:dyDescent="0.25">
      <c r="A18" s="131"/>
      <c r="B18" s="131"/>
      <c r="C18" s="131"/>
      <c r="D18" s="131"/>
      <c r="E18" s="131"/>
      <c r="F18" s="131"/>
      <c r="G18" s="44" t="s">
        <v>88</v>
      </c>
      <c r="H18" s="44" t="s">
        <v>76</v>
      </c>
      <c r="I18" s="44">
        <f>'MERCADO TUSD'!$U$15</f>
        <v>7.0189999999999992</v>
      </c>
      <c r="J18" s="18"/>
      <c r="L18" s="26">
        <f>('TUSD BE'!$L$18+'TUSD BF'!$L$18+'TUSD CVA'!$L$18)*1</f>
        <v>0</v>
      </c>
      <c r="M18" s="26">
        <f>('TUSD BE'!$M$18+'TUSD BF'!$M$18+'TUSD CVA'!$M$18)*1</f>
        <v>1.1765423397400243</v>
      </c>
      <c r="N18" s="26">
        <f ca="1">('TUSD BE'!$N$18+'TUSD BF'!$N$18+'TUSD CVA'!$N$18)*1</f>
        <v>0</v>
      </c>
      <c r="O18" s="26">
        <f>('TUSD BE'!$O$18+'TUSD BF'!$O$18+'TUSD CVA'!$O$18)*1</f>
        <v>0</v>
      </c>
      <c r="P18" s="26">
        <f>('TUSD BE'!$P$18+'TUSD BF'!$P$18+'TUSD CVA'!$P$18)*1</f>
        <v>0</v>
      </c>
      <c r="Q18" s="26">
        <f>('TUSD BE'!$Q$18+'TUSD BF'!$Q$18+'TUSD CVA'!$Q$18)*1</f>
        <v>92.263528232438702</v>
      </c>
      <c r="R18" s="26">
        <f>('TUSD BE'!$R$18+'TUSD BF'!$R$18+'TUSD CVA'!$R$18)*1</f>
        <v>14.581564549707696</v>
      </c>
      <c r="S18" s="26">
        <f>('TUSD BE'!$S$18+'TUSD BF'!$S$18+'TUSD CVA'!$S$18)*1</f>
        <v>0</v>
      </c>
      <c r="T18" s="26">
        <f>('TUSD BE'!$U$18+'TUSD BF'!$U$18+'TUSD CVA'!$U$18)*1</f>
        <v>21.766448704286205</v>
      </c>
      <c r="U18" s="26">
        <f>('TUSD BE'!$V$18+'TUSD BF'!$V$18+'TUSD CVA'!$V$18)*1</f>
        <v>17.17941915013013</v>
      </c>
      <c r="V18" s="26">
        <f>('TUSD BE'!$W$18+'TUSD BF'!$W$18+'TUSD CVA'!$W$18)*1</f>
        <v>0</v>
      </c>
      <c r="W18" s="26">
        <f>('TUSD BE'!$X$18+'TUSD BF'!$X$18+'TUSD CVA'!$X$18)*1</f>
        <v>0</v>
      </c>
      <c r="X18" s="26">
        <f>('TUSD BE'!$Y$18+'TUSD BF'!$Y$18+'TUSD CVA'!$Y$18)*1</f>
        <v>31.225052761681521</v>
      </c>
      <c r="Y18" s="26">
        <f>('TUSD BE'!$Z$18+'TUSD BF'!$Z$18+'TUSD CVA'!$Z$18)*1</f>
        <v>0</v>
      </c>
      <c r="Z18" s="26">
        <f>('TUSD BE'!$AA$18+'TUSD BF'!$AA$18+'TUSD CVA'!$AA$18)*1</f>
        <v>0</v>
      </c>
      <c r="AA18" s="26">
        <f>('TUSD BE'!$AC$18+'TUSD BF'!$AC$18+'TUSD CVA'!$AC$18)*1</f>
        <v>221.58483365333149</v>
      </c>
      <c r="AB18" s="26">
        <f ca="1">('TUSD BE'!$AE$18+'TUSD BF'!$AE$18+'TUSD CVA'!$AE$18)*1</f>
        <v>0</v>
      </c>
      <c r="AC18" s="26">
        <f ca="1">('TUSD BE'!$AF$18+'TUSD BF'!$AF$18+'TUSD CVA'!$AF$18)*1</f>
        <v>0</v>
      </c>
      <c r="AD18" s="26">
        <f>('TUSD BE'!$AH$18+'TUSD BF'!$AH$18+'TUSD CVA'!$AH$18)*1</f>
        <v>17.446482312309563</v>
      </c>
      <c r="AE18" s="26">
        <f>('TUSD BE'!$AI$18+'TUSD BF'!$AI$18+'TUSD CVA'!$AI$18)*1</f>
        <v>0.13362304449018783</v>
      </c>
      <c r="AF18" s="26">
        <f ca="1">('TUSD BE'!$AJ$18+'TUSD BF'!$AJ$18+'TUSD CVA'!$AJ$18)*1</f>
        <v>0</v>
      </c>
      <c r="AG18" s="26">
        <f ca="1">('TUSD BE'!$AK$18+'TUSD BF'!$AK$18+'TUSD CVA'!$AK$18)*1</f>
        <v>0</v>
      </c>
      <c r="AI18" s="26">
        <v>0</v>
      </c>
      <c r="AJ18" s="26">
        <v>1.02720797757391</v>
      </c>
      <c r="AK18" s="26">
        <v>0</v>
      </c>
      <c r="AL18" s="26">
        <v>0</v>
      </c>
      <c r="AM18" s="26">
        <v>0</v>
      </c>
      <c r="AN18" s="26">
        <v>57.3134316606277</v>
      </c>
      <c r="AO18" s="26">
        <v>8.9396205722802904</v>
      </c>
      <c r="AP18" s="26">
        <v>0</v>
      </c>
      <c r="AQ18" s="26">
        <v>30.5684804666658</v>
      </c>
      <c r="AR18" s="26">
        <v>31.246431248592501</v>
      </c>
      <c r="AS18" s="26">
        <v>0</v>
      </c>
      <c r="AT18" s="26">
        <v>0</v>
      </c>
      <c r="AU18" s="26">
        <v>31.770906293934399</v>
      </c>
      <c r="AV18" s="26">
        <v>0</v>
      </c>
      <c r="AW18" s="26">
        <v>0</v>
      </c>
      <c r="AX18" s="26">
        <v>193.027901478643</v>
      </c>
      <c r="AY18" s="26">
        <v>2.1970091621694401</v>
      </c>
      <c r="AZ18" s="26">
        <v>0</v>
      </c>
      <c r="BA18" s="26">
        <v>13.739395002697499</v>
      </c>
      <c r="BB18" s="26">
        <v>0</v>
      </c>
      <c r="BC18" s="26">
        <v>0</v>
      </c>
      <c r="BD18" s="26">
        <v>0</v>
      </c>
    </row>
    <row r="19" spans="1:56" ht="11.25" customHeight="1" x14ac:dyDescent="0.25">
      <c r="A19" s="131"/>
      <c r="B19" s="131"/>
      <c r="C19" s="131"/>
      <c r="D19" s="131"/>
      <c r="E19" s="131"/>
      <c r="F19" s="131"/>
      <c r="G19" s="44" t="s">
        <v>78</v>
      </c>
      <c r="H19" s="44" t="s">
        <v>76</v>
      </c>
      <c r="I19" s="44">
        <f>'MERCADO TUSD'!$U$16</f>
        <v>29.872</v>
      </c>
      <c r="J19" s="18"/>
      <c r="L19" s="26">
        <f>('TUSD BE'!$L$19+'TUSD BF'!$L$19+'TUSD CVA'!$L$19)*1</f>
        <v>0</v>
      </c>
      <c r="M19" s="26">
        <f>('TUSD BE'!$M$19+'TUSD BF'!$M$19+'TUSD CVA'!$M$19)*1</f>
        <v>1.1765423397400243</v>
      </c>
      <c r="N19" s="26">
        <f ca="1">('TUSD BE'!$N$19+'TUSD BF'!$N$19+'TUSD CVA'!$N$19)*1</f>
        <v>0</v>
      </c>
      <c r="O19" s="26">
        <f>('TUSD BE'!$O$19+'TUSD BF'!$O$19+'TUSD CVA'!$O$19)*1</f>
        <v>0</v>
      </c>
      <c r="P19" s="26">
        <f>('TUSD BE'!$P$19+'TUSD BF'!$P$19+'TUSD CVA'!$P$19)*1</f>
        <v>0</v>
      </c>
      <c r="Q19" s="26">
        <f>('TUSD BE'!$Q$19+'TUSD BF'!$Q$19+'TUSD CVA'!$Q$19)*1</f>
        <v>92.263528232438702</v>
      </c>
      <c r="R19" s="26">
        <f>('TUSD BE'!$R$19+'TUSD BF'!$R$19+'TUSD CVA'!$R$19)*1</f>
        <v>14.581564549707696</v>
      </c>
      <c r="S19" s="26">
        <f>('TUSD BE'!$S$19+'TUSD BF'!$S$19+'TUSD CVA'!$S$19)*1</f>
        <v>0</v>
      </c>
      <c r="T19" s="26">
        <f>('TUSD BE'!$U$19+'TUSD BF'!$U$19+'TUSD CVA'!$U$19)*1</f>
        <v>7.2555131762536966</v>
      </c>
      <c r="U19" s="26">
        <f>('TUSD BE'!$V$19+'TUSD BF'!$V$19+'TUSD CVA'!$V$19)*1</f>
        <v>5.726379544774546</v>
      </c>
      <c r="V19" s="26">
        <f>('TUSD BE'!$W$19+'TUSD BF'!$W$19+'TUSD CVA'!$W$19)*1</f>
        <v>0</v>
      </c>
      <c r="W19" s="26">
        <f>('TUSD BE'!$X$19+'TUSD BF'!$X$19+'TUSD CVA'!$X$19)*1</f>
        <v>0</v>
      </c>
      <c r="X19" s="26">
        <f>('TUSD BE'!$Y$19+'TUSD BF'!$Y$19+'TUSD CVA'!$Y$19)*1</f>
        <v>10.4083169760058</v>
      </c>
      <c r="Y19" s="26">
        <f>('TUSD BE'!$Z$19+'TUSD BF'!$Z$19+'TUSD CVA'!$Z$19)*1</f>
        <v>0</v>
      </c>
      <c r="Z19" s="26">
        <f>('TUSD BE'!$AA$19+'TUSD BF'!$AA$19+'TUSD CVA'!$AA$19)*1</f>
        <v>0</v>
      </c>
      <c r="AA19" s="26">
        <f>('TUSD BE'!$AC$19+'TUSD BF'!$AC$19+'TUSD CVA'!$AC$19)*1</f>
        <v>73.861635711347731</v>
      </c>
      <c r="AB19" s="26">
        <f ca="1">('TUSD BE'!$AE$19+'TUSD BF'!$AE$19+'TUSD CVA'!$AE$19)*1</f>
        <v>0</v>
      </c>
      <c r="AC19" s="26">
        <f ca="1">('TUSD BE'!$AF$19+'TUSD BF'!$AF$19+'TUSD CVA'!$AF$19)*1</f>
        <v>0</v>
      </c>
      <c r="AD19" s="26">
        <f>('TUSD BE'!$AH$19+'TUSD BF'!$AH$19+'TUSD CVA'!$AH$19)*1</f>
        <v>17.446482312309563</v>
      </c>
      <c r="AE19" s="26">
        <f>('TUSD BE'!$AI$19+'TUSD BF'!$AI$19+'TUSD CVA'!$AI$19)*1</f>
        <v>0.13362304449018783</v>
      </c>
      <c r="AF19" s="26">
        <f ca="1">('TUSD BE'!$AJ$19+'TUSD BF'!$AJ$19+'TUSD CVA'!$AJ$19)*1</f>
        <v>0</v>
      </c>
      <c r="AG19" s="26">
        <f ca="1">('TUSD BE'!$AK$19+'TUSD BF'!$AK$19+'TUSD CVA'!$AK$19)*1</f>
        <v>0</v>
      </c>
      <c r="AI19" s="26">
        <v>0</v>
      </c>
      <c r="AJ19" s="26">
        <v>1.02720797757391</v>
      </c>
      <c r="AK19" s="26">
        <v>0</v>
      </c>
      <c r="AL19" s="26">
        <v>0</v>
      </c>
      <c r="AM19" s="26">
        <v>0</v>
      </c>
      <c r="AN19" s="26">
        <v>57.3134316606277</v>
      </c>
      <c r="AO19" s="26">
        <v>8.9396205722802904</v>
      </c>
      <c r="AP19" s="26">
        <v>0</v>
      </c>
      <c r="AQ19" s="26">
        <v>10.1895475133174</v>
      </c>
      <c r="AR19" s="26">
        <v>10.4152571066648</v>
      </c>
      <c r="AS19" s="26">
        <v>0</v>
      </c>
      <c r="AT19" s="26">
        <v>0</v>
      </c>
      <c r="AU19" s="26">
        <v>10.5903020979781</v>
      </c>
      <c r="AV19" s="26">
        <v>0</v>
      </c>
      <c r="AW19" s="26">
        <v>0</v>
      </c>
      <c r="AX19" s="26">
        <v>64.342633826214396</v>
      </c>
      <c r="AY19" s="26">
        <v>0.99733056240448603</v>
      </c>
      <c r="AZ19" s="26">
        <v>0</v>
      </c>
      <c r="BA19" s="26">
        <v>13.739395002697499</v>
      </c>
      <c r="BB19" s="26">
        <v>0</v>
      </c>
      <c r="BC19" s="26">
        <v>0</v>
      </c>
      <c r="BD19" s="26">
        <v>0</v>
      </c>
    </row>
    <row r="20" spans="1:56" ht="11.25" customHeight="1" x14ac:dyDescent="0.25">
      <c r="A20" s="131"/>
      <c r="B20" s="131" t="s">
        <v>23</v>
      </c>
      <c r="C20" s="131" t="s">
        <v>24</v>
      </c>
      <c r="D20" s="86" t="s">
        <v>24</v>
      </c>
      <c r="E20" s="86" t="s">
        <v>25</v>
      </c>
      <c r="F20" s="86" t="s">
        <v>25</v>
      </c>
      <c r="G20" s="44" t="s">
        <v>82</v>
      </c>
      <c r="H20" s="44" t="s">
        <v>76</v>
      </c>
      <c r="I20" s="44">
        <f>'MERCADO TUSD'!$U$17</f>
        <v>25648.588</v>
      </c>
      <c r="J20" s="18"/>
      <c r="L20" s="26">
        <f>('TUSD BE'!$L$20+'TUSD BF'!$L$20+'TUSD CVA'!$L$20)*1</f>
        <v>0</v>
      </c>
      <c r="M20" s="26">
        <f>('TUSD BE'!$M$20+'TUSD BF'!$M$20+'TUSD CVA'!$M$20)*1</f>
        <v>1.1765423397400243</v>
      </c>
      <c r="N20" s="26">
        <f ca="1">('TUSD BE'!$N$20+'TUSD BF'!$N$20+'TUSD CVA'!$N$20)*1</f>
        <v>0</v>
      </c>
      <c r="O20" s="26">
        <f>('TUSD BE'!$O$20+'TUSD BF'!$O$20+'TUSD CVA'!$O$20)*1</f>
        <v>0</v>
      </c>
      <c r="P20" s="26">
        <f>('TUSD BE'!$P$20+'TUSD BF'!$P$20+'TUSD CVA'!$P$20)*1</f>
        <v>0</v>
      </c>
      <c r="Q20" s="26">
        <f>('TUSD BE'!$Q$20+'TUSD BF'!$Q$20+'TUSD CVA'!$Q$20)*1</f>
        <v>92.263528232438702</v>
      </c>
      <c r="R20" s="26">
        <f>('TUSD BE'!$R$20+'TUSD BF'!$R$20+'TUSD CVA'!$R$20)*1</f>
        <v>14.581564549707696</v>
      </c>
      <c r="S20" s="26">
        <f>('TUSD BE'!$S$20+'TUSD BF'!$S$20+'TUSD CVA'!$S$20)*1</f>
        <v>0</v>
      </c>
      <c r="T20" s="26">
        <f>('TUSD BE'!$U$20+'TUSD BF'!$U$20+'TUSD CVA'!$U$20)*1</f>
        <v>14.510935528032507</v>
      </c>
      <c r="U20" s="26">
        <f>('TUSD BE'!$V$20+'TUSD BF'!$V$20+'TUSD CVA'!$V$20)*1</f>
        <v>11.452969476403961</v>
      </c>
      <c r="V20" s="26">
        <f>('TUSD BE'!$W$20+'TUSD BF'!$W$20+'TUSD CVA'!$W$20)*1</f>
        <v>0</v>
      </c>
      <c r="W20" s="26">
        <f>('TUSD BE'!$X$20+'TUSD BF'!$X$20+'TUSD CVA'!$X$20)*1</f>
        <v>0</v>
      </c>
      <c r="X20" s="26">
        <f>('TUSD BE'!$Y$20+'TUSD BF'!$Y$20+'TUSD CVA'!$Y$20)*1</f>
        <v>20.8166339520116</v>
      </c>
      <c r="Y20" s="26">
        <f>('TUSD BE'!$Z$20+'TUSD BF'!$Z$20+'TUSD CVA'!$Z$20)*1</f>
        <v>0</v>
      </c>
      <c r="Z20" s="26">
        <f>('TUSD BE'!$AA$20+'TUSD BF'!$AA$20+'TUSD CVA'!$AA$20)*1</f>
        <v>0</v>
      </c>
      <c r="AA20" s="26">
        <f>('TUSD BE'!$AC$20+'TUSD BF'!$AC$20+'TUSD CVA'!$AC$20)*1</f>
        <v>147.72312446127205</v>
      </c>
      <c r="AB20" s="26">
        <f ca="1">('TUSD BE'!$AE$20+'TUSD BF'!$AE$20+'TUSD CVA'!$AE$20)*1</f>
        <v>0</v>
      </c>
      <c r="AC20" s="26">
        <f ca="1">('TUSD BE'!$AF$20+'TUSD BF'!$AF$20+'TUSD CVA'!$AF$20)*1</f>
        <v>0</v>
      </c>
      <c r="AD20" s="26">
        <f>('TUSD BE'!$AH$20+'TUSD BF'!$AH$20+'TUSD CVA'!$AH$20)*1</f>
        <v>17.446482312309563</v>
      </c>
      <c r="AE20" s="26">
        <f>('TUSD BE'!$AI$20+'TUSD BF'!$AI$20+'TUSD CVA'!$AI$20)*1</f>
        <v>0.13362304449018783</v>
      </c>
      <c r="AF20" s="26">
        <f ca="1">('TUSD BE'!$AJ$20+'TUSD BF'!$AJ$20+'TUSD CVA'!$AJ$20)*1</f>
        <v>0</v>
      </c>
      <c r="AG20" s="26">
        <f ca="1">('TUSD BE'!$AK$20+'TUSD BF'!$AK$20+'TUSD CVA'!$AK$20)*1</f>
        <v>0</v>
      </c>
      <c r="AI20" s="26">
        <v>0</v>
      </c>
      <c r="AJ20" s="26">
        <v>1.02720797757391</v>
      </c>
      <c r="AK20" s="26">
        <v>0</v>
      </c>
      <c r="AL20" s="26">
        <v>0</v>
      </c>
      <c r="AM20" s="26">
        <v>0</v>
      </c>
      <c r="AN20" s="26">
        <v>57.3134316606277</v>
      </c>
      <c r="AO20" s="26">
        <v>8.9396205722802904</v>
      </c>
      <c r="AP20" s="26">
        <v>0</v>
      </c>
      <c r="AQ20" s="26">
        <v>20.3789329533484</v>
      </c>
      <c r="AR20" s="26">
        <v>20.831042156208099</v>
      </c>
      <c r="AS20" s="26">
        <v>0</v>
      </c>
      <c r="AT20" s="26">
        <v>0</v>
      </c>
      <c r="AU20" s="26">
        <v>21.180604195956199</v>
      </c>
      <c r="AV20" s="26">
        <v>0</v>
      </c>
      <c r="AW20" s="26">
        <v>0</v>
      </c>
      <c r="AX20" s="26">
        <v>128.68514016768501</v>
      </c>
      <c r="AY20" s="26">
        <v>1.5971693542171601</v>
      </c>
      <c r="AZ20" s="26">
        <v>0</v>
      </c>
      <c r="BA20" s="26">
        <v>13.739395002697499</v>
      </c>
      <c r="BB20" s="26">
        <v>0</v>
      </c>
      <c r="BC20" s="26">
        <v>0</v>
      </c>
      <c r="BD20" s="26">
        <v>0</v>
      </c>
    </row>
    <row r="21" spans="1:56" ht="11.25" customHeight="1" x14ac:dyDescent="0.25">
      <c r="A21" s="131"/>
      <c r="B21" s="131"/>
      <c r="C21" s="131"/>
      <c r="D21" s="86" t="s">
        <v>29</v>
      </c>
      <c r="E21" s="86" t="s">
        <v>25</v>
      </c>
      <c r="F21" s="86" t="s">
        <v>25</v>
      </c>
      <c r="G21" s="44" t="s">
        <v>82</v>
      </c>
      <c r="H21" s="44" t="s">
        <v>76</v>
      </c>
      <c r="I21" s="44">
        <f>'MERCADO TUSD'!$U$18</f>
        <v>203.58</v>
      </c>
      <c r="J21" s="18"/>
      <c r="L21" s="26">
        <f>('TUSD BE'!$L$21+'TUSD BF'!$L$21+'TUSD CVA'!$L$21)*(1 - 0.65)</f>
        <v>0</v>
      </c>
      <c r="M21" s="26">
        <f>('TUSD BE'!$M$21+'TUSD BF'!$M$21+'TUSD CVA'!$M$21)*(1 - 0.65)</f>
        <v>0.41178981890900851</v>
      </c>
      <c r="N21" s="26">
        <f ca="1">('TUSD BE'!$N$21+'TUSD BF'!$N$21+'TUSD CVA'!$N$21)*(1 - 0.65)</f>
        <v>0</v>
      </c>
      <c r="O21" s="26">
        <f>('TUSD BE'!$O$21+'TUSD BF'!$O$21+'TUSD CVA'!$O$21)*(1 - 0.65)</f>
        <v>0</v>
      </c>
      <c r="P21" s="26">
        <v>0</v>
      </c>
      <c r="Q21" s="26">
        <f>('TUSD BE'!$Q$21+'TUSD BF'!$Q$21+'TUSD CVA'!$Q$21)*(1 - 0.65)</f>
        <v>0</v>
      </c>
      <c r="R21" s="26">
        <v>0</v>
      </c>
      <c r="S21" s="26">
        <f>('TUSD BE'!$S$21+'TUSD BF'!$S$21+'TUSD CVA'!$S$21)*(1 - 0.65)</f>
        <v>0</v>
      </c>
      <c r="T21" s="26">
        <f>('TUSD BE'!$U$21+'TUSD BF'!$U$21+'TUSD CVA'!$U$21)*(1 - 0.65)</f>
        <v>5.0788274348113767</v>
      </c>
      <c r="U21" s="26">
        <f>('TUSD BE'!$V$21+'TUSD BF'!$V$21+'TUSD CVA'!$V$21)*(1 - 0.65)</f>
        <v>4.0085393167413859</v>
      </c>
      <c r="V21" s="26">
        <f>('TUSD BE'!$W$21+'TUSD BF'!$W$21+'TUSD CVA'!$W$21)*(1 - 0.65)</f>
        <v>0</v>
      </c>
      <c r="W21" s="26">
        <f>('TUSD BE'!$X$21+'TUSD BF'!$X$21+'TUSD CVA'!$X$21)*(1 - 0.65)</f>
        <v>0</v>
      </c>
      <c r="X21" s="26">
        <f>('TUSD BE'!$Y$21+'TUSD BF'!$Y$21+'TUSD CVA'!$Y$21)*(1 - 0.65)</f>
        <v>7.2858218832040595</v>
      </c>
      <c r="Y21" s="26">
        <f>('TUSD BE'!$Z$21+'TUSD BF'!$Z$21+'TUSD CVA'!$Z$21)*(1 - 0.65)</f>
        <v>0</v>
      </c>
      <c r="Z21" s="26">
        <f>('TUSD BE'!$AA$21+'TUSD BF'!$AA$21+'TUSD CVA'!$AA$21)*(1 - 0.65)</f>
        <v>0</v>
      </c>
      <c r="AA21" s="26">
        <f>('TUSD BE'!$AC$21+'TUSD BF'!$AC$21+'TUSD CVA'!$AC$21)*(1 - 0.65)</f>
        <v>51.703093561445215</v>
      </c>
      <c r="AB21" s="26">
        <f ca="1">('TUSD BE'!$AE$21+'TUSD BF'!$AE$21+'TUSD CVA'!$AE$21)*(1 - 0.65)</f>
        <v>0</v>
      </c>
      <c r="AC21" s="26">
        <f ca="1">('TUSD BE'!$AF$21+'TUSD BF'!$AF$21+'TUSD CVA'!$AF$21)*(1 - 0.65)</f>
        <v>0</v>
      </c>
      <c r="AD21" s="26">
        <f>('TUSD BE'!$AH$21+'TUSD BF'!$AH$21+'TUSD CVA'!$AH$21)*(1 - 0.65)</f>
        <v>6.1062688093083466</v>
      </c>
      <c r="AE21" s="26">
        <f>('TUSD BE'!$AI$21+'TUSD BF'!$AI$21+'TUSD CVA'!$AI$21)*(1 - 0.65)</f>
        <v>4.6768065571565737E-2</v>
      </c>
      <c r="AF21" s="26">
        <f ca="1">('TUSD BE'!$AJ$21+'TUSD BF'!$AJ$21+'TUSD CVA'!$AJ$21)*(1 - 0.65)</f>
        <v>0</v>
      </c>
      <c r="AG21" s="26">
        <f ca="1">('TUSD BE'!$AK$21+'TUSD BF'!$AK$21+'TUSD CVA'!$AK$21)*(1 - 0.65)</f>
        <v>0</v>
      </c>
      <c r="AI21" s="26">
        <v>0</v>
      </c>
      <c r="AJ21" s="26">
        <v>0.35952279215086802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7.1326265336719503</v>
      </c>
      <c r="AR21" s="26">
        <v>7.29086475467283</v>
      </c>
      <c r="AS21" s="26">
        <v>0</v>
      </c>
      <c r="AT21" s="26">
        <v>0</v>
      </c>
      <c r="AU21" s="26">
        <v>7.4132114685846897</v>
      </c>
      <c r="AV21" s="26">
        <v>0</v>
      </c>
      <c r="AW21" s="26">
        <v>0</v>
      </c>
      <c r="AX21" s="26">
        <v>45.039799058689802</v>
      </c>
      <c r="AY21" s="26">
        <v>0.442598136128172</v>
      </c>
      <c r="AZ21" s="26">
        <v>0</v>
      </c>
      <c r="BA21" s="26">
        <v>4.8087882509441098</v>
      </c>
      <c r="BB21" s="26">
        <v>0</v>
      </c>
      <c r="BC21" s="26">
        <v>0</v>
      </c>
      <c r="BD21" s="26">
        <v>0</v>
      </c>
    </row>
    <row r="22" spans="1:56" ht="11.25" customHeight="1" x14ac:dyDescent="0.25">
      <c r="A22" s="131"/>
      <c r="B22" s="131"/>
      <c r="C22" s="131"/>
      <c r="D22" s="86" t="s">
        <v>30</v>
      </c>
      <c r="E22" s="86" t="s">
        <v>25</v>
      </c>
      <c r="F22" s="86" t="s">
        <v>25</v>
      </c>
      <c r="G22" s="44" t="s">
        <v>82</v>
      </c>
      <c r="H22" s="44" t="s">
        <v>76</v>
      </c>
      <c r="I22" s="44">
        <f>'MERCADO TUSD'!$U$19</f>
        <v>441.75700000000001</v>
      </c>
      <c r="J22" s="18"/>
      <c r="L22" s="26">
        <f>('TUSD BE'!$L$22+'TUSD BF'!$L$22+'TUSD CVA'!$L$22)*(1 - 0.4)</f>
        <v>0</v>
      </c>
      <c r="M22" s="26">
        <f>('TUSD BE'!$M$22+'TUSD BF'!$M$22+'TUSD CVA'!$M$22)*(1 - 0.4)</f>
        <v>0.70592540384401459</v>
      </c>
      <c r="N22" s="26">
        <f ca="1">('TUSD BE'!$N$22+'TUSD BF'!$N$22+'TUSD CVA'!$N$22)*(1 - 0.4)</f>
        <v>0</v>
      </c>
      <c r="O22" s="26">
        <f>('TUSD BE'!$O$22+'TUSD BF'!$O$22+'TUSD CVA'!$O$22)*(1 - 0.4)</f>
        <v>0</v>
      </c>
      <c r="P22" s="26">
        <v>0</v>
      </c>
      <c r="Q22" s="26">
        <f>('TUSD BE'!$Q$22+'TUSD BF'!$Q$22+'TUSD CVA'!$Q$22)*(1 - 0.4)</f>
        <v>0</v>
      </c>
      <c r="R22" s="26">
        <v>0</v>
      </c>
      <c r="S22" s="26">
        <f>('TUSD BE'!$S$22+'TUSD BF'!$S$22+'TUSD CVA'!$S$22)*(1 - 0.4)</f>
        <v>0</v>
      </c>
      <c r="T22" s="26">
        <f>('TUSD BE'!$U$22+'TUSD BF'!$U$22+'TUSD CVA'!$U$22)*(1 - 0.4)</f>
        <v>8.7065613168195028</v>
      </c>
      <c r="U22" s="26">
        <f>('TUSD BE'!$V$22+'TUSD BF'!$V$22+'TUSD CVA'!$V$22)*(1 - 0.4)</f>
        <v>6.8717816858423761</v>
      </c>
      <c r="V22" s="26">
        <f>('TUSD BE'!$W$22+'TUSD BF'!$W$22+'TUSD CVA'!$W$22)*(1 - 0.4)</f>
        <v>0</v>
      </c>
      <c r="W22" s="26">
        <f>('TUSD BE'!$X$22+'TUSD BF'!$X$22+'TUSD CVA'!$X$22)*(1 - 0.4)</f>
        <v>0</v>
      </c>
      <c r="X22" s="26">
        <f>('TUSD BE'!$Y$22+'TUSD BF'!$Y$22+'TUSD CVA'!$Y$22)*(1 - 0.4)</f>
        <v>12.489980371206959</v>
      </c>
      <c r="Y22" s="26">
        <f>('TUSD BE'!$Z$22+'TUSD BF'!$Z$22+'TUSD CVA'!$Z$22)*(1 - 0.4)</f>
        <v>0</v>
      </c>
      <c r="Z22" s="26">
        <f>('TUSD BE'!$AA$22+'TUSD BF'!$AA$22+'TUSD CVA'!$AA$22)*(1 - 0.4)</f>
        <v>0</v>
      </c>
      <c r="AA22" s="26">
        <f>('TUSD BE'!$AC$22+'TUSD BF'!$AC$22+'TUSD CVA'!$AC$22)*(1 - 0.4)</f>
        <v>88.633874676763227</v>
      </c>
      <c r="AB22" s="26">
        <f ca="1">('TUSD BE'!$AE$22+'TUSD BF'!$AE$22+'TUSD CVA'!$AE$22)*(1 - 0.4)</f>
        <v>0</v>
      </c>
      <c r="AC22" s="26">
        <f ca="1">('TUSD BE'!$AF$22+'TUSD BF'!$AF$22+'TUSD CVA'!$AF$22)*(1 - 0.4)</f>
        <v>0</v>
      </c>
      <c r="AD22" s="26">
        <f>('TUSD BE'!$AH$22+'TUSD BF'!$AH$22+'TUSD CVA'!$AH$22)*(1 - 0.4)</f>
        <v>10.467889387385737</v>
      </c>
      <c r="AE22" s="26">
        <f>('TUSD BE'!$AI$22+'TUSD BF'!$AI$22+'TUSD CVA'!$AI$22)*(1 - 0.4)</f>
        <v>8.0173826694112701E-2</v>
      </c>
      <c r="AF22" s="26">
        <f ca="1">('TUSD BE'!$AJ$22+'TUSD BF'!$AJ$22+'TUSD CVA'!$AJ$22)*(1 - 0.4)</f>
        <v>0</v>
      </c>
      <c r="AG22" s="26">
        <f ca="1">('TUSD BE'!$AK$22+'TUSD BF'!$AK$22+'TUSD CVA'!$AK$22)*(1 - 0.4)</f>
        <v>0</v>
      </c>
      <c r="AI22" s="26">
        <v>0</v>
      </c>
      <c r="AJ22" s="26">
        <v>0.61632478654434597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12.2273597720091</v>
      </c>
      <c r="AR22" s="26">
        <v>12.498625293724899</v>
      </c>
      <c r="AS22" s="26">
        <v>0</v>
      </c>
      <c r="AT22" s="26">
        <v>0</v>
      </c>
      <c r="AU22" s="26">
        <v>12.708362517573701</v>
      </c>
      <c r="AV22" s="26">
        <v>0</v>
      </c>
      <c r="AW22" s="26">
        <v>0</v>
      </c>
      <c r="AX22" s="26">
        <v>77.211084100611004</v>
      </c>
      <c r="AY22" s="26">
        <v>0.75873966193400799</v>
      </c>
      <c r="AZ22" s="26">
        <v>0</v>
      </c>
      <c r="BA22" s="26">
        <v>8.2436370016184792</v>
      </c>
      <c r="BB22" s="26">
        <v>0</v>
      </c>
      <c r="BC22" s="26">
        <v>0</v>
      </c>
      <c r="BD22" s="26">
        <v>0</v>
      </c>
    </row>
    <row r="23" spans="1:56" ht="11.25" customHeight="1" x14ac:dyDescent="0.25">
      <c r="A23" s="131"/>
      <c r="B23" s="131"/>
      <c r="C23" s="131"/>
      <c r="D23" s="86" t="s">
        <v>31</v>
      </c>
      <c r="E23" s="86" t="s">
        <v>25</v>
      </c>
      <c r="F23" s="86" t="s">
        <v>25</v>
      </c>
      <c r="G23" s="44" t="s">
        <v>82</v>
      </c>
      <c r="H23" s="44" t="s">
        <v>76</v>
      </c>
      <c r="I23" s="44">
        <f>'MERCADO TUSD'!$U$20</f>
        <v>380.55199999999996</v>
      </c>
      <c r="J23" s="18"/>
      <c r="L23" s="26">
        <f>('TUSD BE'!$L$23+'TUSD BF'!$L$23+'TUSD CVA'!$L$23)*(1 - 0.1)</f>
        <v>0</v>
      </c>
      <c r="M23" s="26">
        <f>('TUSD BE'!$M$23+'TUSD BF'!$M$23+'TUSD CVA'!$M$23)*(1 - 0.1)</f>
        <v>1.058888105766022</v>
      </c>
      <c r="N23" s="26">
        <f ca="1">('TUSD BE'!$N$23+'TUSD BF'!$N$23+'TUSD CVA'!$N$23)*(1 - 0.1)</f>
        <v>0</v>
      </c>
      <c r="O23" s="26">
        <f>('TUSD BE'!$O$23+'TUSD BF'!$O$23+'TUSD CVA'!$O$23)*(1 - 0.1)</f>
        <v>0</v>
      </c>
      <c r="P23" s="26">
        <v>0</v>
      </c>
      <c r="Q23" s="26">
        <f>('TUSD BE'!$Q$23+'TUSD BF'!$Q$23+'TUSD CVA'!$Q$23)*(1 - 0.1)</f>
        <v>0</v>
      </c>
      <c r="R23" s="26">
        <v>0</v>
      </c>
      <c r="S23" s="26">
        <f>('TUSD BE'!$S$23+'TUSD BF'!$S$23+'TUSD CVA'!$S$23)*(1 - 0.1)</f>
        <v>0</v>
      </c>
      <c r="T23" s="26">
        <f>('TUSD BE'!$U$23+'TUSD BF'!$U$23+'TUSD CVA'!$U$23)*(1 - 0.1)</f>
        <v>13.059841975229256</v>
      </c>
      <c r="U23" s="26">
        <f>('TUSD BE'!$V$23+'TUSD BF'!$V$23+'TUSD CVA'!$V$23)*(1 - 0.1)</f>
        <v>10.307672528763565</v>
      </c>
      <c r="V23" s="26">
        <f>('TUSD BE'!$W$23+'TUSD BF'!$W$23+'TUSD CVA'!$W$23)*(1 - 0.1)</f>
        <v>0</v>
      </c>
      <c r="W23" s="26">
        <f>('TUSD BE'!$X$23+'TUSD BF'!$X$23+'TUSD CVA'!$X$23)*(1 - 0.1)</f>
        <v>0</v>
      </c>
      <c r="X23" s="26">
        <f>('TUSD BE'!$Y$23+'TUSD BF'!$Y$23+'TUSD CVA'!$Y$23)*(1 - 0.1)</f>
        <v>18.734970556810442</v>
      </c>
      <c r="Y23" s="26">
        <f>('TUSD BE'!$Z$23+'TUSD BF'!$Z$23+'TUSD CVA'!$Z$23)*(1 - 0.1)</f>
        <v>0</v>
      </c>
      <c r="Z23" s="26">
        <f>('TUSD BE'!$AA$23+'TUSD BF'!$AA$23+'TUSD CVA'!$AA$23)*(1 - 0.1)</f>
        <v>0</v>
      </c>
      <c r="AA23" s="26">
        <f>('TUSD BE'!$AC$23+'TUSD BF'!$AC$23+'TUSD CVA'!$AC$23)*(1 - 0.1)</f>
        <v>132.95081201514486</v>
      </c>
      <c r="AB23" s="26">
        <f ca="1">('TUSD BE'!$AE$23+'TUSD BF'!$AE$23+'TUSD CVA'!$AE$23)*(1 - 0.1)</f>
        <v>0</v>
      </c>
      <c r="AC23" s="26">
        <f ca="1">('TUSD BE'!$AF$23+'TUSD BF'!$AF$23+'TUSD CVA'!$AF$23)*(1 - 0.1)</f>
        <v>0</v>
      </c>
      <c r="AD23" s="26">
        <f>('TUSD BE'!$AH$23+'TUSD BF'!$AH$23+'TUSD CVA'!$AH$23)*(1 - 0.1)</f>
        <v>15.701834081078607</v>
      </c>
      <c r="AE23" s="26">
        <f>('TUSD BE'!$AI$23+'TUSD BF'!$AI$23+'TUSD CVA'!$AI$23)*(1 - 0.1)</f>
        <v>0.12026074004116905</v>
      </c>
      <c r="AF23" s="26">
        <f ca="1">('TUSD BE'!$AJ$23+'TUSD BF'!$AJ$23+'TUSD CVA'!$AJ$23)*(1 - 0.1)</f>
        <v>0</v>
      </c>
      <c r="AG23" s="26">
        <f ca="1">('TUSD BE'!$AK$23+'TUSD BF'!$AK$23+'TUSD CVA'!$AK$23)*(1 - 0.1)</f>
        <v>0</v>
      </c>
      <c r="AI23" s="26">
        <v>0</v>
      </c>
      <c r="AJ23" s="26">
        <v>0.92448717981651896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18.341039658013599</v>
      </c>
      <c r="AR23" s="26">
        <v>18.747937940587299</v>
      </c>
      <c r="AS23" s="26">
        <v>0</v>
      </c>
      <c r="AT23" s="26">
        <v>0</v>
      </c>
      <c r="AU23" s="26">
        <v>19.062543776360599</v>
      </c>
      <c r="AV23" s="26">
        <v>0</v>
      </c>
      <c r="AW23" s="26">
        <v>0</v>
      </c>
      <c r="AX23" s="26">
        <v>115.816626150917</v>
      </c>
      <c r="AY23" s="26">
        <v>1.13810949290101</v>
      </c>
      <c r="AZ23" s="26">
        <v>0</v>
      </c>
      <c r="BA23" s="26">
        <v>12.3654555024277</v>
      </c>
      <c r="BB23" s="26">
        <v>0</v>
      </c>
      <c r="BC23" s="26">
        <v>0</v>
      </c>
      <c r="BD23" s="26">
        <v>0</v>
      </c>
    </row>
    <row r="24" spans="1:56" ht="11.25" customHeight="1" x14ac:dyDescent="0.25">
      <c r="A24" s="131"/>
      <c r="B24" s="131"/>
      <c r="C24" s="131"/>
      <c r="D24" s="86" t="s">
        <v>32</v>
      </c>
      <c r="E24" s="86" t="s">
        <v>25</v>
      </c>
      <c r="F24" s="86" t="s">
        <v>25</v>
      </c>
      <c r="G24" s="44" t="s">
        <v>82</v>
      </c>
      <c r="H24" s="44" t="s">
        <v>76</v>
      </c>
      <c r="I24" s="44">
        <f>'MERCADO TUSD'!$U$21</f>
        <v>85.721000000000004</v>
      </c>
      <c r="J24" s="18"/>
      <c r="L24" s="26">
        <f>('TUSD BE'!$L$24+'TUSD BF'!$L$24+'TUSD CVA'!$L$24)*1</f>
        <v>0</v>
      </c>
      <c r="M24" s="26">
        <f>('TUSD BE'!$M$24+'TUSD BF'!$M$24+'TUSD CVA'!$M$24)*1</f>
        <v>1.1765423397400243</v>
      </c>
      <c r="N24" s="26">
        <f ca="1">('TUSD BE'!$N$24+'TUSD BF'!$N$24+'TUSD CVA'!$N$24)*1</f>
        <v>0</v>
      </c>
      <c r="O24" s="26">
        <f>('TUSD BE'!$O$24+'TUSD BF'!$O$24+'TUSD CVA'!$O$24)*1</f>
        <v>0</v>
      </c>
      <c r="P24" s="26">
        <v>0</v>
      </c>
      <c r="Q24" s="26">
        <f>('TUSD BE'!$Q$24+'TUSD BF'!$Q$24+'TUSD CVA'!$Q$24)*1</f>
        <v>0</v>
      </c>
      <c r="R24" s="26">
        <v>0</v>
      </c>
      <c r="S24" s="26">
        <f>('TUSD BE'!$S$24+'TUSD BF'!$S$24+'TUSD CVA'!$S$24)*1</f>
        <v>0</v>
      </c>
      <c r="T24" s="26">
        <f>('TUSD BE'!$U$24+'TUSD BF'!$U$24+'TUSD CVA'!$U$24)*1</f>
        <v>14.510935528032507</v>
      </c>
      <c r="U24" s="26">
        <f>('TUSD BE'!$V$24+'TUSD BF'!$V$24+'TUSD CVA'!$V$24)*1</f>
        <v>11.452969476403961</v>
      </c>
      <c r="V24" s="26">
        <f>('TUSD BE'!$W$24+'TUSD BF'!$W$24+'TUSD CVA'!$W$24)*1</f>
        <v>0</v>
      </c>
      <c r="W24" s="26">
        <f>('TUSD BE'!$X$24+'TUSD BF'!$X$24+'TUSD CVA'!$X$24)*1</f>
        <v>0</v>
      </c>
      <c r="X24" s="26">
        <f>('TUSD BE'!$Y$24+'TUSD BF'!$Y$24+'TUSD CVA'!$Y$24)*1</f>
        <v>20.8166339520116</v>
      </c>
      <c r="Y24" s="26">
        <f>('TUSD BE'!$Z$24+'TUSD BF'!$Z$24+'TUSD CVA'!$Z$24)*1</f>
        <v>0</v>
      </c>
      <c r="Z24" s="26">
        <f>('TUSD BE'!$AA$24+'TUSD BF'!$AA$24+'TUSD CVA'!$AA$24)*1</f>
        <v>0</v>
      </c>
      <c r="AA24" s="26">
        <f>('TUSD BE'!$AC$24+'TUSD BF'!$AC$24+'TUSD CVA'!$AC$24)*1</f>
        <v>147.72312446127205</v>
      </c>
      <c r="AB24" s="26">
        <f ca="1">('TUSD BE'!$AE$24+'TUSD BF'!$AE$24+'TUSD CVA'!$AE$24)*1</f>
        <v>0</v>
      </c>
      <c r="AC24" s="26">
        <f ca="1">('TUSD BE'!$AF$24+'TUSD BF'!$AF$24+'TUSD CVA'!$AF$24)*1</f>
        <v>0</v>
      </c>
      <c r="AD24" s="26">
        <f>('TUSD BE'!$AH$24+'TUSD BF'!$AH$24+'TUSD CVA'!$AH$24)*1</f>
        <v>17.446482312309563</v>
      </c>
      <c r="AE24" s="26">
        <f>('TUSD BE'!$AI$24+'TUSD BF'!$AI$24+'TUSD CVA'!$AI$24)*1</f>
        <v>0.13362304449018783</v>
      </c>
      <c r="AF24" s="26">
        <f ca="1">('TUSD BE'!$AJ$24+'TUSD BF'!$AJ$24+'TUSD CVA'!$AJ$24)*1</f>
        <v>0</v>
      </c>
      <c r="AG24" s="26">
        <f ca="1">('TUSD BE'!$AK$24+'TUSD BF'!$AK$24+'TUSD CVA'!$AK$24)*1</f>
        <v>0</v>
      </c>
      <c r="AI24" s="26">
        <v>0</v>
      </c>
      <c r="AJ24" s="26">
        <v>1.02720797757391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20.3789329533484</v>
      </c>
      <c r="AR24" s="26">
        <v>20.831042156208099</v>
      </c>
      <c r="AS24" s="26">
        <v>0</v>
      </c>
      <c r="AT24" s="26">
        <v>0</v>
      </c>
      <c r="AU24" s="26">
        <v>21.180604195956199</v>
      </c>
      <c r="AV24" s="26">
        <v>0</v>
      </c>
      <c r="AW24" s="26">
        <v>0</v>
      </c>
      <c r="AX24" s="26">
        <v>128.68514016768501</v>
      </c>
      <c r="AY24" s="26">
        <v>1.2645661032233499</v>
      </c>
      <c r="AZ24" s="26">
        <v>0</v>
      </c>
      <c r="BA24" s="26">
        <v>13.739395002697499</v>
      </c>
      <c r="BB24" s="26">
        <v>0</v>
      </c>
      <c r="BC24" s="26">
        <v>0</v>
      </c>
      <c r="BD24" s="26">
        <v>0</v>
      </c>
    </row>
    <row r="25" spans="1:56" ht="11.25" customHeight="1" x14ac:dyDescent="0.25">
      <c r="A25" s="131"/>
      <c r="B25" s="131" t="s">
        <v>91</v>
      </c>
      <c r="C25" s="131" t="s">
        <v>24</v>
      </c>
      <c r="D25" s="86" t="s">
        <v>24</v>
      </c>
      <c r="E25" s="86" t="s">
        <v>25</v>
      </c>
      <c r="F25" s="86" t="s">
        <v>25</v>
      </c>
      <c r="G25" s="44" t="s">
        <v>82</v>
      </c>
      <c r="H25" s="44" t="s">
        <v>76</v>
      </c>
      <c r="I25" s="44">
        <f>'MERCADO TUSD'!$U$22</f>
        <v>0</v>
      </c>
      <c r="J25" s="18"/>
      <c r="L25" s="26">
        <f>('TUSD BE'!$L$25+'TUSD BF'!$L$25+'TUSD CVA'!$L$25)*1</f>
        <v>0</v>
      </c>
      <c r="M25" s="26">
        <f>('TUSD BE'!$M$25+'TUSD BF'!$M$25+'TUSD CVA'!$M$25)*1</f>
        <v>1.1765423397400243</v>
      </c>
      <c r="N25" s="26">
        <f ca="1">('TUSD BE'!$N$25+'TUSD BF'!$N$25+'TUSD CVA'!$N$25)*1</f>
        <v>0</v>
      </c>
      <c r="O25" s="26">
        <f>('TUSD BE'!$O$25+'TUSD BF'!$O$25+'TUSD CVA'!$O$25)*1</f>
        <v>0</v>
      </c>
      <c r="P25" s="26">
        <f>('TUSD BE'!$P$25+'TUSD BF'!$P$25+'TUSD CVA'!$P$25)*1</f>
        <v>0</v>
      </c>
      <c r="Q25" s="26">
        <f>('TUSD BE'!$Q$25+'TUSD BF'!$Q$25+'TUSD CVA'!$Q$25)*1</f>
        <v>92.263528232438702</v>
      </c>
      <c r="R25" s="26">
        <f>('TUSD BE'!$R$25+'TUSD BF'!$R$25+'TUSD CVA'!$R$25)*1</f>
        <v>14.581564549707696</v>
      </c>
      <c r="S25" s="26">
        <f>('TUSD BE'!$S$25+'TUSD BF'!$S$25+'TUSD CVA'!$S$25)*1</f>
        <v>0</v>
      </c>
      <c r="T25" s="26">
        <f>('TUSD BE'!$U$25+'TUSD BF'!$U$25+'TUSD CVA'!$U$25)*1</f>
        <v>14.510935528032507</v>
      </c>
      <c r="U25" s="26">
        <f>('TUSD BE'!$V$25+'TUSD BF'!$V$25+'TUSD CVA'!$V$25)*1</f>
        <v>11.452969476403961</v>
      </c>
      <c r="V25" s="26">
        <f>('TUSD BE'!$W$25+'TUSD BF'!$W$25+'TUSD CVA'!$W$25)*1</f>
        <v>0</v>
      </c>
      <c r="W25" s="26">
        <f>('TUSD BE'!$X$25+'TUSD BF'!$X$25+'TUSD CVA'!$X$25)*1</f>
        <v>0</v>
      </c>
      <c r="X25" s="26">
        <f>('TUSD BE'!$Y$25+'TUSD BF'!$Y$25+'TUSD CVA'!$Y$25)*1</f>
        <v>20.8166339520116</v>
      </c>
      <c r="Y25" s="26">
        <f>('TUSD BE'!$Z$25+'TUSD BF'!$Z$25+'TUSD CVA'!$Z$25)*1</f>
        <v>0</v>
      </c>
      <c r="Z25" s="26">
        <f>('TUSD BE'!$AA$25+'TUSD BF'!$AA$25+'TUSD CVA'!$AA$25)*1</f>
        <v>0</v>
      </c>
      <c r="AA25" s="26">
        <f>('TUSD BE'!$AC$25+'TUSD BF'!$AC$25+'TUSD CVA'!$AC$25)*1</f>
        <v>147.72312446127205</v>
      </c>
      <c r="AB25" s="26">
        <f ca="1">('TUSD BE'!$AE$25+'TUSD BF'!$AE$25+'TUSD CVA'!$AE$25)*1</f>
        <v>0</v>
      </c>
      <c r="AC25" s="26">
        <f ca="1">('TUSD BE'!$AF$25+'TUSD BF'!$AF$25+'TUSD CVA'!$AF$25)*1</f>
        <v>0</v>
      </c>
      <c r="AD25" s="26">
        <f>('TUSD BE'!$AH$25+'TUSD BF'!$AH$25+'TUSD CVA'!$AH$25)*1</f>
        <v>17.446482312309563</v>
      </c>
      <c r="AE25" s="26">
        <f>('TUSD BE'!$AI$25+'TUSD BF'!$AI$25+'TUSD CVA'!$AI$25)*1</f>
        <v>0.13362304449018783</v>
      </c>
      <c r="AF25" s="26">
        <f ca="1">('TUSD BE'!$AJ$25+'TUSD BF'!$AJ$25+'TUSD CVA'!$AJ$25)*1</f>
        <v>0</v>
      </c>
      <c r="AG25" s="26">
        <f ca="1">('TUSD BE'!$AK$25+'TUSD BF'!$AK$25+'TUSD CVA'!$AK$25)*1</f>
        <v>0</v>
      </c>
      <c r="AI25" s="26">
        <v>0</v>
      </c>
      <c r="AJ25" s="26">
        <v>1.02720797757391</v>
      </c>
      <c r="AK25" s="26">
        <v>0</v>
      </c>
      <c r="AL25" s="26">
        <v>0</v>
      </c>
      <c r="AM25" s="26">
        <v>0</v>
      </c>
      <c r="AN25" s="26">
        <v>57.3134316606277</v>
      </c>
      <c r="AO25" s="26">
        <v>8.9396205722802904</v>
      </c>
      <c r="AP25" s="26">
        <v>0</v>
      </c>
      <c r="AQ25" s="26">
        <v>20.3789329533484</v>
      </c>
      <c r="AR25" s="26">
        <v>20.831042156208099</v>
      </c>
      <c r="AS25" s="26">
        <v>0</v>
      </c>
      <c r="AT25" s="26">
        <v>0</v>
      </c>
      <c r="AU25" s="26">
        <v>21.180604195956199</v>
      </c>
      <c r="AV25" s="26">
        <v>0</v>
      </c>
      <c r="AW25" s="26">
        <v>0</v>
      </c>
      <c r="AX25" s="26">
        <v>128.68514016768501</v>
      </c>
      <c r="AY25" s="26">
        <v>1.5971693542171601</v>
      </c>
      <c r="AZ25" s="26">
        <v>0</v>
      </c>
      <c r="BA25" s="26">
        <v>13.739395002697499</v>
      </c>
      <c r="BB25" s="26">
        <v>0</v>
      </c>
      <c r="BC25" s="26">
        <v>0</v>
      </c>
      <c r="BD25" s="26">
        <v>0</v>
      </c>
    </row>
    <row r="26" spans="1:56" ht="11.25" customHeight="1" x14ac:dyDescent="0.25">
      <c r="A26" s="131"/>
      <c r="B26" s="131"/>
      <c r="C26" s="131"/>
      <c r="D26" s="86" t="s">
        <v>29</v>
      </c>
      <c r="E26" s="86" t="s">
        <v>25</v>
      </c>
      <c r="F26" s="86" t="s">
        <v>25</v>
      </c>
      <c r="G26" s="44" t="s">
        <v>82</v>
      </c>
      <c r="H26" s="44" t="s">
        <v>76</v>
      </c>
      <c r="I26" s="44">
        <f>'MERCADO TUSD'!$U$23</f>
        <v>0</v>
      </c>
      <c r="J26" s="18"/>
      <c r="L26" s="26">
        <f>('TUSD BE'!$L$26+'TUSD BF'!$L$26+'TUSD CVA'!$L$26)*(1 - 0.65)</f>
        <v>0</v>
      </c>
      <c r="M26" s="26">
        <f>('TUSD BE'!$M$26+'TUSD BF'!$M$26+'TUSD CVA'!$M$26)*(1 - 0.65)</f>
        <v>0.41178981890900851</v>
      </c>
      <c r="N26" s="26">
        <f ca="1">('TUSD BE'!$N$26+'TUSD BF'!$N$26+'TUSD CVA'!$N$26)*(1 - 0.65)</f>
        <v>0</v>
      </c>
      <c r="O26" s="26">
        <f>('TUSD BE'!$O$26+'TUSD BF'!$O$26+'TUSD CVA'!$O$26)*(1 - 0.65)</f>
        <v>0</v>
      </c>
      <c r="P26" s="26">
        <v>0</v>
      </c>
      <c r="Q26" s="26">
        <f>('TUSD BE'!$Q$26+'TUSD BF'!$Q$26+'TUSD CVA'!$Q$26)*(1 - 0.65)</f>
        <v>0</v>
      </c>
      <c r="R26" s="26">
        <v>0</v>
      </c>
      <c r="S26" s="26">
        <f>('TUSD BE'!$S$26+'TUSD BF'!$S$26+'TUSD CVA'!$S$26)*(1 - 0.65)</f>
        <v>0</v>
      </c>
      <c r="T26" s="26">
        <f>('TUSD BE'!$U$26+'TUSD BF'!$U$26+'TUSD CVA'!$U$26)*(1 - 0.65)</f>
        <v>5.0788274348113767</v>
      </c>
      <c r="U26" s="26">
        <f>('TUSD BE'!$V$26+'TUSD BF'!$V$26+'TUSD CVA'!$V$26)*(1 - 0.65)</f>
        <v>4.0085393167413859</v>
      </c>
      <c r="V26" s="26">
        <f>('TUSD BE'!$W$26+'TUSD BF'!$W$26+'TUSD CVA'!$W$26)*(1 - 0.65)</f>
        <v>0</v>
      </c>
      <c r="W26" s="26">
        <f>('TUSD BE'!$X$26+'TUSD BF'!$X$26+'TUSD CVA'!$X$26)*(1 - 0.65)</f>
        <v>0</v>
      </c>
      <c r="X26" s="26">
        <f>('TUSD BE'!$Y$26+'TUSD BF'!$Y$26+'TUSD CVA'!$Y$26)*(1 - 0.65)</f>
        <v>7.2858218832040595</v>
      </c>
      <c r="Y26" s="26">
        <f>('TUSD BE'!$Z$26+'TUSD BF'!$Z$26+'TUSD CVA'!$Z$26)*(1 - 0.65)</f>
        <v>0</v>
      </c>
      <c r="Z26" s="26">
        <f>('TUSD BE'!$AA$26+'TUSD BF'!$AA$26+'TUSD CVA'!$AA$26)*(1 - 0.65)</f>
        <v>0</v>
      </c>
      <c r="AA26" s="26">
        <f>('TUSD BE'!$AC$26+'TUSD BF'!$AC$26+'TUSD CVA'!$AC$26)*(1 - 0.65)</f>
        <v>51.703093561445215</v>
      </c>
      <c r="AB26" s="26">
        <f ca="1">('TUSD BE'!$AE$26+'TUSD BF'!$AE$26+'TUSD CVA'!$AE$26)*(1 - 0.65)</f>
        <v>0</v>
      </c>
      <c r="AC26" s="26">
        <f ca="1">('TUSD BE'!$AF$26+'TUSD BF'!$AF$26+'TUSD CVA'!$AF$26)*(1 - 0.65)</f>
        <v>0</v>
      </c>
      <c r="AD26" s="26">
        <f>('TUSD BE'!$AH$26+'TUSD BF'!$AH$26+'TUSD CVA'!$AH$26)*(1 - 0.65)</f>
        <v>6.1062688093083466</v>
      </c>
      <c r="AE26" s="26">
        <f>('TUSD BE'!$AI$26+'TUSD BF'!$AI$26+'TUSD CVA'!$AI$26)*(1 - 0.65)</f>
        <v>4.6768065571565737E-2</v>
      </c>
      <c r="AF26" s="26">
        <f ca="1">('TUSD BE'!$AJ$26+'TUSD BF'!$AJ$26+'TUSD CVA'!$AJ$26)*(1 - 0.65)</f>
        <v>0</v>
      </c>
      <c r="AG26" s="26">
        <f ca="1">('TUSD BE'!$AK$26+'TUSD BF'!$AK$26+'TUSD CVA'!$AK$26)*(1 - 0.65)</f>
        <v>0</v>
      </c>
      <c r="AI26" s="26">
        <v>0</v>
      </c>
      <c r="AJ26" s="26">
        <v>0.35952279215086802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7.1326265336719503</v>
      </c>
      <c r="AR26" s="26">
        <v>7.29086475467283</v>
      </c>
      <c r="AS26" s="26">
        <v>0</v>
      </c>
      <c r="AT26" s="26">
        <v>0</v>
      </c>
      <c r="AU26" s="26">
        <v>7.4132114685846897</v>
      </c>
      <c r="AV26" s="26">
        <v>0</v>
      </c>
      <c r="AW26" s="26">
        <v>0</v>
      </c>
      <c r="AX26" s="26">
        <v>45.039799058689802</v>
      </c>
      <c r="AY26" s="26">
        <v>0.442598136128172</v>
      </c>
      <c r="AZ26" s="26">
        <v>0</v>
      </c>
      <c r="BA26" s="26">
        <v>4.8087882509441098</v>
      </c>
      <c r="BB26" s="26">
        <v>0</v>
      </c>
      <c r="BC26" s="26">
        <v>0</v>
      </c>
      <c r="BD26" s="26">
        <v>0</v>
      </c>
    </row>
    <row r="27" spans="1:56" ht="11.25" customHeight="1" x14ac:dyDescent="0.25">
      <c r="A27" s="131"/>
      <c r="B27" s="131"/>
      <c r="C27" s="131"/>
      <c r="D27" s="86" t="s">
        <v>30</v>
      </c>
      <c r="E27" s="86" t="s">
        <v>25</v>
      </c>
      <c r="F27" s="86" t="s">
        <v>25</v>
      </c>
      <c r="G27" s="44" t="s">
        <v>82</v>
      </c>
      <c r="H27" s="44" t="s">
        <v>76</v>
      </c>
      <c r="I27" s="44">
        <f>'MERCADO TUSD'!$U$24</f>
        <v>0</v>
      </c>
      <c r="J27" s="18"/>
      <c r="L27" s="26">
        <f>('TUSD BE'!$L$27+'TUSD BF'!$L$27+'TUSD CVA'!$L$27)*(1 - 0.4)</f>
        <v>0</v>
      </c>
      <c r="M27" s="26">
        <f>('TUSD BE'!$M$27+'TUSD BF'!$M$27+'TUSD CVA'!$M$27)*(1 - 0.4)</f>
        <v>0.70592540384401459</v>
      </c>
      <c r="N27" s="26">
        <f ca="1">('TUSD BE'!$N$27+'TUSD BF'!$N$27+'TUSD CVA'!$N$27)*(1 - 0.4)</f>
        <v>0</v>
      </c>
      <c r="O27" s="26">
        <f>('TUSD BE'!$O$27+'TUSD BF'!$O$27+'TUSD CVA'!$O$27)*(1 - 0.4)</f>
        <v>0</v>
      </c>
      <c r="P27" s="26">
        <v>0</v>
      </c>
      <c r="Q27" s="26">
        <f>('TUSD BE'!$Q$27+'TUSD BF'!$Q$27+'TUSD CVA'!$Q$27)*(1 - 0.4)</f>
        <v>0</v>
      </c>
      <c r="R27" s="26">
        <v>0</v>
      </c>
      <c r="S27" s="26">
        <f>('TUSD BE'!$S$27+'TUSD BF'!$S$27+'TUSD CVA'!$S$27)*(1 - 0.4)</f>
        <v>0</v>
      </c>
      <c r="T27" s="26">
        <f>('TUSD BE'!$U$27+'TUSD BF'!$U$27+'TUSD CVA'!$U$27)*(1 - 0.4)</f>
        <v>8.7065613168195028</v>
      </c>
      <c r="U27" s="26">
        <f>('TUSD BE'!$V$27+'TUSD BF'!$V$27+'TUSD CVA'!$V$27)*(1 - 0.4)</f>
        <v>6.8717816858423761</v>
      </c>
      <c r="V27" s="26">
        <f>('TUSD BE'!$W$27+'TUSD BF'!$W$27+'TUSD CVA'!$W$27)*(1 - 0.4)</f>
        <v>0</v>
      </c>
      <c r="W27" s="26">
        <f>('TUSD BE'!$X$27+'TUSD BF'!$X$27+'TUSD CVA'!$X$27)*(1 - 0.4)</f>
        <v>0</v>
      </c>
      <c r="X27" s="26">
        <f>('TUSD BE'!$Y$27+'TUSD BF'!$Y$27+'TUSD CVA'!$Y$27)*(1 - 0.4)</f>
        <v>12.489980371206959</v>
      </c>
      <c r="Y27" s="26">
        <f>('TUSD BE'!$Z$27+'TUSD BF'!$Z$27+'TUSD CVA'!$Z$27)*(1 - 0.4)</f>
        <v>0</v>
      </c>
      <c r="Z27" s="26">
        <f>('TUSD BE'!$AA$27+'TUSD BF'!$AA$27+'TUSD CVA'!$AA$27)*(1 - 0.4)</f>
        <v>0</v>
      </c>
      <c r="AA27" s="26">
        <f>('TUSD BE'!$AC$27+'TUSD BF'!$AC$27+'TUSD CVA'!$AC$27)*(1 - 0.4)</f>
        <v>88.633874676763227</v>
      </c>
      <c r="AB27" s="26">
        <f ca="1">('TUSD BE'!$AE$27+'TUSD BF'!$AE$27+'TUSD CVA'!$AE$27)*(1 - 0.4)</f>
        <v>0</v>
      </c>
      <c r="AC27" s="26">
        <f ca="1">('TUSD BE'!$AF$27+'TUSD BF'!$AF$27+'TUSD CVA'!$AF$27)*(1 - 0.4)</f>
        <v>0</v>
      </c>
      <c r="AD27" s="26">
        <f>('TUSD BE'!$AH$27+'TUSD BF'!$AH$27+'TUSD CVA'!$AH$27)*(1 - 0.4)</f>
        <v>10.467889387385737</v>
      </c>
      <c r="AE27" s="26">
        <f>('TUSD BE'!$AI$27+'TUSD BF'!$AI$27+'TUSD CVA'!$AI$27)*(1 - 0.4)</f>
        <v>8.0173826694112701E-2</v>
      </c>
      <c r="AF27" s="26">
        <f ca="1">('TUSD BE'!$AJ$27+'TUSD BF'!$AJ$27+'TUSD CVA'!$AJ$27)*(1 - 0.4)</f>
        <v>0</v>
      </c>
      <c r="AG27" s="26">
        <f ca="1">('TUSD BE'!$AK$27+'TUSD BF'!$AK$27+'TUSD CVA'!$AK$27)*(1 - 0.4)</f>
        <v>0</v>
      </c>
      <c r="AI27" s="26">
        <v>0</v>
      </c>
      <c r="AJ27" s="26">
        <v>0.61632478654434597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12.2273597720091</v>
      </c>
      <c r="AR27" s="26">
        <v>12.498625293724899</v>
      </c>
      <c r="AS27" s="26">
        <v>0</v>
      </c>
      <c r="AT27" s="26">
        <v>0</v>
      </c>
      <c r="AU27" s="26">
        <v>12.708362517573701</v>
      </c>
      <c r="AV27" s="26">
        <v>0</v>
      </c>
      <c r="AW27" s="26">
        <v>0</v>
      </c>
      <c r="AX27" s="26">
        <v>77.211084100611004</v>
      </c>
      <c r="AY27" s="26">
        <v>0.75873966193400799</v>
      </c>
      <c r="AZ27" s="26">
        <v>0</v>
      </c>
      <c r="BA27" s="26">
        <v>8.2436370016184792</v>
      </c>
      <c r="BB27" s="26">
        <v>0</v>
      </c>
      <c r="BC27" s="26">
        <v>0</v>
      </c>
      <c r="BD27" s="26">
        <v>0</v>
      </c>
    </row>
    <row r="28" spans="1:56" ht="11.25" customHeight="1" x14ac:dyDescent="0.25">
      <c r="A28" s="131"/>
      <c r="B28" s="131"/>
      <c r="C28" s="131"/>
      <c r="D28" s="86" t="s">
        <v>31</v>
      </c>
      <c r="E28" s="86" t="s">
        <v>25</v>
      </c>
      <c r="F28" s="86" t="s">
        <v>25</v>
      </c>
      <c r="G28" s="44" t="s">
        <v>82</v>
      </c>
      <c r="H28" s="44" t="s">
        <v>76</v>
      </c>
      <c r="I28" s="44">
        <f>'MERCADO TUSD'!$U$25</f>
        <v>0</v>
      </c>
      <c r="J28" s="18"/>
      <c r="L28" s="26">
        <f>('TUSD BE'!$L$28+'TUSD BF'!$L$28+'TUSD CVA'!$L$28)*(1 - 0.1)</f>
        <v>0</v>
      </c>
      <c r="M28" s="26">
        <f>('TUSD BE'!$M$28+'TUSD BF'!$M$28+'TUSD CVA'!$M$28)*(1 - 0.1)</f>
        <v>1.058888105766022</v>
      </c>
      <c r="N28" s="26">
        <f ca="1">('TUSD BE'!$N$28+'TUSD BF'!$N$28+'TUSD CVA'!$N$28)*(1 - 0.1)</f>
        <v>0</v>
      </c>
      <c r="O28" s="26">
        <f>('TUSD BE'!$O$28+'TUSD BF'!$O$28+'TUSD CVA'!$O$28)*(1 - 0.1)</f>
        <v>0</v>
      </c>
      <c r="P28" s="26">
        <v>0</v>
      </c>
      <c r="Q28" s="26">
        <f>('TUSD BE'!$Q$28+'TUSD BF'!$Q$28+'TUSD CVA'!$Q$28)*(1 - 0.1)</f>
        <v>0</v>
      </c>
      <c r="R28" s="26">
        <v>0</v>
      </c>
      <c r="S28" s="26">
        <f>('TUSD BE'!$S$28+'TUSD BF'!$S$28+'TUSD CVA'!$S$28)*(1 - 0.1)</f>
        <v>0</v>
      </c>
      <c r="T28" s="26">
        <f>('TUSD BE'!$U$28+'TUSD BF'!$U$28+'TUSD CVA'!$U$28)*(1 - 0.1)</f>
        <v>13.059841975229256</v>
      </c>
      <c r="U28" s="26">
        <f>('TUSD BE'!$V$28+'TUSD BF'!$V$28+'TUSD CVA'!$V$28)*(1 - 0.1)</f>
        <v>10.307672528763565</v>
      </c>
      <c r="V28" s="26">
        <f>('TUSD BE'!$W$28+'TUSD BF'!$W$28+'TUSD CVA'!$W$28)*(1 - 0.1)</f>
        <v>0</v>
      </c>
      <c r="W28" s="26">
        <f>('TUSD BE'!$X$28+'TUSD BF'!$X$28+'TUSD CVA'!$X$28)*(1 - 0.1)</f>
        <v>0</v>
      </c>
      <c r="X28" s="26">
        <f>('TUSD BE'!$Y$28+'TUSD BF'!$Y$28+'TUSD CVA'!$Y$28)*(1 - 0.1)</f>
        <v>18.734970556810442</v>
      </c>
      <c r="Y28" s="26">
        <f>('TUSD BE'!$Z$28+'TUSD BF'!$Z$28+'TUSD CVA'!$Z$28)*(1 - 0.1)</f>
        <v>0</v>
      </c>
      <c r="Z28" s="26">
        <f>('TUSD BE'!$AA$28+'TUSD BF'!$AA$28+'TUSD CVA'!$AA$28)*(1 - 0.1)</f>
        <v>0</v>
      </c>
      <c r="AA28" s="26">
        <f>('TUSD BE'!$AC$28+'TUSD BF'!$AC$28+'TUSD CVA'!$AC$28)*(1 - 0.1)</f>
        <v>132.95081201514486</v>
      </c>
      <c r="AB28" s="26">
        <f ca="1">('TUSD BE'!$AE$28+'TUSD BF'!$AE$28+'TUSD CVA'!$AE$28)*(1 - 0.1)</f>
        <v>0</v>
      </c>
      <c r="AC28" s="26">
        <f ca="1">('TUSD BE'!$AF$28+'TUSD BF'!$AF$28+'TUSD CVA'!$AF$28)*(1 - 0.1)</f>
        <v>0</v>
      </c>
      <c r="AD28" s="26">
        <f>('TUSD BE'!$AH$28+'TUSD BF'!$AH$28+'TUSD CVA'!$AH$28)*(1 - 0.1)</f>
        <v>15.701834081078607</v>
      </c>
      <c r="AE28" s="26">
        <f>('TUSD BE'!$AI$28+'TUSD BF'!$AI$28+'TUSD CVA'!$AI$28)*(1 - 0.1)</f>
        <v>0.12026074004116905</v>
      </c>
      <c r="AF28" s="26">
        <f ca="1">('TUSD BE'!$AJ$28+'TUSD BF'!$AJ$28+'TUSD CVA'!$AJ$28)*(1 - 0.1)</f>
        <v>0</v>
      </c>
      <c r="AG28" s="26">
        <f ca="1">('TUSD BE'!$AK$28+'TUSD BF'!$AK$28+'TUSD CVA'!$AK$28)*(1 - 0.1)</f>
        <v>0</v>
      </c>
      <c r="AI28" s="26">
        <v>0</v>
      </c>
      <c r="AJ28" s="26">
        <v>0.92448717981651896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18.341039658013599</v>
      </c>
      <c r="AR28" s="26">
        <v>18.747937940587299</v>
      </c>
      <c r="AS28" s="26">
        <v>0</v>
      </c>
      <c r="AT28" s="26">
        <v>0</v>
      </c>
      <c r="AU28" s="26">
        <v>19.062543776360599</v>
      </c>
      <c r="AV28" s="26">
        <v>0</v>
      </c>
      <c r="AW28" s="26">
        <v>0</v>
      </c>
      <c r="AX28" s="26">
        <v>115.816626150917</v>
      </c>
      <c r="AY28" s="26">
        <v>1.13810949290101</v>
      </c>
      <c r="AZ28" s="26">
        <v>0</v>
      </c>
      <c r="BA28" s="26">
        <v>12.3654555024277</v>
      </c>
      <c r="BB28" s="26">
        <v>0</v>
      </c>
      <c r="BC28" s="26">
        <v>0</v>
      </c>
      <c r="BD28" s="26">
        <v>0</v>
      </c>
    </row>
    <row r="29" spans="1:56" ht="11.25" customHeight="1" x14ac:dyDescent="0.25">
      <c r="A29" s="131"/>
      <c r="B29" s="131"/>
      <c r="C29" s="131"/>
      <c r="D29" s="86" t="s">
        <v>32</v>
      </c>
      <c r="E29" s="86" t="s">
        <v>25</v>
      </c>
      <c r="F29" s="86" t="s">
        <v>25</v>
      </c>
      <c r="G29" s="44" t="s">
        <v>82</v>
      </c>
      <c r="H29" s="44" t="s">
        <v>76</v>
      </c>
      <c r="I29" s="44">
        <f>'MERCADO TUSD'!$U$26</f>
        <v>0</v>
      </c>
      <c r="J29" s="18"/>
      <c r="L29" s="26">
        <f>('TUSD BE'!$L$29+'TUSD BF'!$L$29+'TUSD CVA'!$L$29)*1</f>
        <v>0</v>
      </c>
      <c r="M29" s="26">
        <f>('TUSD BE'!$M$29+'TUSD BF'!$M$29+'TUSD CVA'!$M$29)*1</f>
        <v>1.1765423397400243</v>
      </c>
      <c r="N29" s="26">
        <f ca="1">('TUSD BE'!$N$29+'TUSD BF'!$N$29+'TUSD CVA'!$N$29)*1</f>
        <v>0</v>
      </c>
      <c r="O29" s="26">
        <f>('TUSD BE'!$O$29+'TUSD BF'!$O$29+'TUSD CVA'!$O$29)*1</f>
        <v>0</v>
      </c>
      <c r="P29" s="26">
        <v>0</v>
      </c>
      <c r="Q29" s="26">
        <f>('TUSD BE'!$Q$29+'TUSD BF'!$Q$29+'TUSD CVA'!$Q$29)*1</f>
        <v>0</v>
      </c>
      <c r="R29" s="26">
        <v>0</v>
      </c>
      <c r="S29" s="26">
        <f>('TUSD BE'!$S$29+'TUSD BF'!$S$29+'TUSD CVA'!$S$29)*1</f>
        <v>0</v>
      </c>
      <c r="T29" s="26">
        <f>('TUSD BE'!$U$29+'TUSD BF'!$U$29+'TUSD CVA'!$U$29)*1</f>
        <v>14.510935528032507</v>
      </c>
      <c r="U29" s="26">
        <f>('TUSD BE'!$V$29+'TUSD BF'!$V$29+'TUSD CVA'!$V$29)*1</f>
        <v>11.452969476403961</v>
      </c>
      <c r="V29" s="26">
        <f>('TUSD BE'!$W$29+'TUSD BF'!$W$29+'TUSD CVA'!$W$29)*1</f>
        <v>0</v>
      </c>
      <c r="W29" s="26">
        <f>('TUSD BE'!$X$29+'TUSD BF'!$X$29+'TUSD CVA'!$X$29)*1</f>
        <v>0</v>
      </c>
      <c r="X29" s="26">
        <f>('TUSD BE'!$Y$29+'TUSD BF'!$Y$29+'TUSD CVA'!$Y$29)*1</f>
        <v>20.8166339520116</v>
      </c>
      <c r="Y29" s="26">
        <f>('TUSD BE'!$Z$29+'TUSD BF'!$Z$29+'TUSD CVA'!$Z$29)*1</f>
        <v>0</v>
      </c>
      <c r="Z29" s="26">
        <f>('TUSD BE'!$AA$29+'TUSD BF'!$AA$29+'TUSD CVA'!$AA$29)*1</f>
        <v>0</v>
      </c>
      <c r="AA29" s="26">
        <f>('TUSD BE'!$AC$29+'TUSD BF'!$AC$29+'TUSD CVA'!$AC$29)*1</f>
        <v>147.72312446127205</v>
      </c>
      <c r="AB29" s="26">
        <f ca="1">('TUSD BE'!$AE$29+'TUSD BF'!$AE$29+'TUSD CVA'!$AE$29)*1</f>
        <v>0</v>
      </c>
      <c r="AC29" s="26">
        <f ca="1">('TUSD BE'!$AF$29+'TUSD BF'!$AF$29+'TUSD CVA'!$AF$29)*1</f>
        <v>0</v>
      </c>
      <c r="AD29" s="26">
        <f>('TUSD BE'!$AH$29+'TUSD BF'!$AH$29+'TUSD CVA'!$AH$29)*1</f>
        <v>17.446482312309563</v>
      </c>
      <c r="AE29" s="26">
        <f>('TUSD BE'!$AI$29+'TUSD BF'!$AI$29+'TUSD CVA'!$AI$29)*1</f>
        <v>0.13362304449018783</v>
      </c>
      <c r="AF29" s="26">
        <f ca="1">('TUSD BE'!$AJ$29+'TUSD BF'!$AJ$29+'TUSD CVA'!$AJ$29)*1</f>
        <v>0</v>
      </c>
      <c r="AG29" s="26">
        <f ca="1">('TUSD BE'!$AK$29+'TUSD BF'!$AK$29+'TUSD CVA'!$AK$29)*1</f>
        <v>0</v>
      </c>
      <c r="AI29" s="26">
        <v>0</v>
      </c>
      <c r="AJ29" s="26">
        <v>1.02720797757391</v>
      </c>
      <c r="AK29" s="26">
        <v>0</v>
      </c>
      <c r="AL29" s="26">
        <v>0</v>
      </c>
      <c r="AM29" s="26">
        <v>0</v>
      </c>
      <c r="AN29" s="26">
        <v>0</v>
      </c>
      <c r="AO29" s="26">
        <v>0</v>
      </c>
      <c r="AP29" s="26">
        <v>0</v>
      </c>
      <c r="AQ29" s="26">
        <v>20.3789329533484</v>
      </c>
      <c r="AR29" s="26">
        <v>20.831042156208099</v>
      </c>
      <c r="AS29" s="26">
        <v>0</v>
      </c>
      <c r="AT29" s="26">
        <v>0</v>
      </c>
      <c r="AU29" s="26">
        <v>21.180604195956199</v>
      </c>
      <c r="AV29" s="26">
        <v>0</v>
      </c>
      <c r="AW29" s="26">
        <v>0</v>
      </c>
      <c r="AX29" s="26">
        <v>128.68514016768501</v>
      </c>
      <c r="AY29" s="26">
        <v>1.2645661032233499</v>
      </c>
      <c r="AZ29" s="26">
        <v>0</v>
      </c>
      <c r="BA29" s="26">
        <v>13.739395002697499</v>
      </c>
      <c r="BB29" s="26">
        <v>0</v>
      </c>
      <c r="BC29" s="26">
        <v>0</v>
      </c>
      <c r="BD29" s="26">
        <v>0</v>
      </c>
    </row>
    <row r="30" spans="1:56" ht="11.25" customHeight="1" x14ac:dyDescent="0.25">
      <c r="A30" s="131" t="s">
        <v>43</v>
      </c>
      <c r="B30" s="131" t="s">
        <v>37</v>
      </c>
      <c r="C30" s="131" t="s">
        <v>44</v>
      </c>
      <c r="D30" s="131" t="s">
        <v>25</v>
      </c>
      <c r="E30" s="131" t="s">
        <v>25</v>
      </c>
      <c r="F30" s="131" t="s">
        <v>25</v>
      </c>
      <c r="G30" s="44" t="s">
        <v>77</v>
      </c>
      <c r="H30" s="44" t="s">
        <v>76</v>
      </c>
      <c r="I30" s="44">
        <f>'MERCADO TUSD'!$U$27</f>
        <v>0.78900000000000003</v>
      </c>
      <c r="J30" s="18"/>
      <c r="L30" s="26">
        <f>('TUSD BE'!$L$30+'TUSD BF'!$L$30+'TUSD CVA'!$L$30)*(1 - CUSTOS!$M$38)</f>
        <v>0</v>
      </c>
      <c r="M30" s="26">
        <f>('TUSD BE'!$M$30+'TUSD BF'!$M$30+'TUSD CVA'!$M$30)*(1 - CUSTOS!$M$38)</f>
        <v>1.1059497993556229</v>
      </c>
      <c r="N30" s="26">
        <f ca="1">('TUSD BE'!$N$30+'TUSD BF'!$N$30+'TUSD CVA'!$N$30)*(1 - CUSTOS!$M$38)</f>
        <v>0</v>
      </c>
      <c r="O30" s="26">
        <f>('TUSD BE'!$O$30+'TUSD BF'!$O$30+'TUSD CVA'!$O$30)*(1 - CUSTOS!$M$38)</f>
        <v>0</v>
      </c>
      <c r="P30" s="26">
        <f>('TUSD BE'!$P$30+'TUSD BF'!$P$30+'TUSD CVA'!$P$30)*(1 - CUSTOS!$M$38)</f>
        <v>0</v>
      </c>
      <c r="Q30" s="26">
        <f>('TUSD BE'!$Q$30+'TUSD BF'!$Q$30+'TUSD CVA'!$Q$30)*(1 - CUSTOS!$M$38)</f>
        <v>86.727716538492373</v>
      </c>
      <c r="R30" s="26">
        <f>('TUSD BE'!$R$30+'TUSD BF'!$R$30+'TUSD CVA'!$R$30)*(1 - CUSTOS!$M$38)</f>
        <v>13.706670676725233</v>
      </c>
      <c r="S30" s="26">
        <f>('TUSD BE'!$S$30+'TUSD BF'!$S$30+'TUSD CVA'!$S$30)*(1 - CUSTOS!$M$38)</f>
        <v>0</v>
      </c>
      <c r="T30" s="26">
        <f>('TUSD BE'!$U$30+'TUSD BF'!$U$30+'TUSD CVA'!$U$30)*(1 - CUSTOS!$M$38)</f>
        <v>37.510704308709236</v>
      </c>
      <c r="U30" s="26">
        <f>('TUSD BE'!$V$30+'TUSD BF'!$V$30+'TUSD CVA'!$V$30)*(1 - CUSTOS!$M$38)</f>
        <v>29.605810734378814</v>
      </c>
      <c r="V30" s="26">
        <f>('TUSD BE'!$W$30+'TUSD BF'!$W$30+'TUSD CVA'!$W$30)*(1 - CUSTOS!$M$38)</f>
        <v>0</v>
      </c>
      <c r="W30" s="26">
        <f>('TUSD BE'!$X$30+'TUSD BF'!$X$30+'TUSD CVA'!$X$30)*(1 - CUSTOS!$M$38)</f>
        <v>0</v>
      </c>
      <c r="X30" s="26">
        <f>('TUSD BE'!$Y$30+'TUSD BF'!$Y$30+'TUSD CVA'!$Y$30)*(1 - CUSTOS!$M$38)</f>
        <v>53.811046627772122</v>
      </c>
      <c r="Y30" s="26">
        <f>('TUSD BE'!$Z$30+'TUSD BF'!$Z$30+'TUSD CVA'!$Z$30)*(1 - CUSTOS!$M$38)</f>
        <v>0</v>
      </c>
      <c r="Z30" s="26">
        <f>('TUSD BE'!$AA$30+'TUSD BF'!$AA$30+'TUSD CVA'!$AA$30)*(1 - CUSTOS!$M$38)</f>
        <v>0</v>
      </c>
      <c r="AA30" s="26">
        <f>('TUSD BE'!$AC$30+'TUSD BF'!$AC$30+'TUSD CVA'!$AC$30)*(1 - CUSTOS!$M$38)</f>
        <v>381.86458755579872</v>
      </c>
      <c r="AB30" s="26">
        <f ca="1">('TUSD BE'!$AE$30+'TUSD BF'!$AE$30+'TUSD CVA'!$AE$30)*(1 - CUSTOS!$M$38)</f>
        <v>0</v>
      </c>
      <c r="AC30" s="26">
        <f ca="1">('TUSD BE'!$AF$30+'TUSD BF'!$AF$30+'TUSD CVA'!$AF$30)*(1 - CUSTOS!$M$38)</f>
        <v>0</v>
      </c>
      <c r="AD30" s="26">
        <f>('TUSD BE'!$AH$30+'TUSD BF'!$AH$30+'TUSD CVA'!$AH$30)*(1 - CUSTOS!$M$38)</f>
        <v>16.399693373570987</v>
      </c>
      <c r="AE30" s="26">
        <f>('TUSD BE'!$AI$30+'TUSD BF'!$AI$30+'TUSD CVA'!$AI$30)*(1 - CUSTOS!$M$38)</f>
        <v>0.12560566182077657</v>
      </c>
      <c r="AF30" s="26">
        <f ca="1">('TUSD BE'!$AJ$30+'TUSD BF'!$AJ$30+'TUSD CVA'!$AJ$30)*(1 - CUSTOS!$M$38)</f>
        <v>0</v>
      </c>
      <c r="AG30" s="26">
        <f ca="1">('TUSD BE'!$AK$30+'TUSD BF'!$AK$30+'TUSD CVA'!$AK$30)*(1 - CUSTOS!$M$38)</f>
        <v>0</v>
      </c>
      <c r="AI30" s="26">
        <v>0</v>
      </c>
      <c r="AJ30" s="26">
        <v>0.90394302026504003</v>
      </c>
      <c r="AK30" s="26">
        <v>0</v>
      </c>
      <c r="AL30" s="26">
        <v>0</v>
      </c>
      <c r="AM30" s="26">
        <v>0</v>
      </c>
      <c r="AN30" s="26">
        <v>50.4358198613524</v>
      </c>
      <c r="AO30" s="26">
        <v>7.8668661036066503</v>
      </c>
      <c r="AP30" s="26">
        <v>0</v>
      </c>
      <c r="AQ30" s="26">
        <v>49.316982090980197</v>
      </c>
      <c r="AR30" s="26">
        <v>50.410889723156998</v>
      </c>
      <c r="AS30" s="26">
        <v>0</v>
      </c>
      <c r="AT30" s="26">
        <v>0</v>
      </c>
      <c r="AU30" s="26">
        <v>51.257013417845698</v>
      </c>
      <c r="AV30" s="26">
        <v>0</v>
      </c>
      <c r="AW30" s="26">
        <v>0</v>
      </c>
      <c r="AX30" s="26">
        <v>311.41837576552098</v>
      </c>
      <c r="AY30" s="26">
        <v>3.2530131423025401</v>
      </c>
      <c r="AZ30" s="26">
        <v>0</v>
      </c>
      <c r="BA30" s="26">
        <v>12.0906676023738</v>
      </c>
      <c r="BB30" s="26">
        <v>0</v>
      </c>
      <c r="BC30" s="26">
        <v>0</v>
      </c>
      <c r="BD30" s="26">
        <v>0</v>
      </c>
    </row>
    <row r="31" spans="1:56" ht="11.25" customHeight="1" x14ac:dyDescent="0.25">
      <c r="A31" s="131"/>
      <c r="B31" s="131"/>
      <c r="C31" s="131"/>
      <c r="D31" s="131"/>
      <c r="E31" s="131"/>
      <c r="F31" s="131"/>
      <c r="G31" s="44" t="s">
        <v>88</v>
      </c>
      <c r="H31" s="44" t="s">
        <v>76</v>
      </c>
      <c r="I31" s="44">
        <f>'MERCADO TUSD'!$U$28</f>
        <v>0.57700000000000018</v>
      </c>
      <c r="J31" s="18"/>
      <c r="L31" s="26">
        <f>('TUSD BE'!$L$31+'TUSD BF'!$L$31+'TUSD CVA'!$L$31)*(1 - CUSTOS!$M$38)</f>
        <v>0</v>
      </c>
      <c r="M31" s="26">
        <f>('TUSD BE'!$M$31+'TUSD BF'!$M$31+'TUSD CVA'!$M$31)*(1 - CUSTOS!$M$38)</f>
        <v>1.1059497993556229</v>
      </c>
      <c r="N31" s="26">
        <f ca="1">('TUSD BE'!$N$31+'TUSD BF'!$N$31+'TUSD CVA'!$N$31)*(1 - CUSTOS!$M$38)</f>
        <v>0</v>
      </c>
      <c r="O31" s="26">
        <f>('TUSD BE'!$O$31+'TUSD BF'!$O$31+'TUSD CVA'!$O$31)*(1 - CUSTOS!$M$38)</f>
        <v>0</v>
      </c>
      <c r="P31" s="26">
        <f>('TUSD BE'!$P$31+'TUSD BF'!$P$31+'TUSD CVA'!$P$31)*(1 - CUSTOS!$M$38)</f>
        <v>0</v>
      </c>
      <c r="Q31" s="26">
        <f>('TUSD BE'!$Q$31+'TUSD BF'!$Q$31+'TUSD CVA'!$Q$31)*(1 - CUSTOS!$M$38)</f>
        <v>86.727716538492373</v>
      </c>
      <c r="R31" s="26">
        <f>('TUSD BE'!$R$31+'TUSD BF'!$R$31+'TUSD CVA'!$R$31)*(1 - CUSTOS!$M$38)</f>
        <v>13.706670676725233</v>
      </c>
      <c r="S31" s="26">
        <f>('TUSD BE'!$S$31+'TUSD BF'!$S$31+'TUSD CVA'!$S$31)*(1 - CUSTOS!$M$38)</f>
        <v>0</v>
      </c>
      <c r="T31" s="26">
        <f>('TUSD BE'!$U$31+'TUSD BF'!$U$31+'TUSD CVA'!$U$31)*(1 - CUSTOS!$M$38)</f>
        <v>22.506473810229377</v>
      </c>
      <c r="U31" s="26">
        <f>('TUSD BE'!$V$31+'TUSD BF'!$V$31+'TUSD CVA'!$V$31)*(1 - CUSTOS!$M$38)</f>
        <v>17.763394150926956</v>
      </c>
      <c r="V31" s="26">
        <f>('TUSD BE'!$W$31+'TUSD BF'!$W$31+'TUSD CVA'!$W$31)*(1 - CUSTOS!$M$38)</f>
        <v>0</v>
      </c>
      <c r="W31" s="26">
        <f>('TUSD BE'!$X$31+'TUSD BF'!$X$31+'TUSD CVA'!$X$31)*(1 - CUSTOS!$M$38)</f>
        <v>0</v>
      </c>
      <c r="X31" s="26">
        <f>('TUSD BE'!$Y$31+'TUSD BF'!$Y$31+'TUSD CVA'!$Y$31)*(1 - CUSTOS!$M$38)</f>
        <v>32.286627976663269</v>
      </c>
      <c r="Y31" s="26">
        <f>('TUSD BE'!$Z$31+'TUSD BF'!$Z$31+'TUSD CVA'!$Z$31)*(1 - CUSTOS!$M$38)</f>
        <v>0</v>
      </c>
      <c r="Z31" s="26">
        <f>('TUSD BE'!$AA$31+'TUSD BF'!$AA$31+'TUSD CVA'!$AA$31)*(1 - CUSTOS!$M$38)</f>
        <v>0</v>
      </c>
      <c r="AA31" s="26">
        <f>('TUSD BE'!$AC$31+'TUSD BF'!$AC$31+'TUSD CVA'!$AC$31)*(1 - CUSTOS!$M$38)</f>
        <v>229.11871109035789</v>
      </c>
      <c r="AB31" s="26">
        <f ca="1">('TUSD BE'!$AE$31+'TUSD BF'!$AE$31+'TUSD CVA'!$AE$31)*(1 - CUSTOS!$M$38)</f>
        <v>0</v>
      </c>
      <c r="AC31" s="26">
        <f ca="1">('TUSD BE'!$AF$31+'TUSD BF'!$AF$31+'TUSD CVA'!$AF$31)*(1 - CUSTOS!$M$38)</f>
        <v>0</v>
      </c>
      <c r="AD31" s="26">
        <f>('TUSD BE'!$AH$31+'TUSD BF'!$AH$31+'TUSD CVA'!$AH$31)*(1 - CUSTOS!$M$38)</f>
        <v>16.399693373570987</v>
      </c>
      <c r="AE31" s="26">
        <f>('TUSD BE'!$AI$31+'TUSD BF'!$AI$31+'TUSD CVA'!$AI$31)*(1 - CUSTOS!$M$38)</f>
        <v>0.12560566182077657</v>
      </c>
      <c r="AF31" s="26">
        <f ca="1">('TUSD BE'!$AJ$31+'TUSD BF'!$AJ$31+'TUSD CVA'!$AJ$31)*(1 - CUSTOS!$M$38)</f>
        <v>0</v>
      </c>
      <c r="AG31" s="26">
        <f ca="1">('TUSD BE'!$AK$31+'TUSD BF'!$AK$31+'TUSD CVA'!$AK$31)*(1 - CUSTOS!$M$38)</f>
        <v>0</v>
      </c>
      <c r="AI31" s="26">
        <v>0</v>
      </c>
      <c r="AJ31" s="26">
        <v>0.90394302026504003</v>
      </c>
      <c r="AK31" s="26">
        <v>0</v>
      </c>
      <c r="AL31" s="26">
        <v>0</v>
      </c>
      <c r="AM31" s="26">
        <v>0</v>
      </c>
      <c r="AN31" s="26">
        <v>50.4358198613524</v>
      </c>
      <c r="AO31" s="26">
        <v>7.8668661036066503</v>
      </c>
      <c r="AP31" s="26">
        <v>0</v>
      </c>
      <c r="AQ31" s="26">
        <v>29.5903033541817</v>
      </c>
      <c r="AR31" s="26">
        <v>30.246417686461001</v>
      </c>
      <c r="AS31" s="26">
        <v>0</v>
      </c>
      <c r="AT31" s="26">
        <v>0</v>
      </c>
      <c r="AU31" s="26">
        <v>30.754208050707401</v>
      </c>
      <c r="AV31" s="26">
        <v>0</v>
      </c>
      <c r="AW31" s="26">
        <v>0</v>
      </c>
      <c r="AX31" s="26">
        <v>186.851003021998</v>
      </c>
      <c r="AY31" s="26">
        <v>2.09172496123304</v>
      </c>
      <c r="AZ31" s="26">
        <v>0</v>
      </c>
      <c r="BA31" s="26">
        <v>12.0906676023738</v>
      </c>
      <c r="BB31" s="26">
        <v>0</v>
      </c>
      <c r="BC31" s="26">
        <v>0</v>
      </c>
      <c r="BD31" s="26">
        <v>0</v>
      </c>
    </row>
    <row r="32" spans="1:56" ht="11.25" customHeight="1" x14ac:dyDescent="0.25">
      <c r="A32" s="131"/>
      <c r="B32" s="131"/>
      <c r="C32" s="131"/>
      <c r="D32" s="131"/>
      <c r="E32" s="131"/>
      <c r="F32" s="131"/>
      <c r="G32" s="44" t="s">
        <v>78</v>
      </c>
      <c r="H32" s="44" t="s">
        <v>76</v>
      </c>
      <c r="I32" s="44">
        <f>'MERCADO TUSD'!$U$29</f>
        <v>5.0960000000000001</v>
      </c>
      <c r="J32" s="18"/>
      <c r="L32" s="26">
        <f>('TUSD BE'!$L$32+'TUSD BF'!$L$32+'TUSD CVA'!$L$32)*(1 - CUSTOS!$M$38)</f>
        <v>0</v>
      </c>
      <c r="M32" s="26">
        <f>('TUSD BE'!$M$32+'TUSD BF'!$M$32+'TUSD CVA'!$M$32)*(1 - CUSTOS!$M$38)</f>
        <v>1.1059497993556229</v>
      </c>
      <c r="N32" s="26">
        <f ca="1">('TUSD BE'!$N$32+'TUSD BF'!$N$32+'TUSD CVA'!$N$32)*(1 - CUSTOS!$M$38)</f>
        <v>0</v>
      </c>
      <c r="O32" s="26">
        <f>('TUSD BE'!$O$32+'TUSD BF'!$O$32+'TUSD CVA'!$O$32)*(1 - CUSTOS!$M$38)</f>
        <v>0</v>
      </c>
      <c r="P32" s="26">
        <f>('TUSD BE'!$P$32+'TUSD BF'!$P$32+'TUSD CVA'!$P$32)*(1 - CUSTOS!$M$38)</f>
        <v>0</v>
      </c>
      <c r="Q32" s="26">
        <f>('TUSD BE'!$Q$32+'TUSD BF'!$Q$32+'TUSD CVA'!$Q$32)*(1 - CUSTOS!$M$38)</f>
        <v>86.727716538492373</v>
      </c>
      <c r="R32" s="26">
        <f>('TUSD BE'!$R$32+'TUSD BF'!$R$32+'TUSD CVA'!$R$32)*(1 - CUSTOS!$M$38)</f>
        <v>13.706670676725233</v>
      </c>
      <c r="S32" s="26">
        <f>('TUSD BE'!$S$32+'TUSD BF'!$S$32+'TUSD CVA'!$S$32)*(1 - CUSTOS!$M$38)</f>
        <v>0</v>
      </c>
      <c r="T32" s="26">
        <f>('TUSD BE'!$U$32+'TUSD BF'!$U$32+'TUSD CVA'!$U$32)*(1 - CUSTOS!$M$38)</f>
        <v>7.5021579367431253</v>
      </c>
      <c r="U32" s="26">
        <f>('TUSD BE'!$V$32+'TUSD BF'!$V$32+'TUSD CVA'!$V$32)*(1 - CUSTOS!$M$38)</f>
        <v>5.921109409904143</v>
      </c>
      <c r="V32" s="26">
        <f>('TUSD BE'!$W$32+'TUSD BF'!$W$32+'TUSD CVA'!$W$32)*(1 - CUSTOS!$M$38)</f>
        <v>0</v>
      </c>
      <c r="W32" s="26">
        <f>('TUSD BE'!$X$32+'TUSD BF'!$X$32+'TUSD CVA'!$X$32)*(1 - CUSTOS!$M$38)</f>
        <v>0</v>
      </c>
      <c r="X32" s="26">
        <f>('TUSD BE'!$Y$32+'TUSD BF'!$Y$32+'TUSD CVA'!$Y$32)*(1 - CUSTOS!$M$38)</f>
        <v>10.762209325554425</v>
      </c>
      <c r="Y32" s="26">
        <f>('TUSD BE'!$Z$32+'TUSD BF'!$Z$32+'TUSD CVA'!$Z$32)*(1 - CUSTOS!$M$38)</f>
        <v>0</v>
      </c>
      <c r="Z32" s="26">
        <f>('TUSD BE'!$AA$32+'TUSD BF'!$AA$32+'TUSD CVA'!$AA$32)*(1 - CUSTOS!$M$38)</f>
        <v>0</v>
      </c>
      <c r="AA32" s="26">
        <f>('TUSD BE'!$AC$32+'TUSD BF'!$AC$32+'TUSD CVA'!$AC$32)*(1 - CUSTOS!$M$38)</f>
        <v>76.372903696785954</v>
      </c>
      <c r="AB32" s="26">
        <f ca="1">('TUSD BE'!$AE$32+'TUSD BF'!$AE$32+'TUSD CVA'!$AE$32)*(1 - CUSTOS!$M$38)</f>
        <v>0</v>
      </c>
      <c r="AC32" s="26">
        <f ca="1">('TUSD BE'!$AF$32+'TUSD BF'!$AF$32+'TUSD CVA'!$AF$32)*(1 - CUSTOS!$M$38)</f>
        <v>0</v>
      </c>
      <c r="AD32" s="26">
        <f>('TUSD BE'!$AH$32+'TUSD BF'!$AH$32+'TUSD CVA'!$AH$32)*(1 - CUSTOS!$M$38)</f>
        <v>16.399693373570987</v>
      </c>
      <c r="AE32" s="26">
        <f>('TUSD BE'!$AI$32+'TUSD BF'!$AI$32+'TUSD CVA'!$AI$32)*(1 - CUSTOS!$M$38)</f>
        <v>0.12560566182077657</v>
      </c>
      <c r="AF32" s="26">
        <f ca="1">('TUSD BE'!$AJ$32+'TUSD BF'!$AJ$32+'TUSD CVA'!$AJ$32)*(1 - CUSTOS!$M$38)</f>
        <v>0</v>
      </c>
      <c r="AG32" s="26">
        <f ca="1">('TUSD BE'!$AK$32+'TUSD BF'!$AK$32+'TUSD CVA'!$AK$32)*(1 - CUSTOS!$M$38)</f>
        <v>0</v>
      </c>
      <c r="AI32" s="26">
        <v>0</v>
      </c>
      <c r="AJ32" s="26">
        <v>0.90394302026504003</v>
      </c>
      <c r="AK32" s="26">
        <v>0</v>
      </c>
      <c r="AL32" s="26">
        <v>0</v>
      </c>
      <c r="AM32" s="26">
        <v>0</v>
      </c>
      <c r="AN32" s="26">
        <v>50.4358198613524</v>
      </c>
      <c r="AO32" s="26">
        <v>7.8668661036066503</v>
      </c>
      <c r="AP32" s="26">
        <v>0</v>
      </c>
      <c r="AQ32" s="26">
        <v>9.8634819928912396</v>
      </c>
      <c r="AR32" s="26">
        <v>10.082061797198101</v>
      </c>
      <c r="AS32" s="26">
        <v>0</v>
      </c>
      <c r="AT32" s="26">
        <v>0</v>
      </c>
      <c r="AU32" s="26">
        <v>10.251402683569101</v>
      </c>
      <c r="AV32" s="26">
        <v>0</v>
      </c>
      <c r="AW32" s="26">
        <v>0</v>
      </c>
      <c r="AX32" s="26">
        <v>62.283686371761704</v>
      </c>
      <c r="AY32" s="26">
        <v>0.93043709628059501</v>
      </c>
      <c r="AZ32" s="26">
        <v>0</v>
      </c>
      <c r="BA32" s="26">
        <v>12.0906676023738</v>
      </c>
      <c r="BB32" s="26">
        <v>0</v>
      </c>
      <c r="BC32" s="26">
        <v>0</v>
      </c>
      <c r="BD32" s="26">
        <v>0</v>
      </c>
    </row>
    <row r="33" spans="1:56" ht="11.25" customHeight="1" x14ac:dyDescent="0.25">
      <c r="A33" s="131"/>
      <c r="B33" s="86" t="s">
        <v>23</v>
      </c>
      <c r="C33" s="86" t="s">
        <v>44</v>
      </c>
      <c r="D33" s="86" t="s">
        <v>25</v>
      </c>
      <c r="E33" s="86" t="s">
        <v>25</v>
      </c>
      <c r="F33" s="86" t="s">
        <v>25</v>
      </c>
      <c r="G33" s="44" t="s">
        <v>82</v>
      </c>
      <c r="H33" s="44" t="s">
        <v>76</v>
      </c>
      <c r="I33" s="44">
        <f>'MERCADO TUSD'!$U$30</f>
        <v>36373.667999999998</v>
      </c>
      <c r="J33" s="18"/>
      <c r="L33" s="26">
        <f>('TUSD BE'!$L$33+'TUSD BF'!$L$33+'TUSD CVA'!$L$33)*(1 - CUSTOS!$M$38)</f>
        <v>0</v>
      </c>
      <c r="M33" s="26">
        <f>('TUSD BE'!$M$33+'TUSD BF'!$M$33+'TUSD CVA'!$M$33)*(1 - CUSTOS!$M$38)</f>
        <v>1.1059497993556229</v>
      </c>
      <c r="N33" s="26">
        <f ca="1">('TUSD BE'!$N$33+'TUSD BF'!$N$33+'TUSD CVA'!$N$33)*(1 - CUSTOS!$M$38)</f>
        <v>0</v>
      </c>
      <c r="O33" s="26">
        <f>('TUSD BE'!$O$33+'TUSD BF'!$O$33+'TUSD CVA'!$O$33)*(1 - CUSTOS!$M$38)</f>
        <v>0</v>
      </c>
      <c r="P33" s="26">
        <f>('TUSD BE'!$P$33+'TUSD BF'!$P$33+'TUSD CVA'!$P$33)*(1 - CUSTOS!$M$38)</f>
        <v>0</v>
      </c>
      <c r="Q33" s="26">
        <f>('TUSD BE'!$Q$33+'TUSD BF'!$Q$33+'TUSD CVA'!$Q$33)*(1 - CUSTOS!$M$38)</f>
        <v>86.727716538492373</v>
      </c>
      <c r="R33" s="26">
        <f>('TUSD BE'!$R$33+'TUSD BF'!$R$33+'TUSD CVA'!$R$33)*(1 - CUSTOS!$M$38)</f>
        <v>13.706670676725233</v>
      </c>
      <c r="S33" s="26">
        <f>('TUSD BE'!$S$33+'TUSD BF'!$S$33+'TUSD CVA'!$S$33)*(1 - CUSTOS!$M$38)</f>
        <v>0</v>
      </c>
      <c r="T33" s="26">
        <f>('TUSD BE'!$U$33+'TUSD BF'!$U$33+'TUSD CVA'!$U$33)*(1 - CUSTOS!$M$38)</f>
        <v>13.640279396350556</v>
      </c>
      <c r="U33" s="26">
        <f>('TUSD BE'!$V$33+'TUSD BF'!$V$33+'TUSD CVA'!$V$33)*(1 - CUSTOS!$M$38)</f>
        <v>10.765791307819724</v>
      </c>
      <c r="V33" s="26">
        <f>('TUSD BE'!$W$33+'TUSD BF'!$W$33+'TUSD CVA'!$W$33)*(1 - CUSTOS!$M$38)</f>
        <v>0</v>
      </c>
      <c r="W33" s="26">
        <f>('TUSD BE'!$X$33+'TUSD BF'!$X$33+'TUSD CVA'!$X$33)*(1 - CUSTOS!$M$38)</f>
        <v>0</v>
      </c>
      <c r="X33" s="26">
        <f>('TUSD BE'!$Y$33+'TUSD BF'!$Y$33+'TUSD CVA'!$Y$33)*(1 - CUSTOS!$M$38)</f>
        <v>19.567635914890904</v>
      </c>
      <c r="Y33" s="26">
        <f>('TUSD BE'!$Z$33+'TUSD BF'!$Z$33+'TUSD CVA'!$Z$33)*(1 - CUSTOS!$M$38)</f>
        <v>0</v>
      </c>
      <c r="Z33" s="26">
        <f>('TUSD BE'!$AA$33+'TUSD BF'!$AA$33+'TUSD CVA'!$AA$33)*(1 - CUSTOS!$M$38)</f>
        <v>0</v>
      </c>
      <c r="AA33" s="26">
        <f>('TUSD BE'!$AC$33+'TUSD BF'!$AC$33+'TUSD CVA'!$AC$33)*(1 - CUSTOS!$M$38)</f>
        <v>138.85973699359573</v>
      </c>
      <c r="AB33" s="26">
        <f ca="1">('TUSD BE'!$AE$33+'TUSD BF'!$AE$33+'TUSD CVA'!$AE$33)*(1 - CUSTOS!$M$38)</f>
        <v>0</v>
      </c>
      <c r="AC33" s="26">
        <f ca="1">('TUSD BE'!$AF$33+'TUSD BF'!$AF$33+'TUSD CVA'!$AF$33)*(1 - CUSTOS!$M$38)</f>
        <v>0</v>
      </c>
      <c r="AD33" s="26">
        <f>('TUSD BE'!$AH$33+'TUSD BF'!$AH$33+'TUSD CVA'!$AH$33)*(1 - CUSTOS!$M$38)</f>
        <v>16.399693373570987</v>
      </c>
      <c r="AE33" s="26">
        <f>('TUSD BE'!$AI$33+'TUSD BF'!$AI$33+'TUSD CVA'!$AI$33)*(1 - CUSTOS!$M$38)</f>
        <v>0.12560566182077657</v>
      </c>
      <c r="AF33" s="26">
        <f ca="1">('TUSD BE'!$AJ$33+'TUSD BF'!$AJ$33+'TUSD CVA'!$AJ$33)*(1 - CUSTOS!$M$38)</f>
        <v>0</v>
      </c>
      <c r="AG33" s="26">
        <f ca="1">('TUSD BE'!$AK$33+'TUSD BF'!$AK$33+'TUSD CVA'!$AK$33)*(1 - CUSTOS!$M$38)</f>
        <v>0</v>
      </c>
      <c r="AI33" s="26">
        <v>0</v>
      </c>
      <c r="AJ33" s="26">
        <v>0.90394302026504003</v>
      </c>
      <c r="AK33" s="26">
        <v>0</v>
      </c>
      <c r="AL33" s="26">
        <v>0</v>
      </c>
      <c r="AM33" s="26">
        <v>0</v>
      </c>
      <c r="AN33" s="26">
        <v>50.4358198613524</v>
      </c>
      <c r="AO33" s="26">
        <v>7.8668661036066503</v>
      </c>
      <c r="AP33" s="26">
        <v>0</v>
      </c>
      <c r="AQ33" s="26">
        <v>17.9334609989466</v>
      </c>
      <c r="AR33" s="26">
        <v>18.331317097463099</v>
      </c>
      <c r="AS33" s="26">
        <v>0</v>
      </c>
      <c r="AT33" s="26">
        <v>0</v>
      </c>
      <c r="AU33" s="26">
        <v>18.638931692441499</v>
      </c>
      <c r="AV33" s="26">
        <v>0</v>
      </c>
      <c r="AW33" s="26">
        <v>0</v>
      </c>
      <c r="AX33" s="26">
        <v>113.24292334756301</v>
      </c>
      <c r="AY33" s="26">
        <v>1.4055090317111001</v>
      </c>
      <c r="AZ33" s="26">
        <v>0</v>
      </c>
      <c r="BA33" s="26">
        <v>12.0906676023738</v>
      </c>
      <c r="BB33" s="26">
        <v>0</v>
      </c>
      <c r="BC33" s="26">
        <v>0</v>
      </c>
      <c r="BD33" s="26">
        <v>0</v>
      </c>
    </row>
    <row r="34" spans="1:56" ht="11.25" customHeight="1" x14ac:dyDescent="0.25">
      <c r="A34" s="131"/>
      <c r="B34" s="131" t="s">
        <v>37</v>
      </c>
      <c r="C34" s="131" t="s">
        <v>44</v>
      </c>
      <c r="D34" s="131" t="s">
        <v>92</v>
      </c>
      <c r="E34" s="131" t="s">
        <v>25</v>
      </c>
      <c r="F34" s="131" t="s">
        <v>25</v>
      </c>
      <c r="G34" s="44" t="s">
        <v>77</v>
      </c>
      <c r="H34" s="44" t="s">
        <v>76</v>
      </c>
      <c r="I34" s="44">
        <f>'MERCADO TUSD'!$U$31</f>
        <v>0</v>
      </c>
      <c r="J34" s="18"/>
      <c r="L34" s="26">
        <f>('TUSD BE'!$L$34+'TUSD BF'!$L$34+'TUSD CVA'!$L$34)*(1 - CUSTOS!$M$39)</f>
        <v>0</v>
      </c>
      <c r="M34" s="26">
        <f>('TUSD BE'!$M$34+'TUSD BF'!$M$34+'TUSD CVA'!$M$34)*(1 - CUSTOS!$M$39)</f>
        <v>1.1059497993556229</v>
      </c>
      <c r="N34" s="26">
        <f ca="1">('TUSD BE'!$N$34+'TUSD BF'!$N$34+'TUSD CVA'!$N$34)*(1 - CUSTOS!$M$39)</f>
        <v>0</v>
      </c>
      <c r="O34" s="26">
        <f>('TUSD BE'!$O$34+'TUSD BF'!$O$34+'TUSD CVA'!$O$34)*(1 - CUSTOS!$M$39)</f>
        <v>0</v>
      </c>
      <c r="P34" s="26">
        <f>('TUSD BE'!$P$34+'TUSD BF'!$P$34+'TUSD CVA'!$P$34)*(1 - CUSTOS!$M$39)</f>
        <v>0</v>
      </c>
      <c r="Q34" s="26">
        <f>('TUSD BE'!$Q$34+'TUSD BF'!$Q$34+'TUSD CVA'!$Q$34)*(1 - CUSTOS!$M$39)</f>
        <v>86.727716538492373</v>
      </c>
      <c r="R34" s="26">
        <f>('TUSD BE'!$R$34+'TUSD BF'!$R$34+'TUSD CVA'!$R$34)*(1 - CUSTOS!$M$39)</f>
        <v>13.706670676725233</v>
      </c>
      <c r="S34" s="26">
        <f>('TUSD BE'!$S$34+'TUSD BF'!$S$34+'TUSD CVA'!$S$34)*(1 - CUSTOS!$M$39)</f>
        <v>0</v>
      </c>
      <c r="T34" s="26">
        <f>('TUSD BE'!$U$34+'TUSD BF'!$U$34+'TUSD CVA'!$U$34)*(1 - CUSTOS!$M$39)</f>
        <v>37.510704308709236</v>
      </c>
      <c r="U34" s="26">
        <f>('TUSD BE'!$V$34+'TUSD BF'!$V$34+'TUSD CVA'!$V$34)*(1 - CUSTOS!$M$39)</f>
        <v>29.605810734378814</v>
      </c>
      <c r="V34" s="26">
        <f>('TUSD BE'!$W$34+'TUSD BF'!$W$34+'TUSD CVA'!$W$34)*(1 - CUSTOS!$M$39)</f>
        <v>0</v>
      </c>
      <c r="W34" s="26">
        <f>('TUSD BE'!$X$34+'TUSD BF'!$X$34+'TUSD CVA'!$X$34)*(1 - CUSTOS!$M$39)</f>
        <v>0</v>
      </c>
      <c r="X34" s="26">
        <f>('TUSD BE'!$Y$34+'TUSD BF'!$Y$34+'TUSD CVA'!$Y$34)*(1 - CUSTOS!$M$39)</f>
        <v>53.811046627772122</v>
      </c>
      <c r="Y34" s="26">
        <f>('TUSD BE'!$Z$34+'TUSD BF'!$Z$34+'TUSD CVA'!$Z$34)*(1 - CUSTOS!$M$39)</f>
        <v>0</v>
      </c>
      <c r="Z34" s="26">
        <f>('TUSD BE'!$AA$34+'TUSD BF'!$AA$34+'TUSD CVA'!$AA$34)*(1 - CUSTOS!$M$39)</f>
        <v>0</v>
      </c>
      <c r="AA34" s="26">
        <f>('TUSD BE'!$AC$34+'TUSD BF'!$AC$34+'TUSD CVA'!$AC$34)*(1 - CUSTOS!$M$39)</f>
        <v>381.86458755579872</v>
      </c>
      <c r="AB34" s="26">
        <f ca="1">('TUSD BE'!$AE$34+'TUSD BF'!$AE$34+'TUSD CVA'!$AE$34)*(1 - CUSTOS!$M$39)</f>
        <v>0</v>
      </c>
      <c r="AC34" s="26">
        <f ca="1">('TUSD BE'!$AF$34+'TUSD BF'!$AF$34+'TUSD CVA'!$AF$34)*(1 - CUSTOS!$M$39)</f>
        <v>0</v>
      </c>
      <c r="AD34" s="26">
        <f>('TUSD BE'!$AH$34+'TUSD BF'!$AH$34+'TUSD CVA'!$AH$34)*(1 - CUSTOS!$M$39)</f>
        <v>16.399693373570987</v>
      </c>
      <c r="AE34" s="26">
        <f>('TUSD BE'!$AI$34+'TUSD BF'!$AI$34+'TUSD CVA'!$AI$34)*(1 - CUSTOS!$M$39)</f>
        <v>0.12560566182077657</v>
      </c>
      <c r="AF34" s="26">
        <f ca="1">('TUSD BE'!$AJ$34+'TUSD BF'!$AJ$34+'TUSD CVA'!$AJ$34)*(1 - CUSTOS!$M$39)</f>
        <v>0</v>
      </c>
      <c r="AG34" s="26">
        <f ca="1">('TUSD BE'!$AK$34+'TUSD BF'!$AK$34+'TUSD CVA'!$AK$34)*(1 - CUSTOS!$M$39)</f>
        <v>0</v>
      </c>
      <c r="AI34" s="26">
        <v>0</v>
      </c>
      <c r="AJ34" s="26">
        <v>0.90394302026504003</v>
      </c>
      <c r="AK34" s="26">
        <v>0</v>
      </c>
      <c r="AL34" s="26">
        <v>0</v>
      </c>
      <c r="AM34" s="26">
        <v>0</v>
      </c>
      <c r="AN34" s="26">
        <v>50.4358198613524</v>
      </c>
      <c r="AO34" s="26">
        <v>7.8668661036066503</v>
      </c>
      <c r="AP34" s="26">
        <v>0</v>
      </c>
      <c r="AQ34" s="26">
        <v>49.316982090980197</v>
      </c>
      <c r="AR34" s="26">
        <v>50.410889723156998</v>
      </c>
      <c r="AS34" s="26">
        <v>0</v>
      </c>
      <c r="AT34" s="26">
        <v>0</v>
      </c>
      <c r="AU34" s="26">
        <v>51.257013417845698</v>
      </c>
      <c r="AV34" s="26">
        <v>0</v>
      </c>
      <c r="AW34" s="26">
        <v>0</v>
      </c>
      <c r="AX34" s="26">
        <v>311.41837576552098</v>
      </c>
      <c r="AY34" s="26">
        <v>3.2530131423025401</v>
      </c>
      <c r="AZ34" s="26">
        <v>0</v>
      </c>
      <c r="BA34" s="26">
        <v>12.0906676023738</v>
      </c>
      <c r="BB34" s="26">
        <v>0</v>
      </c>
      <c r="BC34" s="26">
        <v>0</v>
      </c>
      <c r="BD34" s="26">
        <v>0</v>
      </c>
    </row>
    <row r="35" spans="1:56" ht="11.25" customHeight="1" x14ac:dyDescent="0.25">
      <c r="A35" s="131"/>
      <c r="B35" s="131"/>
      <c r="C35" s="131"/>
      <c r="D35" s="131"/>
      <c r="E35" s="131"/>
      <c r="F35" s="131"/>
      <c r="G35" s="44" t="s">
        <v>88</v>
      </c>
      <c r="H35" s="44" t="s">
        <v>76</v>
      </c>
      <c r="I35" s="44">
        <f>'MERCADO TUSD'!$U$32</f>
        <v>0</v>
      </c>
      <c r="J35" s="18"/>
      <c r="L35" s="26">
        <f>('TUSD BE'!$L$35+'TUSD BF'!$L$35+'TUSD CVA'!$L$35)*(1 - CUSTOS!$M$39)</f>
        <v>0</v>
      </c>
      <c r="M35" s="26">
        <f>('TUSD BE'!$M$35+'TUSD BF'!$M$35+'TUSD CVA'!$M$35)*(1 - CUSTOS!$M$39)</f>
        <v>1.1059497993556229</v>
      </c>
      <c r="N35" s="26">
        <f ca="1">('TUSD BE'!$N$35+'TUSD BF'!$N$35+'TUSD CVA'!$N$35)*(1 - CUSTOS!$M$39)</f>
        <v>0</v>
      </c>
      <c r="O35" s="26">
        <f>('TUSD BE'!$O$35+'TUSD BF'!$O$35+'TUSD CVA'!$O$35)*(1 - CUSTOS!$M$39)</f>
        <v>0</v>
      </c>
      <c r="P35" s="26">
        <f>('TUSD BE'!$P$35+'TUSD BF'!$P$35+'TUSD CVA'!$P$35)*(1 - CUSTOS!$M$39)</f>
        <v>0</v>
      </c>
      <c r="Q35" s="26">
        <f>('TUSD BE'!$Q$35+'TUSD BF'!$Q$35+'TUSD CVA'!$Q$35)*(1 - CUSTOS!$M$39)</f>
        <v>86.727716538492373</v>
      </c>
      <c r="R35" s="26">
        <f>('TUSD BE'!$R$35+'TUSD BF'!$R$35+'TUSD CVA'!$R$35)*(1 - CUSTOS!$M$39)</f>
        <v>13.706670676725233</v>
      </c>
      <c r="S35" s="26">
        <f>('TUSD BE'!$S$35+'TUSD BF'!$S$35+'TUSD CVA'!$S$35)*(1 - CUSTOS!$M$39)</f>
        <v>0</v>
      </c>
      <c r="T35" s="26">
        <f>('TUSD BE'!$U$35+'TUSD BF'!$U$35+'TUSD CVA'!$U$35)*(1 - CUSTOS!$M$39)</f>
        <v>22.506473810229377</v>
      </c>
      <c r="U35" s="26">
        <f>('TUSD BE'!$V$35+'TUSD BF'!$V$35+'TUSD CVA'!$V$35)*(1 - CUSTOS!$M$39)</f>
        <v>17.763394150926956</v>
      </c>
      <c r="V35" s="26">
        <f>('TUSD BE'!$W$35+'TUSD BF'!$W$35+'TUSD CVA'!$W$35)*(1 - CUSTOS!$M$39)</f>
        <v>0</v>
      </c>
      <c r="W35" s="26">
        <f>('TUSD BE'!$X$35+'TUSD BF'!$X$35+'TUSD CVA'!$X$35)*(1 - CUSTOS!$M$39)</f>
        <v>0</v>
      </c>
      <c r="X35" s="26">
        <f>('TUSD BE'!$Y$35+'TUSD BF'!$Y$35+'TUSD CVA'!$Y$35)*(1 - CUSTOS!$M$39)</f>
        <v>32.286627976663269</v>
      </c>
      <c r="Y35" s="26">
        <f>('TUSD BE'!$Z$35+'TUSD BF'!$Z$35+'TUSD CVA'!$Z$35)*(1 - CUSTOS!$M$39)</f>
        <v>0</v>
      </c>
      <c r="Z35" s="26">
        <f>('TUSD BE'!$AA$35+'TUSD BF'!$AA$35+'TUSD CVA'!$AA$35)*(1 - CUSTOS!$M$39)</f>
        <v>0</v>
      </c>
      <c r="AA35" s="26">
        <f>('TUSD BE'!$AC$35+'TUSD BF'!$AC$35+'TUSD CVA'!$AC$35)*(1 - CUSTOS!$M$39)</f>
        <v>229.11871109035789</v>
      </c>
      <c r="AB35" s="26">
        <f ca="1">('TUSD BE'!$AE$35+'TUSD BF'!$AE$35+'TUSD CVA'!$AE$35)*(1 - CUSTOS!$M$39)</f>
        <v>0</v>
      </c>
      <c r="AC35" s="26">
        <f ca="1">('TUSD BE'!$AF$35+'TUSD BF'!$AF$35+'TUSD CVA'!$AF$35)*(1 - CUSTOS!$M$39)</f>
        <v>0</v>
      </c>
      <c r="AD35" s="26">
        <f>('TUSD BE'!$AH$35+'TUSD BF'!$AH$35+'TUSD CVA'!$AH$35)*(1 - CUSTOS!$M$39)</f>
        <v>16.399693373570987</v>
      </c>
      <c r="AE35" s="26">
        <f>('TUSD BE'!$AI$35+'TUSD BF'!$AI$35+'TUSD CVA'!$AI$35)*(1 - CUSTOS!$M$39)</f>
        <v>0.12560566182077657</v>
      </c>
      <c r="AF35" s="26">
        <f ca="1">('TUSD BE'!$AJ$35+'TUSD BF'!$AJ$35+'TUSD CVA'!$AJ$35)*(1 - CUSTOS!$M$39)</f>
        <v>0</v>
      </c>
      <c r="AG35" s="26">
        <f ca="1">('TUSD BE'!$AK$35+'TUSD BF'!$AK$35+'TUSD CVA'!$AK$35)*(1 - CUSTOS!$M$39)</f>
        <v>0</v>
      </c>
      <c r="AI35" s="26">
        <v>0</v>
      </c>
      <c r="AJ35" s="26">
        <v>0.90394302026504003</v>
      </c>
      <c r="AK35" s="26">
        <v>0</v>
      </c>
      <c r="AL35" s="26">
        <v>0</v>
      </c>
      <c r="AM35" s="26">
        <v>0</v>
      </c>
      <c r="AN35" s="26">
        <v>50.4358198613524</v>
      </c>
      <c r="AO35" s="26">
        <v>7.8668661036066503</v>
      </c>
      <c r="AP35" s="26">
        <v>0</v>
      </c>
      <c r="AQ35" s="26">
        <v>29.5903033541817</v>
      </c>
      <c r="AR35" s="26">
        <v>30.246417686461001</v>
      </c>
      <c r="AS35" s="26">
        <v>0</v>
      </c>
      <c r="AT35" s="26">
        <v>0</v>
      </c>
      <c r="AU35" s="26">
        <v>30.754208050707401</v>
      </c>
      <c r="AV35" s="26">
        <v>0</v>
      </c>
      <c r="AW35" s="26">
        <v>0</v>
      </c>
      <c r="AX35" s="26">
        <v>186.851003021998</v>
      </c>
      <c r="AY35" s="26">
        <v>2.09172496123304</v>
      </c>
      <c r="AZ35" s="26">
        <v>0</v>
      </c>
      <c r="BA35" s="26">
        <v>12.0906676023738</v>
      </c>
      <c r="BB35" s="26">
        <v>0</v>
      </c>
      <c r="BC35" s="26">
        <v>0</v>
      </c>
      <c r="BD35" s="26">
        <v>0</v>
      </c>
    </row>
    <row r="36" spans="1:56" ht="11.25" customHeight="1" x14ac:dyDescent="0.25">
      <c r="A36" s="131"/>
      <c r="B36" s="131"/>
      <c r="C36" s="131"/>
      <c r="D36" s="131"/>
      <c r="E36" s="131"/>
      <c r="F36" s="131"/>
      <c r="G36" s="44" t="s">
        <v>78</v>
      </c>
      <c r="H36" s="44" t="s">
        <v>76</v>
      </c>
      <c r="I36" s="44">
        <f>'MERCADO TUSD'!$U$33</f>
        <v>0</v>
      </c>
      <c r="J36" s="18"/>
      <c r="L36" s="26">
        <f>('TUSD BE'!$L$36+'TUSD BF'!$L$36+'TUSD CVA'!$L$36)*(1 - CUSTOS!$M$39)</f>
        <v>0</v>
      </c>
      <c r="M36" s="26">
        <f>('TUSD BE'!$M$36+'TUSD BF'!$M$36+'TUSD CVA'!$M$36)*(1 - CUSTOS!$M$39)</f>
        <v>1.1059497993556229</v>
      </c>
      <c r="N36" s="26">
        <f ca="1">('TUSD BE'!$N$36+'TUSD BF'!$N$36+'TUSD CVA'!$N$36)*(1 - CUSTOS!$M$39)</f>
        <v>0</v>
      </c>
      <c r="O36" s="26">
        <f>('TUSD BE'!$O$36+'TUSD BF'!$O$36+'TUSD CVA'!$O$36)*(1 - CUSTOS!$M$39)</f>
        <v>0</v>
      </c>
      <c r="P36" s="26">
        <f>('TUSD BE'!$P$36+'TUSD BF'!$P$36+'TUSD CVA'!$P$36)*(1 - CUSTOS!$M$39)</f>
        <v>0</v>
      </c>
      <c r="Q36" s="26">
        <f>('TUSD BE'!$Q$36+'TUSD BF'!$Q$36+'TUSD CVA'!$Q$36)*(1 - CUSTOS!$M$39)</f>
        <v>86.727716538492373</v>
      </c>
      <c r="R36" s="26">
        <f>('TUSD BE'!$R$36+'TUSD BF'!$R$36+'TUSD CVA'!$R$36)*(1 - CUSTOS!$M$39)</f>
        <v>13.706670676725233</v>
      </c>
      <c r="S36" s="26">
        <f>('TUSD BE'!$S$36+'TUSD BF'!$S$36+'TUSD CVA'!$S$36)*(1 - CUSTOS!$M$39)</f>
        <v>0</v>
      </c>
      <c r="T36" s="26">
        <f>('TUSD BE'!$U$36+'TUSD BF'!$U$36+'TUSD CVA'!$U$36)*(1 - CUSTOS!$M$39)</f>
        <v>7.5021579367431253</v>
      </c>
      <c r="U36" s="26">
        <f>('TUSD BE'!$V$36+'TUSD BF'!$V$36+'TUSD CVA'!$V$36)*(1 - CUSTOS!$M$39)</f>
        <v>5.921109409904143</v>
      </c>
      <c r="V36" s="26">
        <f>('TUSD BE'!$W$36+'TUSD BF'!$W$36+'TUSD CVA'!$W$36)*(1 - CUSTOS!$M$39)</f>
        <v>0</v>
      </c>
      <c r="W36" s="26">
        <f>('TUSD BE'!$X$36+'TUSD BF'!$X$36+'TUSD CVA'!$X$36)*(1 - CUSTOS!$M$39)</f>
        <v>0</v>
      </c>
      <c r="X36" s="26">
        <f>('TUSD BE'!$Y$36+'TUSD BF'!$Y$36+'TUSD CVA'!$Y$36)*(1 - CUSTOS!$M$39)</f>
        <v>10.762209325554425</v>
      </c>
      <c r="Y36" s="26">
        <f>('TUSD BE'!$Z$36+'TUSD BF'!$Z$36+'TUSD CVA'!$Z$36)*(1 - CUSTOS!$M$39)</f>
        <v>0</v>
      </c>
      <c r="Z36" s="26">
        <f>('TUSD BE'!$AA$36+'TUSD BF'!$AA$36+'TUSD CVA'!$AA$36)*(1 - CUSTOS!$M$39)</f>
        <v>0</v>
      </c>
      <c r="AA36" s="26">
        <f>('TUSD BE'!$AC$36+'TUSD BF'!$AC$36+'TUSD CVA'!$AC$36)*(1 - CUSTOS!$M$39)</f>
        <v>76.372903696785954</v>
      </c>
      <c r="AB36" s="26">
        <f ca="1">('TUSD BE'!$AE$36+'TUSD BF'!$AE$36+'TUSD CVA'!$AE$36)*(1 - CUSTOS!$M$39)</f>
        <v>0</v>
      </c>
      <c r="AC36" s="26">
        <f ca="1">('TUSD BE'!$AF$36+'TUSD BF'!$AF$36+'TUSD CVA'!$AF$36)*(1 - CUSTOS!$M$39)</f>
        <v>0</v>
      </c>
      <c r="AD36" s="26">
        <f>('TUSD BE'!$AH$36+'TUSD BF'!$AH$36+'TUSD CVA'!$AH$36)*(1 - CUSTOS!$M$39)</f>
        <v>16.399693373570987</v>
      </c>
      <c r="AE36" s="26">
        <f>('TUSD BE'!$AI$36+'TUSD BF'!$AI$36+'TUSD CVA'!$AI$36)*(1 - CUSTOS!$M$39)</f>
        <v>0.12560566182077657</v>
      </c>
      <c r="AF36" s="26">
        <f ca="1">('TUSD BE'!$AJ$36+'TUSD BF'!$AJ$36+'TUSD CVA'!$AJ$36)*(1 - CUSTOS!$M$39)</f>
        <v>0</v>
      </c>
      <c r="AG36" s="26">
        <f ca="1">('TUSD BE'!$AK$36+'TUSD BF'!$AK$36+'TUSD CVA'!$AK$36)*(1 - CUSTOS!$M$39)</f>
        <v>0</v>
      </c>
      <c r="AI36" s="26">
        <v>0</v>
      </c>
      <c r="AJ36" s="26">
        <v>0.90394302026504003</v>
      </c>
      <c r="AK36" s="26">
        <v>0</v>
      </c>
      <c r="AL36" s="26">
        <v>0</v>
      </c>
      <c r="AM36" s="26">
        <v>0</v>
      </c>
      <c r="AN36" s="26">
        <v>50.4358198613524</v>
      </c>
      <c r="AO36" s="26">
        <v>7.8668661036066503</v>
      </c>
      <c r="AP36" s="26">
        <v>0</v>
      </c>
      <c r="AQ36" s="26">
        <v>9.8634819928912396</v>
      </c>
      <c r="AR36" s="26">
        <v>10.082061797198101</v>
      </c>
      <c r="AS36" s="26">
        <v>0</v>
      </c>
      <c r="AT36" s="26">
        <v>0</v>
      </c>
      <c r="AU36" s="26">
        <v>10.251402683569101</v>
      </c>
      <c r="AV36" s="26">
        <v>0</v>
      </c>
      <c r="AW36" s="26">
        <v>0</v>
      </c>
      <c r="AX36" s="26">
        <v>62.283686371761704</v>
      </c>
      <c r="AY36" s="26">
        <v>0.93043709628059501</v>
      </c>
      <c r="AZ36" s="26">
        <v>0</v>
      </c>
      <c r="BA36" s="26">
        <v>12.0906676023738</v>
      </c>
      <c r="BB36" s="26">
        <v>0</v>
      </c>
      <c r="BC36" s="26">
        <v>0</v>
      </c>
      <c r="BD36" s="26">
        <v>0</v>
      </c>
    </row>
    <row r="37" spans="1:56" ht="11.25" customHeight="1" x14ac:dyDescent="0.25">
      <c r="A37" s="131"/>
      <c r="B37" s="86" t="s">
        <v>23</v>
      </c>
      <c r="C37" s="86" t="s">
        <v>44</v>
      </c>
      <c r="D37" s="86" t="s">
        <v>92</v>
      </c>
      <c r="E37" s="86" t="s">
        <v>25</v>
      </c>
      <c r="F37" s="86" t="s">
        <v>25</v>
      </c>
      <c r="G37" s="44" t="s">
        <v>82</v>
      </c>
      <c r="H37" s="44" t="s">
        <v>76</v>
      </c>
      <c r="I37" s="44">
        <f>'MERCADO TUSD'!$U$34</f>
        <v>0</v>
      </c>
      <c r="J37" s="18"/>
      <c r="L37" s="26">
        <f>('TUSD BE'!$L$37+'TUSD BF'!$L$37+'TUSD CVA'!$L$37)*(1 - CUSTOS!$M$39)</f>
        <v>0</v>
      </c>
      <c r="M37" s="26">
        <f>('TUSD BE'!$M$37+'TUSD BF'!$M$37+'TUSD CVA'!$M$37)*(1 - CUSTOS!$M$39)</f>
        <v>1.1059497993556229</v>
      </c>
      <c r="N37" s="26">
        <f ca="1">('TUSD BE'!$N$37+'TUSD BF'!$N$37+'TUSD CVA'!$N$37)*(1 - CUSTOS!$M$39)</f>
        <v>0</v>
      </c>
      <c r="O37" s="26">
        <f>('TUSD BE'!$O$37+'TUSD BF'!$O$37+'TUSD CVA'!$O$37)*(1 - CUSTOS!$M$39)</f>
        <v>0</v>
      </c>
      <c r="P37" s="26">
        <f>('TUSD BE'!$P$37+'TUSD BF'!$P$37+'TUSD CVA'!$P$37)*(1 - CUSTOS!$M$39)</f>
        <v>0</v>
      </c>
      <c r="Q37" s="26">
        <f>('TUSD BE'!$Q$37+'TUSD BF'!$Q$37+'TUSD CVA'!$Q$37)*(1 - CUSTOS!$M$39)</f>
        <v>86.727716538492373</v>
      </c>
      <c r="R37" s="26">
        <f>('TUSD BE'!$R$37+'TUSD BF'!$R$37+'TUSD CVA'!$R$37)*(1 - CUSTOS!$M$39)</f>
        <v>13.706670676725233</v>
      </c>
      <c r="S37" s="26">
        <f>('TUSD BE'!$S$37+'TUSD BF'!$S$37+'TUSD CVA'!$S$37)*(1 - CUSTOS!$M$39)</f>
        <v>0</v>
      </c>
      <c r="T37" s="26">
        <f>('TUSD BE'!$U$37+'TUSD BF'!$U$37+'TUSD CVA'!$U$37)*(1 - CUSTOS!$M$39)</f>
        <v>13.640279396350556</v>
      </c>
      <c r="U37" s="26">
        <f>('TUSD BE'!$V$37+'TUSD BF'!$V$37+'TUSD CVA'!$V$37)*(1 - CUSTOS!$M$39)</f>
        <v>10.765791307819724</v>
      </c>
      <c r="V37" s="26">
        <f>('TUSD BE'!$W$37+'TUSD BF'!$W$37+'TUSD CVA'!$W$37)*(1 - CUSTOS!$M$39)</f>
        <v>0</v>
      </c>
      <c r="W37" s="26">
        <f>('TUSD BE'!$X$37+'TUSD BF'!$X$37+'TUSD CVA'!$X$37)*(1 - CUSTOS!$M$39)</f>
        <v>0</v>
      </c>
      <c r="X37" s="26">
        <f>('TUSD BE'!$Y$37+'TUSD BF'!$Y$37+'TUSD CVA'!$Y$37)*(1 - CUSTOS!$M$39)</f>
        <v>19.567635914890904</v>
      </c>
      <c r="Y37" s="26">
        <f>('TUSD BE'!$Z$37+'TUSD BF'!$Z$37+'TUSD CVA'!$Z$37)*(1 - CUSTOS!$M$39)</f>
        <v>0</v>
      </c>
      <c r="Z37" s="26">
        <f>('TUSD BE'!$AA$37+'TUSD BF'!$AA$37+'TUSD CVA'!$AA$37)*(1 - CUSTOS!$M$39)</f>
        <v>0</v>
      </c>
      <c r="AA37" s="26">
        <f>('TUSD BE'!$AC$37+'TUSD BF'!$AC$37+'TUSD CVA'!$AC$37)*(1 - CUSTOS!$M$39)</f>
        <v>138.85973699359573</v>
      </c>
      <c r="AB37" s="26">
        <f ca="1">('TUSD BE'!$AE$37+'TUSD BF'!$AE$37+'TUSD CVA'!$AE$37)*(1 - CUSTOS!$M$39)</f>
        <v>0</v>
      </c>
      <c r="AC37" s="26">
        <f ca="1">('TUSD BE'!$AF$37+'TUSD BF'!$AF$37+'TUSD CVA'!$AF$37)*(1 - CUSTOS!$M$39)</f>
        <v>0</v>
      </c>
      <c r="AD37" s="26">
        <f>('TUSD BE'!$AH$37+'TUSD BF'!$AH$37+'TUSD CVA'!$AH$37)*(1 - CUSTOS!$M$39)</f>
        <v>16.399693373570987</v>
      </c>
      <c r="AE37" s="26">
        <f>('TUSD BE'!$AI$37+'TUSD BF'!$AI$37+'TUSD CVA'!$AI$37)*(1 - CUSTOS!$M$39)</f>
        <v>0.12560566182077657</v>
      </c>
      <c r="AF37" s="26">
        <f ca="1">('TUSD BE'!$AJ$37+'TUSD BF'!$AJ$37+'TUSD CVA'!$AJ$37)*(1 - CUSTOS!$M$39)</f>
        <v>0</v>
      </c>
      <c r="AG37" s="26">
        <f ca="1">('TUSD BE'!$AK$37+'TUSD BF'!$AK$37+'TUSD CVA'!$AK$37)*(1 - CUSTOS!$M$39)</f>
        <v>0</v>
      </c>
      <c r="AI37" s="26">
        <v>0</v>
      </c>
      <c r="AJ37" s="26">
        <v>0.90394302026504003</v>
      </c>
      <c r="AK37" s="26">
        <v>0</v>
      </c>
      <c r="AL37" s="26">
        <v>0</v>
      </c>
      <c r="AM37" s="26">
        <v>0</v>
      </c>
      <c r="AN37" s="26">
        <v>50.4358198613524</v>
      </c>
      <c r="AO37" s="26">
        <v>7.8668661036066503</v>
      </c>
      <c r="AP37" s="26">
        <v>0</v>
      </c>
      <c r="AQ37" s="26">
        <v>17.9334609989466</v>
      </c>
      <c r="AR37" s="26">
        <v>18.331317097463099</v>
      </c>
      <c r="AS37" s="26">
        <v>0</v>
      </c>
      <c r="AT37" s="26">
        <v>0</v>
      </c>
      <c r="AU37" s="26">
        <v>18.638931692441499</v>
      </c>
      <c r="AV37" s="26">
        <v>0</v>
      </c>
      <c r="AW37" s="26">
        <v>0</v>
      </c>
      <c r="AX37" s="26">
        <v>113.24292334756301</v>
      </c>
      <c r="AY37" s="26">
        <v>1.4055090317111001</v>
      </c>
      <c r="AZ37" s="26">
        <v>0</v>
      </c>
      <c r="BA37" s="26">
        <v>12.0906676023738</v>
      </c>
      <c r="BB37" s="26">
        <v>0</v>
      </c>
      <c r="BC37" s="26">
        <v>0</v>
      </c>
      <c r="BD37" s="26">
        <v>0</v>
      </c>
    </row>
    <row r="38" spans="1:56" ht="11.25" customHeight="1" x14ac:dyDescent="0.25">
      <c r="A38" s="131"/>
      <c r="B38" s="131" t="s">
        <v>37</v>
      </c>
      <c r="C38" s="131" t="s">
        <v>44</v>
      </c>
      <c r="D38" s="131" t="s">
        <v>93</v>
      </c>
      <c r="E38" s="131" t="s">
        <v>25</v>
      </c>
      <c r="F38" s="131" t="s">
        <v>25</v>
      </c>
      <c r="G38" s="44" t="s">
        <v>77</v>
      </c>
      <c r="H38" s="44" t="s">
        <v>76</v>
      </c>
      <c r="I38" s="44">
        <f>'MERCADO TUSD'!$U$35</f>
        <v>0</v>
      </c>
      <c r="J38" s="18"/>
      <c r="L38" s="26">
        <f>('TUSD BE'!$L$38+'TUSD BF'!$L$38+'TUSD CVA'!$L$38)*(1 - CUSTOS!$M$40)</f>
        <v>0</v>
      </c>
      <c r="M38" s="26">
        <f>('TUSD BE'!$M$38+'TUSD BF'!$M$38+'TUSD CVA'!$M$38)*(1 - CUSTOS!$M$40)</f>
        <v>1.0824189525608223</v>
      </c>
      <c r="N38" s="26">
        <f ca="1">('TUSD BE'!$N$38+'TUSD BF'!$N$38+'TUSD CVA'!$N$38)*(1 - CUSTOS!$M$40)</f>
        <v>0</v>
      </c>
      <c r="O38" s="26">
        <f>('TUSD BE'!$O$38+'TUSD BF'!$O$38+'TUSD CVA'!$O$38)*(1 - CUSTOS!$M$40)</f>
        <v>0</v>
      </c>
      <c r="P38" s="26">
        <f>('TUSD BE'!$P$38+'TUSD BF'!$P$38+'TUSD CVA'!$P$38)*(1 - CUSTOS!$M$40)</f>
        <v>0</v>
      </c>
      <c r="Q38" s="26">
        <f>('TUSD BE'!$Q$38+'TUSD BF'!$Q$38+'TUSD CVA'!$Q$38)*(1 - CUSTOS!$M$40)</f>
        <v>84.882445973843616</v>
      </c>
      <c r="R38" s="26">
        <f>('TUSD BE'!$R$38+'TUSD BF'!$R$38+'TUSD CVA'!$R$38)*(1 - CUSTOS!$M$40)</f>
        <v>13.415039385731081</v>
      </c>
      <c r="S38" s="26">
        <f>('TUSD BE'!$S$38+'TUSD BF'!$S$38+'TUSD CVA'!$S$38)*(1 - CUSTOS!$M$40)</f>
        <v>0</v>
      </c>
      <c r="T38" s="26">
        <f>('TUSD BE'!$U$38+'TUSD BF'!$U$38+'TUSD CVA'!$U$38)*(1 - CUSTOS!$M$40)</f>
        <v>36.712604217034574</v>
      </c>
      <c r="U38" s="26">
        <f>('TUSD BE'!$V$38+'TUSD BF'!$V$38+'TUSD CVA'!$V$38)*(1 - CUSTOS!$M$40)</f>
        <v>28.975899867689908</v>
      </c>
      <c r="V38" s="26">
        <f>('TUSD BE'!$W$38+'TUSD BF'!$W$38+'TUSD CVA'!$W$38)*(1 - CUSTOS!$M$40)</f>
        <v>0</v>
      </c>
      <c r="W38" s="26">
        <f>('TUSD BE'!$X$38+'TUSD BF'!$X$38+'TUSD CVA'!$X$38)*(1 - CUSTOS!$M$40)</f>
        <v>0</v>
      </c>
      <c r="X38" s="26">
        <f>('TUSD BE'!$Y$38+'TUSD BF'!$Y$38+'TUSD CVA'!$Y$38)*(1 - CUSTOS!$M$40)</f>
        <v>52.666130742074849</v>
      </c>
      <c r="Y38" s="26">
        <f>('TUSD BE'!$Z$38+'TUSD BF'!$Z$38+'TUSD CVA'!$Z$38)*(1 - CUSTOS!$M$40)</f>
        <v>0</v>
      </c>
      <c r="Z38" s="26">
        <f>('TUSD BE'!$AA$38+'TUSD BF'!$AA$38+'TUSD CVA'!$AA$38)*(1 - CUSTOS!$M$40)</f>
        <v>0</v>
      </c>
      <c r="AA38" s="26">
        <f>('TUSD BE'!$AC$38+'TUSD BF'!$AC$38+'TUSD CVA'!$AC$38)*(1 - CUSTOS!$M$40)</f>
        <v>373.73980909716477</v>
      </c>
      <c r="AB38" s="26">
        <f ca="1">('TUSD BE'!$AE$38+'TUSD BF'!$AE$38+'TUSD CVA'!$AE$38)*(1 - CUSTOS!$M$40)</f>
        <v>0</v>
      </c>
      <c r="AC38" s="26">
        <f ca="1">('TUSD BE'!$AF$38+'TUSD BF'!$AF$38+'TUSD CVA'!$AF$38)*(1 - CUSTOS!$M$40)</f>
        <v>0</v>
      </c>
      <c r="AD38" s="26">
        <f>('TUSD BE'!$AH$38+'TUSD BF'!$AH$38+'TUSD CVA'!$AH$38)*(1 - CUSTOS!$M$40)</f>
        <v>16.050763727324799</v>
      </c>
      <c r="AE38" s="26">
        <f>('TUSD BE'!$AI$38+'TUSD BF'!$AI$38+'TUSD CVA'!$AI$38)*(1 - CUSTOS!$M$40)</f>
        <v>0.12293320093097281</v>
      </c>
      <c r="AF38" s="26">
        <f ca="1">('TUSD BE'!$AJ$38+'TUSD BF'!$AJ$38+'TUSD CVA'!$AJ$38)*(1 - CUSTOS!$M$40)</f>
        <v>0</v>
      </c>
      <c r="AG38" s="26">
        <f ca="1">('TUSD BE'!$AK$38+'TUSD BF'!$AK$38+'TUSD CVA'!$AK$38)*(1 - CUSTOS!$M$40)</f>
        <v>0</v>
      </c>
      <c r="AI38" s="26">
        <v>0</v>
      </c>
      <c r="AJ38" s="26">
        <v>0.86285470116208396</v>
      </c>
      <c r="AK38" s="26">
        <v>0</v>
      </c>
      <c r="AL38" s="26">
        <v>0</v>
      </c>
      <c r="AM38" s="26">
        <v>0</v>
      </c>
      <c r="AN38" s="26">
        <v>48.1432825949273</v>
      </c>
      <c r="AO38" s="26">
        <v>7.5092812807154399</v>
      </c>
      <c r="AP38" s="26">
        <v>0</v>
      </c>
      <c r="AQ38" s="26">
        <v>47.075301086844803</v>
      </c>
      <c r="AR38" s="26">
        <v>48.119485644831698</v>
      </c>
      <c r="AS38" s="26">
        <v>0</v>
      </c>
      <c r="AT38" s="26">
        <v>0</v>
      </c>
      <c r="AU38" s="26">
        <v>48.927149171579998</v>
      </c>
      <c r="AV38" s="26">
        <v>0</v>
      </c>
      <c r="AW38" s="26">
        <v>0</v>
      </c>
      <c r="AX38" s="26">
        <v>297.26299504890699</v>
      </c>
      <c r="AY38" s="26">
        <v>3.10514890856152</v>
      </c>
      <c r="AZ38" s="26">
        <v>0</v>
      </c>
      <c r="BA38" s="26">
        <v>11.5410918022659</v>
      </c>
      <c r="BB38" s="26">
        <v>0</v>
      </c>
      <c r="BC38" s="26">
        <v>0</v>
      </c>
      <c r="BD38" s="26">
        <v>0</v>
      </c>
    </row>
    <row r="39" spans="1:56" ht="11.25" customHeight="1" x14ac:dyDescent="0.25">
      <c r="A39" s="131"/>
      <c r="B39" s="131"/>
      <c r="C39" s="131"/>
      <c r="D39" s="131"/>
      <c r="E39" s="131"/>
      <c r="F39" s="131"/>
      <c r="G39" s="44" t="s">
        <v>88</v>
      </c>
      <c r="H39" s="44" t="s">
        <v>76</v>
      </c>
      <c r="I39" s="44">
        <f>'MERCADO TUSD'!$U$36</f>
        <v>0</v>
      </c>
      <c r="J39" s="18"/>
      <c r="L39" s="26">
        <f>('TUSD BE'!$L$39+'TUSD BF'!$L$39+'TUSD CVA'!$L$39)*(1 - CUSTOS!$M$40)</f>
        <v>0</v>
      </c>
      <c r="M39" s="26">
        <f>('TUSD BE'!$M$39+'TUSD BF'!$M$39+'TUSD CVA'!$M$39)*(1 - CUSTOS!$M$40)</f>
        <v>1.0824189525608223</v>
      </c>
      <c r="N39" s="26">
        <f ca="1">('TUSD BE'!$N$39+'TUSD BF'!$N$39+'TUSD CVA'!$N$39)*(1 - CUSTOS!$M$40)</f>
        <v>0</v>
      </c>
      <c r="O39" s="26">
        <f>('TUSD BE'!$O$39+'TUSD BF'!$O$39+'TUSD CVA'!$O$39)*(1 - CUSTOS!$M$40)</f>
        <v>0</v>
      </c>
      <c r="P39" s="26">
        <f>('TUSD BE'!$P$39+'TUSD BF'!$P$39+'TUSD CVA'!$P$39)*(1 - CUSTOS!$M$40)</f>
        <v>0</v>
      </c>
      <c r="Q39" s="26">
        <f>('TUSD BE'!$Q$39+'TUSD BF'!$Q$39+'TUSD CVA'!$Q$39)*(1 - CUSTOS!$M$40)</f>
        <v>84.882445973843616</v>
      </c>
      <c r="R39" s="26">
        <f>('TUSD BE'!$R$39+'TUSD BF'!$R$39+'TUSD CVA'!$R$39)*(1 - CUSTOS!$M$40)</f>
        <v>13.415039385731081</v>
      </c>
      <c r="S39" s="26">
        <f>('TUSD BE'!$S$39+'TUSD BF'!$S$39+'TUSD CVA'!$S$39)*(1 - CUSTOS!$M$40)</f>
        <v>0</v>
      </c>
      <c r="T39" s="26">
        <f>('TUSD BE'!$U$39+'TUSD BF'!$U$39+'TUSD CVA'!$U$39)*(1 - CUSTOS!$M$40)</f>
        <v>22.027612665330881</v>
      </c>
      <c r="U39" s="26">
        <f>('TUSD BE'!$V$39+'TUSD BF'!$V$39+'TUSD CVA'!$V$39)*(1 - CUSTOS!$M$40)</f>
        <v>17.385449594524257</v>
      </c>
      <c r="V39" s="26">
        <f>('TUSD BE'!$W$39+'TUSD BF'!$W$39+'TUSD CVA'!$W$39)*(1 - CUSTOS!$M$40)</f>
        <v>0</v>
      </c>
      <c r="W39" s="26">
        <f>('TUSD BE'!$X$39+'TUSD BF'!$X$39+'TUSD CVA'!$X$39)*(1 - CUSTOS!$M$40)</f>
        <v>0</v>
      </c>
      <c r="X39" s="26">
        <f>('TUSD BE'!$Y$39+'TUSD BF'!$Y$39+'TUSD CVA'!$Y$39)*(1 - CUSTOS!$M$40)</f>
        <v>31.599678445244905</v>
      </c>
      <c r="Y39" s="26">
        <f>('TUSD BE'!$Z$39+'TUSD BF'!$Z$39+'TUSD CVA'!$Z$39)*(1 - CUSTOS!$M$40)</f>
        <v>0</v>
      </c>
      <c r="Z39" s="26">
        <f>('TUSD BE'!$AA$39+'TUSD BF'!$AA$39+'TUSD CVA'!$AA$39)*(1 - CUSTOS!$M$40)</f>
        <v>0</v>
      </c>
      <c r="AA39" s="26">
        <f>('TUSD BE'!$AC$39+'TUSD BF'!$AC$39+'TUSD CVA'!$AC$39)*(1 - CUSTOS!$M$40)</f>
        <v>224.24384489694603</v>
      </c>
      <c r="AB39" s="26">
        <f ca="1">('TUSD BE'!$AE$39+'TUSD BF'!$AE$39+'TUSD CVA'!$AE$39)*(1 - CUSTOS!$M$40)</f>
        <v>0</v>
      </c>
      <c r="AC39" s="26">
        <f ca="1">('TUSD BE'!$AF$39+'TUSD BF'!$AF$39+'TUSD CVA'!$AF$39)*(1 - CUSTOS!$M$40)</f>
        <v>0</v>
      </c>
      <c r="AD39" s="26">
        <f>('TUSD BE'!$AH$39+'TUSD BF'!$AH$39+'TUSD CVA'!$AH$39)*(1 - CUSTOS!$M$40)</f>
        <v>16.050763727324799</v>
      </c>
      <c r="AE39" s="26">
        <f>('TUSD BE'!$AI$39+'TUSD BF'!$AI$39+'TUSD CVA'!$AI$39)*(1 - CUSTOS!$M$40)</f>
        <v>0.12293320093097281</v>
      </c>
      <c r="AF39" s="26">
        <f ca="1">('TUSD BE'!$AJ$39+'TUSD BF'!$AJ$39+'TUSD CVA'!$AJ$39)*(1 - CUSTOS!$M$40)</f>
        <v>0</v>
      </c>
      <c r="AG39" s="26">
        <f ca="1">('TUSD BE'!$AK$39+'TUSD BF'!$AK$39+'TUSD CVA'!$AK$39)*(1 - CUSTOS!$M$40)</f>
        <v>0</v>
      </c>
      <c r="AI39" s="26">
        <v>0</v>
      </c>
      <c r="AJ39" s="26">
        <v>0.86285470116208396</v>
      </c>
      <c r="AK39" s="26">
        <v>0</v>
      </c>
      <c r="AL39" s="26">
        <v>0</v>
      </c>
      <c r="AM39" s="26">
        <v>0</v>
      </c>
      <c r="AN39" s="26">
        <v>48.1432825949273</v>
      </c>
      <c r="AO39" s="26">
        <v>7.5092812807154399</v>
      </c>
      <c r="AP39" s="26">
        <v>0</v>
      </c>
      <c r="AQ39" s="26">
        <v>28.2452895653553</v>
      </c>
      <c r="AR39" s="26">
        <v>28.8715805188946</v>
      </c>
      <c r="AS39" s="26">
        <v>0</v>
      </c>
      <c r="AT39" s="26">
        <v>0</v>
      </c>
      <c r="AU39" s="26">
        <v>29.356289502948002</v>
      </c>
      <c r="AV39" s="26">
        <v>0</v>
      </c>
      <c r="AW39" s="26">
        <v>0</v>
      </c>
      <c r="AX39" s="26">
        <v>178.35777561190699</v>
      </c>
      <c r="AY39" s="26">
        <v>1.9966465539042699</v>
      </c>
      <c r="AZ39" s="26">
        <v>0</v>
      </c>
      <c r="BA39" s="26">
        <v>11.5410918022659</v>
      </c>
      <c r="BB39" s="26">
        <v>0</v>
      </c>
      <c r="BC39" s="26">
        <v>0</v>
      </c>
      <c r="BD39" s="26">
        <v>0</v>
      </c>
    </row>
    <row r="40" spans="1:56" ht="11.25" customHeight="1" x14ac:dyDescent="0.25">
      <c r="A40" s="131"/>
      <c r="B40" s="131"/>
      <c r="C40" s="131"/>
      <c r="D40" s="131"/>
      <c r="E40" s="131"/>
      <c r="F40" s="131"/>
      <c r="G40" s="44" t="s">
        <v>78</v>
      </c>
      <c r="H40" s="44" t="s">
        <v>76</v>
      </c>
      <c r="I40" s="44">
        <f>'MERCADO TUSD'!$U$37</f>
        <v>0</v>
      </c>
      <c r="J40" s="18"/>
      <c r="L40" s="26">
        <f>('TUSD BE'!$L$40+'TUSD BF'!$L$40+'TUSD CVA'!$L$40)*(1 - CUSTOS!$M$40)</f>
        <v>0</v>
      </c>
      <c r="M40" s="26">
        <f>('TUSD BE'!$M$40+'TUSD BF'!$M$40+'TUSD CVA'!$M$40)*(1 - CUSTOS!$M$40)</f>
        <v>1.0824189525608223</v>
      </c>
      <c r="N40" s="26">
        <f ca="1">('TUSD BE'!$N$40+'TUSD BF'!$N$40+'TUSD CVA'!$N$40)*(1 - CUSTOS!$M$40)</f>
        <v>0</v>
      </c>
      <c r="O40" s="26">
        <f>('TUSD BE'!$O$40+'TUSD BF'!$O$40+'TUSD CVA'!$O$40)*(1 - CUSTOS!$M$40)</f>
        <v>0</v>
      </c>
      <c r="P40" s="26">
        <f>('TUSD BE'!$P$40+'TUSD BF'!$P$40+'TUSD CVA'!$P$40)*(1 - CUSTOS!$M$40)</f>
        <v>0</v>
      </c>
      <c r="Q40" s="26">
        <f>('TUSD BE'!$Q$40+'TUSD BF'!$Q$40+'TUSD CVA'!$Q$40)*(1 - CUSTOS!$M$40)</f>
        <v>84.882445973843616</v>
      </c>
      <c r="R40" s="26">
        <f>('TUSD BE'!$R$40+'TUSD BF'!$R$40+'TUSD CVA'!$R$40)*(1 - CUSTOS!$M$40)</f>
        <v>13.415039385731081</v>
      </c>
      <c r="S40" s="26">
        <f>('TUSD BE'!$S$40+'TUSD BF'!$S$40+'TUSD CVA'!$S$40)*(1 - CUSTOS!$M$40)</f>
        <v>0</v>
      </c>
      <c r="T40" s="26">
        <f>('TUSD BE'!$U$40+'TUSD BF'!$U$40+'TUSD CVA'!$U$40)*(1 - CUSTOS!$M$40)</f>
        <v>7.3425375551102938</v>
      </c>
      <c r="U40" s="26">
        <f>('TUSD BE'!$V$40+'TUSD BF'!$V$40+'TUSD CVA'!$V$40)*(1 - CUSTOS!$M$40)</f>
        <v>5.7951283586295874</v>
      </c>
      <c r="V40" s="26">
        <f>('TUSD BE'!$W$40+'TUSD BF'!$W$40+'TUSD CVA'!$W$40)*(1 - CUSTOS!$M$40)</f>
        <v>0</v>
      </c>
      <c r="W40" s="26">
        <f>('TUSD BE'!$X$40+'TUSD BF'!$X$40+'TUSD CVA'!$X$40)*(1 - CUSTOS!$M$40)</f>
        <v>0</v>
      </c>
      <c r="X40" s="26">
        <f>('TUSD BE'!$Y$40+'TUSD BF'!$Y$40+'TUSD CVA'!$Y$40)*(1 - CUSTOS!$M$40)</f>
        <v>10.533226148414968</v>
      </c>
      <c r="Y40" s="26">
        <f>('TUSD BE'!$Z$40+'TUSD BF'!$Z$40+'TUSD CVA'!$Z$40)*(1 - CUSTOS!$M$40)</f>
        <v>0</v>
      </c>
      <c r="Z40" s="26">
        <f>('TUSD BE'!$AA$40+'TUSD BF'!$AA$40+'TUSD CVA'!$AA$40)*(1 - CUSTOS!$M$40)</f>
        <v>0</v>
      </c>
      <c r="AA40" s="26">
        <f>('TUSD BE'!$AC$40+'TUSD BF'!$AC$40+'TUSD CVA'!$AC$40)*(1 - CUSTOS!$M$40)</f>
        <v>74.74794829898201</v>
      </c>
      <c r="AB40" s="26">
        <f ca="1">('TUSD BE'!$AE$40+'TUSD BF'!$AE$40+'TUSD CVA'!$AE$40)*(1 - CUSTOS!$M$40)</f>
        <v>0</v>
      </c>
      <c r="AC40" s="26">
        <f ca="1">('TUSD BE'!$AF$40+'TUSD BF'!$AF$40+'TUSD CVA'!$AF$40)*(1 - CUSTOS!$M$40)</f>
        <v>0</v>
      </c>
      <c r="AD40" s="26">
        <f>('TUSD BE'!$AH$40+'TUSD BF'!$AH$40+'TUSD CVA'!$AH$40)*(1 - CUSTOS!$M$40)</f>
        <v>16.050763727324799</v>
      </c>
      <c r="AE40" s="26">
        <f>('TUSD BE'!$AI$40+'TUSD BF'!$AI$40+'TUSD CVA'!$AI$40)*(1 - CUSTOS!$M$40)</f>
        <v>0.12293320093097281</v>
      </c>
      <c r="AF40" s="26">
        <f ca="1">('TUSD BE'!$AJ$40+'TUSD BF'!$AJ$40+'TUSD CVA'!$AJ$40)*(1 - CUSTOS!$M$40)</f>
        <v>0</v>
      </c>
      <c r="AG40" s="26">
        <f ca="1">('TUSD BE'!$AK$40+'TUSD BF'!$AK$40+'TUSD CVA'!$AK$40)*(1 - CUSTOS!$M$40)</f>
        <v>0</v>
      </c>
      <c r="AI40" s="26">
        <v>0</v>
      </c>
      <c r="AJ40" s="26">
        <v>0.86285470116208396</v>
      </c>
      <c r="AK40" s="26">
        <v>0</v>
      </c>
      <c r="AL40" s="26">
        <v>0</v>
      </c>
      <c r="AM40" s="26">
        <v>0</v>
      </c>
      <c r="AN40" s="26">
        <v>48.1432825949273</v>
      </c>
      <c r="AO40" s="26">
        <v>7.5092812807154399</v>
      </c>
      <c r="AP40" s="26">
        <v>0</v>
      </c>
      <c r="AQ40" s="26">
        <v>9.4151419023052796</v>
      </c>
      <c r="AR40" s="26">
        <v>9.6237862609618698</v>
      </c>
      <c r="AS40" s="26">
        <v>0</v>
      </c>
      <c r="AT40" s="26">
        <v>0</v>
      </c>
      <c r="AU40" s="26">
        <v>9.7854298343159893</v>
      </c>
      <c r="AV40" s="26">
        <v>0</v>
      </c>
      <c r="AW40" s="26">
        <v>0</v>
      </c>
      <c r="AX40" s="26">
        <v>59.4526097184999</v>
      </c>
      <c r="AY40" s="26">
        <v>0.88814450099511399</v>
      </c>
      <c r="AZ40" s="26">
        <v>0</v>
      </c>
      <c r="BA40" s="26">
        <v>11.5410918022659</v>
      </c>
      <c r="BB40" s="26">
        <v>0</v>
      </c>
      <c r="BC40" s="26">
        <v>0</v>
      </c>
      <c r="BD40" s="26">
        <v>0</v>
      </c>
    </row>
    <row r="41" spans="1:56" ht="11.25" customHeight="1" x14ac:dyDescent="0.25">
      <c r="A41" s="131"/>
      <c r="B41" s="86" t="s">
        <v>23</v>
      </c>
      <c r="C41" s="86" t="s">
        <v>44</v>
      </c>
      <c r="D41" s="86" t="s">
        <v>93</v>
      </c>
      <c r="E41" s="86" t="s">
        <v>25</v>
      </c>
      <c r="F41" s="86" t="s">
        <v>25</v>
      </c>
      <c r="G41" s="44" t="s">
        <v>82</v>
      </c>
      <c r="H41" s="44" t="s">
        <v>76</v>
      </c>
      <c r="I41" s="44">
        <f>'MERCADO TUSD'!$U$38</f>
        <v>0</v>
      </c>
      <c r="J41" s="18"/>
      <c r="L41" s="26">
        <f>('TUSD BE'!$L$41+'TUSD BF'!$L$41+'TUSD CVA'!$L$41)*(1 - CUSTOS!$M$40)</f>
        <v>0</v>
      </c>
      <c r="M41" s="26">
        <f>('TUSD BE'!$M$41+'TUSD BF'!$M$41+'TUSD CVA'!$M$41)*(1 - CUSTOS!$M$40)</f>
        <v>1.0824189525608223</v>
      </c>
      <c r="N41" s="26">
        <f ca="1">('TUSD BE'!$N$41+'TUSD BF'!$N$41+'TUSD CVA'!$N$41)*(1 - CUSTOS!$M$40)</f>
        <v>0</v>
      </c>
      <c r="O41" s="26">
        <f>('TUSD BE'!$O$41+'TUSD BF'!$O$41+'TUSD CVA'!$O$41)*(1 - CUSTOS!$M$40)</f>
        <v>0</v>
      </c>
      <c r="P41" s="26">
        <f>('TUSD BE'!$P$41+'TUSD BF'!$P$41+'TUSD CVA'!$P$41)*(1 - CUSTOS!$M$40)</f>
        <v>0</v>
      </c>
      <c r="Q41" s="26">
        <f>('TUSD BE'!$Q$41+'TUSD BF'!$Q$41+'TUSD CVA'!$Q$41)*(1 - CUSTOS!$M$40)</f>
        <v>84.882445973843616</v>
      </c>
      <c r="R41" s="26">
        <f>('TUSD BE'!$R$41+'TUSD BF'!$R$41+'TUSD CVA'!$R$41)*(1 - CUSTOS!$M$40)</f>
        <v>13.415039385731081</v>
      </c>
      <c r="S41" s="26">
        <f>('TUSD BE'!$S$41+'TUSD BF'!$S$41+'TUSD CVA'!$S$41)*(1 - CUSTOS!$M$40)</f>
        <v>0</v>
      </c>
      <c r="T41" s="26">
        <f>('TUSD BE'!$U$41+'TUSD BF'!$U$41+'TUSD CVA'!$U$41)*(1 - CUSTOS!$M$40)</f>
        <v>13.350060685789906</v>
      </c>
      <c r="U41" s="26">
        <f>('TUSD BE'!$V$41+'TUSD BF'!$V$41+'TUSD CVA'!$V$41)*(1 - CUSTOS!$M$40)</f>
        <v>10.536731918291645</v>
      </c>
      <c r="V41" s="26">
        <f>('TUSD BE'!$W$41+'TUSD BF'!$W$41+'TUSD CVA'!$W$41)*(1 - CUSTOS!$M$40)</f>
        <v>0</v>
      </c>
      <c r="W41" s="26">
        <f>('TUSD BE'!$X$41+'TUSD BF'!$X$41+'TUSD CVA'!$X$41)*(1 - CUSTOS!$M$40)</f>
        <v>0</v>
      </c>
      <c r="X41" s="26">
        <f>('TUSD BE'!$Y$41+'TUSD BF'!$Y$41+'TUSD CVA'!$Y$41)*(1 - CUSTOS!$M$40)</f>
        <v>19.151303235850673</v>
      </c>
      <c r="Y41" s="26">
        <f>('TUSD BE'!$Z$41+'TUSD BF'!$Z$41+'TUSD CVA'!$Z$41)*(1 - CUSTOS!$M$40)</f>
        <v>0</v>
      </c>
      <c r="Z41" s="26">
        <f>('TUSD BE'!$AA$41+'TUSD BF'!$AA$41+'TUSD CVA'!$AA$41)*(1 - CUSTOS!$M$40)</f>
        <v>0</v>
      </c>
      <c r="AA41" s="26">
        <f>('TUSD BE'!$AC$41+'TUSD BF'!$AC$41+'TUSD CVA'!$AC$41)*(1 - CUSTOS!$M$40)</f>
        <v>135.90527450437028</v>
      </c>
      <c r="AB41" s="26">
        <f ca="1">('TUSD BE'!$AE$41+'TUSD BF'!$AE$41+'TUSD CVA'!$AE$41)*(1 - CUSTOS!$M$40)</f>
        <v>0</v>
      </c>
      <c r="AC41" s="26">
        <f ca="1">('TUSD BE'!$AF$41+'TUSD BF'!$AF$41+'TUSD CVA'!$AF$41)*(1 - CUSTOS!$M$40)</f>
        <v>0</v>
      </c>
      <c r="AD41" s="26">
        <f>('TUSD BE'!$AH$41+'TUSD BF'!$AH$41+'TUSD CVA'!$AH$41)*(1 - CUSTOS!$M$40)</f>
        <v>16.050763727324799</v>
      </c>
      <c r="AE41" s="26">
        <f>('TUSD BE'!$AI$41+'TUSD BF'!$AI$41+'TUSD CVA'!$AI$41)*(1 - CUSTOS!$M$40)</f>
        <v>0.12293320093097281</v>
      </c>
      <c r="AF41" s="26">
        <f ca="1">('TUSD BE'!$AJ$41+'TUSD BF'!$AJ$41+'TUSD CVA'!$AJ$41)*(1 - CUSTOS!$M$40)</f>
        <v>0</v>
      </c>
      <c r="AG41" s="26">
        <f ca="1">('TUSD BE'!$AK$41+'TUSD BF'!$AK$41+'TUSD CVA'!$AK$41)*(1 - CUSTOS!$M$40)</f>
        <v>0</v>
      </c>
      <c r="AI41" s="26">
        <v>0</v>
      </c>
      <c r="AJ41" s="26">
        <v>0.86285470116208396</v>
      </c>
      <c r="AK41" s="26">
        <v>0</v>
      </c>
      <c r="AL41" s="26">
        <v>0</v>
      </c>
      <c r="AM41" s="26">
        <v>0</v>
      </c>
      <c r="AN41" s="26">
        <v>48.1432825949273</v>
      </c>
      <c r="AO41" s="26">
        <v>7.5092812807154399</v>
      </c>
      <c r="AP41" s="26">
        <v>0</v>
      </c>
      <c r="AQ41" s="26">
        <v>17.118303680812701</v>
      </c>
      <c r="AR41" s="26">
        <v>17.498075411214799</v>
      </c>
      <c r="AS41" s="26">
        <v>0</v>
      </c>
      <c r="AT41" s="26">
        <v>0</v>
      </c>
      <c r="AU41" s="26">
        <v>17.7917075246033</v>
      </c>
      <c r="AV41" s="26">
        <v>0</v>
      </c>
      <c r="AW41" s="26">
        <v>0</v>
      </c>
      <c r="AX41" s="26">
        <v>108.095517740855</v>
      </c>
      <c r="AY41" s="26">
        <v>1.3416222575424099</v>
      </c>
      <c r="AZ41" s="26">
        <v>0</v>
      </c>
      <c r="BA41" s="26">
        <v>11.5410918022659</v>
      </c>
      <c r="BB41" s="26">
        <v>0</v>
      </c>
      <c r="BC41" s="26">
        <v>0</v>
      </c>
      <c r="BD41" s="26">
        <v>0</v>
      </c>
    </row>
    <row r="42" spans="1:56" ht="11.25" customHeight="1" x14ac:dyDescent="0.25">
      <c r="A42" s="131"/>
      <c r="B42" s="131" t="s">
        <v>91</v>
      </c>
      <c r="C42" s="131" t="s">
        <v>44</v>
      </c>
      <c r="D42" s="86" t="s">
        <v>25</v>
      </c>
      <c r="E42" s="86" t="s">
        <v>25</v>
      </c>
      <c r="F42" s="86" t="s">
        <v>25</v>
      </c>
      <c r="G42" s="44" t="s">
        <v>82</v>
      </c>
      <c r="H42" s="44" t="s">
        <v>76</v>
      </c>
      <c r="I42" s="44">
        <f>'MERCADO TUSD'!$U$39</f>
        <v>0</v>
      </c>
      <c r="J42" s="18"/>
      <c r="L42" s="26">
        <f>('TUSD BE'!$L$42+'TUSD BF'!$L$42+'TUSD CVA'!$L$42)*(1 - CUSTOS!$M$38)</f>
        <v>0</v>
      </c>
      <c r="M42" s="26">
        <f>('TUSD BE'!$M$42+'TUSD BF'!$M$42+'TUSD CVA'!$M$42)*(1 - CUSTOS!$M$38)</f>
        <v>1.1059497993556229</v>
      </c>
      <c r="N42" s="26">
        <f ca="1">('TUSD BE'!$N$42+'TUSD BF'!$N$42+'TUSD CVA'!$N$42)*(1 - CUSTOS!$M$38)</f>
        <v>0</v>
      </c>
      <c r="O42" s="26">
        <f>('TUSD BE'!$O$42+'TUSD BF'!$O$42+'TUSD CVA'!$O$42)*(1 - CUSTOS!$M$38)</f>
        <v>0</v>
      </c>
      <c r="P42" s="26">
        <f>('TUSD BE'!$P$42+'TUSD BF'!$P$42+'TUSD CVA'!$P$42)*(1 - CUSTOS!$M$38)</f>
        <v>0</v>
      </c>
      <c r="Q42" s="26">
        <f>('TUSD BE'!$Q$42+'TUSD BF'!$Q$42+'TUSD CVA'!$Q$42)*(1 - CUSTOS!$M$38)</f>
        <v>86.727716538492373</v>
      </c>
      <c r="R42" s="26">
        <f>('TUSD BE'!$R$42+'TUSD BF'!$R$42+'TUSD CVA'!$R$42)*(1 - CUSTOS!$M$38)</f>
        <v>13.706670676725233</v>
      </c>
      <c r="S42" s="26">
        <f>('TUSD BE'!$S$42+'TUSD BF'!$S$42+'TUSD CVA'!$S$42)*(1 - CUSTOS!$M$38)</f>
        <v>0</v>
      </c>
      <c r="T42" s="26">
        <f>('TUSD BE'!$U$42+'TUSD BF'!$U$42+'TUSD CVA'!$U$42)*(1 - CUSTOS!$M$38)</f>
        <v>13.640279396350556</v>
      </c>
      <c r="U42" s="26">
        <f>('TUSD BE'!$V$42+'TUSD BF'!$V$42+'TUSD CVA'!$V$42)*(1 - CUSTOS!$M$38)</f>
        <v>10.765791307819724</v>
      </c>
      <c r="V42" s="26">
        <f>('TUSD BE'!$W$42+'TUSD BF'!$W$42+'TUSD CVA'!$W$42)*(1 - CUSTOS!$M$38)</f>
        <v>0</v>
      </c>
      <c r="W42" s="26">
        <f>('TUSD BE'!$X$42+'TUSD BF'!$X$42+'TUSD CVA'!$X$42)*(1 - CUSTOS!$M$38)</f>
        <v>0</v>
      </c>
      <c r="X42" s="26">
        <f>('TUSD BE'!$Y$42+'TUSD BF'!$Y$42+'TUSD CVA'!$Y$42)*(1 - CUSTOS!$M$38)</f>
        <v>19.567635914890904</v>
      </c>
      <c r="Y42" s="26">
        <f>('TUSD BE'!$Z$42+'TUSD BF'!$Z$42+'TUSD CVA'!$Z$42)*(1 - CUSTOS!$M$38)</f>
        <v>0</v>
      </c>
      <c r="Z42" s="26">
        <f>('TUSD BE'!$AA$42+'TUSD BF'!$AA$42+'TUSD CVA'!$AA$42)*(1 - CUSTOS!$M$38)</f>
        <v>0</v>
      </c>
      <c r="AA42" s="26">
        <f>('TUSD BE'!$AC$42+'TUSD BF'!$AC$42+'TUSD CVA'!$AC$42)*(1 - CUSTOS!$M$38)</f>
        <v>138.85973699359573</v>
      </c>
      <c r="AB42" s="26">
        <f ca="1">('TUSD BE'!$AE$42+'TUSD BF'!$AE$42+'TUSD CVA'!$AE$42)*(1 - CUSTOS!$M$38)</f>
        <v>0</v>
      </c>
      <c r="AC42" s="26">
        <f ca="1">('TUSD BE'!$AF$42+'TUSD BF'!$AF$42+'TUSD CVA'!$AF$42)*(1 - CUSTOS!$M$38)</f>
        <v>0</v>
      </c>
      <c r="AD42" s="26">
        <f>('TUSD BE'!$AH$42+'TUSD BF'!$AH$42+'TUSD CVA'!$AH$42)*(1 - CUSTOS!$M$38)</f>
        <v>16.399693373570987</v>
      </c>
      <c r="AE42" s="26">
        <f>('TUSD BE'!$AI$42+'TUSD BF'!$AI$42+'TUSD CVA'!$AI$42)*(1 - CUSTOS!$M$38)</f>
        <v>0.12560566182077657</v>
      </c>
      <c r="AF42" s="26">
        <f ca="1">('TUSD BE'!$AJ$42+'TUSD BF'!$AJ$42+'TUSD CVA'!$AJ$42)*(1 - CUSTOS!$M$38)</f>
        <v>0</v>
      </c>
      <c r="AG42" s="26">
        <f ca="1">('TUSD BE'!$AK$42+'TUSD BF'!$AK$42+'TUSD CVA'!$AK$42)*(1 - CUSTOS!$M$38)</f>
        <v>0</v>
      </c>
      <c r="AI42" s="26">
        <v>0</v>
      </c>
      <c r="AJ42" s="26">
        <v>0.90394302026504003</v>
      </c>
      <c r="AK42" s="26">
        <v>0</v>
      </c>
      <c r="AL42" s="26">
        <v>0</v>
      </c>
      <c r="AM42" s="26">
        <v>0</v>
      </c>
      <c r="AN42" s="26">
        <v>50.4358198613524</v>
      </c>
      <c r="AO42" s="26">
        <v>7.8668661036066503</v>
      </c>
      <c r="AP42" s="26">
        <v>0</v>
      </c>
      <c r="AQ42" s="26">
        <v>17.9334609989466</v>
      </c>
      <c r="AR42" s="26">
        <v>18.331317097463099</v>
      </c>
      <c r="AS42" s="26">
        <v>0</v>
      </c>
      <c r="AT42" s="26">
        <v>0</v>
      </c>
      <c r="AU42" s="26">
        <v>18.638931692441499</v>
      </c>
      <c r="AV42" s="26">
        <v>0</v>
      </c>
      <c r="AW42" s="26">
        <v>0</v>
      </c>
      <c r="AX42" s="26">
        <v>113.24292334756301</v>
      </c>
      <c r="AY42" s="26">
        <v>1.4055090317111001</v>
      </c>
      <c r="AZ42" s="26">
        <v>0</v>
      </c>
      <c r="BA42" s="26">
        <v>12.0906676023738</v>
      </c>
      <c r="BB42" s="26">
        <v>0</v>
      </c>
      <c r="BC42" s="26">
        <v>0</v>
      </c>
      <c r="BD42" s="26">
        <v>0</v>
      </c>
    </row>
    <row r="43" spans="1:56" ht="11.25" customHeight="1" x14ac:dyDescent="0.25">
      <c r="A43" s="131"/>
      <c r="B43" s="131"/>
      <c r="C43" s="131"/>
      <c r="D43" s="86" t="s">
        <v>92</v>
      </c>
      <c r="E43" s="86" t="s">
        <v>25</v>
      </c>
      <c r="F43" s="86" t="s">
        <v>25</v>
      </c>
      <c r="G43" s="44" t="s">
        <v>82</v>
      </c>
      <c r="H43" s="44" t="s">
        <v>76</v>
      </c>
      <c r="I43" s="44">
        <f>'MERCADO TUSD'!$U$40</f>
        <v>0</v>
      </c>
      <c r="J43" s="18"/>
      <c r="L43" s="26">
        <f>('TUSD BE'!$L$43+'TUSD BF'!$L$43+'TUSD CVA'!$L$43)*(1 - CUSTOS!$M$39)</f>
        <v>0</v>
      </c>
      <c r="M43" s="26">
        <f>('TUSD BE'!$M$43+'TUSD BF'!$M$43+'TUSD CVA'!$M$43)*(1 - CUSTOS!$M$39)</f>
        <v>1.1059497993556229</v>
      </c>
      <c r="N43" s="26">
        <f ca="1">('TUSD BE'!$N$43+'TUSD BF'!$N$43+'TUSD CVA'!$N$43)*(1 - CUSTOS!$M$39)</f>
        <v>0</v>
      </c>
      <c r="O43" s="26">
        <f>('TUSD BE'!$O$43+'TUSD BF'!$O$43+'TUSD CVA'!$O$43)*(1 - CUSTOS!$M$39)</f>
        <v>0</v>
      </c>
      <c r="P43" s="26">
        <f>('TUSD BE'!$P$43+'TUSD BF'!$P$43+'TUSD CVA'!$P$43)*(1 - CUSTOS!$M$39)</f>
        <v>0</v>
      </c>
      <c r="Q43" s="26">
        <f>('TUSD BE'!$Q$43+'TUSD BF'!$Q$43+'TUSD CVA'!$Q$43)*(1 - CUSTOS!$M$39)</f>
        <v>86.727716538492373</v>
      </c>
      <c r="R43" s="26">
        <f>('TUSD BE'!$R$43+'TUSD BF'!$R$43+'TUSD CVA'!$R$43)*(1 - CUSTOS!$M$39)</f>
        <v>13.706670676725233</v>
      </c>
      <c r="S43" s="26">
        <f>('TUSD BE'!$S$43+'TUSD BF'!$S$43+'TUSD CVA'!$S$43)*(1 - CUSTOS!$M$39)</f>
        <v>0</v>
      </c>
      <c r="T43" s="26">
        <f>('TUSD BE'!$U$43+'TUSD BF'!$U$43+'TUSD CVA'!$U$43)*(1 - CUSTOS!$M$39)</f>
        <v>13.640279396350556</v>
      </c>
      <c r="U43" s="26">
        <f>('TUSD BE'!$V$43+'TUSD BF'!$V$43+'TUSD CVA'!$V$43)*(1 - CUSTOS!$M$39)</f>
        <v>10.765791307819724</v>
      </c>
      <c r="V43" s="26">
        <f>('TUSD BE'!$W$43+'TUSD BF'!$W$43+'TUSD CVA'!$W$43)*(1 - CUSTOS!$M$39)</f>
        <v>0</v>
      </c>
      <c r="W43" s="26">
        <f>('TUSD BE'!$X$43+'TUSD BF'!$X$43+'TUSD CVA'!$X$43)*(1 - CUSTOS!$M$39)</f>
        <v>0</v>
      </c>
      <c r="X43" s="26">
        <f>('TUSD BE'!$Y$43+'TUSD BF'!$Y$43+'TUSD CVA'!$Y$43)*(1 - CUSTOS!$M$39)</f>
        <v>19.567635914890904</v>
      </c>
      <c r="Y43" s="26">
        <f>('TUSD BE'!$Z$43+'TUSD BF'!$Z$43+'TUSD CVA'!$Z$43)*(1 - CUSTOS!$M$39)</f>
        <v>0</v>
      </c>
      <c r="Z43" s="26">
        <f>('TUSD BE'!$AA$43+'TUSD BF'!$AA$43+'TUSD CVA'!$AA$43)*(1 - CUSTOS!$M$39)</f>
        <v>0</v>
      </c>
      <c r="AA43" s="26">
        <f>('TUSD BE'!$AC$43+'TUSD BF'!$AC$43+'TUSD CVA'!$AC$43)*(1 - CUSTOS!$M$39)</f>
        <v>138.85973699359573</v>
      </c>
      <c r="AB43" s="26">
        <f ca="1">('TUSD BE'!$AE$43+'TUSD BF'!$AE$43+'TUSD CVA'!$AE$43)*(1 - CUSTOS!$M$39)</f>
        <v>0</v>
      </c>
      <c r="AC43" s="26">
        <f ca="1">('TUSD BE'!$AF$43+'TUSD BF'!$AF$43+'TUSD CVA'!$AF$43)*(1 - CUSTOS!$M$39)</f>
        <v>0</v>
      </c>
      <c r="AD43" s="26">
        <f>('TUSD BE'!$AH$43+'TUSD BF'!$AH$43+'TUSD CVA'!$AH$43)*(1 - CUSTOS!$M$39)</f>
        <v>16.399693373570987</v>
      </c>
      <c r="AE43" s="26">
        <f>('TUSD BE'!$AI$43+'TUSD BF'!$AI$43+'TUSD CVA'!$AI$43)*(1 - CUSTOS!$M$39)</f>
        <v>0.12560566182077657</v>
      </c>
      <c r="AF43" s="26">
        <f ca="1">('TUSD BE'!$AJ$43+'TUSD BF'!$AJ$43+'TUSD CVA'!$AJ$43)*(1 - CUSTOS!$M$39)</f>
        <v>0</v>
      </c>
      <c r="AG43" s="26">
        <f ca="1">('TUSD BE'!$AK$43+'TUSD BF'!$AK$43+'TUSD CVA'!$AK$43)*(1 - CUSTOS!$M$39)</f>
        <v>0</v>
      </c>
      <c r="AI43" s="26">
        <v>0</v>
      </c>
      <c r="AJ43" s="26">
        <v>0.90394302026504003</v>
      </c>
      <c r="AK43" s="26">
        <v>0</v>
      </c>
      <c r="AL43" s="26">
        <v>0</v>
      </c>
      <c r="AM43" s="26">
        <v>0</v>
      </c>
      <c r="AN43" s="26">
        <v>50.4358198613524</v>
      </c>
      <c r="AO43" s="26">
        <v>7.8668661036066503</v>
      </c>
      <c r="AP43" s="26">
        <v>0</v>
      </c>
      <c r="AQ43" s="26">
        <v>17.9334609989466</v>
      </c>
      <c r="AR43" s="26">
        <v>18.331317097463099</v>
      </c>
      <c r="AS43" s="26">
        <v>0</v>
      </c>
      <c r="AT43" s="26">
        <v>0</v>
      </c>
      <c r="AU43" s="26">
        <v>18.638931692441499</v>
      </c>
      <c r="AV43" s="26">
        <v>0</v>
      </c>
      <c r="AW43" s="26">
        <v>0</v>
      </c>
      <c r="AX43" s="26">
        <v>113.24292334756301</v>
      </c>
      <c r="AY43" s="26">
        <v>1.4055090317111001</v>
      </c>
      <c r="AZ43" s="26">
        <v>0</v>
      </c>
      <c r="BA43" s="26">
        <v>12.0906676023738</v>
      </c>
      <c r="BB43" s="26">
        <v>0</v>
      </c>
      <c r="BC43" s="26">
        <v>0</v>
      </c>
      <c r="BD43" s="26">
        <v>0</v>
      </c>
    </row>
    <row r="44" spans="1:56" ht="11.25" customHeight="1" x14ac:dyDescent="0.25">
      <c r="A44" s="131"/>
      <c r="B44" s="131"/>
      <c r="C44" s="131"/>
      <c r="D44" s="86" t="s">
        <v>93</v>
      </c>
      <c r="E44" s="86" t="s">
        <v>25</v>
      </c>
      <c r="F44" s="86" t="s">
        <v>25</v>
      </c>
      <c r="G44" s="44" t="s">
        <v>82</v>
      </c>
      <c r="H44" s="44" t="s">
        <v>76</v>
      </c>
      <c r="I44" s="44">
        <f>'MERCADO TUSD'!$U$41</f>
        <v>0</v>
      </c>
      <c r="J44" s="18"/>
      <c r="L44" s="26">
        <f>('TUSD BE'!$L$44+'TUSD BF'!$L$44+'TUSD CVA'!$L$44)*(1 - CUSTOS!$M$40)</f>
        <v>0</v>
      </c>
      <c r="M44" s="26">
        <f>('TUSD BE'!$M$44+'TUSD BF'!$M$44+'TUSD CVA'!$M$44)*(1 - CUSTOS!$M$40)</f>
        <v>1.0824189525608223</v>
      </c>
      <c r="N44" s="26">
        <f ca="1">('TUSD BE'!$N$44+'TUSD BF'!$N$44+'TUSD CVA'!$N$44)*(1 - CUSTOS!$M$40)</f>
        <v>0</v>
      </c>
      <c r="O44" s="26">
        <f>('TUSD BE'!$O$44+'TUSD BF'!$O$44+'TUSD CVA'!$O$44)*(1 - CUSTOS!$M$40)</f>
        <v>0</v>
      </c>
      <c r="P44" s="26">
        <f>('TUSD BE'!$P$44+'TUSD BF'!$P$44+'TUSD CVA'!$P$44)*(1 - CUSTOS!$M$40)</f>
        <v>0</v>
      </c>
      <c r="Q44" s="26">
        <f>('TUSD BE'!$Q$44+'TUSD BF'!$Q$44+'TUSD CVA'!$Q$44)*(1 - CUSTOS!$M$40)</f>
        <v>84.882445973843616</v>
      </c>
      <c r="R44" s="26">
        <f>('TUSD BE'!$R$44+'TUSD BF'!$R$44+'TUSD CVA'!$R$44)*(1 - CUSTOS!$M$40)</f>
        <v>13.415039385731081</v>
      </c>
      <c r="S44" s="26">
        <f>('TUSD BE'!$S$44+'TUSD BF'!$S$44+'TUSD CVA'!$S$44)*(1 - CUSTOS!$M$40)</f>
        <v>0</v>
      </c>
      <c r="T44" s="26">
        <f>('TUSD BE'!$U$44+'TUSD BF'!$U$44+'TUSD CVA'!$U$44)*(1 - CUSTOS!$M$40)</f>
        <v>13.350060685789906</v>
      </c>
      <c r="U44" s="26">
        <f>('TUSD BE'!$V$44+'TUSD BF'!$V$44+'TUSD CVA'!$V$44)*(1 - CUSTOS!$M$40)</f>
        <v>10.536731918291645</v>
      </c>
      <c r="V44" s="26">
        <f>('TUSD BE'!$W$44+'TUSD BF'!$W$44+'TUSD CVA'!$W$44)*(1 - CUSTOS!$M$40)</f>
        <v>0</v>
      </c>
      <c r="W44" s="26">
        <f>('TUSD BE'!$X$44+'TUSD BF'!$X$44+'TUSD CVA'!$X$44)*(1 - CUSTOS!$M$40)</f>
        <v>0</v>
      </c>
      <c r="X44" s="26">
        <f>('TUSD BE'!$Y$44+'TUSD BF'!$Y$44+'TUSD CVA'!$Y$44)*(1 - CUSTOS!$M$40)</f>
        <v>19.151303235850673</v>
      </c>
      <c r="Y44" s="26">
        <f>('TUSD BE'!$Z$44+'TUSD BF'!$Z$44+'TUSD CVA'!$Z$44)*(1 - CUSTOS!$M$40)</f>
        <v>0</v>
      </c>
      <c r="Z44" s="26">
        <f>('TUSD BE'!$AA$44+'TUSD BF'!$AA$44+'TUSD CVA'!$AA$44)*(1 - CUSTOS!$M$40)</f>
        <v>0</v>
      </c>
      <c r="AA44" s="26">
        <f>('TUSD BE'!$AC$44+'TUSD BF'!$AC$44+'TUSD CVA'!$AC$44)*(1 - CUSTOS!$M$40)</f>
        <v>135.90527450437028</v>
      </c>
      <c r="AB44" s="26">
        <f ca="1">('TUSD BE'!$AE$44+'TUSD BF'!$AE$44+'TUSD CVA'!$AE$44)*(1 - CUSTOS!$M$40)</f>
        <v>0</v>
      </c>
      <c r="AC44" s="26">
        <f ca="1">('TUSD BE'!$AF$44+'TUSD BF'!$AF$44+'TUSD CVA'!$AF$44)*(1 - CUSTOS!$M$40)</f>
        <v>0</v>
      </c>
      <c r="AD44" s="26">
        <f>('TUSD BE'!$AH$44+'TUSD BF'!$AH$44+'TUSD CVA'!$AH$44)*(1 - CUSTOS!$M$40)</f>
        <v>16.050763727324799</v>
      </c>
      <c r="AE44" s="26">
        <f>('TUSD BE'!$AI$44+'TUSD BF'!$AI$44+'TUSD CVA'!$AI$44)*(1 - CUSTOS!$M$40)</f>
        <v>0.12293320093097281</v>
      </c>
      <c r="AF44" s="26">
        <f ca="1">('TUSD BE'!$AJ$44+'TUSD BF'!$AJ$44+'TUSD CVA'!$AJ$44)*(1 - CUSTOS!$M$40)</f>
        <v>0</v>
      </c>
      <c r="AG44" s="26">
        <f ca="1">('TUSD BE'!$AK$44+'TUSD BF'!$AK$44+'TUSD CVA'!$AK$44)*(1 - CUSTOS!$M$40)</f>
        <v>0</v>
      </c>
      <c r="AI44" s="26">
        <v>0</v>
      </c>
      <c r="AJ44" s="26">
        <v>0.86285470116208396</v>
      </c>
      <c r="AK44" s="26">
        <v>0</v>
      </c>
      <c r="AL44" s="26">
        <v>0</v>
      </c>
      <c r="AM44" s="26">
        <v>0</v>
      </c>
      <c r="AN44" s="26">
        <v>48.1432825949273</v>
      </c>
      <c r="AO44" s="26">
        <v>7.5092812807154399</v>
      </c>
      <c r="AP44" s="26">
        <v>0</v>
      </c>
      <c r="AQ44" s="26">
        <v>17.118303680812701</v>
      </c>
      <c r="AR44" s="26">
        <v>17.498075411214799</v>
      </c>
      <c r="AS44" s="26">
        <v>0</v>
      </c>
      <c r="AT44" s="26">
        <v>0</v>
      </c>
      <c r="AU44" s="26">
        <v>17.7917075246033</v>
      </c>
      <c r="AV44" s="26">
        <v>0</v>
      </c>
      <c r="AW44" s="26">
        <v>0</v>
      </c>
      <c r="AX44" s="26">
        <v>108.095517740855</v>
      </c>
      <c r="AY44" s="26">
        <v>1.3416222575424099</v>
      </c>
      <c r="AZ44" s="26">
        <v>0</v>
      </c>
      <c r="BA44" s="26">
        <v>11.5410918022659</v>
      </c>
      <c r="BB44" s="26">
        <v>0</v>
      </c>
      <c r="BC44" s="26">
        <v>0</v>
      </c>
      <c r="BD44" s="26">
        <v>0</v>
      </c>
    </row>
    <row r="45" spans="1:56" ht="11.25" customHeight="1" x14ac:dyDescent="0.25">
      <c r="A45" s="131" t="s">
        <v>39</v>
      </c>
      <c r="B45" s="131" t="s">
        <v>37</v>
      </c>
      <c r="C45" s="131" t="s">
        <v>25</v>
      </c>
      <c r="D45" s="131" t="s">
        <v>25</v>
      </c>
      <c r="E45" s="131" t="s">
        <v>25</v>
      </c>
      <c r="F45" s="131" t="s">
        <v>25</v>
      </c>
      <c r="G45" s="44" t="s">
        <v>77</v>
      </c>
      <c r="H45" s="44" t="s">
        <v>76</v>
      </c>
      <c r="I45" s="44">
        <f>'MERCADO TUSD'!$U$42</f>
        <v>0.80500000000000171</v>
      </c>
      <c r="J45" s="18"/>
      <c r="L45" s="26">
        <f>('TUSD BE'!$L$45+'TUSD BF'!$L$45+'TUSD CVA'!$L$45)*1</f>
        <v>0</v>
      </c>
      <c r="M45" s="26">
        <f>('TUSD BE'!$M$45+'TUSD BF'!$M$45+'TUSD CVA'!$M$45)*1</f>
        <v>1.1765423397400243</v>
      </c>
      <c r="N45" s="26">
        <f ca="1">('TUSD BE'!$N$45+'TUSD BF'!$N$45+'TUSD CVA'!$N$45)*1</f>
        <v>0</v>
      </c>
      <c r="O45" s="26">
        <f>('TUSD BE'!$O$45+'TUSD BF'!$O$45+'TUSD CVA'!$O$45)*1</f>
        <v>0</v>
      </c>
      <c r="P45" s="26">
        <f>('TUSD BE'!$P$45+'TUSD BF'!$P$45+'TUSD CVA'!$P$45)*1</f>
        <v>0</v>
      </c>
      <c r="Q45" s="26">
        <f>('TUSD BE'!$Q$45+'TUSD BF'!$Q$45+'TUSD CVA'!$Q$45)*1</f>
        <v>92.263528232438702</v>
      </c>
      <c r="R45" s="26">
        <f>('TUSD BE'!$R$45+'TUSD BF'!$R$45+'TUSD CVA'!$R$45)*1</f>
        <v>14.581564549707696</v>
      </c>
      <c r="S45" s="26">
        <f>('TUSD BE'!$S$45+'TUSD BF'!$S$45+'TUSD CVA'!$S$45)*1</f>
        <v>0</v>
      </c>
      <c r="T45" s="26">
        <f>('TUSD BE'!$U$45+'TUSD BF'!$U$45+'TUSD CVA'!$U$45)*1</f>
        <v>44.983727570398486</v>
      </c>
      <c r="U45" s="26">
        <f>('TUSD BE'!$V$45+'TUSD BF'!$V$45+'TUSD CVA'!$V$45)*1</f>
        <v>35.504044080263547</v>
      </c>
      <c r="V45" s="26">
        <f>('TUSD BE'!$W$45+'TUSD BF'!$W$45+'TUSD CVA'!$W$45)*1</f>
        <v>0</v>
      </c>
      <c r="W45" s="26">
        <f>('TUSD BE'!$X$45+'TUSD BF'!$X$45+'TUSD CVA'!$X$45)*1</f>
        <v>0</v>
      </c>
      <c r="X45" s="26">
        <f>('TUSD BE'!$Y$45+'TUSD BF'!$Y$45+'TUSD CVA'!$Y$45)*1</f>
        <v>64.531585617968787</v>
      </c>
      <c r="Y45" s="26">
        <f>('TUSD BE'!$Z$45+'TUSD BF'!$Z$45+'TUSD CVA'!$Z$45)*1</f>
        <v>0</v>
      </c>
      <c r="Z45" s="26">
        <f>('TUSD BE'!$AA$45+'TUSD BF'!$AA$45+'TUSD CVA'!$AA$45)*1</f>
        <v>0</v>
      </c>
      <c r="AA45" s="26">
        <f>('TUSD BE'!$AC$45+'TUSD BF'!$AC$45+'TUSD CVA'!$AC$45)*1</f>
        <v>457.94200914507491</v>
      </c>
      <c r="AB45" s="26">
        <f ca="1">('TUSD BE'!$AE$45+'TUSD BF'!$AE$45+'TUSD CVA'!$AE$45)*1</f>
        <v>0</v>
      </c>
      <c r="AC45" s="26">
        <f ca="1">('TUSD BE'!$AF$45+'TUSD BF'!$AF$45+'TUSD CVA'!$AF$45)*1</f>
        <v>0</v>
      </c>
      <c r="AD45" s="26">
        <f>('TUSD BE'!$AH$45+'TUSD BF'!$AH$45+'TUSD CVA'!$AH$45)*1</f>
        <v>17.446482312309563</v>
      </c>
      <c r="AE45" s="26">
        <f>('TUSD BE'!$AI$45+'TUSD BF'!$AI$45+'TUSD CVA'!$AI$45)*1</f>
        <v>0.13362304449018783</v>
      </c>
      <c r="AF45" s="26">
        <f ca="1">('TUSD BE'!$AJ$45+'TUSD BF'!$AJ$45+'TUSD CVA'!$AJ$45)*1</f>
        <v>0</v>
      </c>
      <c r="AG45" s="26">
        <f ca="1">('TUSD BE'!$AK$45+'TUSD BF'!$AK$45+'TUSD CVA'!$AK$45)*1</f>
        <v>0</v>
      </c>
      <c r="AI45" s="26">
        <v>0</v>
      </c>
      <c r="AJ45" s="26">
        <v>1.02720797757391</v>
      </c>
      <c r="AK45" s="26">
        <v>0</v>
      </c>
      <c r="AL45" s="26">
        <v>0</v>
      </c>
      <c r="AM45" s="26">
        <v>0</v>
      </c>
      <c r="AN45" s="26">
        <v>57.3134316606277</v>
      </c>
      <c r="AO45" s="26">
        <v>8.9396205722802904</v>
      </c>
      <c r="AP45" s="26">
        <v>0</v>
      </c>
      <c r="AQ45" s="26">
        <v>63.174546289422402</v>
      </c>
      <c r="AR45" s="26">
        <v>64.575861124230201</v>
      </c>
      <c r="AS45" s="26">
        <v>0</v>
      </c>
      <c r="AT45" s="26">
        <v>0</v>
      </c>
      <c r="AU45" s="26">
        <v>65.659740090095895</v>
      </c>
      <c r="AV45" s="26">
        <v>0</v>
      </c>
      <c r="AW45" s="26">
        <v>0</v>
      </c>
      <c r="AX45" s="26">
        <v>398.92430422558101</v>
      </c>
      <c r="AY45" s="26">
        <v>4.1164916231247499</v>
      </c>
      <c r="AZ45" s="26">
        <v>0</v>
      </c>
      <c r="BA45" s="26">
        <v>13.739395002697499</v>
      </c>
      <c r="BB45" s="26">
        <v>0</v>
      </c>
      <c r="BC45" s="26">
        <v>0</v>
      </c>
      <c r="BD45" s="26">
        <v>0</v>
      </c>
    </row>
    <row r="46" spans="1:56" ht="11.25" customHeight="1" x14ac:dyDescent="0.25">
      <c r="A46" s="131"/>
      <c r="B46" s="131"/>
      <c r="C46" s="131"/>
      <c r="D46" s="131"/>
      <c r="E46" s="131"/>
      <c r="F46" s="131"/>
      <c r="G46" s="44" t="s">
        <v>88</v>
      </c>
      <c r="H46" s="44" t="s">
        <v>76</v>
      </c>
      <c r="I46" s="44">
        <f>'MERCADO TUSD'!$U$43</f>
        <v>1.23</v>
      </c>
      <c r="J46" s="18"/>
      <c r="L46" s="26">
        <f>('TUSD BE'!$L$46+'TUSD BF'!$L$46+'TUSD CVA'!$L$46)*1</f>
        <v>0</v>
      </c>
      <c r="M46" s="26">
        <f>('TUSD BE'!$M$46+'TUSD BF'!$M$46+'TUSD CVA'!$M$46)*1</f>
        <v>1.1765423397400243</v>
      </c>
      <c r="N46" s="26">
        <f ca="1">('TUSD BE'!$N$46+'TUSD BF'!$N$46+'TUSD CVA'!$N$46)*1</f>
        <v>0</v>
      </c>
      <c r="O46" s="26">
        <f>('TUSD BE'!$O$46+'TUSD BF'!$O$46+'TUSD CVA'!$O$46)*1</f>
        <v>0</v>
      </c>
      <c r="P46" s="26">
        <f>('TUSD BE'!$P$46+'TUSD BF'!$P$46+'TUSD CVA'!$P$46)*1</f>
        <v>0</v>
      </c>
      <c r="Q46" s="26">
        <f>('TUSD BE'!$Q$46+'TUSD BF'!$Q$46+'TUSD CVA'!$Q$46)*1</f>
        <v>92.263528232438702</v>
      </c>
      <c r="R46" s="26">
        <f>('TUSD BE'!$R$46+'TUSD BF'!$R$46+'TUSD CVA'!$R$46)*1</f>
        <v>14.581564549707696</v>
      </c>
      <c r="S46" s="26">
        <f>('TUSD BE'!$S$46+'TUSD BF'!$S$46+'TUSD CVA'!$S$46)*1</f>
        <v>0</v>
      </c>
      <c r="T46" s="26">
        <f>('TUSD BE'!$U$46+'TUSD BF'!$U$46+'TUSD CVA'!$U$46)*1</f>
        <v>26.990309201818999</v>
      </c>
      <c r="U46" s="26">
        <f>('TUSD BE'!$V$46+'TUSD BF'!$V$46+'TUSD CVA'!$V$46)*1</f>
        <v>21.302300216045207</v>
      </c>
      <c r="V46" s="26">
        <f>('TUSD BE'!$W$46+'TUSD BF'!$W$46+'TUSD CVA'!$W$46)*1</f>
        <v>0</v>
      </c>
      <c r="W46" s="26">
        <f>('TUSD BE'!$X$46+'TUSD BF'!$X$46+'TUSD CVA'!$X$46)*1</f>
        <v>0</v>
      </c>
      <c r="X46" s="26">
        <f>('TUSD BE'!$Y$46+'TUSD BF'!$Y$46+'TUSD CVA'!$Y$46)*1</f>
        <v>38.718992104246922</v>
      </c>
      <c r="Y46" s="26">
        <f>('TUSD BE'!$Z$46+'TUSD BF'!$Z$46+'TUSD CVA'!$Z$46)*1</f>
        <v>0</v>
      </c>
      <c r="Z46" s="26">
        <f>('TUSD BE'!$AA$46+'TUSD BF'!$AA$46+'TUSD CVA'!$AA$46)*1</f>
        <v>0</v>
      </c>
      <c r="AA46" s="26">
        <f>('TUSD BE'!$AC$46+'TUSD BF'!$AC$46+'TUSD CVA'!$AC$46)*1</f>
        <v>274.7651026140486</v>
      </c>
      <c r="AB46" s="26">
        <f ca="1">('TUSD BE'!$AE$46+'TUSD BF'!$AE$46+'TUSD CVA'!$AE$46)*1</f>
        <v>0</v>
      </c>
      <c r="AC46" s="26">
        <f ca="1">('TUSD BE'!$AF$46+'TUSD BF'!$AF$46+'TUSD CVA'!$AF$46)*1</f>
        <v>0</v>
      </c>
      <c r="AD46" s="26">
        <f>('TUSD BE'!$AH$46+'TUSD BF'!$AH$46+'TUSD CVA'!$AH$46)*1</f>
        <v>17.446482312309563</v>
      </c>
      <c r="AE46" s="26">
        <f>('TUSD BE'!$AI$46+'TUSD BF'!$AI$46+'TUSD CVA'!$AI$46)*1</f>
        <v>0.13362304449018783</v>
      </c>
      <c r="AF46" s="26">
        <f ca="1">('TUSD BE'!$AJ$46+'TUSD BF'!$AJ$46+'TUSD CVA'!$AJ$46)*1</f>
        <v>0</v>
      </c>
      <c r="AG46" s="26">
        <f ca="1">('TUSD BE'!$AK$46+'TUSD BF'!$AK$46+'TUSD CVA'!$AK$46)*1</f>
        <v>0</v>
      </c>
      <c r="AI46" s="26">
        <v>0</v>
      </c>
      <c r="AJ46" s="26">
        <v>1.02720797757391</v>
      </c>
      <c r="AK46" s="26">
        <v>0</v>
      </c>
      <c r="AL46" s="26">
        <v>0</v>
      </c>
      <c r="AM46" s="26">
        <v>0</v>
      </c>
      <c r="AN46" s="26">
        <v>57.3134316606277</v>
      </c>
      <c r="AO46" s="26">
        <v>8.9396205722802904</v>
      </c>
      <c r="AP46" s="26">
        <v>0</v>
      </c>
      <c r="AQ46" s="26">
        <v>37.904889846939803</v>
      </c>
      <c r="AR46" s="26">
        <v>38.745331894530601</v>
      </c>
      <c r="AS46" s="26">
        <v>0</v>
      </c>
      <c r="AT46" s="26">
        <v>0</v>
      </c>
      <c r="AU46" s="26">
        <v>39.395932665636501</v>
      </c>
      <c r="AV46" s="26">
        <v>0</v>
      </c>
      <c r="AW46" s="26">
        <v>0</v>
      </c>
      <c r="AX46" s="26">
        <v>239.35451879297599</v>
      </c>
      <c r="AY46" s="26">
        <v>2.6288916972813499</v>
      </c>
      <c r="AZ46" s="26">
        <v>0</v>
      </c>
      <c r="BA46" s="26">
        <v>13.739395002697499</v>
      </c>
      <c r="BB46" s="26">
        <v>0</v>
      </c>
      <c r="BC46" s="26">
        <v>0</v>
      </c>
      <c r="BD46" s="26">
        <v>0</v>
      </c>
    </row>
    <row r="47" spans="1:56" ht="11.25" customHeight="1" x14ac:dyDescent="0.25">
      <c r="A47" s="131"/>
      <c r="B47" s="131"/>
      <c r="C47" s="131"/>
      <c r="D47" s="131"/>
      <c r="E47" s="131"/>
      <c r="F47" s="131"/>
      <c r="G47" s="44" t="s">
        <v>78</v>
      </c>
      <c r="H47" s="44" t="s">
        <v>76</v>
      </c>
      <c r="I47" s="44">
        <f>'MERCADO TUSD'!$U$44</f>
        <v>18.96</v>
      </c>
      <c r="J47" s="18"/>
      <c r="L47" s="26">
        <f>('TUSD BE'!$L$47+'TUSD BF'!$L$47+'TUSD CVA'!$L$47)*1</f>
        <v>0</v>
      </c>
      <c r="M47" s="26">
        <f>('TUSD BE'!$M$47+'TUSD BF'!$M$47+'TUSD CVA'!$M$47)*1</f>
        <v>1.1765423397400243</v>
      </c>
      <c r="N47" s="26">
        <f ca="1">('TUSD BE'!$N$47+'TUSD BF'!$N$47+'TUSD CVA'!$N$47)*1</f>
        <v>0</v>
      </c>
      <c r="O47" s="26">
        <f>('TUSD BE'!$O$47+'TUSD BF'!$O$47+'TUSD CVA'!$O$47)*1</f>
        <v>0</v>
      </c>
      <c r="P47" s="26">
        <f>('TUSD BE'!$P$47+'TUSD BF'!$P$47+'TUSD CVA'!$P$47)*1</f>
        <v>0</v>
      </c>
      <c r="Q47" s="26">
        <f>('TUSD BE'!$Q$47+'TUSD BF'!$Q$47+'TUSD CVA'!$Q$47)*1</f>
        <v>92.263528232438702</v>
      </c>
      <c r="R47" s="26">
        <f>('TUSD BE'!$R$47+'TUSD BF'!$R$47+'TUSD CVA'!$R$47)*1</f>
        <v>14.581564549707696</v>
      </c>
      <c r="S47" s="26">
        <f>('TUSD BE'!$S$47+'TUSD BF'!$S$47+'TUSD CVA'!$S$47)*1</f>
        <v>0</v>
      </c>
      <c r="T47" s="26">
        <f>('TUSD BE'!$U$47+'TUSD BF'!$U$47+'TUSD CVA'!$U$47)*1</f>
        <v>8.9967091842897435</v>
      </c>
      <c r="U47" s="26">
        <f>('TUSD BE'!$V$47+'TUSD BF'!$V$47+'TUSD CVA'!$V$47)*1</f>
        <v>7.1006264807784891</v>
      </c>
      <c r="V47" s="26">
        <f>('TUSD BE'!$W$47+'TUSD BF'!$W$47+'TUSD CVA'!$W$47)*1</f>
        <v>0</v>
      </c>
      <c r="W47" s="26">
        <f>('TUSD BE'!$X$47+'TUSD BF'!$X$47+'TUSD CVA'!$X$47)*1</f>
        <v>0</v>
      </c>
      <c r="X47" s="26">
        <f>('TUSD BE'!$Y$47+'TUSD BF'!$Y$47+'TUSD CVA'!$Y$47)*1</f>
        <v>12.906398590525054</v>
      </c>
      <c r="Y47" s="26">
        <f>('TUSD BE'!$Z$47+'TUSD BF'!$Z$47+'TUSD CVA'!$Z$47)*1</f>
        <v>0</v>
      </c>
      <c r="Z47" s="26">
        <f>('TUSD BE'!$AA$47+'TUSD BF'!$AA$47+'TUSD CVA'!$AA$47)*1</f>
        <v>0</v>
      </c>
      <c r="AA47" s="26">
        <f>('TUSD BE'!$AC$47+'TUSD BF'!$AC$47+'TUSD CVA'!$AC$47)*1</f>
        <v>91.588343044445622</v>
      </c>
      <c r="AB47" s="26">
        <f ca="1">('TUSD BE'!$AE$47+'TUSD BF'!$AE$47+'TUSD CVA'!$AE$47)*1</f>
        <v>0</v>
      </c>
      <c r="AC47" s="26">
        <f ca="1">('TUSD BE'!$AF$47+'TUSD BF'!$AF$47+'TUSD CVA'!$AF$47)*1</f>
        <v>0</v>
      </c>
      <c r="AD47" s="26">
        <f>('TUSD BE'!$AH$47+'TUSD BF'!$AH$47+'TUSD CVA'!$AH$47)*1</f>
        <v>17.446482312309563</v>
      </c>
      <c r="AE47" s="26">
        <f>('TUSD BE'!$AI$47+'TUSD BF'!$AI$47+'TUSD CVA'!$AI$47)*1</f>
        <v>0.13362304449018783</v>
      </c>
      <c r="AF47" s="26">
        <f ca="1">('TUSD BE'!$AJ$47+'TUSD BF'!$AJ$47+'TUSD CVA'!$AJ$47)*1</f>
        <v>0</v>
      </c>
      <c r="AG47" s="26">
        <f ca="1">('TUSD BE'!$AK$47+'TUSD BF'!$AK$47+'TUSD CVA'!$AK$47)*1</f>
        <v>0</v>
      </c>
      <c r="AI47" s="26">
        <v>0</v>
      </c>
      <c r="AJ47" s="26">
        <v>1.02720797757391</v>
      </c>
      <c r="AK47" s="26">
        <v>0</v>
      </c>
      <c r="AL47" s="26">
        <v>0</v>
      </c>
      <c r="AM47" s="26">
        <v>0</v>
      </c>
      <c r="AN47" s="26">
        <v>57.3134316606277</v>
      </c>
      <c r="AO47" s="26">
        <v>8.9396205722802904</v>
      </c>
      <c r="AP47" s="26">
        <v>0</v>
      </c>
      <c r="AQ47" s="26">
        <v>12.6349092578845</v>
      </c>
      <c r="AR47" s="26">
        <v>12.9148026648311</v>
      </c>
      <c r="AS47" s="26">
        <v>0</v>
      </c>
      <c r="AT47" s="26">
        <v>0</v>
      </c>
      <c r="AU47" s="26">
        <v>13.1320144767034</v>
      </c>
      <c r="AV47" s="26">
        <v>0</v>
      </c>
      <c r="AW47" s="26">
        <v>0</v>
      </c>
      <c r="AX47" s="26">
        <v>79.784797102744193</v>
      </c>
      <c r="AY47" s="26">
        <v>1.14129053554444</v>
      </c>
      <c r="AZ47" s="26">
        <v>0</v>
      </c>
      <c r="BA47" s="26">
        <v>13.739395002697499</v>
      </c>
      <c r="BB47" s="26">
        <v>0</v>
      </c>
      <c r="BC47" s="26">
        <v>0</v>
      </c>
      <c r="BD47" s="26">
        <v>0</v>
      </c>
    </row>
    <row r="48" spans="1:56" ht="11.25" customHeight="1" x14ac:dyDescent="0.25">
      <c r="A48" s="131"/>
      <c r="B48" s="86" t="s">
        <v>23</v>
      </c>
      <c r="C48" s="86" t="s">
        <v>25</v>
      </c>
      <c r="D48" s="86" t="s">
        <v>25</v>
      </c>
      <c r="E48" s="86" t="s">
        <v>25</v>
      </c>
      <c r="F48" s="86" t="s">
        <v>25</v>
      </c>
      <c r="G48" s="44" t="s">
        <v>82</v>
      </c>
      <c r="H48" s="44" t="s">
        <v>76</v>
      </c>
      <c r="I48" s="44">
        <f>'MERCADO TUSD'!$U$45</f>
        <v>17010.552</v>
      </c>
      <c r="J48" s="18"/>
      <c r="L48" s="26">
        <f>('TUSD BE'!$L$48+'TUSD BF'!$L$48+'TUSD CVA'!$L$48)*1</f>
        <v>0</v>
      </c>
      <c r="M48" s="26">
        <f>('TUSD BE'!$M$48+'TUSD BF'!$M$48+'TUSD CVA'!$M$48)*1</f>
        <v>1.1765423397400243</v>
      </c>
      <c r="N48" s="26">
        <f ca="1">('TUSD BE'!$N$48+'TUSD BF'!$N$48+'TUSD CVA'!$N$48)*1</f>
        <v>0</v>
      </c>
      <c r="O48" s="26">
        <f>('TUSD BE'!$O$48+'TUSD BF'!$O$48+'TUSD CVA'!$O$48)*1</f>
        <v>0</v>
      </c>
      <c r="P48" s="26">
        <f>('TUSD BE'!$P$48+'TUSD BF'!$P$48+'TUSD CVA'!$P$48)*1</f>
        <v>0</v>
      </c>
      <c r="Q48" s="26">
        <f>('TUSD BE'!$Q$48+'TUSD BF'!$Q$48+'TUSD CVA'!$Q$48)*1</f>
        <v>92.263528232438702</v>
      </c>
      <c r="R48" s="26">
        <f>('TUSD BE'!$R$48+'TUSD BF'!$R$48+'TUSD CVA'!$R$48)*1</f>
        <v>14.581564549707696</v>
      </c>
      <c r="S48" s="26">
        <f>('TUSD BE'!$S$48+'TUSD BF'!$S$48+'TUSD CVA'!$S$48)*1</f>
        <v>0</v>
      </c>
      <c r="T48" s="26">
        <f>('TUSD BE'!$U$48+'TUSD BF'!$U$48+'TUSD CVA'!$U$48)*1</f>
        <v>14.510935528032507</v>
      </c>
      <c r="U48" s="26">
        <f>('TUSD BE'!$V$48+'TUSD BF'!$V$48+'TUSD CVA'!$V$48)*1</f>
        <v>11.452969476403961</v>
      </c>
      <c r="V48" s="26">
        <f>('TUSD BE'!$W$48+'TUSD BF'!$W$48+'TUSD CVA'!$W$48)*1</f>
        <v>0</v>
      </c>
      <c r="W48" s="26">
        <f>('TUSD BE'!$X$48+'TUSD BF'!$X$48+'TUSD CVA'!$X$48)*1</f>
        <v>0</v>
      </c>
      <c r="X48" s="26">
        <f>('TUSD BE'!$Y$48+'TUSD BF'!$Y$48+'TUSD CVA'!$Y$48)*1</f>
        <v>20.8166339520116</v>
      </c>
      <c r="Y48" s="26">
        <f>('TUSD BE'!$Z$48+'TUSD BF'!$Z$48+'TUSD CVA'!$Z$48)*1</f>
        <v>0</v>
      </c>
      <c r="Z48" s="26">
        <f>('TUSD BE'!$AA$48+'TUSD BF'!$AA$48+'TUSD CVA'!$AA$48)*1</f>
        <v>0</v>
      </c>
      <c r="AA48" s="26">
        <f>('TUSD BE'!$AC$48+'TUSD BF'!$AC$48+'TUSD CVA'!$AC$48)*1</f>
        <v>147.72312446127205</v>
      </c>
      <c r="AB48" s="26">
        <f ca="1">('TUSD BE'!$AE$48+'TUSD BF'!$AE$48+'TUSD CVA'!$AE$48)*1</f>
        <v>0</v>
      </c>
      <c r="AC48" s="26">
        <f ca="1">('TUSD BE'!$AF$48+'TUSD BF'!$AF$48+'TUSD CVA'!$AF$48)*1</f>
        <v>0</v>
      </c>
      <c r="AD48" s="26">
        <f>('TUSD BE'!$AH$48+'TUSD BF'!$AH$48+'TUSD CVA'!$AH$48)*1</f>
        <v>17.446482312309563</v>
      </c>
      <c r="AE48" s="26">
        <f>('TUSD BE'!$AI$48+'TUSD BF'!$AI$48+'TUSD CVA'!$AI$48)*1</f>
        <v>0.13362304449018783</v>
      </c>
      <c r="AF48" s="26">
        <f ca="1">('TUSD BE'!$AJ$48+'TUSD BF'!$AJ$48+'TUSD CVA'!$AJ$48)*1</f>
        <v>0</v>
      </c>
      <c r="AG48" s="26">
        <f ca="1">('TUSD BE'!$AK$48+'TUSD BF'!$AK$48+'TUSD CVA'!$AK$48)*1</f>
        <v>0</v>
      </c>
      <c r="AI48" s="26">
        <v>0</v>
      </c>
      <c r="AJ48" s="26">
        <v>1.02720797757391</v>
      </c>
      <c r="AK48" s="26">
        <v>0</v>
      </c>
      <c r="AL48" s="26">
        <v>0</v>
      </c>
      <c r="AM48" s="26">
        <v>0</v>
      </c>
      <c r="AN48" s="26">
        <v>57.3134316606277</v>
      </c>
      <c r="AO48" s="26">
        <v>8.9396205722802904</v>
      </c>
      <c r="AP48" s="26">
        <v>0</v>
      </c>
      <c r="AQ48" s="26">
        <v>20.3789329533484</v>
      </c>
      <c r="AR48" s="26">
        <v>20.831042156208099</v>
      </c>
      <c r="AS48" s="26">
        <v>0</v>
      </c>
      <c r="AT48" s="26">
        <v>0</v>
      </c>
      <c r="AU48" s="26">
        <v>21.180604195956199</v>
      </c>
      <c r="AV48" s="26">
        <v>0</v>
      </c>
      <c r="AW48" s="26">
        <v>0</v>
      </c>
      <c r="AX48" s="26">
        <v>128.68514016768501</v>
      </c>
      <c r="AY48" s="26">
        <v>1.5971693542171601</v>
      </c>
      <c r="AZ48" s="26">
        <v>0</v>
      </c>
      <c r="BA48" s="26">
        <v>13.739395002697499</v>
      </c>
      <c r="BB48" s="26">
        <v>0</v>
      </c>
      <c r="BC48" s="26">
        <v>0</v>
      </c>
      <c r="BD48" s="26">
        <v>0</v>
      </c>
    </row>
    <row r="49" spans="1:56" ht="11.25" customHeight="1" x14ac:dyDescent="0.25">
      <c r="A49" s="131"/>
      <c r="B49" s="86" t="s">
        <v>91</v>
      </c>
      <c r="C49" s="86" t="s">
        <v>25</v>
      </c>
      <c r="D49" s="86" t="s">
        <v>25</v>
      </c>
      <c r="E49" s="86" t="s">
        <v>25</v>
      </c>
      <c r="F49" s="86" t="s">
        <v>25</v>
      </c>
      <c r="G49" s="44" t="s">
        <v>82</v>
      </c>
      <c r="H49" s="44" t="s">
        <v>76</v>
      </c>
      <c r="I49" s="44">
        <f>'MERCADO TUSD'!$U$46</f>
        <v>0</v>
      </c>
      <c r="J49" s="18"/>
      <c r="L49" s="26">
        <f>('TUSD BE'!$L$49+'TUSD BF'!$L$49+'TUSD CVA'!$L$49)*1</f>
        <v>0</v>
      </c>
      <c r="M49" s="26">
        <f>('TUSD BE'!$M$49+'TUSD BF'!$M$49+'TUSD CVA'!$M$49)*1</f>
        <v>1.1765423397400243</v>
      </c>
      <c r="N49" s="26">
        <f ca="1">('TUSD BE'!$N$49+'TUSD BF'!$N$49+'TUSD CVA'!$N$49)*1</f>
        <v>0</v>
      </c>
      <c r="O49" s="26">
        <f>('TUSD BE'!$O$49+'TUSD BF'!$O$49+'TUSD CVA'!$O$49)*1</f>
        <v>0</v>
      </c>
      <c r="P49" s="26">
        <f>('TUSD BE'!$P$49+'TUSD BF'!$P$49+'TUSD CVA'!$P$49)*1</f>
        <v>0</v>
      </c>
      <c r="Q49" s="26">
        <f>('TUSD BE'!$Q$49+'TUSD BF'!$Q$49+'TUSD CVA'!$Q$49)*1</f>
        <v>92.263528232438702</v>
      </c>
      <c r="R49" s="26">
        <f>('TUSD BE'!$R$49+'TUSD BF'!$R$49+'TUSD CVA'!$R$49)*1</f>
        <v>14.581564549707696</v>
      </c>
      <c r="S49" s="26">
        <f>('TUSD BE'!$S$49+'TUSD BF'!$S$49+'TUSD CVA'!$S$49)*1</f>
        <v>0</v>
      </c>
      <c r="T49" s="26">
        <f>('TUSD BE'!$U$49+'TUSD BF'!$U$49+'TUSD CVA'!$U$49)*1</f>
        <v>14.510935528032507</v>
      </c>
      <c r="U49" s="26">
        <f>('TUSD BE'!$V$49+'TUSD BF'!$V$49+'TUSD CVA'!$V$49)*1</f>
        <v>11.452969476403961</v>
      </c>
      <c r="V49" s="26">
        <f>('TUSD BE'!$W$49+'TUSD BF'!$W$49+'TUSD CVA'!$W$49)*1</f>
        <v>0</v>
      </c>
      <c r="W49" s="26">
        <f>('TUSD BE'!$X$49+'TUSD BF'!$X$49+'TUSD CVA'!$X$49)*1</f>
        <v>0</v>
      </c>
      <c r="X49" s="26">
        <f>('TUSD BE'!$Y$49+'TUSD BF'!$Y$49+'TUSD CVA'!$Y$49)*1</f>
        <v>20.8166339520116</v>
      </c>
      <c r="Y49" s="26">
        <f>('TUSD BE'!$Z$49+'TUSD BF'!$Z$49+'TUSD CVA'!$Z$49)*1</f>
        <v>0</v>
      </c>
      <c r="Z49" s="26">
        <f>('TUSD BE'!$AA$49+'TUSD BF'!$AA$49+'TUSD CVA'!$AA$49)*1</f>
        <v>0</v>
      </c>
      <c r="AA49" s="26">
        <f>('TUSD BE'!$AC$49+'TUSD BF'!$AC$49+'TUSD CVA'!$AC$49)*1</f>
        <v>147.72312446127205</v>
      </c>
      <c r="AB49" s="26">
        <f ca="1">('TUSD BE'!$AE$49+'TUSD BF'!$AE$49+'TUSD CVA'!$AE$49)*1</f>
        <v>0</v>
      </c>
      <c r="AC49" s="26">
        <f ca="1">('TUSD BE'!$AF$49+'TUSD BF'!$AF$49+'TUSD CVA'!$AF$49)*1</f>
        <v>0</v>
      </c>
      <c r="AD49" s="26">
        <f>('TUSD BE'!$AH$49+'TUSD BF'!$AH$49+'TUSD CVA'!$AH$49)*1</f>
        <v>17.446482312309563</v>
      </c>
      <c r="AE49" s="26">
        <f>('TUSD BE'!$AI$49+'TUSD BF'!$AI$49+'TUSD CVA'!$AI$49)*1</f>
        <v>0.13362304449018783</v>
      </c>
      <c r="AF49" s="26">
        <f ca="1">('TUSD BE'!$AJ$49+'TUSD BF'!$AJ$49+'TUSD CVA'!$AJ$49)*1</f>
        <v>0</v>
      </c>
      <c r="AG49" s="26">
        <f ca="1">('TUSD BE'!$AK$49+'TUSD BF'!$AK$49+'TUSD CVA'!$AK$49)*1</f>
        <v>0</v>
      </c>
      <c r="AI49" s="26">
        <v>0</v>
      </c>
      <c r="AJ49" s="26">
        <v>1.02720797757391</v>
      </c>
      <c r="AK49" s="26">
        <v>0</v>
      </c>
      <c r="AL49" s="26">
        <v>0</v>
      </c>
      <c r="AM49" s="26">
        <v>0</v>
      </c>
      <c r="AN49" s="26">
        <v>57.3134316606277</v>
      </c>
      <c r="AO49" s="26">
        <v>8.9396205722802904</v>
      </c>
      <c r="AP49" s="26">
        <v>0</v>
      </c>
      <c r="AQ49" s="26">
        <v>20.3789329533484</v>
      </c>
      <c r="AR49" s="26">
        <v>20.831042156208099</v>
      </c>
      <c r="AS49" s="26">
        <v>0</v>
      </c>
      <c r="AT49" s="26">
        <v>0</v>
      </c>
      <c r="AU49" s="26">
        <v>21.180604195956199</v>
      </c>
      <c r="AV49" s="26">
        <v>0</v>
      </c>
      <c r="AW49" s="26">
        <v>0</v>
      </c>
      <c r="AX49" s="26">
        <v>128.68514016768501</v>
      </c>
      <c r="AY49" s="26">
        <v>1.5971693542171601</v>
      </c>
      <c r="AZ49" s="26">
        <v>0</v>
      </c>
      <c r="BA49" s="26">
        <v>13.739395002697499</v>
      </c>
      <c r="BB49" s="26">
        <v>0</v>
      </c>
      <c r="BC49" s="26">
        <v>0</v>
      </c>
      <c r="BD49" s="26">
        <v>0</v>
      </c>
    </row>
    <row r="50" spans="1:56" ht="11.25" customHeight="1" x14ac:dyDescent="0.25">
      <c r="A50" s="131" t="s">
        <v>46</v>
      </c>
      <c r="B50" s="131" t="s">
        <v>23</v>
      </c>
      <c r="C50" s="131" t="s">
        <v>47</v>
      </c>
      <c r="D50" s="86" t="s">
        <v>48</v>
      </c>
      <c r="E50" s="86" t="s">
        <v>25</v>
      </c>
      <c r="F50" s="86" t="s">
        <v>25</v>
      </c>
      <c r="G50" s="44" t="s">
        <v>82</v>
      </c>
      <c r="H50" s="44" t="s">
        <v>76</v>
      </c>
      <c r="I50" s="44">
        <f>'MERCADO TUSD'!$U$47</f>
        <v>3708.9960000000001</v>
      </c>
      <c r="J50" s="18"/>
      <c r="L50" s="26">
        <f>('TUSD BE'!$L$50+'TUSD BF'!$L$50+'TUSD CVA'!$L$50)*1</f>
        <v>0</v>
      </c>
      <c r="M50" s="26">
        <f>('TUSD BE'!$M$50+'TUSD BF'!$M$50+'TUSD CVA'!$M$50)*1</f>
        <v>0.64709828685701343</v>
      </c>
      <c r="N50" s="26">
        <f ca="1">('TUSD BE'!$N$50+'TUSD BF'!$N$50+'TUSD CVA'!$N$50)*1</f>
        <v>0</v>
      </c>
      <c r="O50" s="26">
        <f>('TUSD BE'!$O$50+'TUSD BF'!$O$50+'TUSD CVA'!$O$50)*1</f>
        <v>0</v>
      </c>
      <c r="P50" s="26">
        <f>('TUSD BE'!$P$50+'TUSD BF'!$P$50+'TUSD CVA'!$P$50)*1</f>
        <v>0</v>
      </c>
      <c r="Q50" s="26">
        <f>('TUSD BE'!$Q$50+'TUSD BF'!$Q$50+'TUSD CVA'!$Q$50)*1</f>
        <v>50.744940527841287</v>
      </c>
      <c r="R50" s="26">
        <f>('TUSD BE'!$R$50+'TUSD BF'!$R$50+'TUSD CVA'!$R$50)*1</f>
        <v>8.0198605023392329</v>
      </c>
      <c r="S50" s="26">
        <f>('TUSD BE'!$S$50+'TUSD BF'!$S$50+'TUSD CVA'!$S$50)*1</f>
        <v>0</v>
      </c>
      <c r="T50" s="26">
        <f>('TUSD BE'!$U$50+'TUSD BF'!$U$50+'TUSD CVA'!$U$50)*1</f>
        <v>7.9810145404178794</v>
      </c>
      <c r="U50" s="26">
        <f>('TUSD BE'!$V$50+'TUSD BF'!$V$50+'TUSD CVA'!$V$50)*1</f>
        <v>6.2991332120221788</v>
      </c>
      <c r="V50" s="26">
        <f>('TUSD BE'!$W$50+'TUSD BF'!$W$50+'TUSD CVA'!$W$50)*1</f>
        <v>0</v>
      </c>
      <c r="W50" s="26">
        <f>('TUSD BE'!$X$50+'TUSD BF'!$X$50+'TUSD CVA'!$X$50)*1</f>
        <v>0</v>
      </c>
      <c r="X50" s="26">
        <f>('TUSD BE'!$Y$50+'TUSD BF'!$Y$50+'TUSD CVA'!$Y$50)*1</f>
        <v>11.449148673606381</v>
      </c>
      <c r="Y50" s="26">
        <f>('TUSD BE'!$Z$50+'TUSD BF'!$Z$50+'TUSD CVA'!$Z$50)*1</f>
        <v>0</v>
      </c>
      <c r="Z50" s="26">
        <f>('TUSD BE'!$AA$50+'TUSD BF'!$AA$50+'TUSD CVA'!$AA$50)*1</f>
        <v>0</v>
      </c>
      <c r="AA50" s="26">
        <f>('TUSD BE'!$AC$50+'TUSD BF'!$AC$50+'TUSD CVA'!$AC$50)*1</f>
        <v>81.247718453699648</v>
      </c>
      <c r="AB50" s="26">
        <f ca="1">('TUSD BE'!$AE$50+'TUSD BF'!$AE$50+'TUSD CVA'!$AE$50)*1</f>
        <v>0</v>
      </c>
      <c r="AC50" s="26">
        <f ca="1">('TUSD BE'!$AF$50+'TUSD BF'!$AF$50+'TUSD CVA'!$AF$50)*1</f>
        <v>0</v>
      </c>
      <c r="AD50" s="26">
        <f>('TUSD BE'!$AH$50+'TUSD BF'!$AH$50+'TUSD CVA'!$AH$50)*1</f>
        <v>9.595565271770262</v>
      </c>
      <c r="AE50" s="26">
        <f>('TUSD BE'!$AI$50+'TUSD BF'!$AI$50+'TUSD CVA'!$AI$50)*1</f>
        <v>7.3492674469603309E-2</v>
      </c>
      <c r="AF50" s="26">
        <f ca="1">('TUSD BE'!$AJ$50+'TUSD BF'!$AJ$50+'TUSD CVA'!$AJ$50)*1</f>
        <v>0</v>
      </c>
      <c r="AG50" s="26">
        <f ca="1">('TUSD BE'!$AK$50+'TUSD BF'!$AK$50+'TUSD CVA'!$AK$50)*1</f>
        <v>0</v>
      </c>
      <c r="AI50" s="26">
        <v>0</v>
      </c>
      <c r="AJ50" s="26">
        <v>0.56496438766565005</v>
      </c>
      <c r="AK50" s="26">
        <v>0</v>
      </c>
      <c r="AL50" s="26">
        <v>0</v>
      </c>
      <c r="AM50" s="26">
        <v>0</v>
      </c>
      <c r="AN50" s="26">
        <v>31.522387413345299</v>
      </c>
      <c r="AO50" s="26">
        <v>4.9167913147541604</v>
      </c>
      <c r="AP50" s="26">
        <v>0</v>
      </c>
      <c r="AQ50" s="26">
        <v>11.2084131243416</v>
      </c>
      <c r="AR50" s="26">
        <v>11.457073185914499</v>
      </c>
      <c r="AS50" s="26">
        <v>0</v>
      </c>
      <c r="AT50" s="26">
        <v>0</v>
      </c>
      <c r="AU50" s="26">
        <v>11.6493323077759</v>
      </c>
      <c r="AV50" s="26">
        <v>0</v>
      </c>
      <c r="AW50" s="26">
        <v>0</v>
      </c>
      <c r="AX50" s="26">
        <v>70.776827092226796</v>
      </c>
      <c r="AY50" s="26">
        <v>0.87844314481943597</v>
      </c>
      <c r="AZ50" s="26">
        <v>0</v>
      </c>
      <c r="BA50" s="26">
        <v>7.55666725148361</v>
      </c>
      <c r="BB50" s="26">
        <v>0</v>
      </c>
      <c r="BC50" s="26">
        <v>0</v>
      </c>
      <c r="BD50" s="26">
        <v>0</v>
      </c>
    </row>
    <row r="51" spans="1:56" ht="11.25" customHeight="1" x14ac:dyDescent="0.25">
      <c r="A51" s="131"/>
      <c r="B51" s="131"/>
      <c r="C51" s="131"/>
      <c r="D51" s="44" t="s">
        <v>49</v>
      </c>
      <c r="E51" s="44" t="s">
        <v>25</v>
      </c>
      <c r="F51" s="44" t="s">
        <v>25</v>
      </c>
      <c r="G51" s="44" t="s">
        <v>82</v>
      </c>
      <c r="H51" s="44" t="s">
        <v>76</v>
      </c>
      <c r="I51" s="44">
        <f>'MERCADO TUSD'!$U$48</f>
        <v>336.95</v>
      </c>
      <c r="J51" s="18"/>
      <c r="L51" s="26">
        <f>('TUSD BE'!$L$51+'TUSD BF'!$L$51+'TUSD CVA'!$L$51)*1</f>
        <v>0</v>
      </c>
      <c r="M51" s="26">
        <f>('TUSD BE'!$M$51+'TUSD BF'!$M$51+'TUSD CVA'!$M$51)*1</f>
        <v>0.70592540384401459</v>
      </c>
      <c r="N51" s="26">
        <f ca="1">('TUSD BE'!$N$51+'TUSD BF'!$N$51+'TUSD CVA'!$N$51)*1</f>
        <v>0</v>
      </c>
      <c r="O51" s="26">
        <f>('TUSD BE'!$O$51+'TUSD BF'!$O$51+'TUSD CVA'!$O$51)*1</f>
        <v>0</v>
      </c>
      <c r="P51" s="26">
        <f>('TUSD BE'!$P$51+'TUSD BF'!$P$51+'TUSD CVA'!$P$51)*1</f>
        <v>0</v>
      </c>
      <c r="Q51" s="26">
        <f>('TUSD BE'!$Q$51+'TUSD BF'!$Q$51+'TUSD CVA'!$Q$51)*1</f>
        <v>55.358116939463223</v>
      </c>
      <c r="R51" s="26">
        <f>('TUSD BE'!$R$51+'TUSD BF'!$R$51+'TUSD CVA'!$R$51)*1</f>
        <v>8.7489387298246175</v>
      </c>
      <c r="S51" s="26">
        <f>('TUSD BE'!$S$51+'TUSD BF'!$S$51+'TUSD CVA'!$S$51)*1</f>
        <v>0</v>
      </c>
      <c r="T51" s="26">
        <f>('TUSD BE'!$U$51+'TUSD BF'!$U$51+'TUSD CVA'!$U$51)*1</f>
        <v>8.7065613168195046</v>
      </c>
      <c r="U51" s="26">
        <f>('TUSD BE'!$V$51+'TUSD BF'!$V$51+'TUSD CVA'!$V$51)*1</f>
        <v>6.8717816858423761</v>
      </c>
      <c r="V51" s="26">
        <f>('TUSD BE'!$W$51+'TUSD BF'!$W$51+'TUSD CVA'!$W$51)*1</f>
        <v>0</v>
      </c>
      <c r="W51" s="26">
        <f>('TUSD BE'!$X$51+'TUSD BF'!$X$51+'TUSD CVA'!$X$51)*1</f>
        <v>0</v>
      </c>
      <c r="X51" s="26">
        <f>('TUSD BE'!$Y$51+'TUSD BF'!$Y$51+'TUSD CVA'!$Y$51)*1</f>
        <v>12.489980371206961</v>
      </c>
      <c r="Y51" s="26">
        <f>('TUSD BE'!$Z$51+'TUSD BF'!$Z$51+'TUSD CVA'!$Z$51)*1</f>
        <v>0</v>
      </c>
      <c r="Z51" s="26">
        <f>('TUSD BE'!$AA$51+'TUSD BF'!$AA$51+'TUSD CVA'!$AA$51)*1</f>
        <v>0</v>
      </c>
      <c r="AA51" s="26">
        <f>('TUSD BE'!$AC$51+'TUSD BF'!$AC$51+'TUSD CVA'!$AC$51)*1</f>
        <v>88.633874676763227</v>
      </c>
      <c r="AB51" s="26">
        <f ca="1">('TUSD BE'!$AE$51+'TUSD BF'!$AE$51+'TUSD CVA'!$AE$51)*1</f>
        <v>0</v>
      </c>
      <c r="AC51" s="26">
        <f ca="1">('TUSD BE'!$AF$51+'TUSD BF'!$AF$51+'TUSD CVA'!$AF$51)*1</f>
        <v>0</v>
      </c>
      <c r="AD51" s="26">
        <f>('TUSD BE'!$AH$51+'TUSD BF'!$AH$51+'TUSD CVA'!$AH$51)*1</f>
        <v>10.467889387385737</v>
      </c>
      <c r="AE51" s="26">
        <f>('TUSD BE'!$AI$51+'TUSD BF'!$AI$51+'TUSD CVA'!$AI$51)*1</f>
        <v>8.0173826694112688E-2</v>
      </c>
      <c r="AF51" s="26">
        <f ca="1">('TUSD BE'!$AJ$51+'TUSD BF'!$AJ$51+'TUSD CVA'!$AJ$51)*1</f>
        <v>0</v>
      </c>
      <c r="AG51" s="26">
        <f ca="1">('TUSD BE'!$AK$51+'TUSD BF'!$AK$51+'TUSD CVA'!$AK$51)*1</f>
        <v>0</v>
      </c>
      <c r="AI51" s="26">
        <v>0</v>
      </c>
      <c r="AJ51" s="26">
        <v>0.61632478654434597</v>
      </c>
      <c r="AK51" s="26">
        <v>0</v>
      </c>
      <c r="AL51" s="26">
        <v>0</v>
      </c>
      <c r="AM51" s="26">
        <v>0</v>
      </c>
      <c r="AN51" s="26">
        <v>34.3880589963766</v>
      </c>
      <c r="AO51" s="26">
        <v>5.3637723433681703</v>
      </c>
      <c r="AP51" s="26">
        <v>0</v>
      </c>
      <c r="AQ51" s="26">
        <v>12.2273597720091</v>
      </c>
      <c r="AR51" s="26">
        <v>12.498625293724899</v>
      </c>
      <c r="AS51" s="26">
        <v>0</v>
      </c>
      <c r="AT51" s="26">
        <v>0</v>
      </c>
      <c r="AU51" s="26">
        <v>12.708362517573701</v>
      </c>
      <c r="AV51" s="26">
        <v>0</v>
      </c>
      <c r="AW51" s="26">
        <v>0</v>
      </c>
      <c r="AX51" s="26">
        <v>77.211084100611004</v>
      </c>
      <c r="AY51" s="26">
        <v>0.958301612530293</v>
      </c>
      <c r="AZ51" s="26">
        <v>0</v>
      </c>
      <c r="BA51" s="26">
        <v>8.2436370016184792</v>
      </c>
      <c r="BB51" s="26">
        <v>0</v>
      </c>
      <c r="BC51" s="26">
        <v>0</v>
      </c>
      <c r="BD51" s="26">
        <v>0</v>
      </c>
    </row>
    <row r="53" spans="1:56" ht="11.25" customHeight="1" x14ac:dyDescent="0.25">
      <c r="L53" s="133" t="s">
        <v>909</v>
      </c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  <c r="AA53" s="133"/>
      <c r="AB53" s="133"/>
      <c r="AC53" s="133"/>
      <c r="AD53" s="133"/>
      <c r="AE53" s="133"/>
      <c r="AF53" s="133"/>
      <c r="AG53" s="133"/>
      <c r="AI53" s="133" t="s">
        <v>910</v>
      </c>
      <c r="AJ53" s="133"/>
      <c r="AK53" s="133"/>
      <c r="AL53" s="133"/>
      <c r="AM53" s="133"/>
      <c r="AN53" s="133"/>
      <c r="AO53" s="133"/>
      <c r="AP53" s="133"/>
      <c r="AQ53" s="133"/>
      <c r="AR53" s="133"/>
      <c r="AS53" s="133"/>
      <c r="AT53" s="133"/>
      <c r="AU53" s="133"/>
      <c r="AV53" s="133"/>
      <c r="AW53" s="133"/>
      <c r="AX53" s="133"/>
      <c r="AY53" s="133"/>
      <c r="AZ53" s="133"/>
      <c r="BA53" s="133"/>
      <c r="BB53" s="133"/>
      <c r="BC53" s="133"/>
      <c r="BD53" s="133"/>
    </row>
    <row r="54" spans="1:56" ht="11.25" customHeight="1" x14ac:dyDescent="0.25">
      <c r="L54" s="133" t="s">
        <v>617</v>
      </c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I54" s="133" t="s">
        <v>617</v>
      </c>
      <c r="AJ54" s="133"/>
      <c r="AK54" s="133"/>
      <c r="AL54" s="133"/>
      <c r="AM54" s="133"/>
      <c r="AN54" s="133"/>
      <c r="AO54" s="133"/>
      <c r="AP54" s="133"/>
      <c r="AQ54" s="133"/>
      <c r="AR54" s="133"/>
      <c r="AS54" s="133"/>
      <c r="AT54" s="133"/>
      <c r="AU54" s="133"/>
      <c r="AV54" s="133"/>
      <c r="AW54" s="133"/>
      <c r="AX54" s="133"/>
      <c r="AY54" s="133"/>
      <c r="AZ54" s="133"/>
      <c r="BA54" s="133"/>
      <c r="BB54" s="133"/>
      <c r="BC54" s="133"/>
      <c r="BD54" s="133"/>
    </row>
    <row r="55" spans="1:56" ht="11.25" customHeight="1" x14ac:dyDescent="0.25">
      <c r="L55" s="133" t="s">
        <v>618</v>
      </c>
      <c r="M55" s="133"/>
      <c r="N55" s="133"/>
      <c r="O55" s="133"/>
      <c r="P55" s="133"/>
      <c r="Q55" s="133"/>
      <c r="R55" s="133"/>
      <c r="S55" s="133"/>
      <c r="T55" s="133" t="s">
        <v>627</v>
      </c>
      <c r="U55" s="133"/>
      <c r="V55" s="133"/>
      <c r="W55" s="133"/>
      <c r="X55" s="133"/>
      <c r="Y55" s="133"/>
      <c r="Z55" s="133"/>
      <c r="AA55" s="85" t="s">
        <v>635</v>
      </c>
      <c r="AB55" s="133" t="s">
        <v>637</v>
      </c>
      <c r="AC55" s="133"/>
      <c r="AD55" s="133" t="s">
        <v>640</v>
      </c>
      <c r="AE55" s="133"/>
      <c r="AF55" s="133"/>
      <c r="AG55" s="133"/>
      <c r="AI55" s="133" t="s">
        <v>618</v>
      </c>
      <c r="AJ55" s="133"/>
      <c r="AK55" s="133"/>
      <c r="AL55" s="133"/>
      <c r="AM55" s="133"/>
      <c r="AN55" s="133"/>
      <c r="AO55" s="133"/>
      <c r="AP55" s="133"/>
      <c r="AQ55" s="133" t="s">
        <v>627</v>
      </c>
      <c r="AR55" s="133"/>
      <c r="AS55" s="133"/>
      <c r="AT55" s="133"/>
      <c r="AU55" s="133"/>
      <c r="AV55" s="133"/>
      <c r="AW55" s="133"/>
      <c r="AX55" s="85" t="s">
        <v>635</v>
      </c>
      <c r="AY55" s="133" t="s">
        <v>637</v>
      </c>
      <c r="AZ55" s="133"/>
      <c r="BA55" s="133" t="s">
        <v>640</v>
      </c>
      <c r="BB55" s="133"/>
      <c r="BC55" s="133"/>
      <c r="BD55" s="133"/>
    </row>
    <row r="56" spans="1:56" ht="11.25" customHeight="1" x14ac:dyDescent="0.25">
      <c r="L56" s="85" t="s">
        <v>702</v>
      </c>
      <c r="M56" s="85" t="s">
        <v>619</v>
      </c>
      <c r="N56" s="85" t="s">
        <v>620</v>
      </c>
      <c r="O56" s="85" t="s">
        <v>621</v>
      </c>
      <c r="P56" s="85" t="s">
        <v>622</v>
      </c>
      <c r="Q56" s="85" t="s">
        <v>623</v>
      </c>
      <c r="R56" s="85" t="s">
        <v>624</v>
      </c>
      <c r="S56" s="85" t="s">
        <v>625</v>
      </c>
      <c r="T56" s="85" t="s">
        <v>628</v>
      </c>
      <c r="U56" s="85" t="s">
        <v>629</v>
      </c>
      <c r="V56" s="85" t="s">
        <v>630</v>
      </c>
      <c r="W56" s="85" t="s">
        <v>631</v>
      </c>
      <c r="X56" s="85" t="s">
        <v>632</v>
      </c>
      <c r="Y56" s="85" t="s">
        <v>633</v>
      </c>
      <c r="Z56" s="85" t="s">
        <v>634</v>
      </c>
      <c r="AA56" s="85" t="s">
        <v>636</v>
      </c>
      <c r="AB56" s="85" t="s">
        <v>638</v>
      </c>
      <c r="AC56" s="85" t="s">
        <v>639</v>
      </c>
      <c r="AD56" s="85" t="s">
        <v>641</v>
      </c>
      <c r="AE56" s="85" t="s">
        <v>642</v>
      </c>
      <c r="AF56" s="85" t="s">
        <v>643</v>
      </c>
      <c r="AG56" s="85" t="s">
        <v>644</v>
      </c>
      <c r="AI56" s="85" t="s">
        <v>702</v>
      </c>
      <c r="AJ56" s="85" t="s">
        <v>619</v>
      </c>
      <c r="AK56" s="85" t="s">
        <v>620</v>
      </c>
      <c r="AL56" s="85" t="s">
        <v>621</v>
      </c>
      <c r="AM56" s="85" t="s">
        <v>622</v>
      </c>
      <c r="AN56" s="85" t="s">
        <v>623</v>
      </c>
      <c r="AO56" s="85" t="s">
        <v>624</v>
      </c>
      <c r="AP56" s="85" t="s">
        <v>625</v>
      </c>
      <c r="AQ56" s="85" t="s">
        <v>628</v>
      </c>
      <c r="AR56" s="85" t="s">
        <v>629</v>
      </c>
      <c r="AS56" s="85" t="s">
        <v>630</v>
      </c>
      <c r="AT56" s="85" t="s">
        <v>631</v>
      </c>
      <c r="AU56" s="85" t="s">
        <v>632</v>
      </c>
      <c r="AV56" s="85" t="s">
        <v>633</v>
      </c>
      <c r="AW56" s="85" t="s">
        <v>634</v>
      </c>
      <c r="AX56" s="85" t="s">
        <v>636</v>
      </c>
      <c r="AY56" s="85" t="s">
        <v>638</v>
      </c>
      <c r="AZ56" s="85" t="s">
        <v>639</v>
      </c>
      <c r="BA56" s="85" t="s">
        <v>641</v>
      </c>
      <c r="BB56" s="85" t="s">
        <v>642</v>
      </c>
      <c r="BC56" s="85" t="s">
        <v>643</v>
      </c>
      <c r="BD56" s="85" t="s">
        <v>644</v>
      </c>
    </row>
    <row r="57" spans="1:56" ht="11.25" customHeight="1" x14ac:dyDescent="0.25">
      <c r="A57" s="9" t="s">
        <v>33</v>
      </c>
      <c r="B57" s="9" t="s">
        <v>911</v>
      </c>
      <c r="C57" s="9" t="s">
        <v>912</v>
      </c>
      <c r="D57" s="9" t="s">
        <v>913</v>
      </c>
      <c r="E57" s="9" t="s">
        <v>914</v>
      </c>
      <c r="F57" s="9" t="s">
        <v>915</v>
      </c>
      <c r="G57" s="9" t="s">
        <v>916</v>
      </c>
      <c r="L57" s="26">
        <f>$I$5*$L$5</f>
        <v>0</v>
      </c>
      <c r="M57" s="26">
        <f>$I$5*$M$5</f>
        <v>0</v>
      </c>
      <c r="N57" s="26">
        <f ca="1">$I$5*$N$5</f>
        <v>0</v>
      </c>
      <c r="O57" s="26">
        <f>$I$5*$O$5</f>
        <v>0</v>
      </c>
      <c r="P57" s="26">
        <f>$I$5*$P$5</f>
        <v>0</v>
      </c>
      <c r="Q57" s="26">
        <f>$I$5*$Q$5</f>
        <v>0</v>
      </c>
      <c r="R57" s="26">
        <f>$I$5*$R$5</f>
        <v>0</v>
      </c>
      <c r="S57" s="26">
        <f>$I$5*$S$5</f>
        <v>0</v>
      </c>
      <c r="T57" s="26">
        <f>$I$5*$T$5</f>
        <v>6837.2901745924428</v>
      </c>
      <c r="U57" s="26">
        <f>$I$5*$U$5</f>
        <v>5376.441405976193</v>
      </c>
      <c r="V57" s="26">
        <f>$I$5*$V$5</f>
        <v>0</v>
      </c>
      <c r="W57" s="26">
        <f>$I$5*$W$5</f>
        <v>0</v>
      </c>
      <c r="X57" s="26">
        <f>$I$5*$X$5</f>
        <v>9808.4875699130971</v>
      </c>
      <c r="Y57" s="26">
        <f>$I$5*$Y$5</f>
        <v>0</v>
      </c>
      <c r="Z57" s="26">
        <f>$I$5*$Z$5</f>
        <v>0</v>
      </c>
      <c r="AA57" s="26">
        <f>$I$5*$AA$5</f>
        <v>56187.166036640861</v>
      </c>
      <c r="AB57" s="26">
        <f ca="1">$I$5*$AB$5</f>
        <v>0</v>
      </c>
      <c r="AC57" s="26">
        <f ca="1">$I$5*$AC$5</f>
        <v>0</v>
      </c>
      <c r="AD57" s="26">
        <f>$I$5*$AD$5</f>
        <v>0</v>
      </c>
      <c r="AE57" s="26">
        <f>$I$5*$AE$5</f>
        <v>0</v>
      </c>
      <c r="AF57" s="26">
        <f ca="1">$I$5*$AF$5</f>
        <v>0</v>
      </c>
      <c r="AG57" s="26">
        <f ca="1">$I$5*$AG$5</f>
        <v>0</v>
      </c>
      <c r="AI57" s="26">
        <f>$I$5*$AI$5</f>
        <v>0</v>
      </c>
      <c r="AJ57" s="26">
        <f>$I$5*$AJ$5</f>
        <v>0</v>
      </c>
      <c r="AK57" s="26">
        <f>$I$5*$AK$5</f>
        <v>0</v>
      </c>
      <c r="AL57" s="26">
        <f>$I$5*$AL$5</f>
        <v>0</v>
      </c>
      <c r="AM57" s="26">
        <f>$I$5*$AM$5</f>
        <v>0</v>
      </c>
      <c r="AN57" s="26">
        <f>$I$5*$AN$5</f>
        <v>0</v>
      </c>
      <c r="AO57" s="26">
        <f>$I$5*$AO$5</f>
        <v>0</v>
      </c>
      <c r="AP57" s="26">
        <f>$I$5*$AP$5</f>
        <v>0</v>
      </c>
      <c r="AQ57" s="26">
        <f>$I$5*$AQ$5</f>
        <v>9602.2692876347555</v>
      </c>
      <c r="AR57" s="26">
        <f>$I$5*$AR$5</f>
        <v>9778.9305909037175</v>
      </c>
      <c r="AS57" s="26">
        <f>$I$5*$AS$5</f>
        <v>0</v>
      </c>
      <c r="AT57" s="26">
        <f>$I$5*$AT$5</f>
        <v>0</v>
      </c>
      <c r="AU57" s="26">
        <f>$I$5*$AU$5</f>
        <v>9979.9900692444535</v>
      </c>
      <c r="AV57" s="26">
        <f>$I$5*$AV$5</f>
        <v>0</v>
      </c>
      <c r="AW57" s="26">
        <f>$I$5*$AW$5</f>
        <v>0</v>
      </c>
      <c r="AX57" s="26">
        <f>$I$5*$AX$5</f>
        <v>48946.008291404185</v>
      </c>
      <c r="AY57" s="26">
        <f>$I$5*$AY$5</f>
        <v>478.81735794550514</v>
      </c>
      <c r="AZ57" s="26">
        <f>$I$5*$AZ$5</f>
        <v>0</v>
      </c>
      <c r="BA57" s="26">
        <f>$I$5*$BA$5</f>
        <v>0</v>
      </c>
      <c r="BB57" s="26">
        <f>$I$5*$BB$5</f>
        <v>0</v>
      </c>
      <c r="BC57" s="26">
        <f>$I$5*$BC$5</f>
        <v>0</v>
      </c>
      <c r="BD57" s="26">
        <f>$I$5*$BD$5</f>
        <v>0</v>
      </c>
    </row>
    <row r="58" spans="1:56" ht="11.25" customHeight="1" x14ac:dyDescent="0.25">
      <c r="A58" s="9" t="s">
        <v>33</v>
      </c>
      <c r="B58" s="9" t="s">
        <v>911</v>
      </c>
      <c r="C58" s="9" t="s">
        <v>912</v>
      </c>
      <c r="D58" s="9" t="s">
        <v>913</v>
      </c>
      <c r="E58" s="9" t="s">
        <v>914</v>
      </c>
      <c r="F58" s="9" t="s">
        <v>915</v>
      </c>
      <c r="G58" s="9" t="s">
        <v>917</v>
      </c>
      <c r="L58" s="26">
        <f>$I$6*$L$6</f>
        <v>0</v>
      </c>
      <c r="M58" s="26">
        <f>$I$6*$M$6</f>
        <v>0</v>
      </c>
      <c r="N58" s="26">
        <f ca="1">$I$6*$N$6</f>
        <v>0</v>
      </c>
      <c r="O58" s="26">
        <f>$I$6*$O$6</f>
        <v>0</v>
      </c>
      <c r="P58" s="26">
        <f>$I$6*$P$6</f>
        <v>0</v>
      </c>
      <c r="Q58" s="26">
        <f>$I$6*$Q$6</f>
        <v>0</v>
      </c>
      <c r="R58" s="26">
        <f>$I$6*$R$6</f>
        <v>0</v>
      </c>
      <c r="S58" s="26">
        <f>$I$6*$S$6</f>
        <v>0</v>
      </c>
      <c r="T58" s="26">
        <f>$I$6*$T$6</f>
        <v>8371.903280590921</v>
      </c>
      <c r="U58" s="26">
        <f>$I$6*$U$6</f>
        <v>6647.9937493498946</v>
      </c>
      <c r="V58" s="26">
        <f>$I$6*$V$6</f>
        <v>0</v>
      </c>
      <c r="W58" s="26">
        <f>$I$6*$W$6</f>
        <v>0</v>
      </c>
      <c r="X58" s="26">
        <f>$I$6*$X$6</f>
        <v>12009.611018156384</v>
      </c>
      <c r="Y58" s="26">
        <f>$I$6*$Y$6</f>
        <v>0</v>
      </c>
      <c r="Z58" s="26">
        <f>$I$6*$Z$6</f>
        <v>0</v>
      </c>
      <c r="AA58" s="26">
        <f>$I$6*$AA$6</f>
        <v>17472.843818927435</v>
      </c>
      <c r="AB58" s="26">
        <f ca="1">$I$6*$AB$6</f>
        <v>0</v>
      </c>
      <c r="AC58" s="26">
        <f ca="1">$I$6*$AC$6</f>
        <v>0</v>
      </c>
      <c r="AD58" s="26">
        <f>$I$6*$AD$6</f>
        <v>0</v>
      </c>
      <c r="AE58" s="26">
        <f>$I$6*$AE$6</f>
        <v>0</v>
      </c>
      <c r="AF58" s="26">
        <f ca="1">$I$6*$AF$6</f>
        <v>0</v>
      </c>
      <c r="AG58" s="26">
        <f ca="1">$I$6*$AG$6</f>
        <v>0</v>
      </c>
      <c r="AI58" s="26">
        <f>$I$6*$AI$6</f>
        <v>0</v>
      </c>
      <c r="AJ58" s="26">
        <f>$I$6*$AJ$6</f>
        <v>0</v>
      </c>
      <c r="AK58" s="26">
        <f>$I$6*$AK$6</f>
        <v>0</v>
      </c>
      <c r="AL58" s="26">
        <f>$I$6*$AL$6</f>
        <v>0</v>
      </c>
      <c r="AM58" s="26">
        <f>$I$6*$AM$6</f>
        <v>0</v>
      </c>
      <c r="AN58" s="26">
        <f>$I$6*$AN$6</f>
        <v>0</v>
      </c>
      <c r="AO58" s="26">
        <f>$I$6*$AO$6</f>
        <v>0</v>
      </c>
      <c r="AP58" s="26">
        <f>$I$6*$AP$6</f>
        <v>0</v>
      </c>
      <c r="AQ58" s="26">
        <f>$I$6*$AQ$6</f>
        <v>11757.269446393879</v>
      </c>
      <c r="AR58" s="26">
        <f>$I$6*$AR$6</f>
        <v>12091.711208364448</v>
      </c>
      <c r="AS58" s="26">
        <f>$I$6*$AS$6</f>
        <v>0</v>
      </c>
      <c r="AT58" s="26">
        <f>$I$6*$AT$6</f>
        <v>0</v>
      </c>
      <c r="AU58" s="26">
        <f>$I$6*$AU$6</f>
        <v>12219.440598537039</v>
      </c>
      <c r="AV58" s="26">
        <f>$I$6*$AV$6</f>
        <v>0</v>
      </c>
      <c r="AW58" s="26">
        <f>$I$6*$AW$6</f>
        <v>0</v>
      </c>
      <c r="AX58" s="26">
        <f>$I$6*$AX$6</f>
        <v>15220.956083534842</v>
      </c>
      <c r="AY58" s="26">
        <f>$I$6*$AY$6</f>
        <v>256.53702749356876</v>
      </c>
      <c r="AZ58" s="26">
        <f>$I$6*$AZ$6</f>
        <v>0</v>
      </c>
      <c r="BA58" s="26">
        <f>$I$6*$BA$6</f>
        <v>0</v>
      </c>
      <c r="BB58" s="26">
        <f>$I$6*$BB$6</f>
        <v>0</v>
      </c>
      <c r="BC58" s="26">
        <f>$I$6*$BC$6</f>
        <v>0</v>
      </c>
      <c r="BD58" s="26">
        <f>$I$6*$BD$6</f>
        <v>0</v>
      </c>
    </row>
    <row r="59" spans="1:56" ht="11.25" customHeight="1" x14ac:dyDescent="0.25">
      <c r="A59" s="9" t="s">
        <v>33</v>
      </c>
      <c r="B59" s="9" t="s">
        <v>911</v>
      </c>
      <c r="C59" s="9" t="s">
        <v>912</v>
      </c>
      <c r="D59" s="9" t="s">
        <v>913</v>
      </c>
      <c r="E59" s="9" t="s">
        <v>914</v>
      </c>
      <c r="F59" s="9" t="s">
        <v>915</v>
      </c>
      <c r="G59" s="9" t="s">
        <v>918</v>
      </c>
      <c r="L59" s="26">
        <f>$I$7*$L$7</f>
        <v>0</v>
      </c>
      <c r="M59" s="26">
        <f>$I$7*$M$7</f>
        <v>333.57472680369779</v>
      </c>
      <c r="N59" s="26">
        <f ca="1">$I$7*$N$7</f>
        <v>0</v>
      </c>
      <c r="O59" s="26">
        <f>$I$7*$O$7</f>
        <v>0</v>
      </c>
      <c r="P59" s="26">
        <f>$I$7*$P$7</f>
        <v>0</v>
      </c>
      <c r="Q59" s="26">
        <f>$I$7*$Q$7</f>
        <v>51897.625691460446</v>
      </c>
      <c r="R59" s="26">
        <f>$I$7*$R$7</f>
        <v>9764.325977243514</v>
      </c>
      <c r="S59" s="26">
        <f>$I$7*$S$7</f>
        <v>0</v>
      </c>
      <c r="T59" s="26">
        <f>$I$7*$T$7</f>
        <v>0</v>
      </c>
      <c r="U59" s="26">
        <f>$I$7*$U$7</f>
        <v>0</v>
      </c>
      <c r="V59" s="26">
        <f>$I$7*$V$7</f>
        <v>0</v>
      </c>
      <c r="W59" s="26">
        <f>$I$7*$W$7</f>
        <v>0</v>
      </c>
      <c r="X59" s="26">
        <f>$I$7*$X$7</f>
        <v>0</v>
      </c>
      <c r="Y59" s="26">
        <f>$I$7*$Y$7</f>
        <v>0</v>
      </c>
      <c r="Z59" s="26">
        <f>$I$7*$Z$7</f>
        <v>0</v>
      </c>
      <c r="AA59" s="26">
        <f>$I$7*$AA$7</f>
        <v>0</v>
      </c>
      <c r="AB59" s="26">
        <f ca="1">$I$7*$AB$7</f>
        <v>0</v>
      </c>
      <c r="AC59" s="26">
        <f ca="1">$I$7*$AC$7</f>
        <v>0</v>
      </c>
      <c r="AD59" s="26">
        <f>$I$7*$AD$7</f>
        <v>5160.453386615839</v>
      </c>
      <c r="AE59" s="26">
        <f>$I$7*$AE$7</f>
        <v>39.524041587614775</v>
      </c>
      <c r="AF59" s="26">
        <f ca="1">$I$7*$AF$7</f>
        <v>0</v>
      </c>
      <c r="AG59" s="26">
        <f ca="1">$I$7*$AG$7</f>
        <v>0</v>
      </c>
      <c r="AI59" s="26">
        <f>$I$7*$AI$7</f>
        <v>0</v>
      </c>
      <c r="AJ59" s="26">
        <f>$I$7*$AJ$7</f>
        <v>280.67220533285229</v>
      </c>
      <c r="AK59" s="26">
        <f>$I$7*$AK$7</f>
        <v>0</v>
      </c>
      <c r="AL59" s="26">
        <f>$I$7*$AL$7</f>
        <v>0</v>
      </c>
      <c r="AM59" s="26">
        <f>$I$7*$AM$7</f>
        <v>0</v>
      </c>
      <c r="AN59" s="26">
        <f>$I$7*$AN$7</f>
        <v>33389.79943475606</v>
      </c>
      <c r="AO59" s="26">
        <f>$I$7*$AO$7</f>
        <v>5986.2828219189132</v>
      </c>
      <c r="AP59" s="26">
        <f>$I$7*$AP$7</f>
        <v>0</v>
      </c>
      <c r="AQ59" s="26">
        <f>$I$7*$AQ$7</f>
        <v>0</v>
      </c>
      <c r="AR59" s="26">
        <f>$I$7*$AR$7</f>
        <v>0</v>
      </c>
      <c r="AS59" s="26">
        <f>$I$7*$AS$7</f>
        <v>0</v>
      </c>
      <c r="AT59" s="26">
        <f>$I$7*$AT$7</f>
        <v>0</v>
      </c>
      <c r="AU59" s="26">
        <f>$I$7*$AU$7</f>
        <v>0</v>
      </c>
      <c r="AV59" s="26">
        <f>$I$7*$AV$7</f>
        <v>0</v>
      </c>
      <c r="AW59" s="26">
        <f>$I$7*$AW$7</f>
        <v>0</v>
      </c>
      <c r="AX59" s="26">
        <f>$I$7*$AX$7</f>
        <v>0</v>
      </c>
      <c r="AY59" s="26">
        <f>$I$7*$AY$7</f>
        <v>216.72342623870145</v>
      </c>
      <c r="AZ59" s="26">
        <f>$I$7*$AZ$7</f>
        <v>0</v>
      </c>
      <c r="BA59" s="26">
        <f>$I$7*$BA$7</f>
        <v>4063.9567478434906</v>
      </c>
      <c r="BB59" s="26">
        <f>$I$7*$BB$7</f>
        <v>0</v>
      </c>
      <c r="BC59" s="26">
        <f>$I$7*$BC$7</f>
        <v>0</v>
      </c>
      <c r="BD59" s="26">
        <f>$I$7*$BD$7</f>
        <v>0</v>
      </c>
    </row>
    <row r="60" spans="1:56" ht="11.25" customHeight="1" x14ac:dyDescent="0.25">
      <c r="A60" s="9" t="s">
        <v>33</v>
      </c>
      <c r="B60" s="9" t="s">
        <v>911</v>
      </c>
      <c r="C60" s="9" t="s">
        <v>912</v>
      </c>
      <c r="D60" s="9" t="s">
        <v>913</v>
      </c>
      <c r="E60" s="9" t="s">
        <v>919</v>
      </c>
      <c r="F60" s="9" t="s">
        <v>920</v>
      </c>
      <c r="G60" s="9" t="s">
        <v>921</v>
      </c>
      <c r="L60" s="26">
        <f>$I$8*$L$8</f>
        <v>0</v>
      </c>
      <c r="M60" s="26">
        <f>$I$8*$M$8</f>
        <v>0</v>
      </c>
      <c r="N60" s="26">
        <f ca="1">$I$8*$N$8</f>
        <v>0</v>
      </c>
      <c r="O60" s="26">
        <f>$I$8*$O$8</f>
        <v>0</v>
      </c>
      <c r="P60" s="26">
        <f>$I$8*$P$8</f>
        <v>0</v>
      </c>
      <c r="Q60" s="26">
        <f>$I$8*$Q$8</f>
        <v>0</v>
      </c>
      <c r="R60" s="26">
        <f>$I$8*$R$8</f>
        <v>0</v>
      </c>
      <c r="S60" s="26">
        <f>$I$8*$S$8</f>
        <v>0</v>
      </c>
      <c r="T60" s="26">
        <f>$I$8*$T$8</f>
        <v>0</v>
      </c>
      <c r="U60" s="26">
        <f>$I$8*$U$8</f>
        <v>0</v>
      </c>
      <c r="V60" s="26">
        <f>$I$8*$V$8</f>
        <v>0</v>
      </c>
      <c r="W60" s="26">
        <f>$I$8*$W$8</f>
        <v>0</v>
      </c>
      <c r="X60" s="26">
        <f>$I$8*$X$8</f>
        <v>0</v>
      </c>
      <c r="Y60" s="26">
        <f>$I$8*$Y$8</f>
        <v>0</v>
      </c>
      <c r="Z60" s="26">
        <f>$I$8*$Z$8</f>
        <v>0</v>
      </c>
      <c r="AA60" s="26">
        <f>$I$8*$AA$8</f>
        <v>0</v>
      </c>
      <c r="AB60" s="26">
        <f ca="1">$I$8*$AB$8</f>
        <v>0</v>
      </c>
      <c r="AC60" s="26">
        <f ca="1">$I$8*$AC$8</f>
        <v>0</v>
      </c>
      <c r="AD60" s="26">
        <f>$I$8*$AD$8</f>
        <v>0</v>
      </c>
      <c r="AE60" s="26">
        <f>$I$8*$AE$8</f>
        <v>0</v>
      </c>
      <c r="AF60" s="26">
        <f ca="1">$I$8*$AF$8</f>
        <v>0</v>
      </c>
      <c r="AG60" s="26">
        <f ca="1">$I$8*$AG$8</f>
        <v>0</v>
      </c>
      <c r="AI60" s="26">
        <f>$I$8*$AI$8</f>
        <v>0</v>
      </c>
      <c r="AJ60" s="26">
        <f>$I$8*$AJ$8</f>
        <v>0</v>
      </c>
      <c r="AK60" s="26">
        <f>$I$8*$AK$8</f>
        <v>0</v>
      </c>
      <c r="AL60" s="26">
        <f>$I$8*$AL$8</f>
        <v>0</v>
      </c>
      <c r="AM60" s="26">
        <f>$I$8*$AM$8</f>
        <v>0</v>
      </c>
      <c r="AN60" s="26">
        <f>$I$8*$AN$8</f>
        <v>0</v>
      </c>
      <c r="AO60" s="26">
        <f>$I$8*$AO$8</f>
        <v>0</v>
      </c>
      <c r="AP60" s="26">
        <f>$I$8*$AP$8</f>
        <v>0</v>
      </c>
      <c r="AQ60" s="26">
        <f>$I$8*$AQ$8</f>
        <v>0</v>
      </c>
      <c r="AR60" s="26">
        <f>$I$8*$AR$8</f>
        <v>0</v>
      </c>
      <c r="AS60" s="26">
        <f>$I$8*$AS$8</f>
        <v>0</v>
      </c>
      <c r="AT60" s="26">
        <f>$I$8*$AT$8</f>
        <v>0</v>
      </c>
      <c r="AU60" s="26">
        <f>$I$8*$AU$8</f>
        <v>0</v>
      </c>
      <c r="AV60" s="26">
        <f>$I$8*$AV$8</f>
        <v>0</v>
      </c>
      <c r="AW60" s="26">
        <f>$I$8*$AW$8</f>
        <v>0</v>
      </c>
      <c r="AX60" s="26">
        <f>$I$8*$AX$8</f>
        <v>0</v>
      </c>
      <c r="AY60" s="26">
        <f>$I$8*$AY$8</f>
        <v>0</v>
      </c>
      <c r="AZ60" s="26">
        <f>$I$8*$AZ$8</f>
        <v>0</v>
      </c>
      <c r="BA60" s="26">
        <f>$I$8*$BA$8</f>
        <v>0</v>
      </c>
      <c r="BB60" s="26">
        <f>$I$8*$BB$8</f>
        <v>0</v>
      </c>
      <c r="BC60" s="26">
        <f>$I$8*$BC$8</f>
        <v>0</v>
      </c>
      <c r="BD60" s="26">
        <f>$I$8*$BD$8</f>
        <v>0</v>
      </c>
    </row>
    <row r="61" spans="1:56" ht="11.25" customHeight="1" x14ac:dyDescent="0.25">
      <c r="A61" s="9" t="s">
        <v>33</v>
      </c>
      <c r="B61" s="9" t="s">
        <v>922</v>
      </c>
      <c r="C61" s="9" t="s">
        <v>923</v>
      </c>
      <c r="D61" s="9" t="s">
        <v>924</v>
      </c>
      <c r="E61" s="9" t="s">
        <v>925</v>
      </c>
      <c r="F61" s="9" t="s">
        <v>926</v>
      </c>
      <c r="G61" s="9" t="s">
        <v>927</v>
      </c>
      <c r="L61" s="26">
        <f>$I$9*$L$9</f>
        <v>0</v>
      </c>
      <c r="M61" s="26">
        <f>$I$9*$M$9</f>
        <v>0</v>
      </c>
      <c r="N61" s="26">
        <f ca="1">$I$9*$N$9</f>
        <v>0</v>
      </c>
      <c r="O61" s="26">
        <f>$I$9*$O$9</f>
        <v>0</v>
      </c>
      <c r="P61" s="26">
        <f>$I$9*$P$9</f>
        <v>0</v>
      </c>
      <c r="Q61" s="26">
        <f>$I$9*$Q$9</f>
        <v>0</v>
      </c>
      <c r="R61" s="26">
        <f>$I$9*$R$9</f>
        <v>0</v>
      </c>
      <c r="S61" s="26">
        <f>$I$9*$S$9</f>
        <v>0</v>
      </c>
      <c r="T61" s="26">
        <f>$I$9*$T$9</f>
        <v>0</v>
      </c>
      <c r="U61" s="26">
        <f>$I$9*$U$9</f>
        <v>0</v>
      </c>
      <c r="V61" s="26">
        <f>$I$9*$V$9</f>
        <v>0</v>
      </c>
      <c r="W61" s="26">
        <f>$I$9*$W$9</f>
        <v>0</v>
      </c>
      <c r="X61" s="26">
        <f>$I$9*$X$9</f>
        <v>0</v>
      </c>
      <c r="Y61" s="26">
        <f>$I$9*$Y$9</f>
        <v>0</v>
      </c>
      <c r="Z61" s="26">
        <f>$I$9*$Z$9</f>
        <v>0</v>
      </c>
      <c r="AA61" s="26">
        <f>$I$9*$AA$9</f>
        <v>0</v>
      </c>
      <c r="AB61" s="26">
        <f ca="1">$I$9*$AB$9</f>
        <v>0</v>
      </c>
      <c r="AC61" s="26">
        <f ca="1">$I$9*$AC$9</f>
        <v>0</v>
      </c>
      <c r="AD61" s="26">
        <f>$I$9*$AD$9</f>
        <v>0</v>
      </c>
      <c r="AE61" s="26">
        <f>$I$9*$AE$9</f>
        <v>0</v>
      </c>
      <c r="AF61" s="26">
        <f ca="1">$I$9*$AF$9</f>
        <v>0</v>
      </c>
      <c r="AG61" s="26">
        <f ca="1">$I$9*$AG$9</f>
        <v>0</v>
      </c>
      <c r="AI61" s="26">
        <f>$I$9*$AI$9</f>
        <v>0</v>
      </c>
      <c r="AJ61" s="26">
        <f>$I$9*$AJ$9</f>
        <v>0</v>
      </c>
      <c r="AK61" s="26">
        <f>$I$9*$AK$9</f>
        <v>0</v>
      </c>
      <c r="AL61" s="26">
        <f>$I$9*$AL$9</f>
        <v>0</v>
      </c>
      <c r="AM61" s="26">
        <f>$I$9*$AM$9</f>
        <v>0</v>
      </c>
      <c r="AN61" s="26">
        <f>$I$9*$AN$9</f>
        <v>0</v>
      </c>
      <c r="AO61" s="26">
        <f>$I$9*$AO$9</f>
        <v>0</v>
      </c>
      <c r="AP61" s="26">
        <f>$I$9*$AP$9</f>
        <v>0</v>
      </c>
      <c r="AQ61" s="26">
        <f>$I$9*$AQ$9</f>
        <v>0</v>
      </c>
      <c r="AR61" s="26">
        <f>$I$9*$AR$9</f>
        <v>0</v>
      </c>
      <c r="AS61" s="26">
        <f>$I$9*$AS$9</f>
        <v>0</v>
      </c>
      <c r="AT61" s="26">
        <f>$I$9*$AT$9</f>
        <v>0</v>
      </c>
      <c r="AU61" s="26">
        <f>$I$9*$AU$9</f>
        <v>0</v>
      </c>
      <c r="AV61" s="26">
        <f>$I$9*$AV$9</f>
        <v>0</v>
      </c>
      <c r="AW61" s="26">
        <f>$I$9*$AW$9</f>
        <v>0</v>
      </c>
      <c r="AX61" s="26">
        <f>$I$9*$AX$9</f>
        <v>0</v>
      </c>
      <c r="AY61" s="26">
        <f>$I$9*$AY$9</f>
        <v>0</v>
      </c>
      <c r="AZ61" s="26">
        <f>$I$9*$AZ$9</f>
        <v>0</v>
      </c>
      <c r="BA61" s="26">
        <f>$I$9*$BA$9</f>
        <v>0</v>
      </c>
      <c r="BB61" s="26">
        <f>$I$9*$BB$9</f>
        <v>0</v>
      </c>
      <c r="BC61" s="26">
        <f>$I$9*$BC$9</f>
        <v>0</v>
      </c>
      <c r="BD61" s="26">
        <f>$I$9*$BD$9</f>
        <v>0</v>
      </c>
    </row>
    <row r="62" spans="1:56" ht="11.25" customHeight="1" x14ac:dyDescent="0.25">
      <c r="A62" s="9" t="s">
        <v>33</v>
      </c>
      <c r="B62" s="9" t="s">
        <v>928</v>
      </c>
      <c r="C62" s="9" t="s">
        <v>929</v>
      </c>
      <c r="D62" s="9" t="s">
        <v>930</v>
      </c>
      <c r="E62" s="9" t="s">
        <v>931</v>
      </c>
      <c r="F62" s="9" t="s">
        <v>932</v>
      </c>
      <c r="G62" s="9" t="s">
        <v>933</v>
      </c>
      <c r="L62" s="26">
        <f>$I$10*$L$10</f>
        <v>0</v>
      </c>
      <c r="M62" s="26">
        <f>$I$10*$M$10</f>
        <v>0</v>
      </c>
      <c r="N62" s="26">
        <f ca="1">$I$10*$N$10</f>
        <v>0</v>
      </c>
      <c r="O62" s="26">
        <f>$I$10*$O$10</f>
        <v>0</v>
      </c>
      <c r="P62" s="26">
        <f>$I$10*$P$10</f>
        <v>0</v>
      </c>
      <c r="Q62" s="26">
        <f>$I$10*$Q$10</f>
        <v>0</v>
      </c>
      <c r="R62" s="26">
        <f>$I$10*$R$10</f>
        <v>0</v>
      </c>
      <c r="S62" s="26">
        <f>$I$10*$S$10</f>
        <v>0</v>
      </c>
      <c r="T62" s="26">
        <f>$I$10*$T$10</f>
        <v>998217.6746295885</v>
      </c>
      <c r="U62" s="26">
        <f>$I$10*$U$10</f>
        <v>792668.60103521007</v>
      </c>
      <c r="V62" s="26">
        <f>$I$10*$V$10</f>
        <v>0</v>
      </c>
      <c r="W62" s="26">
        <f>$I$10*$W$10</f>
        <v>0</v>
      </c>
      <c r="X62" s="26">
        <f>$I$10*$X$10</f>
        <v>1431957.0570700355</v>
      </c>
      <c r="Y62" s="26">
        <f>$I$10*$Y$10</f>
        <v>0</v>
      </c>
      <c r="Z62" s="26">
        <f>$I$10*$Z$10</f>
        <v>0</v>
      </c>
      <c r="AA62" s="26">
        <f>$I$10*$AA$10</f>
        <v>2083361.5656468289</v>
      </c>
      <c r="AB62" s="26">
        <f ca="1">$I$10*$AB$10</f>
        <v>0</v>
      </c>
      <c r="AC62" s="26">
        <f ca="1">$I$10*$AC$10</f>
        <v>0</v>
      </c>
      <c r="AD62" s="26">
        <f>$I$10*$AD$10</f>
        <v>0</v>
      </c>
      <c r="AE62" s="26">
        <f>$I$10*$AE$10</f>
        <v>0</v>
      </c>
      <c r="AF62" s="26">
        <f ca="1">$I$10*$AF$10</f>
        <v>0</v>
      </c>
      <c r="AG62" s="26">
        <f ca="1">$I$10*$AG$10</f>
        <v>0</v>
      </c>
      <c r="AI62" s="26">
        <f>$I$10*$AI$10</f>
        <v>0</v>
      </c>
      <c r="AJ62" s="26">
        <f>$I$10*$AJ$10</f>
        <v>0</v>
      </c>
      <c r="AK62" s="26">
        <f>$I$10*$AK$10</f>
        <v>0</v>
      </c>
      <c r="AL62" s="26">
        <f>$I$10*$AL$10</f>
        <v>0</v>
      </c>
      <c r="AM62" s="26">
        <f>$I$10*$AM$10</f>
        <v>0</v>
      </c>
      <c r="AN62" s="26">
        <f>$I$10*$AN$10</f>
        <v>0</v>
      </c>
      <c r="AO62" s="26">
        <f>$I$10*$AO$10</f>
        <v>0</v>
      </c>
      <c r="AP62" s="26">
        <f>$I$10*$AP$10</f>
        <v>0</v>
      </c>
      <c r="AQ62" s="26">
        <f>$I$10*$AQ$10</f>
        <v>1401869.2970309153</v>
      </c>
      <c r="AR62" s="26">
        <f>$I$10*$AR$10</f>
        <v>1441746.2123205671</v>
      </c>
      <c r="AS62" s="26">
        <f>$I$10*$AS$10</f>
        <v>0</v>
      </c>
      <c r="AT62" s="26">
        <f>$I$10*$AT$10</f>
        <v>0</v>
      </c>
      <c r="AU62" s="26">
        <f>$I$10*$AU$10</f>
        <v>1456975.9313661198</v>
      </c>
      <c r="AV62" s="26">
        <f>$I$10*$AV$10</f>
        <v>0</v>
      </c>
      <c r="AW62" s="26">
        <f>$I$10*$AW$10</f>
        <v>0</v>
      </c>
      <c r="AX62" s="26">
        <f>$I$10*$AX$10</f>
        <v>1814859.4027083409</v>
      </c>
      <c r="AY62" s="26">
        <f>$I$10*$AY$10</f>
        <v>30588.002089644531</v>
      </c>
      <c r="AZ62" s="26">
        <f>$I$10*$AZ$10</f>
        <v>0</v>
      </c>
      <c r="BA62" s="26">
        <f>$I$10*$BA$10</f>
        <v>0</v>
      </c>
      <c r="BB62" s="26">
        <f>$I$10*$BB$10</f>
        <v>0</v>
      </c>
      <c r="BC62" s="26">
        <f>$I$10*$BC$10</f>
        <v>0</v>
      </c>
      <c r="BD62" s="26">
        <f>$I$10*$BD$10</f>
        <v>0</v>
      </c>
    </row>
    <row r="63" spans="1:56" ht="11.25" customHeight="1" x14ac:dyDescent="0.25">
      <c r="A63" s="9" t="s">
        <v>33</v>
      </c>
      <c r="B63" s="9" t="s">
        <v>928</v>
      </c>
      <c r="C63" s="9" t="s">
        <v>929</v>
      </c>
      <c r="D63" s="9" t="s">
        <v>930</v>
      </c>
      <c r="E63" s="9" t="s">
        <v>931</v>
      </c>
      <c r="F63" s="9" t="s">
        <v>932</v>
      </c>
      <c r="G63" s="9" t="s">
        <v>934</v>
      </c>
      <c r="L63" s="26">
        <f>$I$11*$L$11</f>
        <v>0</v>
      </c>
      <c r="M63" s="26">
        <f>$I$11*$M$11</f>
        <v>2548.9381211634841</v>
      </c>
      <c r="N63" s="26">
        <f ca="1">$I$11*$N$11</f>
        <v>0</v>
      </c>
      <c r="O63" s="26">
        <f>$I$11*$O$11</f>
        <v>0</v>
      </c>
      <c r="P63" s="26">
        <f>$I$11*$P$11</f>
        <v>0</v>
      </c>
      <c r="Q63" s="26">
        <f>$I$11*$Q$11</f>
        <v>396564.32545227994</v>
      </c>
      <c r="R63" s="26">
        <f>$I$11*$R$11</f>
        <v>74611.95561589826</v>
      </c>
      <c r="S63" s="26">
        <f>$I$11*$S$11</f>
        <v>0</v>
      </c>
      <c r="T63" s="26">
        <f>$I$11*$T$11</f>
        <v>391895.93095911358</v>
      </c>
      <c r="U63" s="26">
        <f>$I$11*$U$11</f>
        <v>308172.71641381853</v>
      </c>
      <c r="V63" s="26">
        <f>$I$11*$V$11</f>
        <v>0</v>
      </c>
      <c r="W63" s="26">
        <f>$I$11*$W$11</f>
        <v>0</v>
      </c>
      <c r="X63" s="26">
        <f>$I$11*$X$11</f>
        <v>562195.45195399306</v>
      </c>
      <c r="Y63" s="26">
        <f>$I$11*$Y$11</f>
        <v>0</v>
      </c>
      <c r="Z63" s="26">
        <f>$I$11*$Z$11</f>
        <v>0</v>
      </c>
      <c r="AA63" s="26">
        <f>$I$11*$AA$11</f>
        <v>3220505.0414722608</v>
      </c>
      <c r="AB63" s="26">
        <f ca="1">$I$11*$AB$11</f>
        <v>0</v>
      </c>
      <c r="AC63" s="26">
        <f ca="1">$I$11*$AC$11</f>
        <v>0</v>
      </c>
      <c r="AD63" s="26">
        <f>$I$11*$AD$11</f>
        <v>39432.472854494757</v>
      </c>
      <c r="AE63" s="26">
        <f>$I$11*$AE$11</f>
        <v>302.01429607827669</v>
      </c>
      <c r="AF63" s="26">
        <f ca="1">$I$11*$AF$11</f>
        <v>0</v>
      </c>
      <c r="AG63" s="26">
        <f ca="1">$I$11*$AG$11</f>
        <v>0</v>
      </c>
      <c r="AI63" s="26">
        <f>$I$11*$AI$11</f>
        <v>0</v>
      </c>
      <c r="AJ63" s="26">
        <f>$I$11*$AJ$11</f>
        <v>2144.6951049889958</v>
      </c>
      <c r="AK63" s="26">
        <f>$I$11*$AK$11</f>
        <v>0</v>
      </c>
      <c r="AL63" s="26">
        <f>$I$11*$AL$11</f>
        <v>0</v>
      </c>
      <c r="AM63" s="26">
        <f>$I$11*$AM$11</f>
        <v>0</v>
      </c>
      <c r="AN63" s="26">
        <f>$I$11*$AN$11</f>
        <v>255140.82992065942</v>
      </c>
      <c r="AO63" s="26">
        <f>$I$11*$AO$11</f>
        <v>45742.867378063274</v>
      </c>
      <c r="AP63" s="26">
        <f>$I$11*$AP$11</f>
        <v>0</v>
      </c>
      <c r="AQ63" s="26">
        <f>$I$11*$AQ$11</f>
        <v>550373.42190581269</v>
      </c>
      <c r="AR63" s="26">
        <f>$I$11*$AR$11</f>
        <v>560514.47864221805</v>
      </c>
      <c r="AS63" s="26">
        <f>$I$11*$AS$11</f>
        <v>0</v>
      </c>
      <c r="AT63" s="26">
        <f>$I$11*$AT$11</f>
        <v>0</v>
      </c>
      <c r="AU63" s="26">
        <f>$I$11*$AU$11</f>
        <v>572024.06866542751</v>
      </c>
      <c r="AV63" s="26">
        <f>$I$11*$AV$11</f>
        <v>0</v>
      </c>
      <c r="AW63" s="26">
        <f>$I$11*$AW$11</f>
        <v>0</v>
      </c>
      <c r="AX63" s="26">
        <f>$I$11*$AX$11</f>
        <v>2805459.3839233532</v>
      </c>
      <c r="AY63" s="26">
        <f>$I$11*$AY$11</f>
        <v>29100.636841816326</v>
      </c>
      <c r="AZ63" s="26">
        <f>$I$11*$AZ$11</f>
        <v>0</v>
      </c>
      <c r="BA63" s="26">
        <f>$I$11*$BA$11</f>
        <v>31053.834253557787</v>
      </c>
      <c r="BB63" s="26">
        <f>$I$11*$BB$11</f>
        <v>0</v>
      </c>
      <c r="BC63" s="26">
        <f>$I$11*$BC$11</f>
        <v>0</v>
      </c>
      <c r="BD63" s="26">
        <f>$I$11*$BD$11</f>
        <v>0</v>
      </c>
    </row>
    <row r="64" spans="1:56" ht="11.25" customHeight="1" x14ac:dyDescent="0.25">
      <c r="A64" s="9" t="s">
        <v>33</v>
      </c>
      <c r="B64" s="9" t="s">
        <v>928</v>
      </c>
      <c r="C64" s="9" t="s">
        <v>929</v>
      </c>
      <c r="D64" s="9" t="s">
        <v>930</v>
      </c>
      <c r="E64" s="9" t="s">
        <v>931</v>
      </c>
      <c r="F64" s="9" t="s">
        <v>932</v>
      </c>
      <c r="G64" s="9" t="s">
        <v>935</v>
      </c>
      <c r="L64" s="26">
        <f>$I$12*$L$12</f>
        <v>0</v>
      </c>
      <c r="M64" s="26">
        <f>$I$12*$M$12</f>
        <v>39951.682151349021</v>
      </c>
      <c r="N64" s="26">
        <f ca="1">$I$12*$N$12</f>
        <v>0</v>
      </c>
      <c r="O64" s="26">
        <f>$I$12*$O$12</f>
        <v>0</v>
      </c>
      <c r="P64" s="26">
        <f>$I$12*$P$12</f>
        <v>0</v>
      </c>
      <c r="Q64" s="26">
        <f>$I$12*$Q$12</f>
        <v>6215691.056400286</v>
      </c>
      <c r="R64" s="26">
        <f>$I$12*$R$12</f>
        <v>1169456.8458555925</v>
      </c>
      <c r="S64" s="26">
        <f>$I$12*$S$12</f>
        <v>0</v>
      </c>
      <c r="T64" s="26">
        <f>$I$12*$T$12</f>
        <v>0</v>
      </c>
      <c r="U64" s="26">
        <f>$I$12*$U$12</f>
        <v>0</v>
      </c>
      <c r="V64" s="26">
        <f>$I$12*$V$12</f>
        <v>0</v>
      </c>
      <c r="W64" s="26">
        <f>$I$12*$W$12</f>
        <v>0</v>
      </c>
      <c r="X64" s="26">
        <f>$I$12*$X$12</f>
        <v>0</v>
      </c>
      <c r="Y64" s="26">
        <f>$I$12*$Y$12</f>
        <v>0</v>
      </c>
      <c r="Z64" s="26">
        <f>$I$12*$Z$12</f>
        <v>0</v>
      </c>
      <c r="AA64" s="26">
        <f>$I$12*$AA$12</f>
        <v>0</v>
      </c>
      <c r="AB64" s="26">
        <f ca="1">$I$12*$AB$12</f>
        <v>0</v>
      </c>
      <c r="AC64" s="26">
        <f ca="1">$I$12*$AC$12</f>
        <v>0</v>
      </c>
      <c r="AD64" s="26">
        <f>$I$12*$AD$12</f>
        <v>618058.79430504632</v>
      </c>
      <c r="AE64" s="26">
        <f>$I$12*$AE$12</f>
        <v>4733.7277676145031</v>
      </c>
      <c r="AF64" s="26">
        <f ca="1">$I$12*$AF$12</f>
        <v>0</v>
      </c>
      <c r="AG64" s="26">
        <f ca="1">$I$12*$AG$12</f>
        <v>0</v>
      </c>
      <c r="AI64" s="26">
        <f>$I$12*$AI$12</f>
        <v>0</v>
      </c>
      <c r="AJ64" s="26">
        <f>$I$12*$AJ$12</f>
        <v>33615.636423124786</v>
      </c>
      <c r="AK64" s="26">
        <f>$I$12*$AK$12</f>
        <v>0</v>
      </c>
      <c r="AL64" s="26">
        <f>$I$12*$AL$12</f>
        <v>0</v>
      </c>
      <c r="AM64" s="26">
        <f>$I$12*$AM$12</f>
        <v>0</v>
      </c>
      <c r="AN64" s="26">
        <f>$I$12*$AN$12</f>
        <v>3999039.9359592008</v>
      </c>
      <c r="AO64" s="26">
        <f>$I$12*$AO$12</f>
        <v>716966.99225696234</v>
      </c>
      <c r="AP64" s="26">
        <f>$I$12*$AP$12</f>
        <v>0</v>
      </c>
      <c r="AQ64" s="26">
        <f>$I$12*$AQ$12</f>
        <v>0</v>
      </c>
      <c r="AR64" s="26">
        <f>$I$12*$AR$12</f>
        <v>0</v>
      </c>
      <c r="AS64" s="26">
        <f>$I$12*$AS$12</f>
        <v>0</v>
      </c>
      <c r="AT64" s="26">
        <f>$I$12*$AT$12</f>
        <v>0</v>
      </c>
      <c r="AU64" s="26">
        <f>$I$12*$AU$12</f>
        <v>0</v>
      </c>
      <c r="AV64" s="26">
        <f>$I$12*$AV$12</f>
        <v>0</v>
      </c>
      <c r="AW64" s="26">
        <f>$I$12*$AW$12</f>
        <v>0</v>
      </c>
      <c r="AX64" s="26">
        <f>$I$12*$AX$12</f>
        <v>0</v>
      </c>
      <c r="AY64" s="26">
        <f>$I$12*$AY$12</f>
        <v>25956.599058942717</v>
      </c>
      <c r="AZ64" s="26">
        <f>$I$12*$AZ$12</f>
        <v>0</v>
      </c>
      <c r="BA64" s="26">
        <f>$I$12*$BA$12</f>
        <v>486733.24212064792</v>
      </c>
      <c r="BB64" s="26">
        <f>$I$12*$BB$12</f>
        <v>0</v>
      </c>
      <c r="BC64" s="26">
        <f>$I$12*$BC$12</f>
        <v>0</v>
      </c>
      <c r="BD64" s="26">
        <f>$I$12*$BD$12</f>
        <v>0</v>
      </c>
    </row>
    <row r="65" spans="1:56" ht="11.25" customHeight="1" x14ac:dyDescent="0.25">
      <c r="A65" s="9" t="s">
        <v>33</v>
      </c>
      <c r="B65" s="9" t="s">
        <v>928</v>
      </c>
      <c r="C65" s="9" t="s">
        <v>929</v>
      </c>
      <c r="D65" s="9" t="s">
        <v>930</v>
      </c>
      <c r="E65" s="9" t="s">
        <v>936</v>
      </c>
      <c r="F65" s="9" t="s">
        <v>937</v>
      </c>
      <c r="G65" s="9" t="s">
        <v>938</v>
      </c>
      <c r="L65" s="26">
        <f>$I$13*$L$13</f>
        <v>0</v>
      </c>
      <c r="M65" s="26">
        <f>$I$13*$M$13</f>
        <v>0</v>
      </c>
      <c r="N65" s="26">
        <f ca="1">$I$13*$N$13</f>
        <v>0</v>
      </c>
      <c r="O65" s="26">
        <f>$I$13*$O$13</f>
        <v>0</v>
      </c>
      <c r="P65" s="26">
        <f>$I$13*$P$13</f>
        <v>0</v>
      </c>
      <c r="Q65" s="26">
        <f>$I$13*$Q$13</f>
        <v>0</v>
      </c>
      <c r="R65" s="26">
        <f>$I$13*$R$13</f>
        <v>0</v>
      </c>
      <c r="S65" s="26">
        <f>$I$13*$S$13</f>
        <v>0</v>
      </c>
      <c r="T65" s="26">
        <f>$I$13*$T$13</f>
        <v>0</v>
      </c>
      <c r="U65" s="26">
        <f>$I$13*$U$13</f>
        <v>0</v>
      </c>
      <c r="V65" s="26">
        <f>$I$13*$V$13</f>
        <v>0</v>
      </c>
      <c r="W65" s="26">
        <f>$I$13*$W$13</f>
        <v>0</v>
      </c>
      <c r="X65" s="26">
        <f>$I$13*$X$13</f>
        <v>0</v>
      </c>
      <c r="Y65" s="26">
        <f>$I$13*$Y$13</f>
        <v>0</v>
      </c>
      <c r="Z65" s="26">
        <f>$I$13*$Z$13</f>
        <v>0</v>
      </c>
      <c r="AA65" s="26">
        <f>$I$13*$AA$13</f>
        <v>0</v>
      </c>
      <c r="AB65" s="26">
        <f ca="1">$I$13*$AB$13</f>
        <v>0</v>
      </c>
      <c r="AC65" s="26">
        <f ca="1">$I$13*$AC$13</f>
        <v>0</v>
      </c>
      <c r="AD65" s="26">
        <f>$I$13*$AD$13</f>
        <v>0</v>
      </c>
      <c r="AE65" s="26">
        <f>$I$13*$AE$13</f>
        <v>0</v>
      </c>
      <c r="AF65" s="26">
        <f ca="1">$I$13*$AF$13</f>
        <v>0</v>
      </c>
      <c r="AG65" s="26">
        <f ca="1">$I$13*$AG$13</f>
        <v>0</v>
      </c>
      <c r="AI65" s="26">
        <f>$I$13*$AI$13</f>
        <v>0</v>
      </c>
      <c r="AJ65" s="26">
        <f>$I$13*$AJ$13</f>
        <v>0</v>
      </c>
      <c r="AK65" s="26">
        <f>$I$13*$AK$13</f>
        <v>0</v>
      </c>
      <c r="AL65" s="26">
        <f>$I$13*$AL$13</f>
        <v>0</v>
      </c>
      <c r="AM65" s="26">
        <f>$I$13*$AM$13</f>
        <v>0</v>
      </c>
      <c r="AN65" s="26">
        <f>$I$13*$AN$13</f>
        <v>0</v>
      </c>
      <c r="AO65" s="26">
        <f>$I$13*$AO$13</f>
        <v>0</v>
      </c>
      <c r="AP65" s="26">
        <f>$I$13*$AP$13</f>
        <v>0</v>
      </c>
      <c r="AQ65" s="26">
        <f>$I$13*$AQ$13</f>
        <v>0</v>
      </c>
      <c r="AR65" s="26">
        <f>$I$13*$AR$13</f>
        <v>0</v>
      </c>
      <c r="AS65" s="26">
        <f>$I$13*$AS$13</f>
        <v>0</v>
      </c>
      <c r="AT65" s="26">
        <f>$I$13*$AT$13</f>
        <v>0</v>
      </c>
      <c r="AU65" s="26">
        <f>$I$13*$AU$13</f>
        <v>0</v>
      </c>
      <c r="AV65" s="26">
        <f>$I$13*$AV$13</f>
        <v>0</v>
      </c>
      <c r="AW65" s="26">
        <f>$I$13*$AW$13</f>
        <v>0</v>
      </c>
      <c r="AX65" s="26">
        <f>$I$13*$AX$13</f>
        <v>0</v>
      </c>
      <c r="AY65" s="26">
        <f>$I$13*$AY$13</f>
        <v>0</v>
      </c>
      <c r="AZ65" s="26">
        <f>$I$13*$AZ$13</f>
        <v>0</v>
      </c>
      <c r="BA65" s="26">
        <f>$I$13*$BA$13</f>
        <v>0</v>
      </c>
      <c r="BB65" s="26">
        <f>$I$13*$BB$13</f>
        <v>0</v>
      </c>
      <c r="BC65" s="26">
        <f>$I$13*$BC$13</f>
        <v>0</v>
      </c>
      <c r="BD65" s="26">
        <f>$I$13*$BD$13</f>
        <v>0</v>
      </c>
    </row>
    <row r="66" spans="1:56" ht="11.25" customHeight="1" x14ac:dyDescent="0.25">
      <c r="A66" s="9" t="s">
        <v>33</v>
      </c>
      <c r="B66" s="9" t="s">
        <v>928</v>
      </c>
      <c r="C66" s="9" t="s">
        <v>929</v>
      </c>
      <c r="D66" s="9" t="s">
        <v>930</v>
      </c>
      <c r="E66" s="9" t="s">
        <v>936</v>
      </c>
      <c r="F66" s="9" t="s">
        <v>937</v>
      </c>
      <c r="G66" s="9" t="s">
        <v>939</v>
      </c>
      <c r="L66" s="26">
        <f>$I$14*$L$14</f>
        <v>0</v>
      </c>
      <c r="M66" s="26">
        <f>$I$14*$M$14</f>
        <v>0</v>
      </c>
      <c r="N66" s="26">
        <f ca="1">$I$14*$N$14</f>
        <v>0</v>
      </c>
      <c r="O66" s="26">
        <f>$I$14*$O$14</f>
        <v>0</v>
      </c>
      <c r="P66" s="26">
        <f>$I$14*$P$14</f>
        <v>0</v>
      </c>
      <c r="Q66" s="26">
        <f>$I$14*$Q$14</f>
        <v>0</v>
      </c>
      <c r="R66" s="26">
        <f>$I$14*$R$14</f>
        <v>0</v>
      </c>
      <c r="S66" s="26">
        <f>$I$14*$S$14</f>
        <v>0</v>
      </c>
      <c r="T66" s="26">
        <f>$I$14*$T$14</f>
        <v>0</v>
      </c>
      <c r="U66" s="26">
        <f>$I$14*$U$14</f>
        <v>0</v>
      </c>
      <c r="V66" s="26">
        <f>$I$14*$V$14</f>
        <v>0</v>
      </c>
      <c r="W66" s="26">
        <f>$I$14*$W$14</f>
        <v>0</v>
      </c>
      <c r="X66" s="26">
        <f>$I$14*$X$14</f>
        <v>0</v>
      </c>
      <c r="Y66" s="26">
        <f>$I$14*$Y$14</f>
        <v>0</v>
      </c>
      <c r="Z66" s="26">
        <f>$I$14*$Z$14</f>
        <v>0</v>
      </c>
      <c r="AA66" s="26">
        <f>$I$14*$AA$14</f>
        <v>0</v>
      </c>
      <c r="AB66" s="26">
        <f ca="1">$I$14*$AB$14</f>
        <v>0</v>
      </c>
      <c r="AC66" s="26">
        <f ca="1">$I$14*$AC$14</f>
        <v>0</v>
      </c>
      <c r="AD66" s="26">
        <f>$I$14*$AD$14</f>
        <v>0</v>
      </c>
      <c r="AE66" s="26">
        <f>$I$14*$AE$14</f>
        <v>0</v>
      </c>
      <c r="AF66" s="26">
        <f ca="1">$I$14*$AF$14</f>
        <v>0</v>
      </c>
      <c r="AG66" s="26">
        <f ca="1">$I$14*$AG$14</f>
        <v>0</v>
      </c>
      <c r="AI66" s="26">
        <f>$I$14*$AI$14</f>
        <v>0</v>
      </c>
      <c r="AJ66" s="26">
        <f>$I$14*$AJ$14</f>
        <v>0</v>
      </c>
      <c r="AK66" s="26">
        <f>$I$14*$AK$14</f>
        <v>0</v>
      </c>
      <c r="AL66" s="26">
        <f>$I$14*$AL$14</f>
        <v>0</v>
      </c>
      <c r="AM66" s="26">
        <f>$I$14*$AM$14</f>
        <v>0</v>
      </c>
      <c r="AN66" s="26">
        <f>$I$14*$AN$14</f>
        <v>0</v>
      </c>
      <c r="AO66" s="26">
        <f>$I$14*$AO$14</f>
        <v>0</v>
      </c>
      <c r="AP66" s="26">
        <f>$I$14*$AP$14</f>
        <v>0</v>
      </c>
      <c r="AQ66" s="26">
        <f>$I$14*$AQ$14</f>
        <v>0</v>
      </c>
      <c r="AR66" s="26">
        <f>$I$14*$AR$14</f>
        <v>0</v>
      </c>
      <c r="AS66" s="26">
        <f>$I$14*$AS$14</f>
        <v>0</v>
      </c>
      <c r="AT66" s="26">
        <f>$I$14*$AT$14</f>
        <v>0</v>
      </c>
      <c r="AU66" s="26">
        <f>$I$14*$AU$14</f>
        <v>0</v>
      </c>
      <c r="AV66" s="26">
        <f>$I$14*$AV$14</f>
        <v>0</v>
      </c>
      <c r="AW66" s="26">
        <f>$I$14*$AW$14</f>
        <v>0</v>
      </c>
      <c r="AX66" s="26">
        <f>$I$14*$AX$14</f>
        <v>0</v>
      </c>
      <c r="AY66" s="26">
        <f>$I$14*$AY$14</f>
        <v>0</v>
      </c>
      <c r="AZ66" s="26">
        <f>$I$14*$AZ$14</f>
        <v>0</v>
      </c>
      <c r="BA66" s="26">
        <f>$I$14*$BA$14</f>
        <v>0</v>
      </c>
      <c r="BB66" s="26">
        <f>$I$14*$BB$14</f>
        <v>0</v>
      </c>
      <c r="BC66" s="26">
        <f>$I$14*$BC$14</f>
        <v>0</v>
      </c>
      <c r="BD66" s="26">
        <f>$I$14*$BD$14</f>
        <v>0</v>
      </c>
    </row>
    <row r="67" spans="1:56" ht="11.25" customHeight="1" x14ac:dyDescent="0.25">
      <c r="A67" s="9" t="s">
        <v>85</v>
      </c>
      <c r="B67" s="9" t="s">
        <v>940</v>
      </c>
      <c r="C67" s="9" t="s">
        <v>941</v>
      </c>
      <c r="D67" s="9" t="s">
        <v>942</v>
      </c>
      <c r="E67" s="9" t="s">
        <v>943</v>
      </c>
      <c r="F67" s="9" t="s">
        <v>944</v>
      </c>
      <c r="G67" s="9" t="s">
        <v>945</v>
      </c>
      <c r="L67" s="26">
        <f>$I$15*$L$15</f>
        <v>0</v>
      </c>
      <c r="M67" s="26">
        <f>$I$15*$M$15</f>
        <v>0</v>
      </c>
      <c r="N67" s="26">
        <f ca="1">$I$15*$N$15</f>
        <v>0</v>
      </c>
      <c r="O67" s="26">
        <f>$I$15*$O$15</f>
        <v>0</v>
      </c>
      <c r="P67" s="26">
        <f>$I$15*$P$15</f>
        <v>0</v>
      </c>
      <c r="Q67" s="26">
        <f>$I$15*$Q$15</f>
        <v>0</v>
      </c>
      <c r="R67" s="26">
        <f>$I$15*$R$15</f>
        <v>0</v>
      </c>
      <c r="S67" s="26">
        <f>$I$15*$S$15</f>
        <v>0</v>
      </c>
      <c r="T67" s="26">
        <f>$I$15*$T$15</f>
        <v>0</v>
      </c>
      <c r="U67" s="26">
        <f>$I$15*$U$15</f>
        <v>0</v>
      </c>
      <c r="V67" s="26">
        <f>$I$15*$V$15</f>
        <v>0</v>
      </c>
      <c r="W67" s="26">
        <f>$I$15*$W$15</f>
        <v>0</v>
      </c>
      <c r="X67" s="26">
        <f>$I$15*$X$15</f>
        <v>0</v>
      </c>
      <c r="Y67" s="26">
        <f>$I$15*$Y$15</f>
        <v>0</v>
      </c>
      <c r="Z67" s="26">
        <f>$I$15*$Z$15</f>
        <v>0</v>
      </c>
      <c r="AA67" s="26">
        <f>$I$15*$AA$15</f>
        <v>3.7783781957109355E-8</v>
      </c>
      <c r="AB67" s="26">
        <f ca="1">$I$15*$AB$15</f>
        <v>0</v>
      </c>
      <c r="AC67" s="26">
        <f ca="1">$I$15*$AC$15</f>
        <v>0</v>
      </c>
      <c r="AD67" s="26">
        <f>$I$15*$AD$15</f>
        <v>0</v>
      </c>
      <c r="AE67" s="26">
        <f>$I$15*$AE$15</f>
        <v>0</v>
      </c>
      <c r="AF67" s="26">
        <f ca="1">$I$15*$AF$15</f>
        <v>0</v>
      </c>
      <c r="AG67" s="26">
        <f ca="1">$I$15*$AG$15</f>
        <v>0</v>
      </c>
      <c r="AI67" s="26">
        <f>$I$15*$AI$15</f>
        <v>0</v>
      </c>
      <c r="AJ67" s="26">
        <f>$I$15*$AJ$15</f>
        <v>0</v>
      </c>
      <c r="AK67" s="26">
        <f>$I$15*$AK$15</f>
        <v>0</v>
      </c>
      <c r="AL67" s="26">
        <f>$I$15*$AL$15</f>
        <v>0</v>
      </c>
      <c r="AM67" s="26">
        <f>$I$15*$AM$15</f>
        <v>0</v>
      </c>
      <c r="AN67" s="26">
        <f>$I$15*$AN$15</f>
        <v>0</v>
      </c>
      <c r="AO67" s="26">
        <f>$I$15*$AO$15</f>
        <v>0</v>
      </c>
      <c r="AP67" s="26">
        <f>$I$15*$AP$15</f>
        <v>0</v>
      </c>
      <c r="AQ67" s="26">
        <f>$I$15*$AQ$15</f>
        <v>0</v>
      </c>
      <c r="AR67" s="26">
        <f>$I$15*$AR$15</f>
        <v>0</v>
      </c>
      <c r="AS67" s="26">
        <f>$I$15*$AS$15</f>
        <v>0</v>
      </c>
      <c r="AT67" s="26">
        <f>$I$15*$AT$15</f>
        <v>0</v>
      </c>
      <c r="AU67" s="26">
        <f>$I$15*$AU$15</f>
        <v>0</v>
      </c>
      <c r="AV67" s="26">
        <f>$I$15*$AV$15</f>
        <v>0</v>
      </c>
      <c r="AW67" s="26">
        <f>$I$15*$AW$15</f>
        <v>0</v>
      </c>
      <c r="AX67" s="26">
        <f>$I$15*$AX$15</f>
        <v>0</v>
      </c>
      <c r="AY67" s="26">
        <f>$I$15*$AY$15</f>
        <v>0</v>
      </c>
      <c r="AZ67" s="26">
        <f>$I$15*$AZ$15</f>
        <v>0</v>
      </c>
      <c r="BA67" s="26">
        <f>$I$15*$BA$15</f>
        <v>0</v>
      </c>
      <c r="BB67" s="26">
        <f>$I$15*$BB$15</f>
        <v>0</v>
      </c>
      <c r="BC67" s="26">
        <f>$I$15*$BC$15</f>
        <v>0</v>
      </c>
      <c r="BD67" s="26">
        <f>$I$15*$BD$15</f>
        <v>0</v>
      </c>
    </row>
    <row r="68" spans="1:56" ht="11.25" customHeight="1" x14ac:dyDescent="0.25">
      <c r="A68" s="9" t="s">
        <v>85</v>
      </c>
      <c r="B68" s="9" t="s">
        <v>940</v>
      </c>
      <c r="C68" s="9" t="s">
        <v>941</v>
      </c>
      <c r="D68" s="9" t="s">
        <v>942</v>
      </c>
      <c r="E68" s="9" t="s">
        <v>946</v>
      </c>
      <c r="F68" s="9" t="s">
        <v>947</v>
      </c>
      <c r="G68" s="9" t="s">
        <v>948</v>
      </c>
      <c r="L68" s="26">
        <f>$I$16*$L$16</f>
        <v>0</v>
      </c>
      <c r="M68" s="26">
        <f>$I$16*$M$16</f>
        <v>0</v>
      </c>
      <c r="N68" s="26">
        <f ca="1">$I$16*$N$16</f>
        <v>0</v>
      </c>
      <c r="O68" s="26">
        <f>$I$16*$O$16</f>
        <v>0</v>
      </c>
      <c r="P68" s="26">
        <f>$I$16*$P$16</f>
        <v>0</v>
      </c>
      <c r="Q68" s="26">
        <f>$I$16*$Q$16</f>
        <v>0</v>
      </c>
      <c r="R68" s="26">
        <f>$I$16*$R$16</f>
        <v>0</v>
      </c>
      <c r="S68" s="26">
        <f>$I$16*$S$16</f>
        <v>0</v>
      </c>
      <c r="T68" s="26">
        <f>$I$16*$T$16</f>
        <v>0</v>
      </c>
      <c r="U68" s="26">
        <f>$I$16*$U$16</f>
        <v>0</v>
      </c>
      <c r="V68" s="26">
        <f>$I$16*$V$16</f>
        <v>0</v>
      </c>
      <c r="W68" s="26">
        <f>$I$16*$W$16</f>
        <v>0</v>
      </c>
      <c r="X68" s="26">
        <f>$I$16*$X$16</f>
        <v>0</v>
      </c>
      <c r="Y68" s="26">
        <f>$I$16*$Y$16</f>
        <v>0</v>
      </c>
      <c r="Z68" s="26">
        <f>$I$16*$Z$16</f>
        <v>0</v>
      </c>
      <c r="AA68" s="26">
        <f>$I$16*$AA$16</f>
        <v>7.686229405440593E-8</v>
      </c>
      <c r="AB68" s="26">
        <f ca="1">$I$16*$AB$16</f>
        <v>0</v>
      </c>
      <c r="AC68" s="26">
        <f ca="1">$I$16*$AC$16</f>
        <v>0</v>
      </c>
      <c r="AD68" s="26">
        <f>$I$16*$AD$16</f>
        <v>0</v>
      </c>
      <c r="AE68" s="26">
        <f>$I$16*$AE$16</f>
        <v>0</v>
      </c>
      <c r="AF68" s="26">
        <f ca="1">$I$16*$AF$16</f>
        <v>0</v>
      </c>
      <c r="AG68" s="26">
        <f ca="1">$I$16*$AG$16</f>
        <v>0</v>
      </c>
      <c r="AI68" s="26">
        <f>$I$16*$AI$16</f>
        <v>0</v>
      </c>
      <c r="AJ68" s="26">
        <f>$I$16*$AJ$16</f>
        <v>0</v>
      </c>
      <c r="AK68" s="26">
        <f>$I$16*$AK$16</f>
        <v>0</v>
      </c>
      <c r="AL68" s="26">
        <f>$I$16*$AL$16</f>
        <v>0</v>
      </c>
      <c r="AM68" s="26">
        <f>$I$16*$AM$16</f>
        <v>0</v>
      </c>
      <c r="AN68" s="26">
        <f>$I$16*$AN$16</f>
        <v>0</v>
      </c>
      <c r="AO68" s="26">
        <f>$I$16*$AO$16</f>
        <v>0</v>
      </c>
      <c r="AP68" s="26">
        <f>$I$16*$AP$16</f>
        <v>0</v>
      </c>
      <c r="AQ68" s="26">
        <f>$I$16*$AQ$16</f>
        <v>0</v>
      </c>
      <c r="AR68" s="26">
        <f>$I$16*$AR$16</f>
        <v>0</v>
      </c>
      <c r="AS68" s="26">
        <f>$I$16*$AS$16</f>
        <v>0</v>
      </c>
      <c r="AT68" s="26">
        <f>$I$16*$AT$16</f>
        <v>0</v>
      </c>
      <c r="AU68" s="26">
        <f>$I$16*$AU$16</f>
        <v>0</v>
      </c>
      <c r="AV68" s="26">
        <f>$I$16*$AV$16</f>
        <v>0</v>
      </c>
      <c r="AW68" s="26">
        <f>$I$16*$AW$16</f>
        <v>0</v>
      </c>
      <c r="AX68" s="26">
        <f>$I$16*$AX$16</f>
        <v>0</v>
      </c>
      <c r="AY68" s="26">
        <f>$I$16*$AY$16</f>
        <v>0</v>
      </c>
      <c r="AZ68" s="26">
        <f>$I$16*$AZ$16</f>
        <v>0</v>
      </c>
      <c r="BA68" s="26">
        <f>$I$16*$BA$16</f>
        <v>0</v>
      </c>
      <c r="BB68" s="26">
        <f>$I$16*$BB$16</f>
        <v>0</v>
      </c>
      <c r="BC68" s="26">
        <f>$I$16*$BC$16</f>
        <v>0</v>
      </c>
      <c r="BD68" s="26">
        <f>$I$16*$BD$16</f>
        <v>0</v>
      </c>
    </row>
    <row r="69" spans="1:56" ht="11.25" customHeight="1" x14ac:dyDescent="0.25">
      <c r="A69" s="9" t="s">
        <v>22</v>
      </c>
      <c r="B69" s="9" t="s">
        <v>949</v>
      </c>
      <c r="C69" s="9" t="s">
        <v>950</v>
      </c>
      <c r="D69" s="9" t="s">
        <v>951</v>
      </c>
      <c r="E69" s="9" t="s">
        <v>952</v>
      </c>
      <c r="F69" s="9" t="s">
        <v>953</v>
      </c>
      <c r="G69" s="9" t="s">
        <v>954</v>
      </c>
      <c r="L69" s="26">
        <f>$I$17*$L$17</f>
        <v>0</v>
      </c>
      <c r="M69" s="26">
        <f>$I$17*$M$17</f>
        <v>5.4285663555604717</v>
      </c>
      <c r="N69" s="26">
        <f ca="1">$I$17*$N$17</f>
        <v>0</v>
      </c>
      <c r="O69" s="26">
        <f>$I$17*$O$17</f>
        <v>0</v>
      </c>
      <c r="P69" s="26">
        <f>$I$17*$P$17</f>
        <v>0</v>
      </c>
      <c r="Q69" s="26">
        <f>$I$17*$Q$17</f>
        <v>425.70391926447218</v>
      </c>
      <c r="R69" s="26">
        <f>$I$17*$R$17</f>
        <v>67.279338832351314</v>
      </c>
      <c r="S69" s="26">
        <f>$I$17*$S$17</f>
        <v>0</v>
      </c>
      <c r="T69" s="26">
        <f>$I$17*$T$17</f>
        <v>167.38259365553719</v>
      </c>
      <c r="U69" s="26">
        <f>$I$17*$U$17</f>
        <v>132.10854682289715</v>
      </c>
      <c r="V69" s="26">
        <f>$I$17*$V$17</f>
        <v>0</v>
      </c>
      <c r="W69" s="26">
        <f>$I$17*$W$17</f>
        <v>0</v>
      </c>
      <c r="X69" s="26">
        <f>$I$17*$X$17</f>
        <v>240.11940277592757</v>
      </c>
      <c r="Y69" s="26">
        <f>$I$17*$Y$17</f>
        <v>0</v>
      </c>
      <c r="Z69" s="26">
        <f>$I$17*$Z$17</f>
        <v>0</v>
      </c>
      <c r="AA69" s="26">
        <f>$I$17*$AA$17</f>
        <v>1703.9875968207887</v>
      </c>
      <c r="AB69" s="26">
        <f ca="1">$I$17*$AB$17</f>
        <v>0</v>
      </c>
      <c r="AC69" s="26">
        <f ca="1">$I$17*$AC$17</f>
        <v>0</v>
      </c>
      <c r="AD69" s="26">
        <f>$I$17*$AD$17</f>
        <v>80.498069388996313</v>
      </c>
      <c r="AE69" s="26">
        <f>$I$17*$AE$17</f>
        <v>0.61653672727772668</v>
      </c>
      <c r="AF69" s="26">
        <f ca="1">$I$17*$AF$17</f>
        <v>0</v>
      </c>
      <c r="AG69" s="26">
        <f ca="1">$I$17*$AG$17</f>
        <v>0</v>
      </c>
      <c r="AI69" s="26">
        <f>$I$17*$AI$17</f>
        <v>0</v>
      </c>
      <c r="AJ69" s="26">
        <f>$I$17*$AJ$17</f>
        <v>4.739537608526021</v>
      </c>
      <c r="AK69" s="26">
        <f>$I$17*$AK$17</f>
        <v>0</v>
      </c>
      <c r="AL69" s="26">
        <f>$I$17*$AL$17</f>
        <v>0</v>
      </c>
      <c r="AM69" s="26">
        <f>$I$17*$AM$17</f>
        <v>0</v>
      </c>
      <c r="AN69" s="26">
        <f>$I$17*$AN$17</f>
        <v>264.44417368213618</v>
      </c>
      <c r="AO69" s="26">
        <f>$I$17*$AO$17</f>
        <v>41.247409320501262</v>
      </c>
      <c r="AP69" s="26">
        <f>$I$17*$AP$17</f>
        <v>0</v>
      </c>
      <c r="AQ69" s="26">
        <f>$I$17*$AQ$17</f>
        <v>235.06986990765952</v>
      </c>
      <c r="AR69" s="26">
        <f>$I$17*$AR$17</f>
        <v>240.28302636130857</v>
      </c>
      <c r="AS69" s="26">
        <f>$I$17*$AS$17</f>
        <v>0</v>
      </c>
      <c r="AT69" s="26">
        <f>$I$17*$AT$17</f>
        <v>0</v>
      </c>
      <c r="AU69" s="26">
        <f>$I$17*$AU$17</f>
        <v>244.31724726579193</v>
      </c>
      <c r="AV69" s="26">
        <f>$I$17*$AV$17</f>
        <v>0</v>
      </c>
      <c r="AW69" s="26">
        <f>$I$17*$AW$17</f>
        <v>0</v>
      </c>
      <c r="AX69" s="26">
        <f>$I$17*$AX$17</f>
        <v>1484.3845623707662</v>
      </c>
      <c r="AY69" s="26">
        <f>$I$17*$AY$17</f>
        <v>15.672295843149627</v>
      </c>
      <c r="AZ69" s="26">
        <f>$I$17*$AZ$17</f>
        <v>0</v>
      </c>
      <c r="BA69" s="26">
        <f>$I$17*$BA$17</f>
        <v>63.39356854244626</v>
      </c>
      <c r="BB69" s="26">
        <f>$I$17*$BB$17</f>
        <v>0</v>
      </c>
      <c r="BC69" s="26">
        <f>$I$17*$BC$17</f>
        <v>0</v>
      </c>
      <c r="BD69" s="26">
        <f>$I$17*$BD$17</f>
        <v>0</v>
      </c>
    </row>
    <row r="70" spans="1:56" ht="11.25" customHeight="1" x14ac:dyDescent="0.25">
      <c r="A70" s="9" t="s">
        <v>22</v>
      </c>
      <c r="B70" s="9" t="s">
        <v>949</v>
      </c>
      <c r="C70" s="9" t="s">
        <v>950</v>
      </c>
      <c r="D70" s="9" t="s">
        <v>951</v>
      </c>
      <c r="E70" s="9" t="s">
        <v>952</v>
      </c>
      <c r="F70" s="9" t="s">
        <v>953</v>
      </c>
      <c r="G70" s="9" t="s">
        <v>955</v>
      </c>
      <c r="L70" s="26">
        <f>$I$18*$L$18</f>
        <v>0</v>
      </c>
      <c r="M70" s="26">
        <f>$I$18*$M$18</f>
        <v>8.2581506826352289</v>
      </c>
      <c r="N70" s="26">
        <f ca="1">$I$18*$N$18</f>
        <v>0</v>
      </c>
      <c r="O70" s="26">
        <f>$I$18*$O$18</f>
        <v>0</v>
      </c>
      <c r="P70" s="26">
        <f>$I$18*$P$18</f>
        <v>0</v>
      </c>
      <c r="Q70" s="26">
        <f>$I$18*$Q$18</f>
        <v>647.59770466348721</v>
      </c>
      <c r="R70" s="26">
        <f>$I$18*$R$18</f>
        <v>102.34800157439831</v>
      </c>
      <c r="S70" s="26">
        <f>$I$18*$S$18</f>
        <v>0</v>
      </c>
      <c r="T70" s="26">
        <f>$I$18*$T$18</f>
        <v>152.77870345538486</v>
      </c>
      <c r="U70" s="26">
        <f>$I$18*$U$18</f>
        <v>120.58234301476337</v>
      </c>
      <c r="V70" s="26">
        <f>$I$18*$V$18</f>
        <v>0</v>
      </c>
      <c r="W70" s="26">
        <f>$I$18*$W$18</f>
        <v>0</v>
      </c>
      <c r="X70" s="26">
        <f>$I$18*$X$18</f>
        <v>219.16864533424257</v>
      </c>
      <c r="Y70" s="26">
        <f>$I$18*$Y$18</f>
        <v>0</v>
      </c>
      <c r="Z70" s="26">
        <f>$I$18*$Z$18</f>
        <v>0</v>
      </c>
      <c r="AA70" s="26">
        <f>$I$18*$AA$18</f>
        <v>1555.3039474127336</v>
      </c>
      <c r="AB70" s="26">
        <f ca="1">$I$18*$AB$18</f>
        <v>0</v>
      </c>
      <c r="AC70" s="26">
        <f ca="1">$I$18*$AC$18</f>
        <v>0</v>
      </c>
      <c r="AD70" s="26">
        <f>$I$18*$AD$18</f>
        <v>122.45685935010081</v>
      </c>
      <c r="AE70" s="26">
        <f>$I$18*$AE$18</f>
        <v>0.93790014927662824</v>
      </c>
      <c r="AF70" s="26">
        <f ca="1">$I$18*$AF$18</f>
        <v>0</v>
      </c>
      <c r="AG70" s="26">
        <f ca="1">$I$18*$AG$18</f>
        <v>0</v>
      </c>
      <c r="AI70" s="26">
        <f>$I$18*$AI$18</f>
        <v>0</v>
      </c>
      <c r="AJ70" s="26">
        <f>$I$18*$AJ$18</f>
        <v>7.2099727945912733</v>
      </c>
      <c r="AK70" s="26">
        <f>$I$18*$AK$18</f>
        <v>0</v>
      </c>
      <c r="AL70" s="26">
        <f>$I$18*$AL$18</f>
        <v>0</v>
      </c>
      <c r="AM70" s="26">
        <f>$I$18*$AM$18</f>
        <v>0</v>
      </c>
      <c r="AN70" s="26">
        <f>$I$18*$AN$18</f>
        <v>402.28297682594575</v>
      </c>
      <c r="AO70" s="26">
        <f>$I$18*$AO$18</f>
        <v>62.747196796835354</v>
      </c>
      <c r="AP70" s="26">
        <f>$I$18*$AP$18</f>
        <v>0</v>
      </c>
      <c r="AQ70" s="26">
        <f>$I$18*$AQ$18</f>
        <v>214.56016439552724</v>
      </c>
      <c r="AR70" s="26">
        <f>$I$18*$AR$18</f>
        <v>219.31870093387073</v>
      </c>
      <c r="AS70" s="26">
        <f>$I$18*$AS$18</f>
        <v>0</v>
      </c>
      <c r="AT70" s="26">
        <f>$I$18*$AT$18</f>
        <v>0</v>
      </c>
      <c r="AU70" s="26">
        <f>$I$18*$AU$18</f>
        <v>222.99999127712553</v>
      </c>
      <c r="AV70" s="26">
        <f>$I$18*$AV$18</f>
        <v>0</v>
      </c>
      <c r="AW70" s="26">
        <f>$I$18*$AW$18</f>
        <v>0</v>
      </c>
      <c r="AX70" s="26">
        <f>$I$18*$AX$18</f>
        <v>1354.862840478595</v>
      </c>
      <c r="AY70" s="26">
        <f>$I$18*$AY$18</f>
        <v>15.420807309267298</v>
      </c>
      <c r="AZ70" s="26">
        <f>$I$18*$AZ$18</f>
        <v>0</v>
      </c>
      <c r="BA70" s="26">
        <f>$I$18*$BA$18</f>
        <v>96.436813523933736</v>
      </c>
      <c r="BB70" s="26">
        <f>$I$18*$BB$18</f>
        <v>0</v>
      </c>
      <c r="BC70" s="26">
        <f>$I$18*$BC$18</f>
        <v>0</v>
      </c>
      <c r="BD70" s="26">
        <f>$I$18*$BD$18</f>
        <v>0</v>
      </c>
    </row>
    <row r="71" spans="1:56" ht="11.25" customHeight="1" x14ac:dyDescent="0.25">
      <c r="A71" s="9" t="s">
        <v>22</v>
      </c>
      <c r="B71" s="9" t="s">
        <v>949</v>
      </c>
      <c r="C71" s="9" t="s">
        <v>950</v>
      </c>
      <c r="D71" s="9" t="s">
        <v>951</v>
      </c>
      <c r="E71" s="9" t="s">
        <v>952</v>
      </c>
      <c r="F71" s="9" t="s">
        <v>953</v>
      </c>
      <c r="G71" s="9" t="s">
        <v>956</v>
      </c>
      <c r="L71" s="26">
        <f>$I$19*$L$19</f>
        <v>0</v>
      </c>
      <c r="M71" s="26">
        <f>$I$19*$M$19</f>
        <v>35.145672772714008</v>
      </c>
      <c r="N71" s="26">
        <f ca="1">$I$19*$N$19</f>
        <v>0</v>
      </c>
      <c r="O71" s="26">
        <f>$I$19*$O$19</f>
        <v>0</v>
      </c>
      <c r="P71" s="26">
        <f>$I$19*$P$19</f>
        <v>0</v>
      </c>
      <c r="Q71" s="26">
        <f>$I$19*$Q$19</f>
        <v>2756.0961153594089</v>
      </c>
      <c r="R71" s="26">
        <f>$I$19*$R$19</f>
        <v>435.5804962288683</v>
      </c>
      <c r="S71" s="26">
        <f>$I$19*$S$19</f>
        <v>0</v>
      </c>
      <c r="T71" s="26">
        <f>$I$19*$T$19</f>
        <v>216.73668960105041</v>
      </c>
      <c r="U71" s="26">
        <f>$I$19*$U$19</f>
        <v>171.05840976150523</v>
      </c>
      <c r="V71" s="26">
        <f>$I$19*$V$19</f>
        <v>0</v>
      </c>
      <c r="W71" s="26">
        <f>$I$19*$W$19</f>
        <v>0</v>
      </c>
      <c r="X71" s="26">
        <f>$I$19*$X$19</f>
        <v>310.91724470724523</v>
      </c>
      <c r="Y71" s="26">
        <f>$I$19*$Y$19</f>
        <v>0</v>
      </c>
      <c r="Z71" s="26">
        <f>$I$19*$Z$19</f>
        <v>0</v>
      </c>
      <c r="AA71" s="26">
        <f>$I$19*$AA$19</f>
        <v>2206.3947819693794</v>
      </c>
      <c r="AB71" s="26">
        <f ca="1">$I$19*$AB$19</f>
        <v>0</v>
      </c>
      <c r="AC71" s="26">
        <f ca="1">$I$19*$AC$19</f>
        <v>0</v>
      </c>
      <c r="AD71" s="26">
        <f>$I$19*$AD$19</f>
        <v>521.16131963331122</v>
      </c>
      <c r="AE71" s="26">
        <f>$I$19*$AE$19</f>
        <v>3.9915875850108908</v>
      </c>
      <c r="AF71" s="26">
        <f ca="1">$I$19*$AF$19</f>
        <v>0</v>
      </c>
      <c r="AG71" s="26">
        <f ca="1">$I$19*$AG$19</f>
        <v>0</v>
      </c>
      <c r="AI71" s="26">
        <f>$I$19*$AI$19</f>
        <v>0</v>
      </c>
      <c r="AJ71" s="26">
        <f>$I$19*$AJ$19</f>
        <v>30.684756706087839</v>
      </c>
      <c r="AK71" s="26">
        <f>$I$19*$AK$19</f>
        <v>0</v>
      </c>
      <c r="AL71" s="26">
        <f>$I$19*$AL$19</f>
        <v>0</v>
      </c>
      <c r="AM71" s="26">
        <f>$I$19*$AM$19</f>
        <v>0</v>
      </c>
      <c r="AN71" s="26">
        <f>$I$19*$AN$19</f>
        <v>1712.0668305662707</v>
      </c>
      <c r="AO71" s="26">
        <f>$I$19*$AO$19</f>
        <v>267.04434573515681</v>
      </c>
      <c r="AP71" s="26">
        <f>$I$19*$AP$19</f>
        <v>0</v>
      </c>
      <c r="AQ71" s="26">
        <f>$I$19*$AQ$19</f>
        <v>304.3821633178174</v>
      </c>
      <c r="AR71" s="26">
        <f>$I$19*$AR$19</f>
        <v>311.1245602902909</v>
      </c>
      <c r="AS71" s="26">
        <f>$I$19*$AS$19</f>
        <v>0</v>
      </c>
      <c r="AT71" s="26">
        <f>$I$19*$AT$19</f>
        <v>0</v>
      </c>
      <c r="AU71" s="26">
        <f>$I$19*$AU$19</f>
        <v>316.35350427080181</v>
      </c>
      <c r="AV71" s="26">
        <f>$I$19*$AV$19</f>
        <v>0</v>
      </c>
      <c r="AW71" s="26">
        <f>$I$19*$AW$19</f>
        <v>0</v>
      </c>
      <c r="AX71" s="26">
        <f>$I$19*$AX$19</f>
        <v>1922.0431576566764</v>
      </c>
      <c r="AY71" s="26">
        <f>$I$19*$AY$19</f>
        <v>29.792258560146806</v>
      </c>
      <c r="AZ71" s="26">
        <f>$I$19*$AZ$19</f>
        <v>0</v>
      </c>
      <c r="BA71" s="26">
        <f>$I$19*$BA$19</f>
        <v>410.42320752057969</v>
      </c>
      <c r="BB71" s="26">
        <f>$I$19*$BB$19</f>
        <v>0</v>
      </c>
      <c r="BC71" s="26">
        <f>$I$19*$BC$19</f>
        <v>0</v>
      </c>
      <c r="BD71" s="26">
        <f>$I$19*$BD$19</f>
        <v>0</v>
      </c>
    </row>
    <row r="72" spans="1:56" ht="11.25" customHeight="1" x14ac:dyDescent="0.25">
      <c r="A72" s="9" t="s">
        <v>22</v>
      </c>
      <c r="B72" s="9" t="s">
        <v>957</v>
      </c>
      <c r="C72" s="9" t="s">
        <v>958</v>
      </c>
      <c r="D72" s="9" t="s">
        <v>959</v>
      </c>
      <c r="E72" s="9" t="s">
        <v>960</v>
      </c>
      <c r="F72" s="9" t="s">
        <v>961</v>
      </c>
      <c r="G72" s="9" t="s">
        <v>962</v>
      </c>
      <c r="L72" s="26">
        <f>$I$20*$L$20</f>
        <v>0</v>
      </c>
      <c r="M72" s="26">
        <f>$I$20*$M$20</f>
        <v>30176.649736547912</v>
      </c>
      <c r="N72" s="26">
        <f ca="1">$I$20*$N$20</f>
        <v>0</v>
      </c>
      <c r="O72" s="26">
        <f>$I$20*$O$20</f>
        <v>0</v>
      </c>
      <c r="P72" s="26">
        <f>$I$20*$P$20</f>
        <v>0</v>
      </c>
      <c r="Q72" s="26">
        <f>$I$20*$Q$20</f>
        <v>2366429.2230601883</v>
      </c>
      <c r="R72" s="26">
        <f>$I$20*$R$20</f>
        <v>373996.5415308582</v>
      </c>
      <c r="S72" s="26">
        <f>$I$20*$S$20</f>
        <v>0</v>
      </c>
      <c r="T72" s="26">
        <f>$I$20*$T$20</f>
        <v>372185.00685306819</v>
      </c>
      <c r="U72" s="26">
        <f>$I$20*$U$20</f>
        <v>293752.4954768609</v>
      </c>
      <c r="V72" s="26">
        <f>$I$20*$V$20</f>
        <v>0</v>
      </c>
      <c r="W72" s="26">
        <f>$I$20*$W$20</f>
        <v>0</v>
      </c>
      <c r="X72" s="26">
        <f>$I$20*$X$20</f>
        <v>533917.26778195729</v>
      </c>
      <c r="Y72" s="26">
        <f>$I$20*$Y$20</f>
        <v>0</v>
      </c>
      <c r="Z72" s="26">
        <f>$I$20*$Z$20</f>
        <v>0</v>
      </c>
      <c r="AA72" s="26">
        <f>$I$20*$AA$20</f>
        <v>3788889.5573798888</v>
      </c>
      <c r="AB72" s="26">
        <f ca="1">$I$20*$AB$20</f>
        <v>0</v>
      </c>
      <c r="AC72" s="26">
        <f ca="1">$I$20*$AC$20</f>
        <v>0</v>
      </c>
      <c r="AD72" s="26">
        <f>$I$20*$AD$20</f>
        <v>447477.6368777153</v>
      </c>
      <c r="AE72" s="26">
        <f>$I$20*$AE$20</f>
        <v>3427.2424154344976</v>
      </c>
      <c r="AF72" s="26">
        <f ca="1">$I$20*$AF$20</f>
        <v>0</v>
      </c>
      <c r="AG72" s="26">
        <f ca="1">$I$20*$AG$20</f>
        <v>0</v>
      </c>
      <c r="AI72" s="26">
        <f>$I$20*$AI$20</f>
        <v>0</v>
      </c>
      <c r="AJ72" s="26">
        <f>$I$20*$AJ$20</f>
        <v>26346.434207106457</v>
      </c>
      <c r="AK72" s="26">
        <f>$I$20*$AK$20</f>
        <v>0</v>
      </c>
      <c r="AL72" s="26">
        <f>$I$20*$AL$20</f>
        <v>0</v>
      </c>
      <c r="AM72" s="26">
        <f>$I$20*$AM$20</f>
        <v>0</v>
      </c>
      <c r="AN72" s="26">
        <f>$I$20*$AN$20</f>
        <v>1470008.5955295956</v>
      </c>
      <c r="AO72" s="26">
        <f>$I$20*$AO$20</f>
        <v>229288.64493474137</v>
      </c>
      <c r="AP72" s="26">
        <f>$I$20*$AP$20</f>
        <v>0</v>
      </c>
      <c r="AQ72" s="26">
        <f>$I$20*$AQ$20</f>
        <v>522690.85520005634</v>
      </c>
      <c r="AR72" s="26">
        <f>$I$20*$AR$20</f>
        <v>534286.81787521322</v>
      </c>
      <c r="AS72" s="26">
        <f>$I$20*$AS$20</f>
        <v>0</v>
      </c>
      <c r="AT72" s="26">
        <f>$I$20*$AT$20</f>
        <v>0</v>
      </c>
      <c r="AU72" s="26">
        <f>$I$20*$AU$20</f>
        <v>543252.59061315178</v>
      </c>
      <c r="AV72" s="26">
        <f>$I$20*$AV$20</f>
        <v>0</v>
      </c>
      <c r="AW72" s="26">
        <f>$I$20*$AW$20</f>
        <v>0</v>
      </c>
      <c r="AX72" s="26">
        <f>$I$20*$AX$20</f>
        <v>3300592.1418832038</v>
      </c>
      <c r="AY72" s="26">
        <f>$I$20*$AY$20</f>
        <v>40965.138732542</v>
      </c>
      <c r="AZ72" s="26">
        <f>$I$20*$AZ$20</f>
        <v>0</v>
      </c>
      <c r="BA72" s="26">
        <f>$I$20*$BA$20</f>
        <v>352396.08179344703</v>
      </c>
      <c r="BB72" s="26">
        <f>$I$20*$BB$20</f>
        <v>0</v>
      </c>
      <c r="BC72" s="26">
        <f>$I$20*$BC$20</f>
        <v>0</v>
      </c>
      <c r="BD72" s="26">
        <f>$I$20*$BD$20</f>
        <v>0</v>
      </c>
    </row>
    <row r="73" spans="1:56" ht="11.25" customHeight="1" x14ac:dyDescent="0.25">
      <c r="A73" s="9" t="s">
        <v>22</v>
      </c>
      <c r="B73" s="9" t="s">
        <v>957</v>
      </c>
      <c r="C73" s="9" t="s">
        <v>958</v>
      </c>
      <c r="D73" s="9" t="s">
        <v>963</v>
      </c>
      <c r="E73" s="9" t="s">
        <v>964</v>
      </c>
      <c r="F73" s="9" t="s">
        <v>965</v>
      </c>
      <c r="G73" s="9" t="s">
        <v>966</v>
      </c>
      <c r="L73" s="26">
        <f>$I$21*$L$21</f>
        <v>0</v>
      </c>
      <c r="M73" s="26">
        <f>$I$21*$M$21</f>
        <v>83.832171333495964</v>
      </c>
      <c r="N73" s="26">
        <f ca="1">$I$21*$N$21</f>
        <v>0</v>
      </c>
      <c r="O73" s="26">
        <f>$I$21*$O$21</f>
        <v>0</v>
      </c>
      <c r="P73" s="26">
        <f>$I$21*$P$21</f>
        <v>0</v>
      </c>
      <c r="Q73" s="26">
        <f>$I$21*$Q$21</f>
        <v>0</v>
      </c>
      <c r="R73" s="26">
        <f>$I$21*$R$21</f>
        <v>0</v>
      </c>
      <c r="S73" s="26">
        <f>$I$21*$S$21</f>
        <v>0</v>
      </c>
      <c r="T73" s="26">
        <f>$I$21*$T$21</f>
        <v>1033.9476891789002</v>
      </c>
      <c r="U73" s="26">
        <f>$I$21*$U$21</f>
        <v>816.05843410221144</v>
      </c>
      <c r="V73" s="26">
        <f>$I$21*$V$21</f>
        <v>0</v>
      </c>
      <c r="W73" s="26">
        <f>$I$21*$W$21</f>
        <v>0</v>
      </c>
      <c r="X73" s="26">
        <f>$I$21*$X$21</f>
        <v>1483.2476189826825</v>
      </c>
      <c r="Y73" s="26">
        <f>$I$21*$Y$21</f>
        <v>0</v>
      </c>
      <c r="Z73" s="26">
        <f>$I$21*$Z$21</f>
        <v>0</v>
      </c>
      <c r="AA73" s="26">
        <f>$I$21*$AA$21</f>
        <v>10525.715787239018</v>
      </c>
      <c r="AB73" s="26">
        <f ca="1">$I$21*$AB$21</f>
        <v>0</v>
      </c>
      <c r="AC73" s="26">
        <f ca="1">$I$21*$AC$21</f>
        <v>0</v>
      </c>
      <c r="AD73" s="26">
        <f>$I$21*$AD$21</f>
        <v>1243.1142041989933</v>
      </c>
      <c r="AE73" s="26">
        <f>$I$21*$AE$21</f>
        <v>9.5210427890593525</v>
      </c>
      <c r="AF73" s="26">
        <f ca="1">$I$21*$AF$21</f>
        <v>0</v>
      </c>
      <c r="AG73" s="26">
        <f ca="1">$I$21*$AG$21</f>
        <v>0</v>
      </c>
      <c r="AI73" s="26">
        <f>$I$21*$AI$21</f>
        <v>0</v>
      </c>
      <c r="AJ73" s="26">
        <f>$I$21*$AJ$21</f>
        <v>73.191650026073717</v>
      </c>
      <c r="AK73" s="26">
        <f>$I$21*$AK$21</f>
        <v>0</v>
      </c>
      <c r="AL73" s="26">
        <f>$I$21*$AL$21</f>
        <v>0</v>
      </c>
      <c r="AM73" s="26">
        <f>$I$21*$AM$21</f>
        <v>0</v>
      </c>
      <c r="AN73" s="26">
        <f>$I$21*$AN$21</f>
        <v>0</v>
      </c>
      <c r="AO73" s="26">
        <f>$I$21*$AO$21</f>
        <v>0</v>
      </c>
      <c r="AP73" s="26">
        <f>$I$21*$AP$21</f>
        <v>0</v>
      </c>
      <c r="AQ73" s="26">
        <f>$I$21*$AQ$21</f>
        <v>1452.0601097249357</v>
      </c>
      <c r="AR73" s="26">
        <f>$I$21*$AR$21</f>
        <v>1484.2742467562948</v>
      </c>
      <c r="AS73" s="26">
        <f>$I$21*$AS$21</f>
        <v>0</v>
      </c>
      <c r="AT73" s="26">
        <f>$I$21*$AT$21</f>
        <v>0</v>
      </c>
      <c r="AU73" s="26">
        <f>$I$21*$AU$21</f>
        <v>1509.1815907744713</v>
      </c>
      <c r="AV73" s="26">
        <f>$I$21*$AV$21</f>
        <v>0</v>
      </c>
      <c r="AW73" s="26">
        <f>$I$21*$AW$21</f>
        <v>0</v>
      </c>
      <c r="AX73" s="26">
        <f>$I$21*$AX$21</f>
        <v>9169.2022923680706</v>
      </c>
      <c r="AY73" s="26">
        <f>$I$21*$AY$21</f>
        <v>90.104128552973265</v>
      </c>
      <c r="AZ73" s="26">
        <f>$I$21*$AZ$21</f>
        <v>0</v>
      </c>
      <c r="BA73" s="26">
        <f>$I$21*$BA$21</f>
        <v>978.97311212720194</v>
      </c>
      <c r="BB73" s="26">
        <f>$I$21*$BB$21</f>
        <v>0</v>
      </c>
      <c r="BC73" s="26">
        <f>$I$21*$BC$21</f>
        <v>0</v>
      </c>
      <c r="BD73" s="26">
        <f>$I$21*$BD$21</f>
        <v>0</v>
      </c>
    </row>
    <row r="74" spans="1:56" ht="11.25" customHeight="1" x14ac:dyDescent="0.25">
      <c r="A74" s="9" t="s">
        <v>22</v>
      </c>
      <c r="B74" s="9" t="s">
        <v>957</v>
      </c>
      <c r="C74" s="9" t="s">
        <v>958</v>
      </c>
      <c r="D74" s="9" t="s">
        <v>967</v>
      </c>
      <c r="E74" s="9" t="s">
        <v>968</v>
      </c>
      <c r="F74" s="9" t="s">
        <v>969</v>
      </c>
      <c r="G74" s="9" t="s">
        <v>970</v>
      </c>
      <c r="L74" s="26">
        <f>$I$22*$L$22</f>
        <v>0</v>
      </c>
      <c r="M74" s="26">
        <f>$I$22*$M$22</f>
        <v>311.84748862592033</v>
      </c>
      <c r="N74" s="26">
        <f ca="1">$I$22*$N$22</f>
        <v>0</v>
      </c>
      <c r="O74" s="26">
        <f>$I$22*$O$22</f>
        <v>0</v>
      </c>
      <c r="P74" s="26">
        <f>$I$22*$P$22</f>
        <v>0</v>
      </c>
      <c r="Q74" s="26">
        <f>$I$22*$Q$22</f>
        <v>0</v>
      </c>
      <c r="R74" s="26">
        <f>$I$22*$R$22</f>
        <v>0</v>
      </c>
      <c r="S74" s="26">
        <f>$I$22*$S$22</f>
        <v>0</v>
      </c>
      <c r="T74" s="26">
        <f>$I$22*$T$22</f>
        <v>3846.1844076342331</v>
      </c>
      <c r="U74" s="26">
        <f>$I$22*$U$22</f>
        <v>3035.6576621926706</v>
      </c>
      <c r="V74" s="26">
        <f>$I$22*$V$22</f>
        <v>0</v>
      </c>
      <c r="W74" s="26">
        <f>$I$22*$W$22</f>
        <v>0</v>
      </c>
      <c r="X74" s="26">
        <f>$I$22*$X$22</f>
        <v>5517.5362588432727</v>
      </c>
      <c r="Y74" s="26">
        <f>$I$22*$Y$22</f>
        <v>0</v>
      </c>
      <c r="Z74" s="26">
        <f>$I$22*$Z$22</f>
        <v>0</v>
      </c>
      <c r="AA74" s="26">
        <f>$I$22*$AA$22</f>
        <v>39154.634575582895</v>
      </c>
      <c r="AB74" s="26">
        <f ca="1">$I$22*$AB$22</f>
        <v>0</v>
      </c>
      <c r="AC74" s="26">
        <f ca="1">$I$22*$AC$22</f>
        <v>0</v>
      </c>
      <c r="AD74" s="26">
        <f>$I$22*$AD$22</f>
        <v>4624.2634121033616</v>
      </c>
      <c r="AE74" s="26">
        <f>$I$22*$AE$22</f>
        <v>35.417349158911144</v>
      </c>
      <c r="AF74" s="26">
        <f ca="1">$I$22*$AF$22</f>
        <v>0</v>
      </c>
      <c r="AG74" s="26">
        <f ca="1">$I$22*$AG$22</f>
        <v>0</v>
      </c>
      <c r="AI74" s="26">
        <f>$I$22*$AI$22</f>
        <v>0</v>
      </c>
      <c r="AJ74" s="26">
        <f>$I$22*$AJ$22</f>
        <v>272.26578872947067</v>
      </c>
      <c r="AK74" s="26">
        <f>$I$22*$AK$22</f>
        <v>0</v>
      </c>
      <c r="AL74" s="26">
        <f>$I$22*$AL$22</f>
        <v>0</v>
      </c>
      <c r="AM74" s="26">
        <f>$I$22*$AM$22</f>
        <v>0</v>
      </c>
      <c r="AN74" s="26">
        <f>$I$22*$AN$22</f>
        <v>0</v>
      </c>
      <c r="AO74" s="26">
        <f>$I$22*$AO$22</f>
        <v>0</v>
      </c>
      <c r="AP74" s="26">
        <f>$I$22*$AP$22</f>
        <v>0</v>
      </c>
      <c r="AQ74" s="26">
        <f>$I$22*$AQ$22</f>
        <v>5401.5217708034243</v>
      </c>
      <c r="AR74" s="26">
        <f>$I$22*$AR$22</f>
        <v>5521.3552138800305</v>
      </c>
      <c r="AS74" s="26">
        <f>$I$22*$AS$22</f>
        <v>0</v>
      </c>
      <c r="AT74" s="26">
        <f>$I$22*$AT$22</f>
        <v>0</v>
      </c>
      <c r="AU74" s="26">
        <f>$I$22*$AU$22</f>
        <v>5614.0081006758055</v>
      </c>
      <c r="AV74" s="26">
        <f>$I$22*$AV$22</f>
        <v>0</v>
      </c>
      <c r="AW74" s="26">
        <f>$I$22*$AW$22</f>
        <v>0</v>
      </c>
      <c r="AX74" s="26">
        <f>$I$22*$AX$22</f>
        <v>34108.536879033614</v>
      </c>
      <c r="AY74" s="26">
        <f>$I$22*$AY$22</f>
        <v>335.17855683698156</v>
      </c>
      <c r="AZ74" s="26">
        <f>$I$22*$AZ$22</f>
        <v>0</v>
      </c>
      <c r="BA74" s="26">
        <f>$I$22*$BA$22</f>
        <v>3641.6843509239748</v>
      </c>
      <c r="BB74" s="26">
        <f>$I$22*$BB$22</f>
        <v>0</v>
      </c>
      <c r="BC74" s="26">
        <f>$I$22*$BC$22</f>
        <v>0</v>
      </c>
      <c r="BD74" s="26">
        <f>$I$22*$BD$22</f>
        <v>0</v>
      </c>
    </row>
    <row r="75" spans="1:56" ht="11.25" customHeight="1" x14ac:dyDescent="0.25">
      <c r="A75" s="9" t="s">
        <v>22</v>
      </c>
      <c r="B75" s="9" t="s">
        <v>957</v>
      </c>
      <c r="C75" s="9" t="s">
        <v>958</v>
      </c>
      <c r="D75" s="9" t="s">
        <v>971</v>
      </c>
      <c r="E75" s="9" t="s">
        <v>972</v>
      </c>
      <c r="F75" s="9" t="s">
        <v>973</v>
      </c>
      <c r="G75" s="9" t="s">
        <v>974</v>
      </c>
      <c r="L75" s="26">
        <f>$I$23*$L$23</f>
        <v>0</v>
      </c>
      <c r="M75" s="26">
        <f>$I$23*$M$23</f>
        <v>402.96198642547114</v>
      </c>
      <c r="N75" s="26">
        <f ca="1">$I$23*$N$23</f>
        <v>0</v>
      </c>
      <c r="O75" s="26">
        <f>$I$23*$O$23</f>
        <v>0</v>
      </c>
      <c r="P75" s="26">
        <f>$I$23*$P$23</f>
        <v>0</v>
      </c>
      <c r="Q75" s="26">
        <f>$I$23*$Q$23</f>
        <v>0</v>
      </c>
      <c r="R75" s="26">
        <f>$I$23*$R$23</f>
        <v>0</v>
      </c>
      <c r="S75" s="26">
        <f>$I$23*$S$23</f>
        <v>0</v>
      </c>
      <c r="T75" s="26">
        <f>$I$23*$T$23</f>
        <v>4969.9489833574435</v>
      </c>
      <c r="U75" s="26">
        <f>$I$23*$U$23</f>
        <v>3922.6053961660318</v>
      </c>
      <c r="V75" s="26">
        <f>$I$23*$V$23</f>
        <v>0</v>
      </c>
      <c r="W75" s="26">
        <f>$I$23*$W$23</f>
        <v>0</v>
      </c>
      <c r="X75" s="26">
        <f>$I$23*$X$23</f>
        <v>7129.6305153353269</v>
      </c>
      <c r="Y75" s="26">
        <f>$I$23*$Y$23</f>
        <v>0</v>
      </c>
      <c r="Z75" s="26">
        <f>$I$23*$Z$23</f>
        <v>0</v>
      </c>
      <c r="AA75" s="26">
        <f>$I$23*$AA$23</f>
        <v>50594.6974139874</v>
      </c>
      <c r="AB75" s="26">
        <f ca="1">$I$23*$AB$23</f>
        <v>0</v>
      </c>
      <c r="AC75" s="26">
        <f ca="1">$I$23*$AC$23</f>
        <v>0</v>
      </c>
      <c r="AD75" s="26">
        <f>$I$23*$AD$23</f>
        <v>5975.3643632226258</v>
      </c>
      <c r="AE75" s="26">
        <f>$I$23*$AE$23</f>
        <v>45.765465144146958</v>
      </c>
      <c r="AF75" s="26">
        <f ca="1">$I$23*$AF$23</f>
        <v>0</v>
      </c>
      <c r="AG75" s="26">
        <f ca="1">$I$23*$AG$23</f>
        <v>0</v>
      </c>
      <c r="AI75" s="26">
        <f>$I$23*$AI$23</f>
        <v>0</v>
      </c>
      <c r="AJ75" s="26">
        <f>$I$23*$AJ$23</f>
        <v>351.81544525353587</v>
      </c>
      <c r="AK75" s="26">
        <f>$I$23*$AK$23</f>
        <v>0</v>
      </c>
      <c r="AL75" s="26">
        <f>$I$23*$AL$23</f>
        <v>0</v>
      </c>
      <c r="AM75" s="26">
        <f>$I$23*$AM$23</f>
        <v>0</v>
      </c>
      <c r="AN75" s="26">
        <f>$I$23*$AN$23</f>
        <v>0</v>
      </c>
      <c r="AO75" s="26">
        <f>$I$23*$AO$23</f>
        <v>0</v>
      </c>
      <c r="AP75" s="26">
        <f>$I$23*$AP$23</f>
        <v>0</v>
      </c>
      <c r="AQ75" s="26">
        <f>$I$23*$AQ$23</f>
        <v>6979.7193239363905</v>
      </c>
      <c r="AR75" s="26">
        <f>$I$23*$AR$23</f>
        <v>7134.565279166377</v>
      </c>
      <c r="AS75" s="26">
        <f>$I$23*$AS$23</f>
        <v>0</v>
      </c>
      <c r="AT75" s="26">
        <f>$I$23*$AT$23</f>
        <v>0</v>
      </c>
      <c r="AU75" s="26">
        <f>$I$23*$AU$23</f>
        <v>7254.2891591815778</v>
      </c>
      <c r="AV75" s="26">
        <f>$I$23*$AV$23</f>
        <v>0</v>
      </c>
      <c r="AW75" s="26">
        <f>$I$23*$AW$23</f>
        <v>0</v>
      </c>
      <c r="AX75" s="26">
        <f>$I$23*$AX$23</f>
        <v>44074.248714983762</v>
      </c>
      <c r="AY75" s="26">
        <f>$I$23*$AY$23</f>
        <v>433.10984374246516</v>
      </c>
      <c r="AZ75" s="26">
        <f>$I$23*$AZ$23</f>
        <v>0</v>
      </c>
      <c r="BA75" s="26">
        <f>$I$23*$BA$23</f>
        <v>4705.6988223598655</v>
      </c>
      <c r="BB75" s="26">
        <f>$I$23*$BB$23</f>
        <v>0</v>
      </c>
      <c r="BC75" s="26">
        <f>$I$23*$BC$23</f>
        <v>0</v>
      </c>
      <c r="BD75" s="26">
        <f>$I$23*$BD$23</f>
        <v>0</v>
      </c>
    </row>
    <row r="76" spans="1:56" ht="11.25" customHeight="1" x14ac:dyDescent="0.25">
      <c r="A76" s="9" t="s">
        <v>22</v>
      </c>
      <c r="B76" s="9" t="s">
        <v>957</v>
      </c>
      <c r="C76" s="9" t="s">
        <v>958</v>
      </c>
      <c r="D76" s="9" t="s">
        <v>975</v>
      </c>
      <c r="E76" s="9" t="s">
        <v>976</v>
      </c>
      <c r="F76" s="9" t="s">
        <v>977</v>
      </c>
      <c r="G76" s="9" t="s">
        <v>978</v>
      </c>
      <c r="L76" s="26">
        <f>$I$24*$L$24</f>
        <v>0</v>
      </c>
      <c r="M76" s="26">
        <f>$I$24*$M$24</f>
        <v>100.85438590485462</v>
      </c>
      <c r="N76" s="26">
        <f ca="1">$I$24*$N$24</f>
        <v>0</v>
      </c>
      <c r="O76" s="26">
        <f>$I$24*$O$24</f>
        <v>0</v>
      </c>
      <c r="P76" s="26">
        <f>$I$24*$P$24</f>
        <v>0</v>
      </c>
      <c r="Q76" s="26">
        <f>$I$24*$Q$24</f>
        <v>0</v>
      </c>
      <c r="R76" s="26">
        <f>$I$24*$R$24</f>
        <v>0</v>
      </c>
      <c r="S76" s="26">
        <f>$I$24*$S$24</f>
        <v>0</v>
      </c>
      <c r="T76" s="26">
        <f>$I$24*$T$24</f>
        <v>1243.8919043984745</v>
      </c>
      <c r="U76" s="26">
        <f>$I$24*$U$24</f>
        <v>981.75999648682398</v>
      </c>
      <c r="V76" s="26">
        <f>$I$24*$V$24</f>
        <v>0</v>
      </c>
      <c r="W76" s="26">
        <f>$I$24*$W$24</f>
        <v>0</v>
      </c>
      <c r="X76" s="26">
        <f>$I$24*$X$24</f>
        <v>1784.4226790003863</v>
      </c>
      <c r="Y76" s="26">
        <f>$I$24*$Y$24</f>
        <v>0</v>
      </c>
      <c r="Z76" s="26">
        <f>$I$24*$Z$24</f>
        <v>0</v>
      </c>
      <c r="AA76" s="26">
        <f>$I$24*$AA$24</f>
        <v>12662.973951944701</v>
      </c>
      <c r="AB76" s="26">
        <f ca="1">$I$24*$AB$24</f>
        <v>0</v>
      </c>
      <c r="AC76" s="26">
        <f ca="1">$I$24*$AC$24</f>
        <v>0</v>
      </c>
      <c r="AD76" s="26">
        <f>$I$24*$AD$24</f>
        <v>1495.529910293488</v>
      </c>
      <c r="AE76" s="26">
        <f>$I$24*$AE$24</f>
        <v>11.454300996743392</v>
      </c>
      <c r="AF76" s="26">
        <f ca="1">$I$24*$AF$24</f>
        <v>0</v>
      </c>
      <c r="AG76" s="26">
        <f ca="1">$I$24*$AG$24</f>
        <v>0</v>
      </c>
      <c r="AI76" s="26">
        <f>$I$24*$AI$24</f>
        <v>0</v>
      </c>
      <c r="AJ76" s="26">
        <f>$I$24*$AJ$24</f>
        <v>88.05329504561314</v>
      </c>
      <c r="AK76" s="26">
        <f>$I$24*$AK$24</f>
        <v>0</v>
      </c>
      <c r="AL76" s="26">
        <f>$I$24*$AL$24</f>
        <v>0</v>
      </c>
      <c r="AM76" s="26">
        <f>$I$24*$AM$24</f>
        <v>0</v>
      </c>
      <c r="AN76" s="26">
        <f>$I$24*$AN$24</f>
        <v>0</v>
      </c>
      <c r="AO76" s="26">
        <f>$I$24*$AO$24</f>
        <v>0</v>
      </c>
      <c r="AP76" s="26">
        <f>$I$24*$AP$24</f>
        <v>0</v>
      </c>
      <c r="AQ76" s="26">
        <f>$I$24*$AQ$24</f>
        <v>1746.9025116939783</v>
      </c>
      <c r="AR76" s="26">
        <f>$I$24*$AR$24</f>
        <v>1785.6577646723144</v>
      </c>
      <c r="AS76" s="26">
        <f>$I$24*$AS$24</f>
        <v>0</v>
      </c>
      <c r="AT76" s="26">
        <f>$I$24*$AT$24</f>
        <v>0</v>
      </c>
      <c r="AU76" s="26">
        <f>$I$24*$AU$24</f>
        <v>1815.6225722815614</v>
      </c>
      <c r="AV76" s="26">
        <f>$I$24*$AV$24</f>
        <v>0</v>
      </c>
      <c r="AW76" s="26">
        <f>$I$24*$AW$24</f>
        <v>0</v>
      </c>
      <c r="AX76" s="26">
        <f>$I$24*$AX$24</f>
        <v>11031.018900314128</v>
      </c>
      <c r="AY76" s="26">
        <f>$I$24*$AY$24</f>
        <v>108.39987093440878</v>
      </c>
      <c r="AZ76" s="26">
        <f>$I$24*$AZ$24</f>
        <v>0</v>
      </c>
      <c r="BA76" s="26">
        <f>$I$24*$BA$24</f>
        <v>1177.7546790262325</v>
      </c>
      <c r="BB76" s="26">
        <f>$I$24*$BB$24</f>
        <v>0</v>
      </c>
      <c r="BC76" s="26">
        <f>$I$24*$BC$24</f>
        <v>0</v>
      </c>
      <c r="BD76" s="26">
        <f>$I$24*$BD$24</f>
        <v>0</v>
      </c>
    </row>
    <row r="77" spans="1:56" ht="11.25" customHeight="1" x14ac:dyDescent="0.25">
      <c r="A77" s="9" t="s">
        <v>22</v>
      </c>
      <c r="B77" s="9" t="s">
        <v>979</v>
      </c>
      <c r="C77" s="9" t="s">
        <v>980</v>
      </c>
      <c r="D77" s="9" t="s">
        <v>981</v>
      </c>
      <c r="E77" s="9" t="s">
        <v>982</v>
      </c>
      <c r="F77" s="9" t="s">
        <v>983</v>
      </c>
      <c r="G77" s="9" t="s">
        <v>984</v>
      </c>
      <c r="L77" s="26">
        <f>$I$25*$L$25</f>
        <v>0</v>
      </c>
      <c r="M77" s="26">
        <f>$I$25*$M$25</f>
        <v>0</v>
      </c>
      <c r="N77" s="26">
        <f ca="1">$I$25*$N$25</f>
        <v>0</v>
      </c>
      <c r="O77" s="26">
        <f>$I$25*$O$25</f>
        <v>0</v>
      </c>
      <c r="P77" s="26">
        <f>$I$25*$P$25</f>
        <v>0</v>
      </c>
      <c r="Q77" s="26">
        <f>$I$25*$Q$25</f>
        <v>0</v>
      </c>
      <c r="R77" s="26">
        <f>$I$25*$R$25</f>
        <v>0</v>
      </c>
      <c r="S77" s="26">
        <f>$I$25*$S$25</f>
        <v>0</v>
      </c>
      <c r="T77" s="26">
        <f>$I$25*$T$25</f>
        <v>0</v>
      </c>
      <c r="U77" s="26">
        <f>$I$25*$U$25</f>
        <v>0</v>
      </c>
      <c r="V77" s="26">
        <f>$I$25*$V$25</f>
        <v>0</v>
      </c>
      <c r="W77" s="26">
        <f>$I$25*$W$25</f>
        <v>0</v>
      </c>
      <c r="X77" s="26">
        <f>$I$25*$X$25</f>
        <v>0</v>
      </c>
      <c r="Y77" s="26">
        <f>$I$25*$Y$25</f>
        <v>0</v>
      </c>
      <c r="Z77" s="26">
        <f>$I$25*$Z$25</f>
        <v>0</v>
      </c>
      <c r="AA77" s="26">
        <f>$I$25*$AA$25</f>
        <v>0</v>
      </c>
      <c r="AB77" s="26">
        <f ca="1">$I$25*$AB$25</f>
        <v>0</v>
      </c>
      <c r="AC77" s="26">
        <f ca="1">$I$25*$AC$25</f>
        <v>0</v>
      </c>
      <c r="AD77" s="26">
        <f>$I$25*$AD$25</f>
        <v>0</v>
      </c>
      <c r="AE77" s="26">
        <f>$I$25*$AE$25</f>
        <v>0</v>
      </c>
      <c r="AF77" s="26">
        <f ca="1">$I$25*$AF$25</f>
        <v>0</v>
      </c>
      <c r="AG77" s="26">
        <f ca="1">$I$25*$AG$25</f>
        <v>0</v>
      </c>
      <c r="AI77" s="26">
        <f>$I$25*$AI$25</f>
        <v>0</v>
      </c>
      <c r="AJ77" s="26">
        <f>$I$25*$AJ$25</f>
        <v>0</v>
      </c>
      <c r="AK77" s="26">
        <f>$I$25*$AK$25</f>
        <v>0</v>
      </c>
      <c r="AL77" s="26">
        <f>$I$25*$AL$25</f>
        <v>0</v>
      </c>
      <c r="AM77" s="26">
        <f>$I$25*$AM$25</f>
        <v>0</v>
      </c>
      <c r="AN77" s="26">
        <f>$I$25*$AN$25</f>
        <v>0</v>
      </c>
      <c r="AO77" s="26">
        <f>$I$25*$AO$25</f>
        <v>0</v>
      </c>
      <c r="AP77" s="26">
        <f>$I$25*$AP$25</f>
        <v>0</v>
      </c>
      <c r="AQ77" s="26">
        <f>$I$25*$AQ$25</f>
        <v>0</v>
      </c>
      <c r="AR77" s="26">
        <f>$I$25*$AR$25</f>
        <v>0</v>
      </c>
      <c r="AS77" s="26">
        <f>$I$25*$AS$25</f>
        <v>0</v>
      </c>
      <c r="AT77" s="26">
        <f>$I$25*$AT$25</f>
        <v>0</v>
      </c>
      <c r="AU77" s="26">
        <f>$I$25*$AU$25</f>
        <v>0</v>
      </c>
      <c r="AV77" s="26">
        <f>$I$25*$AV$25</f>
        <v>0</v>
      </c>
      <c r="AW77" s="26">
        <f>$I$25*$AW$25</f>
        <v>0</v>
      </c>
      <c r="AX77" s="26">
        <f>$I$25*$AX$25</f>
        <v>0</v>
      </c>
      <c r="AY77" s="26">
        <f>$I$25*$AY$25</f>
        <v>0</v>
      </c>
      <c r="AZ77" s="26">
        <f>$I$25*$AZ$25</f>
        <v>0</v>
      </c>
      <c r="BA77" s="26">
        <f>$I$25*$BA$25</f>
        <v>0</v>
      </c>
      <c r="BB77" s="26">
        <f>$I$25*$BB$25</f>
        <v>0</v>
      </c>
      <c r="BC77" s="26">
        <f>$I$25*$BC$25</f>
        <v>0</v>
      </c>
      <c r="BD77" s="26">
        <f>$I$25*$BD$25</f>
        <v>0</v>
      </c>
    </row>
    <row r="78" spans="1:56" ht="11.25" customHeight="1" x14ac:dyDescent="0.25">
      <c r="A78" s="9" t="s">
        <v>22</v>
      </c>
      <c r="B78" s="9" t="s">
        <v>979</v>
      </c>
      <c r="C78" s="9" t="s">
        <v>980</v>
      </c>
      <c r="D78" s="9" t="s">
        <v>985</v>
      </c>
      <c r="E78" s="9" t="s">
        <v>986</v>
      </c>
      <c r="F78" s="9" t="s">
        <v>987</v>
      </c>
      <c r="G78" s="9" t="s">
        <v>988</v>
      </c>
      <c r="L78" s="26">
        <f>$I$26*$L$26</f>
        <v>0</v>
      </c>
      <c r="M78" s="26">
        <f>$I$26*$M$26</f>
        <v>0</v>
      </c>
      <c r="N78" s="26">
        <f ca="1">$I$26*$N$26</f>
        <v>0</v>
      </c>
      <c r="O78" s="26">
        <f>$I$26*$O$26</f>
        <v>0</v>
      </c>
      <c r="P78" s="26">
        <f>$I$26*$P$26</f>
        <v>0</v>
      </c>
      <c r="Q78" s="26">
        <f>$I$26*$Q$26</f>
        <v>0</v>
      </c>
      <c r="R78" s="26">
        <f>$I$26*$R$26</f>
        <v>0</v>
      </c>
      <c r="S78" s="26">
        <f>$I$26*$S$26</f>
        <v>0</v>
      </c>
      <c r="T78" s="26">
        <f>$I$26*$T$26</f>
        <v>0</v>
      </c>
      <c r="U78" s="26">
        <f>$I$26*$U$26</f>
        <v>0</v>
      </c>
      <c r="V78" s="26">
        <f>$I$26*$V$26</f>
        <v>0</v>
      </c>
      <c r="W78" s="26">
        <f>$I$26*$W$26</f>
        <v>0</v>
      </c>
      <c r="X78" s="26">
        <f>$I$26*$X$26</f>
        <v>0</v>
      </c>
      <c r="Y78" s="26">
        <f>$I$26*$Y$26</f>
        <v>0</v>
      </c>
      <c r="Z78" s="26">
        <f>$I$26*$Z$26</f>
        <v>0</v>
      </c>
      <c r="AA78" s="26">
        <f>$I$26*$AA$26</f>
        <v>0</v>
      </c>
      <c r="AB78" s="26">
        <f ca="1">$I$26*$AB$26</f>
        <v>0</v>
      </c>
      <c r="AC78" s="26">
        <f ca="1">$I$26*$AC$26</f>
        <v>0</v>
      </c>
      <c r="AD78" s="26">
        <f>$I$26*$AD$26</f>
        <v>0</v>
      </c>
      <c r="AE78" s="26">
        <f>$I$26*$AE$26</f>
        <v>0</v>
      </c>
      <c r="AF78" s="26">
        <f ca="1">$I$26*$AF$26</f>
        <v>0</v>
      </c>
      <c r="AG78" s="26">
        <f ca="1">$I$26*$AG$26</f>
        <v>0</v>
      </c>
      <c r="AI78" s="26">
        <f>$I$26*$AI$26</f>
        <v>0</v>
      </c>
      <c r="AJ78" s="26">
        <f>$I$26*$AJ$26</f>
        <v>0</v>
      </c>
      <c r="AK78" s="26">
        <f>$I$26*$AK$26</f>
        <v>0</v>
      </c>
      <c r="AL78" s="26">
        <f>$I$26*$AL$26</f>
        <v>0</v>
      </c>
      <c r="AM78" s="26">
        <f>$I$26*$AM$26</f>
        <v>0</v>
      </c>
      <c r="AN78" s="26">
        <f>$I$26*$AN$26</f>
        <v>0</v>
      </c>
      <c r="AO78" s="26">
        <f>$I$26*$AO$26</f>
        <v>0</v>
      </c>
      <c r="AP78" s="26">
        <f>$I$26*$AP$26</f>
        <v>0</v>
      </c>
      <c r="AQ78" s="26">
        <f>$I$26*$AQ$26</f>
        <v>0</v>
      </c>
      <c r="AR78" s="26">
        <f>$I$26*$AR$26</f>
        <v>0</v>
      </c>
      <c r="AS78" s="26">
        <f>$I$26*$AS$26</f>
        <v>0</v>
      </c>
      <c r="AT78" s="26">
        <f>$I$26*$AT$26</f>
        <v>0</v>
      </c>
      <c r="AU78" s="26">
        <f>$I$26*$AU$26</f>
        <v>0</v>
      </c>
      <c r="AV78" s="26">
        <f>$I$26*$AV$26</f>
        <v>0</v>
      </c>
      <c r="AW78" s="26">
        <f>$I$26*$AW$26</f>
        <v>0</v>
      </c>
      <c r="AX78" s="26">
        <f>$I$26*$AX$26</f>
        <v>0</v>
      </c>
      <c r="AY78" s="26">
        <f>$I$26*$AY$26</f>
        <v>0</v>
      </c>
      <c r="AZ78" s="26">
        <f>$I$26*$AZ$26</f>
        <v>0</v>
      </c>
      <c r="BA78" s="26">
        <f>$I$26*$BA$26</f>
        <v>0</v>
      </c>
      <c r="BB78" s="26">
        <f>$I$26*$BB$26</f>
        <v>0</v>
      </c>
      <c r="BC78" s="26">
        <f>$I$26*$BC$26</f>
        <v>0</v>
      </c>
      <c r="BD78" s="26">
        <f>$I$26*$BD$26</f>
        <v>0</v>
      </c>
    </row>
    <row r="79" spans="1:56" ht="11.25" customHeight="1" x14ac:dyDescent="0.25">
      <c r="A79" s="9" t="s">
        <v>22</v>
      </c>
      <c r="B79" s="9" t="s">
        <v>979</v>
      </c>
      <c r="C79" s="9" t="s">
        <v>980</v>
      </c>
      <c r="D79" s="9" t="s">
        <v>989</v>
      </c>
      <c r="E79" s="9" t="s">
        <v>990</v>
      </c>
      <c r="F79" s="9" t="s">
        <v>991</v>
      </c>
      <c r="G79" s="9" t="s">
        <v>992</v>
      </c>
      <c r="L79" s="26">
        <f>$I$27*$L$27</f>
        <v>0</v>
      </c>
      <c r="M79" s="26">
        <f>$I$27*$M$27</f>
        <v>0</v>
      </c>
      <c r="N79" s="26">
        <f ca="1">$I$27*$N$27</f>
        <v>0</v>
      </c>
      <c r="O79" s="26">
        <f>$I$27*$O$27</f>
        <v>0</v>
      </c>
      <c r="P79" s="26">
        <f>$I$27*$P$27</f>
        <v>0</v>
      </c>
      <c r="Q79" s="26">
        <f>$I$27*$Q$27</f>
        <v>0</v>
      </c>
      <c r="R79" s="26">
        <f>$I$27*$R$27</f>
        <v>0</v>
      </c>
      <c r="S79" s="26">
        <f>$I$27*$S$27</f>
        <v>0</v>
      </c>
      <c r="T79" s="26">
        <f>$I$27*$T$27</f>
        <v>0</v>
      </c>
      <c r="U79" s="26">
        <f>$I$27*$U$27</f>
        <v>0</v>
      </c>
      <c r="V79" s="26">
        <f>$I$27*$V$27</f>
        <v>0</v>
      </c>
      <c r="W79" s="26">
        <f>$I$27*$W$27</f>
        <v>0</v>
      </c>
      <c r="X79" s="26">
        <f>$I$27*$X$27</f>
        <v>0</v>
      </c>
      <c r="Y79" s="26">
        <f>$I$27*$Y$27</f>
        <v>0</v>
      </c>
      <c r="Z79" s="26">
        <f>$I$27*$Z$27</f>
        <v>0</v>
      </c>
      <c r="AA79" s="26">
        <f>$I$27*$AA$27</f>
        <v>0</v>
      </c>
      <c r="AB79" s="26">
        <f ca="1">$I$27*$AB$27</f>
        <v>0</v>
      </c>
      <c r="AC79" s="26">
        <f ca="1">$I$27*$AC$27</f>
        <v>0</v>
      </c>
      <c r="AD79" s="26">
        <f>$I$27*$AD$27</f>
        <v>0</v>
      </c>
      <c r="AE79" s="26">
        <f>$I$27*$AE$27</f>
        <v>0</v>
      </c>
      <c r="AF79" s="26">
        <f ca="1">$I$27*$AF$27</f>
        <v>0</v>
      </c>
      <c r="AG79" s="26">
        <f ca="1">$I$27*$AG$27</f>
        <v>0</v>
      </c>
      <c r="AI79" s="26">
        <f>$I$27*$AI$27</f>
        <v>0</v>
      </c>
      <c r="AJ79" s="26">
        <f>$I$27*$AJ$27</f>
        <v>0</v>
      </c>
      <c r="AK79" s="26">
        <f>$I$27*$AK$27</f>
        <v>0</v>
      </c>
      <c r="AL79" s="26">
        <f>$I$27*$AL$27</f>
        <v>0</v>
      </c>
      <c r="AM79" s="26">
        <f>$I$27*$AM$27</f>
        <v>0</v>
      </c>
      <c r="AN79" s="26">
        <f>$I$27*$AN$27</f>
        <v>0</v>
      </c>
      <c r="AO79" s="26">
        <f>$I$27*$AO$27</f>
        <v>0</v>
      </c>
      <c r="AP79" s="26">
        <f>$I$27*$AP$27</f>
        <v>0</v>
      </c>
      <c r="AQ79" s="26">
        <f>$I$27*$AQ$27</f>
        <v>0</v>
      </c>
      <c r="AR79" s="26">
        <f>$I$27*$AR$27</f>
        <v>0</v>
      </c>
      <c r="AS79" s="26">
        <f>$I$27*$AS$27</f>
        <v>0</v>
      </c>
      <c r="AT79" s="26">
        <f>$I$27*$AT$27</f>
        <v>0</v>
      </c>
      <c r="AU79" s="26">
        <f>$I$27*$AU$27</f>
        <v>0</v>
      </c>
      <c r="AV79" s="26">
        <f>$I$27*$AV$27</f>
        <v>0</v>
      </c>
      <c r="AW79" s="26">
        <f>$I$27*$AW$27</f>
        <v>0</v>
      </c>
      <c r="AX79" s="26">
        <f>$I$27*$AX$27</f>
        <v>0</v>
      </c>
      <c r="AY79" s="26">
        <f>$I$27*$AY$27</f>
        <v>0</v>
      </c>
      <c r="AZ79" s="26">
        <f>$I$27*$AZ$27</f>
        <v>0</v>
      </c>
      <c r="BA79" s="26">
        <f>$I$27*$BA$27</f>
        <v>0</v>
      </c>
      <c r="BB79" s="26">
        <f>$I$27*$BB$27</f>
        <v>0</v>
      </c>
      <c r="BC79" s="26">
        <f>$I$27*$BC$27</f>
        <v>0</v>
      </c>
      <c r="BD79" s="26">
        <f>$I$27*$BD$27</f>
        <v>0</v>
      </c>
    </row>
    <row r="80" spans="1:56" ht="11.25" customHeight="1" x14ac:dyDescent="0.25">
      <c r="A80" s="9" t="s">
        <v>22</v>
      </c>
      <c r="B80" s="9" t="s">
        <v>979</v>
      </c>
      <c r="C80" s="9" t="s">
        <v>980</v>
      </c>
      <c r="D80" s="9" t="s">
        <v>993</v>
      </c>
      <c r="E80" s="9" t="s">
        <v>994</v>
      </c>
      <c r="F80" s="9" t="s">
        <v>995</v>
      </c>
      <c r="G80" s="9" t="s">
        <v>996</v>
      </c>
      <c r="L80" s="26">
        <f>$I$28*$L$28</f>
        <v>0</v>
      </c>
      <c r="M80" s="26">
        <f>$I$28*$M$28</f>
        <v>0</v>
      </c>
      <c r="N80" s="26">
        <f ca="1">$I$28*$N$28</f>
        <v>0</v>
      </c>
      <c r="O80" s="26">
        <f>$I$28*$O$28</f>
        <v>0</v>
      </c>
      <c r="P80" s="26">
        <f>$I$28*$P$28</f>
        <v>0</v>
      </c>
      <c r="Q80" s="26">
        <f>$I$28*$Q$28</f>
        <v>0</v>
      </c>
      <c r="R80" s="26">
        <f>$I$28*$R$28</f>
        <v>0</v>
      </c>
      <c r="S80" s="26">
        <f>$I$28*$S$28</f>
        <v>0</v>
      </c>
      <c r="T80" s="26">
        <f>$I$28*$T$28</f>
        <v>0</v>
      </c>
      <c r="U80" s="26">
        <f>$I$28*$U$28</f>
        <v>0</v>
      </c>
      <c r="V80" s="26">
        <f>$I$28*$V$28</f>
        <v>0</v>
      </c>
      <c r="W80" s="26">
        <f>$I$28*$W$28</f>
        <v>0</v>
      </c>
      <c r="X80" s="26">
        <f>$I$28*$X$28</f>
        <v>0</v>
      </c>
      <c r="Y80" s="26">
        <f>$I$28*$Y$28</f>
        <v>0</v>
      </c>
      <c r="Z80" s="26">
        <f>$I$28*$Z$28</f>
        <v>0</v>
      </c>
      <c r="AA80" s="26">
        <f>$I$28*$AA$28</f>
        <v>0</v>
      </c>
      <c r="AB80" s="26">
        <f ca="1">$I$28*$AB$28</f>
        <v>0</v>
      </c>
      <c r="AC80" s="26">
        <f ca="1">$I$28*$AC$28</f>
        <v>0</v>
      </c>
      <c r="AD80" s="26">
        <f>$I$28*$AD$28</f>
        <v>0</v>
      </c>
      <c r="AE80" s="26">
        <f>$I$28*$AE$28</f>
        <v>0</v>
      </c>
      <c r="AF80" s="26">
        <f ca="1">$I$28*$AF$28</f>
        <v>0</v>
      </c>
      <c r="AG80" s="26">
        <f ca="1">$I$28*$AG$28</f>
        <v>0</v>
      </c>
      <c r="AI80" s="26">
        <f>$I$28*$AI$28</f>
        <v>0</v>
      </c>
      <c r="AJ80" s="26">
        <f>$I$28*$AJ$28</f>
        <v>0</v>
      </c>
      <c r="AK80" s="26">
        <f>$I$28*$AK$28</f>
        <v>0</v>
      </c>
      <c r="AL80" s="26">
        <f>$I$28*$AL$28</f>
        <v>0</v>
      </c>
      <c r="AM80" s="26">
        <f>$I$28*$AM$28</f>
        <v>0</v>
      </c>
      <c r="AN80" s="26">
        <f>$I$28*$AN$28</f>
        <v>0</v>
      </c>
      <c r="AO80" s="26">
        <f>$I$28*$AO$28</f>
        <v>0</v>
      </c>
      <c r="AP80" s="26">
        <f>$I$28*$AP$28</f>
        <v>0</v>
      </c>
      <c r="AQ80" s="26">
        <f>$I$28*$AQ$28</f>
        <v>0</v>
      </c>
      <c r="AR80" s="26">
        <f>$I$28*$AR$28</f>
        <v>0</v>
      </c>
      <c r="AS80" s="26">
        <f>$I$28*$AS$28</f>
        <v>0</v>
      </c>
      <c r="AT80" s="26">
        <f>$I$28*$AT$28</f>
        <v>0</v>
      </c>
      <c r="AU80" s="26">
        <f>$I$28*$AU$28</f>
        <v>0</v>
      </c>
      <c r="AV80" s="26">
        <f>$I$28*$AV$28</f>
        <v>0</v>
      </c>
      <c r="AW80" s="26">
        <f>$I$28*$AW$28</f>
        <v>0</v>
      </c>
      <c r="AX80" s="26">
        <f>$I$28*$AX$28</f>
        <v>0</v>
      </c>
      <c r="AY80" s="26">
        <f>$I$28*$AY$28</f>
        <v>0</v>
      </c>
      <c r="AZ80" s="26">
        <f>$I$28*$AZ$28</f>
        <v>0</v>
      </c>
      <c r="BA80" s="26">
        <f>$I$28*$BA$28</f>
        <v>0</v>
      </c>
      <c r="BB80" s="26">
        <f>$I$28*$BB$28</f>
        <v>0</v>
      </c>
      <c r="BC80" s="26">
        <f>$I$28*$BC$28</f>
        <v>0</v>
      </c>
      <c r="BD80" s="26">
        <f>$I$28*$BD$28</f>
        <v>0</v>
      </c>
    </row>
    <row r="81" spans="1:56" ht="11.25" customHeight="1" x14ac:dyDescent="0.25">
      <c r="A81" s="9" t="s">
        <v>22</v>
      </c>
      <c r="B81" s="9" t="s">
        <v>979</v>
      </c>
      <c r="C81" s="9" t="s">
        <v>980</v>
      </c>
      <c r="D81" s="9" t="s">
        <v>997</v>
      </c>
      <c r="E81" s="9" t="s">
        <v>998</v>
      </c>
      <c r="F81" s="9" t="s">
        <v>999</v>
      </c>
      <c r="G81" s="9" t="s">
        <v>1000</v>
      </c>
      <c r="L81" s="26">
        <f>$I$29*$L$29</f>
        <v>0</v>
      </c>
      <c r="M81" s="26">
        <f>$I$29*$M$29</f>
        <v>0</v>
      </c>
      <c r="N81" s="26">
        <f ca="1">$I$29*$N$29</f>
        <v>0</v>
      </c>
      <c r="O81" s="26">
        <f>$I$29*$O$29</f>
        <v>0</v>
      </c>
      <c r="P81" s="26">
        <f>$I$29*$P$29</f>
        <v>0</v>
      </c>
      <c r="Q81" s="26">
        <f>$I$29*$Q$29</f>
        <v>0</v>
      </c>
      <c r="R81" s="26">
        <f>$I$29*$R$29</f>
        <v>0</v>
      </c>
      <c r="S81" s="26">
        <f>$I$29*$S$29</f>
        <v>0</v>
      </c>
      <c r="T81" s="26">
        <f>$I$29*$T$29</f>
        <v>0</v>
      </c>
      <c r="U81" s="26">
        <f>$I$29*$U$29</f>
        <v>0</v>
      </c>
      <c r="V81" s="26">
        <f>$I$29*$V$29</f>
        <v>0</v>
      </c>
      <c r="W81" s="26">
        <f>$I$29*$W$29</f>
        <v>0</v>
      </c>
      <c r="X81" s="26">
        <f>$I$29*$X$29</f>
        <v>0</v>
      </c>
      <c r="Y81" s="26">
        <f>$I$29*$Y$29</f>
        <v>0</v>
      </c>
      <c r="Z81" s="26">
        <f>$I$29*$Z$29</f>
        <v>0</v>
      </c>
      <c r="AA81" s="26">
        <f>$I$29*$AA$29</f>
        <v>0</v>
      </c>
      <c r="AB81" s="26">
        <f ca="1">$I$29*$AB$29</f>
        <v>0</v>
      </c>
      <c r="AC81" s="26">
        <f ca="1">$I$29*$AC$29</f>
        <v>0</v>
      </c>
      <c r="AD81" s="26">
        <f>$I$29*$AD$29</f>
        <v>0</v>
      </c>
      <c r="AE81" s="26">
        <f>$I$29*$AE$29</f>
        <v>0</v>
      </c>
      <c r="AF81" s="26">
        <f ca="1">$I$29*$AF$29</f>
        <v>0</v>
      </c>
      <c r="AG81" s="26">
        <f ca="1">$I$29*$AG$29</f>
        <v>0</v>
      </c>
      <c r="AI81" s="26">
        <f>$I$29*$AI$29</f>
        <v>0</v>
      </c>
      <c r="AJ81" s="26">
        <f>$I$29*$AJ$29</f>
        <v>0</v>
      </c>
      <c r="AK81" s="26">
        <f>$I$29*$AK$29</f>
        <v>0</v>
      </c>
      <c r="AL81" s="26">
        <f>$I$29*$AL$29</f>
        <v>0</v>
      </c>
      <c r="AM81" s="26">
        <f>$I$29*$AM$29</f>
        <v>0</v>
      </c>
      <c r="AN81" s="26">
        <f>$I$29*$AN$29</f>
        <v>0</v>
      </c>
      <c r="AO81" s="26">
        <f>$I$29*$AO$29</f>
        <v>0</v>
      </c>
      <c r="AP81" s="26">
        <f>$I$29*$AP$29</f>
        <v>0</v>
      </c>
      <c r="AQ81" s="26">
        <f>$I$29*$AQ$29</f>
        <v>0</v>
      </c>
      <c r="AR81" s="26">
        <f>$I$29*$AR$29</f>
        <v>0</v>
      </c>
      <c r="AS81" s="26">
        <f>$I$29*$AS$29</f>
        <v>0</v>
      </c>
      <c r="AT81" s="26">
        <f>$I$29*$AT$29</f>
        <v>0</v>
      </c>
      <c r="AU81" s="26">
        <f>$I$29*$AU$29</f>
        <v>0</v>
      </c>
      <c r="AV81" s="26">
        <f>$I$29*$AV$29</f>
        <v>0</v>
      </c>
      <c r="AW81" s="26">
        <f>$I$29*$AW$29</f>
        <v>0</v>
      </c>
      <c r="AX81" s="26">
        <f>$I$29*$AX$29</f>
        <v>0</v>
      </c>
      <c r="AY81" s="26">
        <f>$I$29*$AY$29</f>
        <v>0</v>
      </c>
      <c r="AZ81" s="26">
        <f>$I$29*$AZ$29</f>
        <v>0</v>
      </c>
      <c r="BA81" s="26">
        <f>$I$29*$BA$29</f>
        <v>0</v>
      </c>
      <c r="BB81" s="26">
        <f>$I$29*$BB$29</f>
        <v>0</v>
      </c>
      <c r="BC81" s="26">
        <f>$I$29*$BC$29</f>
        <v>0</v>
      </c>
      <c r="BD81" s="26">
        <f>$I$29*$BD$29</f>
        <v>0</v>
      </c>
    </row>
    <row r="82" spans="1:56" ht="11.25" customHeight="1" x14ac:dyDescent="0.25">
      <c r="A82" s="9" t="s">
        <v>43</v>
      </c>
      <c r="B82" s="9" t="s">
        <v>1001</v>
      </c>
      <c r="C82" s="9" t="s">
        <v>1002</v>
      </c>
      <c r="D82" s="9" t="s">
        <v>1003</v>
      </c>
      <c r="E82" s="9" t="s">
        <v>1004</v>
      </c>
      <c r="F82" s="9" t="s">
        <v>1005</v>
      </c>
      <c r="G82" s="9" t="s">
        <v>1006</v>
      </c>
      <c r="L82" s="26">
        <f>$I$30*$L$30</f>
        <v>0</v>
      </c>
      <c r="M82" s="26">
        <f>$I$30*$M$30</f>
        <v>0.87259439169158648</v>
      </c>
      <c r="N82" s="26">
        <f ca="1">$I$30*$N$30</f>
        <v>0</v>
      </c>
      <c r="O82" s="26">
        <f>$I$30*$O$30</f>
        <v>0</v>
      </c>
      <c r="P82" s="26">
        <f>$I$30*$P$30</f>
        <v>0</v>
      </c>
      <c r="Q82" s="26">
        <f>$I$30*$Q$30</f>
        <v>68.428168348870486</v>
      </c>
      <c r="R82" s="26">
        <f>$I$30*$R$30</f>
        <v>10.81456316393621</v>
      </c>
      <c r="S82" s="26">
        <f>$I$30*$S$30</f>
        <v>0</v>
      </c>
      <c r="T82" s="26">
        <f>$I$30*$T$30</f>
        <v>29.59594569957159</v>
      </c>
      <c r="U82" s="26">
        <f>$I$30*$U$30</f>
        <v>23.358984669424885</v>
      </c>
      <c r="V82" s="26">
        <f>$I$30*$V$30</f>
        <v>0</v>
      </c>
      <c r="W82" s="26">
        <f>$I$30*$W$30</f>
        <v>0</v>
      </c>
      <c r="X82" s="26">
        <f>$I$30*$X$30</f>
        <v>42.456915789312205</v>
      </c>
      <c r="Y82" s="26">
        <f>$I$30*$Y$30</f>
        <v>0</v>
      </c>
      <c r="Z82" s="26">
        <f>$I$30*$Z$30</f>
        <v>0</v>
      </c>
      <c r="AA82" s="26">
        <f>$I$30*$AA$30</f>
        <v>301.29115958152522</v>
      </c>
      <c r="AB82" s="26">
        <f ca="1">$I$30*$AB$30</f>
        <v>0</v>
      </c>
      <c r="AC82" s="26">
        <f ca="1">$I$30*$AC$30</f>
        <v>0</v>
      </c>
      <c r="AD82" s="26">
        <f>$I$30*$AD$30</f>
        <v>12.93935807174751</v>
      </c>
      <c r="AE82" s="26">
        <f>$I$30*$AE$30</f>
        <v>9.910286717659271E-2</v>
      </c>
      <c r="AF82" s="26">
        <f ca="1">$I$30*$AF$30</f>
        <v>0</v>
      </c>
      <c r="AG82" s="26">
        <f ca="1">$I$30*$AG$30</f>
        <v>0</v>
      </c>
      <c r="AI82" s="26">
        <f>$I$30*$AI$30</f>
        <v>0</v>
      </c>
      <c r="AJ82" s="26">
        <f>$I$30*$AJ$30</f>
        <v>0.71321104298911664</v>
      </c>
      <c r="AK82" s="26">
        <f>$I$30*$AK$30</f>
        <v>0</v>
      </c>
      <c r="AL82" s="26">
        <f>$I$30*$AL$30</f>
        <v>0</v>
      </c>
      <c r="AM82" s="26">
        <f>$I$30*$AM$30</f>
        <v>0</v>
      </c>
      <c r="AN82" s="26">
        <f>$I$30*$AN$30</f>
        <v>39.793861870607046</v>
      </c>
      <c r="AO82" s="26">
        <f>$I$30*$AO$30</f>
        <v>6.2069573557456472</v>
      </c>
      <c r="AP82" s="26">
        <f>$I$30*$AP$30</f>
        <v>0</v>
      </c>
      <c r="AQ82" s="26">
        <f>$I$30*$AQ$30</f>
        <v>38.91109886978338</v>
      </c>
      <c r="AR82" s="26">
        <f>$I$30*$AR$30</f>
        <v>39.774191991570873</v>
      </c>
      <c r="AS82" s="26">
        <f>$I$30*$AS$30</f>
        <v>0</v>
      </c>
      <c r="AT82" s="26">
        <f>$I$30*$AT$30</f>
        <v>0</v>
      </c>
      <c r="AU82" s="26">
        <f>$I$30*$AU$30</f>
        <v>40.441783586680259</v>
      </c>
      <c r="AV82" s="26">
        <f>$I$30*$AV$30</f>
        <v>0</v>
      </c>
      <c r="AW82" s="26">
        <f>$I$30*$AW$30</f>
        <v>0</v>
      </c>
      <c r="AX82" s="26">
        <f>$I$30*$AX$30</f>
        <v>245.70909847899605</v>
      </c>
      <c r="AY82" s="26">
        <f>$I$30*$AY$30</f>
        <v>2.5666273692767043</v>
      </c>
      <c r="AZ82" s="26">
        <f>$I$30*$AZ$30</f>
        <v>0</v>
      </c>
      <c r="BA82" s="26">
        <f>$I$30*$BA$30</f>
        <v>9.539536738272929</v>
      </c>
      <c r="BB82" s="26">
        <f>$I$30*$BB$30</f>
        <v>0</v>
      </c>
      <c r="BC82" s="26">
        <f>$I$30*$BC$30</f>
        <v>0</v>
      </c>
      <c r="BD82" s="26">
        <f>$I$30*$BD$30</f>
        <v>0</v>
      </c>
    </row>
    <row r="83" spans="1:56" ht="11.25" customHeight="1" x14ac:dyDescent="0.25">
      <c r="A83" s="9" t="s">
        <v>43</v>
      </c>
      <c r="B83" s="9" t="s">
        <v>1001</v>
      </c>
      <c r="C83" s="9" t="s">
        <v>1002</v>
      </c>
      <c r="D83" s="9" t="s">
        <v>1003</v>
      </c>
      <c r="E83" s="9" t="s">
        <v>1004</v>
      </c>
      <c r="F83" s="9" t="s">
        <v>1005</v>
      </c>
      <c r="G83" s="9" t="s">
        <v>1007</v>
      </c>
      <c r="L83" s="26">
        <f>$I$31*$L$31</f>
        <v>0</v>
      </c>
      <c r="M83" s="26">
        <f>$I$31*$M$31</f>
        <v>0.63813303422819456</v>
      </c>
      <c r="N83" s="26">
        <f ca="1">$I$31*$N$31</f>
        <v>0</v>
      </c>
      <c r="O83" s="26">
        <f>$I$31*$O$31</f>
        <v>0</v>
      </c>
      <c r="P83" s="26">
        <f>$I$31*$P$31</f>
        <v>0</v>
      </c>
      <c r="Q83" s="26">
        <f>$I$31*$Q$31</f>
        <v>50.041892442710115</v>
      </c>
      <c r="R83" s="26">
        <f>$I$31*$R$31</f>
        <v>7.9087489804704623</v>
      </c>
      <c r="S83" s="26">
        <f>$I$31*$S$31</f>
        <v>0</v>
      </c>
      <c r="T83" s="26">
        <f>$I$31*$T$31</f>
        <v>12.986235388502354</v>
      </c>
      <c r="U83" s="26">
        <f>$I$31*$U$31</f>
        <v>10.249478425084856</v>
      </c>
      <c r="V83" s="26">
        <f>$I$31*$V$31</f>
        <v>0</v>
      </c>
      <c r="W83" s="26">
        <f>$I$31*$W$31</f>
        <v>0</v>
      </c>
      <c r="X83" s="26">
        <f>$I$31*$X$31</f>
        <v>18.629384342534713</v>
      </c>
      <c r="Y83" s="26">
        <f>$I$31*$Y$31</f>
        <v>0</v>
      </c>
      <c r="Z83" s="26">
        <f>$I$31*$Z$31</f>
        <v>0</v>
      </c>
      <c r="AA83" s="26">
        <f>$I$31*$AA$31</f>
        <v>132.20149629913655</v>
      </c>
      <c r="AB83" s="26">
        <f ca="1">$I$31*$AB$31</f>
        <v>0</v>
      </c>
      <c r="AC83" s="26">
        <f ca="1">$I$31*$AC$31</f>
        <v>0</v>
      </c>
      <c r="AD83" s="26">
        <f>$I$31*$AD$31</f>
        <v>9.4626230765504626</v>
      </c>
      <c r="AE83" s="26">
        <f>$I$31*$AE$31</f>
        <v>7.2474466870588103E-2</v>
      </c>
      <c r="AF83" s="26">
        <f ca="1">$I$31*$AF$31</f>
        <v>0</v>
      </c>
      <c r="AG83" s="26">
        <f ca="1">$I$31*$AG$31</f>
        <v>0</v>
      </c>
      <c r="AI83" s="26">
        <f>$I$31*$AI$31</f>
        <v>0</v>
      </c>
      <c r="AJ83" s="26">
        <f>$I$31*$AJ$31</f>
        <v>0.52157512269292827</v>
      </c>
      <c r="AK83" s="26">
        <f>$I$31*$AK$31</f>
        <v>0</v>
      </c>
      <c r="AL83" s="26">
        <f>$I$31*$AL$31</f>
        <v>0</v>
      </c>
      <c r="AM83" s="26">
        <f>$I$31*$AM$31</f>
        <v>0</v>
      </c>
      <c r="AN83" s="26">
        <f>$I$31*$AN$31</f>
        <v>29.101468060000343</v>
      </c>
      <c r="AO83" s="26">
        <f>$I$31*$AO$31</f>
        <v>4.5391817417810385</v>
      </c>
      <c r="AP83" s="26">
        <f>$I$31*$AP$31</f>
        <v>0</v>
      </c>
      <c r="AQ83" s="26">
        <f>$I$31*$AQ$31</f>
        <v>17.073605035362846</v>
      </c>
      <c r="AR83" s="26">
        <f>$I$31*$AR$31</f>
        <v>17.452183005088003</v>
      </c>
      <c r="AS83" s="26">
        <f>$I$31*$AS$31</f>
        <v>0</v>
      </c>
      <c r="AT83" s="26">
        <f>$I$31*$AT$31</f>
        <v>0</v>
      </c>
      <c r="AU83" s="26">
        <f>$I$31*$AU$31</f>
        <v>17.745178045258175</v>
      </c>
      <c r="AV83" s="26">
        <f>$I$31*$AV$31</f>
        <v>0</v>
      </c>
      <c r="AW83" s="26">
        <f>$I$31*$AW$31</f>
        <v>0</v>
      </c>
      <c r="AX83" s="26">
        <f>$I$31*$AX$31</f>
        <v>107.81302874369288</v>
      </c>
      <c r="AY83" s="26">
        <f>$I$31*$AY$31</f>
        <v>1.2069253026314644</v>
      </c>
      <c r="AZ83" s="26">
        <f>$I$31*$AZ$31</f>
        <v>0</v>
      </c>
      <c r="BA83" s="26">
        <f>$I$31*$BA$31</f>
        <v>6.9763152065696854</v>
      </c>
      <c r="BB83" s="26">
        <f>$I$31*$BB$31</f>
        <v>0</v>
      </c>
      <c r="BC83" s="26">
        <f>$I$31*$BC$31</f>
        <v>0</v>
      </c>
      <c r="BD83" s="26">
        <f>$I$31*$BD$31</f>
        <v>0</v>
      </c>
    </row>
    <row r="84" spans="1:56" ht="11.25" customHeight="1" x14ac:dyDescent="0.25">
      <c r="A84" s="9" t="s">
        <v>43</v>
      </c>
      <c r="B84" s="9" t="s">
        <v>1001</v>
      </c>
      <c r="C84" s="9" t="s">
        <v>1002</v>
      </c>
      <c r="D84" s="9" t="s">
        <v>1003</v>
      </c>
      <c r="E84" s="9" t="s">
        <v>1004</v>
      </c>
      <c r="F84" s="9" t="s">
        <v>1005</v>
      </c>
      <c r="G84" s="9" t="s">
        <v>1008</v>
      </c>
      <c r="L84" s="26">
        <f>$I$32*$L$32</f>
        <v>0</v>
      </c>
      <c r="M84" s="26">
        <f>$I$32*$M$32</f>
        <v>5.6359201775162546</v>
      </c>
      <c r="N84" s="26">
        <f ca="1">$I$32*$N$32</f>
        <v>0</v>
      </c>
      <c r="O84" s="26">
        <f>$I$32*$O$32</f>
        <v>0</v>
      </c>
      <c r="P84" s="26">
        <f>$I$32*$P$32</f>
        <v>0</v>
      </c>
      <c r="Q84" s="26">
        <f>$I$32*$Q$32</f>
        <v>441.96444348015712</v>
      </c>
      <c r="R84" s="26">
        <f>$I$32*$R$32</f>
        <v>69.849193768591789</v>
      </c>
      <c r="S84" s="26">
        <f>$I$32*$S$32</f>
        <v>0</v>
      </c>
      <c r="T84" s="26">
        <f>$I$32*$T$32</f>
        <v>38.23099684564297</v>
      </c>
      <c r="U84" s="26">
        <f>$I$32*$U$32</f>
        <v>30.173973552871512</v>
      </c>
      <c r="V84" s="26">
        <f>$I$32*$V$32</f>
        <v>0</v>
      </c>
      <c r="W84" s="26">
        <f>$I$32*$W$32</f>
        <v>0</v>
      </c>
      <c r="X84" s="26">
        <f>$I$32*$X$32</f>
        <v>54.84421872302535</v>
      </c>
      <c r="Y84" s="26">
        <f>$I$32*$Y$32</f>
        <v>0</v>
      </c>
      <c r="Z84" s="26">
        <f>$I$32*$Z$32</f>
        <v>0</v>
      </c>
      <c r="AA84" s="26">
        <f>$I$32*$AA$32</f>
        <v>389.19631723882122</v>
      </c>
      <c r="AB84" s="26">
        <f ca="1">$I$32*$AB$32</f>
        <v>0</v>
      </c>
      <c r="AC84" s="26">
        <f ca="1">$I$32*$AC$32</f>
        <v>0</v>
      </c>
      <c r="AD84" s="26">
        <f>$I$32*$AD$32</f>
        <v>83.572837431717744</v>
      </c>
      <c r="AE84" s="26">
        <f>$I$32*$AE$32</f>
        <v>0.64008645263867736</v>
      </c>
      <c r="AF84" s="26">
        <f ca="1">$I$32*$AF$32</f>
        <v>0</v>
      </c>
      <c r="AG84" s="26">
        <f ca="1">$I$32*$AG$32</f>
        <v>0</v>
      </c>
      <c r="AI84" s="26">
        <f>$I$32*$AI$32</f>
        <v>0</v>
      </c>
      <c r="AJ84" s="26">
        <f>$I$32*$AJ$32</f>
        <v>4.6064936312706442</v>
      </c>
      <c r="AK84" s="26">
        <f>$I$32*$AK$32</f>
        <v>0</v>
      </c>
      <c r="AL84" s="26">
        <f>$I$32*$AL$32</f>
        <v>0</v>
      </c>
      <c r="AM84" s="26">
        <f>$I$32*$AM$32</f>
        <v>0</v>
      </c>
      <c r="AN84" s="26">
        <f>$I$32*$AN$32</f>
        <v>257.02093801345183</v>
      </c>
      <c r="AO84" s="26">
        <f>$I$32*$AO$32</f>
        <v>40.08954966397949</v>
      </c>
      <c r="AP84" s="26">
        <f>$I$32*$AP$32</f>
        <v>0</v>
      </c>
      <c r="AQ84" s="26">
        <f>$I$32*$AQ$32</f>
        <v>50.264304235773757</v>
      </c>
      <c r="AR84" s="26">
        <f>$I$32*$AR$32</f>
        <v>51.378186918521521</v>
      </c>
      <c r="AS84" s="26">
        <f>$I$32*$AS$32</f>
        <v>0</v>
      </c>
      <c r="AT84" s="26">
        <f>$I$32*$AT$32</f>
        <v>0</v>
      </c>
      <c r="AU84" s="26">
        <f>$I$32*$AU$32</f>
        <v>52.241148075468139</v>
      </c>
      <c r="AV84" s="26">
        <f>$I$32*$AV$32</f>
        <v>0</v>
      </c>
      <c r="AW84" s="26">
        <f>$I$32*$AW$32</f>
        <v>0</v>
      </c>
      <c r="AX84" s="26">
        <f>$I$32*$AX$32</f>
        <v>317.39766575049765</v>
      </c>
      <c r="AY84" s="26">
        <f>$I$32*$AY$32</f>
        <v>4.7415074426459123</v>
      </c>
      <c r="AZ84" s="26">
        <f>$I$32*$AZ$32</f>
        <v>0</v>
      </c>
      <c r="BA84" s="26">
        <f>$I$32*$BA$32</f>
        <v>61.614042101696889</v>
      </c>
      <c r="BB84" s="26">
        <f>$I$32*$BB$32</f>
        <v>0</v>
      </c>
      <c r="BC84" s="26">
        <f>$I$32*$BC$32</f>
        <v>0</v>
      </c>
      <c r="BD84" s="26">
        <f>$I$32*$BD$32</f>
        <v>0</v>
      </c>
    </row>
    <row r="85" spans="1:56" ht="11.25" customHeight="1" x14ac:dyDescent="0.25">
      <c r="A85" s="9" t="s">
        <v>43</v>
      </c>
      <c r="B85" s="9" t="s">
        <v>1009</v>
      </c>
      <c r="C85" s="9" t="s">
        <v>1010</v>
      </c>
      <c r="D85" s="9" t="s">
        <v>1011</v>
      </c>
      <c r="E85" s="9" t="s">
        <v>1012</v>
      </c>
      <c r="F85" s="9" t="s">
        <v>1013</v>
      </c>
      <c r="G85" s="9" t="s">
        <v>1014</v>
      </c>
      <c r="L85" s="26">
        <f>$I$33*$L$33</f>
        <v>0</v>
      </c>
      <c r="M85" s="26">
        <f>$I$33*$M$33</f>
        <v>40227.450826428038</v>
      </c>
      <c r="N85" s="26">
        <f ca="1">$I$33*$N$33</f>
        <v>0</v>
      </c>
      <c r="O85" s="26">
        <f>$I$33*$O$33</f>
        <v>0</v>
      </c>
      <c r="P85" s="26">
        <f>$I$33*$P$33</f>
        <v>0</v>
      </c>
      <c r="Q85" s="26">
        <f>$I$33*$Q$33</f>
        <v>3154605.1677692304</v>
      </c>
      <c r="R85" s="26">
        <f>$I$33*$R$33</f>
        <v>498561.88858053891</v>
      </c>
      <c r="S85" s="26">
        <f>$I$33*$S$33</f>
        <v>0</v>
      </c>
      <c r="T85" s="26">
        <f>$I$33*$T$33</f>
        <v>496146.99419009552</v>
      </c>
      <c r="U85" s="26">
        <f>$I$33*$U$33</f>
        <v>391591.31878792041</v>
      </c>
      <c r="V85" s="26">
        <f>$I$33*$V$33</f>
        <v>0</v>
      </c>
      <c r="W85" s="26">
        <f>$I$33*$W$33</f>
        <v>0</v>
      </c>
      <c r="X85" s="26">
        <f>$I$33*$X$33</f>
        <v>711746.69231311791</v>
      </c>
      <c r="Y85" s="26">
        <f>$I$33*$Y$33</f>
        <v>0</v>
      </c>
      <c r="Z85" s="26">
        <f>$I$33*$Z$33</f>
        <v>0</v>
      </c>
      <c r="AA85" s="26">
        <f>$I$33*$AA$33</f>
        <v>5050837.9719723687</v>
      </c>
      <c r="AB85" s="26">
        <f ca="1">$I$33*$AB$33</f>
        <v>0</v>
      </c>
      <c r="AC85" s="26">
        <f ca="1">$I$33*$AC$33</f>
        <v>0</v>
      </c>
      <c r="AD85" s="26">
        <f>$I$33*$AD$33</f>
        <v>596517.00207207096</v>
      </c>
      <c r="AE85" s="26">
        <f>$I$33*$AE$33</f>
        <v>4568.7386419892018</v>
      </c>
      <c r="AF85" s="26">
        <f ca="1">$I$33*$AF$33</f>
        <v>0</v>
      </c>
      <c r="AG85" s="26">
        <f ca="1">$I$33*$AG$33</f>
        <v>0</v>
      </c>
      <c r="AI85" s="26">
        <f>$I$33*$AI$33</f>
        <v>0</v>
      </c>
      <c r="AJ85" s="26">
        <f>$I$33*$AJ$33</f>
        <v>32879.723310037836</v>
      </c>
      <c r="AK85" s="26">
        <f>$I$33*$AK$33</f>
        <v>0</v>
      </c>
      <c r="AL85" s="26">
        <f>$I$33*$AL$33</f>
        <v>0</v>
      </c>
      <c r="AM85" s="26">
        <f>$I$33*$AM$33</f>
        <v>0</v>
      </c>
      <c r="AN85" s="26">
        <f>$I$33*$AN$33</f>
        <v>1834535.7669446382</v>
      </c>
      <c r="AO85" s="26">
        <f>$I$33*$AO$33</f>
        <v>286146.77585304191</v>
      </c>
      <c r="AP85" s="26">
        <f>$I$33*$AP$33</f>
        <v>0</v>
      </c>
      <c r="AQ85" s="26">
        <f>$I$33*$AQ$33</f>
        <v>652305.75646663189</v>
      </c>
      <c r="AR85" s="26">
        <f>$I$33*$AR$33</f>
        <v>666777.24210584641</v>
      </c>
      <c r="AS85" s="26">
        <f>$I$33*$AS$33</f>
        <v>0</v>
      </c>
      <c r="AT85" s="26">
        <f>$I$33*$AT$33</f>
        <v>0</v>
      </c>
      <c r="AU85" s="26">
        <f>$I$33*$AU$33</f>
        <v>677966.31325554522</v>
      </c>
      <c r="AV85" s="26">
        <f>$I$33*$AV$33</f>
        <v>0</v>
      </c>
      <c r="AW85" s="26">
        <f>$I$33*$AW$33</f>
        <v>0</v>
      </c>
      <c r="AX85" s="26">
        <f>$I$33*$AX$33</f>
        <v>4119060.4971937053</v>
      </c>
      <c r="AY85" s="26">
        <f>$I$33*$AY$33</f>
        <v>51123.518890461026</v>
      </c>
      <c r="AZ85" s="26">
        <f>$I$33*$AZ$33</f>
        <v>0</v>
      </c>
      <c r="BA85" s="26">
        <f>$I$33*$BA$33</f>
        <v>439781.92926710058</v>
      </c>
      <c r="BB85" s="26">
        <f>$I$33*$BB$33</f>
        <v>0</v>
      </c>
      <c r="BC85" s="26">
        <f>$I$33*$BC$33</f>
        <v>0</v>
      </c>
      <c r="BD85" s="26">
        <f>$I$33*$BD$33</f>
        <v>0</v>
      </c>
    </row>
    <row r="86" spans="1:56" ht="11.25" customHeight="1" x14ac:dyDescent="0.25">
      <c r="A86" s="9" t="s">
        <v>43</v>
      </c>
      <c r="B86" s="9" t="s">
        <v>1001</v>
      </c>
      <c r="C86" s="9" t="s">
        <v>1002</v>
      </c>
      <c r="D86" s="9" t="s">
        <v>1015</v>
      </c>
      <c r="E86" s="9" t="s">
        <v>1016</v>
      </c>
      <c r="F86" s="9" t="s">
        <v>1017</v>
      </c>
      <c r="G86" s="9" t="s">
        <v>1018</v>
      </c>
      <c r="L86" s="26">
        <f>$I$34*$L$34</f>
        <v>0</v>
      </c>
      <c r="M86" s="26">
        <f>$I$34*$M$34</f>
        <v>0</v>
      </c>
      <c r="N86" s="26">
        <f ca="1">$I$34*$N$34</f>
        <v>0</v>
      </c>
      <c r="O86" s="26">
        <f>$I$34*$O$34</f>
        <v>0</v>
      </c>
      <c r="P86" s="26">
        <f>$I$34*$P$34</f>
        <v>0</v>
      </c>
      <c r="Q86" s="26">
        <f>$I$34*$Q$34</f>
        <v>0</v>
      </c>
      <c r="R86" s="26">
        <f>$I$34*$R$34</f>
        <v>0</v>
      </c>
      <c r="S86" s="26">
        <f>$I$34*$S$34</f>
        <v>0</v>
      </c>
      <c r="T86" s="26">
        <f>$I$34*$T$34</f>
        <v>0</v>
      </c>
      <c r="U86" s="26">
        <f>$I$34*$U$34</f>
        <v>0</v>
      </c>
      <c r="V86" s="26">
        <f>$I$34*$V$34</f>
        <v>0</v>
      </c>
      <c r="W86" s="26">
        <f>$I$34*$W$34</f>
        <v>0</v>
      </c>
      <c r="X86" s="26">
        <f>$I$34*$X$34</f>
        <v>0</v>
      </c>
      <c r="Y86" s="26">
        <f>$I$34*$Y$34</f>
        <v>0</v>
      </c>
      <c r="Z86" s="26">
        <f>$I$34*$Z$34</f>
        <v>0</v>
      </c>
      <c r="AA86" s="26">
        <f>$I$34*$AA$34</f>
        <v>0</v>
      </c>
      <c r="AB86" s="26">
        <f ca="1">$I$34*$AB$34</f>
        <v>0</v>
      </c>
      <c r="AC86" s="26">
        <f ca="1">$I$34*$AC$34</f>
        <v>0</v>
      </c>
      <c r="AD86" s="26">
        <f>$I$34*$AD$34</f>
        <v>0</v>
      </c>
      <c r="AE86" s="26">
        <f>$I$34*$AE$34</f>
        <v>0</v>
      </c>
      <c r="AF86" s="26">
        <f ca="1">$I$34*$AF$34</f>
        <v>0</v>
      </c>
      <c r="AG86" s="26">
        <f ca="1">$I$34*$AG$34</f>
        <v>0</v>
      </c>
      <c r="AI86" s="26">
        <f>$I$34*$AI$34</f>
        <v>0</v>
      </c>
      <c r="AJ86" s="26">
        <f>$I$34*$AJ$34</f>
        <v>0</v>
      </c>
      <c r="AK86" s="26">
        <f>$I$34*$AK$34</f>
        <v>0</v>
      </c>
      <c r="AL86" s="26">
        <f>$I$34*$AL$34</f>
        <v>0</v>
      </c>
      <c r="AM86" s="26">
        <f>$I$34*$AM$34</f>
        <v>0</v>
      </c>
      <c r="AN86" s="26">
        <f>$I$34*$AN$34</f>
        <v>0</v>
      </c>
      <c r="AO86" s="26">
        <f>$I$34*$AO$34</f>
        <v>0</v>
      </c>
      <c r="AP86" s="26">
        <f>$I$34*$AP$34</f>
        <v>0</v>
      </c>
      <c r="AQ86" s="26">
        <f>$I$34*$AQ$34</f>
        <v>0</v>
      </c>
      <c r="AR86" s="26">
        <f>$I$34*$AR$34</f>
        <v>0</v>
      </c>
      <c r="AS86" s="26">
        <f>$I$34*$AS$34</f>
        <v>0</v>
      </c>
      <c r="AT86" s="26">
        <f>$I$34*$AT$34</f>
        <v>0</v>
      </c>
      <c r="AU86" s="26">
        <f>$I$34*$AU$34</f>
        <v>0</v>
      </c>
      <c r="AV86" s="26">
        <f>$I$34*$AV$34</f>
        <v>0</v>
      </c>
      <c r="AW86" s="26">
        <f>$I$34*$AW$34</f>
        <v>0</v>
      </c>
      <c r="AX86" s="26">
        <f>$I$34*$AX$34</f>
        <v>0</v>
      </c>
      <c r="AY86" s="26">
        <f>$I$34*$AY$34</f>
        <v>0</v>
      </c>
      <c r="AZ86" s="26">
        <f>$I$34*$AZ$34</f>
        <v>0</v>
      </c>
      <c r="BA86" s="26">
        <f>$I$34*$BA$34</f>
        <v>0</v>
      </c>
      <c r="BB86" s="26">
        <f>$I$34*$BB$34</f>
        <v>0</v>
      </c>
      <c r="BC86" s="26">
        <f>$I$34*$BC$34</f>
        <v>0</v>
      </c>
      <c r="BD86" s="26">
        <f>$I$34*$BD$34</f>
        <v>0</v>
      </c>
    </row>
    <row r="87" spans="1:56" ht="11.25" customHeight="1" x14ac:dyDescent="0.25">
      <c r="A87" s="9" t="s">
        <v>43</v>
      </c>
      <c r="B87" s="9" t="s">
        <v>1001</v>
      </c>
      <c r="C87" s="9" t="s">
        <v>1002</v>
      </c>
      <c r="D87" s="9" t="s">
        <v>1015</v>
      </c>
      <c r="E87" s="9" t="s">
        <v>1016</v>
      </c>
      <c r="F87" s="9" t="s">
        <v>1017</v>
      </c>
      <c r="G87" s="9" t="s">
        <v>1019</v>
      </c>
      <c r="L87" s="26">
        <f>$I$35*$L$35</f>
        <v>0</v>
      </c>
      <c r="M87" s="26">
        <f>$I$35*$M$35</f>
        <v>0</v>
      </c>
      <c r="N87" s="26">
        <f ca="1">$I$35*$N$35</f>
        <v>0</v>
      </c>
      <c r="O87" s="26">
        <f>$I$35*$O$35</f>
        <v>0</v>
      </c>
      <c r="P87" s="26">
        <f>$I$35*$P$35</f>
        <v>0</v>
      </c>
      <c r="Q87" s="26">
        <f>$I$35*$Q$35</f>
        <v>0</v>
      </c>
      <c r="R87" s="26">
        <f>$I$35*$R$35</f>
        <v>0</v>
      </c>
      <c r="S87" s="26">
        <f>$I$35*$S$35</f>
        <v>0</v>
      </c>
      <c r="T87" s="26">
        <f>$I$35*$T$35</f>
        <v>0</v>
      </c>
      <c r="U87" s="26">
        <f>$I$35*$U$35</f>
        <v>0</v>
      </c>
      <c r="V87" s="26">
        <f>$I$35*$V$35</f>
        <v>0</v>
      </c>
      <c r="W87" s="26">
        <f>$I$35*$W$35</f>
        <v>0</v>
      </c>
      <c r="X87" s="26">
        <f>$I$35*$X$35</f>
        <v>0</v>
      </c>
      <c r="Y87" s="26">
        <f>$I$35*$Y$35</f>
        <v>0</v>
      </c>
      <c r="Z87" s="26">
        <f>$I$35*$Z$35</f>
        <v>0</v>
      </c>
      <c r="AA87" s="26">
        <f>$I$35*$AA$35</f>
        <v>0</v>
      </c>
      <c r="AB87" s="26">
        <f ca="1">$I$35*$AB$35</f>
        <v>0</v>
      </c>
      <c r="AC87" s="26">
        <f ca="1">$I$35*$AC$35</f>
        <v>0</v>
      </c>
      <c r="AD87" s="26">
        <f>$I$35*$AD$35</f>
        <v>0</v>
      </c>
      <c r="AE87" s="26">
        <f>$I$35*$AE$35</f>
        <v>0</v>
      </c>
      <c r="AF87" s="26">
        <f ca="1">$I$35*$AF$35</f>
        <v>0</v>
      </c>
      <c r="AG87" s="26">
        <f ca="1">$I$35*$AG$35</f>
        <v>0</v>
      </c>
      <c r="AI87" s="26">
        <f>$I$35*$AI$35</f>
        <v>0</v>
      </c>
      <c r="AJ87" s="26">
        <f>$I$35*$AJ$35</f>
        <v>0</v>
      </c>
      <c r="AK87" s="26">
        <f>$I$35*$AK$35</f>
        <v>0</v>
      </c>
      <c r="AL87" s="26">
        <f>$I$35*$AL$35</f>
        <v>0</v>
      </c>
      <c r="AM87" s="26">
        <f>$I$35*$AM$35</f>
        <v>0</v>
      </c>
      <c r="AN87" s="26">
        <f>$I$35*$AN$35</f>
        <v>0</v>
      </c>
      <c r="AO87" s="26">
        <f>$I$35*$AO$35</f>
        <v>0</v>
      </c>
      <c r="AP87" s="26">
        <f>$I$35*$AP$35</f>
        <v>0</v>
      </c>
      <c r="AQ87" s="26">
        <f>$I$35*$AQ$35</f>
        <v>0</v>
      </c>
      <c r="AR87" s="26">
        <f>$I$35*$AR$35</f>
        <v>0</v>
      </c>
      <c r="AS87" s="26">
        <f>$I$35*$AS$35</f>
        <v>0</v>
      </c>
      <c r="AT87" s="26">
        <f>$I$35*$AT$35</f>
        <v>0</v>
      </c>
      <c r="AU87" s="26">
        <f>$I$35*$AU$35</f>
        <v>0</v>
      </c>
      <c r="AV87" s="26">
        <f>$I$35*$AV$35</f>
        <v>0</v>
      </c>
      <c r="AW87" s="26">
        <f>$I$35*$AW$35</f>
        <v>0</v>
      </c>
      <c r="AX87" s="26">
        <f>$I$35*$AX$35</f>
        <v>0</v>
      </c>
      <c r="AY87" s="26">
        <f>$I$35*$AY$35</f>
        <v>0</v>
      </c>
      <c r="AZ87" s="26">
        <f>$I$35*$AZ$35</f>
        <v>0</v>
      </c>
      <c r="BA87" s="26">
        <f>$I$35*$BA$35</f>
        <v>0</v>
      </c>
      <c r="BB87" s="26">
        <f>$I$35*$BB$35</f>
        <v>0</v>
      </c>
      <c r="BC87" s="26">
        <f>$I$35*$BC$35</f>
        <v>0</v>
      </c>
      <c r="BD87" s="26">
        <f>$I$35*$BD$35</f>
        <v>0</v>
      </c>
    </row>
    <row r="88" spans="1:56" ht="11.25" customHeight="1" x14ac:dyDescent="0.25">
      <c r="A88" s="9" t="s">
        <v>43</v>
      </c>
      <c r="B88" s="9" t="s">
        <v>1001</v>
      </c>
      <c r="C88" s="9" t="s">
        <v>1002</v>
      </c>
      <c r="D88" s="9" t="s">
        <v>1015</v>
      </c>
      <c r="E88" s="9" t="s">
        <v>1016</v>
      </c>
      <c r="F88" s="9" t="s">
        <v>1017</v>
      </c>
      <c r="G88" s="9" t="s">
        <v>1020</v>
      </c>
      <c r="L88" s="26">
        <f>$I$36*$L$36</f>
        <v>0</v>
      </c>
      <c r="M88" s="26">
        <f>$I$36*$M$36</f>
        <v>0</v>
      </c>
      <c r="N88" s="26">
        <f ca="1">$I$36*$N$36</f>
        <v>0</v>
      </c>
      <c r="O88" s="26">
        <f>$I$36*$O$36</f>
        <v>0</v>
      </c>
      <c r="P88" s="26">
        <f>$I$36*$P$36</f>
        <v>0</v>
      </c>
      <c r="Q88" s="26">
        <f>$I$36*$Q$36</f>
        <v>0</v>
      </c>
      <c r="R88" s="26">
        <f>$I$36*$R$36</f>
        <v>0</v>
      </c>
      <c r="S88" s="26">
        <f>$I$36*$S$36</f>
        <v>0</v>
      </c>
      <c r="T88" s="26">
        <f>$I$36*$T$36</f>
        <v>0</v>
      </c>
      <c r="U88" s="26">
        <f>$I$36*$U$36</f>
        <v>0</v>
      </c>
      <c r="V88" s="26">
        <f>$I$36*$V$36</f>
        <v>0</v>
      </c>
      <c r="W88" s="26">
        <f>$I$36*$W$36</f>
        <v>0</v>
      </c>
      <c r="X88" s="26">
        <f>$I$36*$X$36</f>
        <v>0</v>
      </c>
      <c r="Y88" s="26">
        <f>$I$36*$Y$36</f>
        <v>0</v>
      </c>
      <c r="Z88" s="26">
        <f>$I$36*$Z$36</f>
        <v>0</v>
      </c>
      <c r="AA88" s="26">
        <f>$I$36*$AA$36</f>
        <v>0</v>
      </c>
      <c r="AB88" s="26">
        <f ca="1">$I$36*$AB$36</f>
        <v>0</v>
      </c>
      <c r="AC88" s="26">
        <f ca="1">$I$36*$AC$36</f>
        <v>0</v>
      </c>
      <c r="AD88" s="26">
        <f>$I$36*$AD$36</f>
        <v>0</v>
      </c>
      <c r="AE88" s="26">
        <f>$I$36*$AE$36</f>
        <v>0</v>
      </c>
      <c r="AF88" s="26">
        <f ca="1">$I$36*$AF$36</f>
        <v>0</v>
      </c>
      <c r="AG88" s="26">
        <f ca="1">$I$36*$AG$36</f>
        <v>0</v>
      </c>
      <c r="AI88" s="26">
        <f>$I$36*$AI$36</f>
        <v>0</v>
      </c>
      <c r="AJ88" s="26">
        <f>$I$36*$AJ$36</f>
        <v>0</v>
      </c>
      <c r="AK88" s="26">
        <f>$I$36*$AK$36</f>
        <v>0</v>
      </c>
      <c r="AL88" s="26">
        <f>$I$36*$AL$36</f>
        <v>0</v>
      </c>
      <c r="AM88" s="26">
        <f>$I$36*$AM$36</f>
        <v>0</v>
      </c>
      <c r="AN88" s="26">
        <f>$I$36*$AN$36</f>
        <v>0</v>
      </c>
      <c r="AO88" s="26">
        <f>$I$36*$AO$36</f>
        <v>0</v>
      </c>
      <c r="AP88" s="26">
        <f>$I$36*$AP$36</f>
        <v>0</v>
      </c>
      <c r="AQ88" s="26">
        <f>$I$36*$AQ$36</f>
        <v>0</v>
      </c>
      <c r="AR88" s="26">
        <f>$I$36*$AR$36</f>
        <v>0</v>
      </c>
      <c r="AS88" s="26">
        <f>$I$36*$AS$36</f>
        <v>0</v>
      </c>
      <c r="AT88" s="26">
        <f>$I$36*$AT$36</f>
        <v>0</v>
      </c>
      <c r="AU88" s="26">
        <f>$I$36*$AU$36</f>
        <v>0</v>
      </c>
      <c r="AV88" s="26">
        <f>$I$36*$AV$36</f>
        <v>0</v>
      </c>
      <c r="AW88" s="26">
        <f>$I$36*$AW$36</f>
        <v>0</v>
      </c>
      <c r="AX88" s="26">
        <f>$I$36*$AX$36</f>
        <v>0</v>
      </c>
      <c r="AY88" s="26">
        <f>$I$36*$AY$36</f>
        <v>0</v>
      </c>
      <c r="AZ88" s="26">
        <f>$I$36*$AZ$36</f>
        <v>0</v>
      </c>
      <c r="BA88" s="26">
        <f>$I$36*$BA$36</f>
        <v>0</v>
      </c>
      <c r="BB88" s="26">
        <f>$I$36*$BB$36</f>
        <v>0</v>
      </c>
      <c r="BC88" s="26">
        <f>$I$36*$BC$36</f>
        <v>0</v>
      </c>
      <c r="BD88" s="26">
        <f>$I$36*$BD$36</f>
        <v>0</v>
      </c>
    </row>
    <row r="89" spans="1:56" ht="11.25" customHeight="1" x14ac:dyDescent="0.25">
      <c r="A89" s="9" t="s">
        <v>43</v>
      </c>
      <c r="B89" s="9" t="s">
        <v>1009</v>
      </c>
      <c r="C89" s="9" t="s">
        <v>1010</v>
      </c>
      <c r="D89" s="9" t="s">
        <v>1021</v>
      </c>
      <c r="E89" s="9" t="s">
        <v>1022</v>
      </c>
      <c r="F89" s="9" t="s">
        <v>1023</v>
      </c>
      <c r="G89" s="9" t="s">
        <v>1024</v>
      </c>
      <c r="L89" s="26">
        <f>$I$37*$L$37</f>
        <v>0</v>
      </c>
      <c r="M89" s="26">
        <f>$I$37*$M$37</f>
        <v>0</v>
      </c>
      <c r="N89" s="26">
        <f ca="1">$I$37*$N$37</f>
        <v>0</v>
      </c>
      <c r="O89" s="26">
        <f>$I$37*$O$37</f>
        <v>0</v>
      </c>
      <c r="P89" s="26">
        <f>$I$37*$P$37</f>
        <v>0</v>
      </c>
      <c r="Q89" s="26">
        <f>$I$37*$Q$37</f>
        <v>0</v>
      </c>
      <c r="R89" s="26">
        <f>$I$37*$R$37</f>
        <v>0</v>
      </c>
      <c r="S89" s="26">
        <f>$I$37*$S$37</f>
        <v>0</v>
      </c>
      <c r="T89" s="26">
        <f>$I$37*$T$37</f>
        <v>0</v>
      </c>
      <c r="U89" s="26">
        <f>$I$37*$U$37</f>
        <v>0</v>
      </c>
      <c r="V89" s="26">
        <f>$I$37*$V$37</f>
        <v>0</v>
      </c>
      <c r="W89" s="26">
        <f>$I$37*$W$37</f>
        <v>0</v>
      </c>
      <c r="X89" s="26">
        <f>$I$37*$X$37</f>
        <v>0</v>
      </c>
      <c r="Y89" s="26">
        <f>$I$37*$Y$37</f>
        <v>0</v>
      </c>
      <c r="Z89" s="26">
        <f>$I$37*$Z$37</f>
        <v>0</v>
      </c>
      <c r="AA89" s="26">
        <f>$I$37*$AA$37</f>
        <v>0</v>
      </c>
      <c r="AB89" s="26">
        <f ca="1">$I$37*$AB$37</f>
        <v>0</v>
      </c>
      <c r="AC89" s="26">
        <f ca="1">$I$37*$AC$37</f>
        <v>0</v>
      </c>
      <c r="AD89" s="26">
        <f>$I$37*$AD$37</f>
        <v>0</v>
      </c>
      <c r="AE89" s="26">
        <f>$I$37*$AE$37</f>
        <v>0</v>
      </c>
      <c r="AF89" s="26">
        <f ca="1">$I$37*$AF$37</f>
        <v>0</v>
      </c>
      <c r="AG89" s="26">
        <f ca="1">$I$37*$AG$37</f>
        <v>0</v>
      </c>
      <c r="AI89" s="26">
        <f>$I$37*$AI$37</f>
        <v>0</v>
      </c>
      <c r="AJ89" s="26">
        <f>$I$37*$AJ$37</f>
        <v>0</v>
      </c>
      <c r="AK89" s="26">
        <f>$I$37*$AK$37</f>
        <v>0</v>
      </c>
      <c r="AL89" s="26">
        <f>$I$37*$AL$37</f>
        <v>0</v>
      </c>
      <c r="AM89" s="26">
        <f>$I$37*$AM$37</f>
        <v>0</v>
      </c>
      <c r="AN89" s="26">
        <f>$I$37*$AN$37</f>
        <v>0</v>
      </c>
      <c r="AO89" s="26">
        <f>$I$37*$AO$37</f>
        <v>0</v>
      </c>
      <c r="AP89" s="26">
        <f>$I$37*$AP$37</f>
        <v>0</v>
      </c>
      <c r="AQ89" s="26">
        <f>$I$37*$AQ$37</f>
        <v>0</v>
      </c>
      <c r="AR89" s="26">
        <f>$I$37*$AR$37</f>
        <v>0</v>
      </c>
      <c r="AS89" s="26">
        <f>$I$37*$AS$37</f>
        <v>0</v>
      </c>
      <c r="AT89" s="26">
        <f>$I$37*$AT$37</f>
        <v>0</v>
      </c>
      <c r="AU89" s="26">
        <f>$I$37*$AU$37</f>
        <v>0</v>
      </c>
      <c r="AV89" s="26">
        <f>$I$37*$AV$37</f>
        <v>0</v>
      </c>
      <c r="AW89" s="26">
        <f>$I$37*$AW$37</f>
        <v>0</v>
      </c>
      <c r="AX89" s="26">
        <f>$I$37*$AX$37</f>
        <v>0</v>
      </c>
      <c r="AY89" s="26">
        <f>$I$37*$AY$37</f>
        <v>0</v>
      </c>
      <c r="AZ89" s="26">
        <f>$I$37*$AZ$37</f>
        <v>0</v>
      </c>
      <c r="BA89" s="26">
        <f>$I$37*$BA$37</f>
        <v>0</v>
      </c>
      <c r="BB89" s="26">
        <f>$I$37*$BB$37</f>
        <v>0</v>
      </c>
      <c r="BC89" s="26">
        <f>$I$37*$BC$37</f>
        <v>0</v>
      </c>
      <c r="BD89" s="26">
        <f>$I$37*$BD$37</f>
        <v>0</v>
      </c>
    </row>
    <row r="90" spans="1:56" ht="11.25" customHeight="1" x14ac:dyDescent="0.25">
      <c r="A90" s="9" t="s">
        <v>43</v>
      </c>
      <c r="B90" s="9" t="s">
        <v>1001</v>
      </c>
      <c r="C90" s="9" t="s">
        <v>1002</v>
      </c>
      <c r="D90" s="9" t="s">
        <v>1025</v>
      </c>
      <c r="E90" s="9" t="s">
        <v>1026</v>
      </c>
      <c r="F90" s="9" t="s">
        <v>1027</v>
      </c>
      <c r="G90" s="9" t="s">
        <v>1028</v>
      </c>
      <c r="L90" s="26">
        <f>$I$38*$L$38</f>
        <v>0</v>
      </c>
      <c r="M90" s="26">
        <f>$I$38*$M$38</f>
        <v>0</v>
      </c>
      <c r="N90" s="26">
        <f ca="1">$I$38*$N$38</f>
        <v>0</v>
      </c>
      <c r="O90" s="26">
        <f>$I$38*$O$38</f>
        <v>0</v>
      </c>
      <c r="P90" s="26">
        <f>$I$38*$P$38</f>
        <v>0</v>
      </c>
      <c r="Q90" s="26">
        <f>$I$38*$Q$38</f>
        <v>0</v>
      </c>
      <c r="R90" s="26">
        <f>$I$38*$R$38</f>
        <v>0</v>
      </c>
      <c r="S90" s="26">
        <f>$I$38*$S$38</f>
        <v>0</v>
      </c>
      <c r="T90" s="26">
        <f>$I$38*$T$38</f>
        <v>0</v>
      </c>
      <c r="U90" s="26">
        <f>$I$38*$U$38</f>
        <v>0</v>
      </c>
      <c r="V90" s="26">
        <f>$I$38*$V$38</f>
        <v>0</v>
      </c>
      <c r="W90" s="26">
        <f>$I$38*$W$38</f>
        <v>0</v>
      </c>
      <c r="X90" s="26">
        <f>$I$38*$X$38</f>
        <v>0</v>
      </c>
      <c r="Y90" s="26">
        <f>$I$38*$Y$38</f>
        <v>0</v>
      </c>
      <c r="Z90" s="26">
        <f>$I$38*$Z$38</f>
        <v>0</v>
      </c>
      <c r="AA90" s="26">
        <f>$I$38*$AA$38</f>
        <v>0</v>
      </c>
      <c r="AB90" s="26">
        <f ca="1">$I$38*$AB$38</f>
        <v>0</v>
      </c>
      <c r="AC90" s="26">
        <f ca="1">$I$38*$AC$38</f>
        <v>0</v>
      </c>
      <c r="AD90" s="26">
        <f>$I$38*$AD$38</f>
        <v>0</v>
      </c>
      <c r="AE90" s="26">
        <f>$I$38*$AE$38</f>
        <v>0</v>
      </c>
      <c r="AF90" s="26">
        <f ca="1">$I$38*$AF$38</f>
        <v>0</v>
      </c>
      <c r="AG90" s="26">
        <f ca="1">$I$38*$AG$38</f>
        <v>0</v>
      </c>
      <c r="AI90" s="26">
        <f>$I$38*$AI$38</f>
        <v>0</v>
      </c>
      <c r="AJ90" s="26">
        <f>$I$38*$AJ$38</f>
        <v>0</v>
      </c>
      <c r="AK90" s="26">
        <f>$I$38*$AK$38</f>
        <v>0</v>
      </c>
      <c r="AL90" s="26">
        <f>$I$38*$AL$38</f>
        <v>0</v>
      </c>
      <c r="AM90" s="26">
        <f>$I$38*$AM$38</f>
        <v>0</v>
      </c>
      <c r="AN90" s="26">
        <f>$I$38*$AN$38</f>
        <v>0</v>
      </c>
      <c r="AO90" s="26">
        <f>$I$38*$AO$38</f>
        <v>0</v>
      </c>
      <c r="AP90" s="26">
        <f>$I$38*$AP$38</f>
        <v>0</v>
      </c>
      <c r="AQ90" s="26">
        <f>$I$38*$AQ$38</f>
        <v>0</v>
      </c>
      <c r="AR90" s="26">
        <f>$I$38*$AR$38</f>
        <v>0</v>
      </c>
      <c r="AS90" s="26">
        <f>$I$38*$AS$38</f>
        <v>0</v>
      </c>
      <c r="AT90" s="26">
        <f>$I$38*$AT$38</f>
        <v>0</v>
      </c>
      <c r="AU90" s="26">
        <f>$I$38*$AU$38</f>
        <v>0</v>
      </c>
      <c r="AV90" s="26">
        <f>$I$38*$AV$38</f>
        <v>0</v>
      </c>
      <c r="AW90" s="26">
        <f>$I$38*$AW$38</f>
        <v>0</v>
      </c>
      <c r="AX90" s="26">
        <f>$I$38*$AX$38</f>
        <v>0</v>
      </c>
      <c r="AY90" s="26">
        <f>$I$38*$AY$38</f>
        <v>0</v>
      </c>
      <c r="AZ90" s="26">
        <f>$I$38*$AZ$38</f>
        <v>0</v>
      </c>
      <c r="BA90" s="26">
        <f>$I$38*$BA$38</f>
        <v>0</v>
      </c>
      <c r="BB90" s="26">
        <f>$I$38*$BB$38</f>
        <v>0</v>
      </c>
      <c r="BC90" s="26">
        <f>$I$38*$BC$38</f>
        <v>0</v>
      </c>
      <c r="BD90" s="26">
        <f>$I$38*$BD$38</f>
        <v>0</v>
      </c>
    </row>
    <row r="91" spans="1:56" ht="11.25" customHeight="1" x14ac:dyDescent="0.25">
      <c r="A91" s="9" t="s">
        <v>43</v>
      </c>
      <c r="B91" s="9" t="s">
        <v>1001</v>
      </c>
      <c r="C91" s="9" t="s">
        <v>1002</v>
      </c>
      <c r="D91" s="9" t="s">
        <v>1025</v>
      </c>
      <c r="E91" s="9" t="s">
        <v>1026</v>
      </c>
      <c r="F91" s="9" t="s">
        <v>1027</v>
      </c>
      <c r="G91" s="9" t="s">
        <v>1029</v>
      </c>
      <c r="L91" s="26">
        <f>$I$39*$L$39</f>
        <v>0</v>
      </c>
      <c r="M91" s="26">
        <f>$I$39*$M$39</f>
        <v>0</v>
      </c>
      <c r="N91" s="26">
        <f ca="1">$I$39*$N$39</f>
        <v>0</v>
      </c>
      <c r="O91" s="26">
        <f>$I$39*$O$39</f>
        <v>0</v>
      </c>
      <c r="P91" s="26">
        <f>$I$39*$P$39</f>
        <v>0</v>
      </c>
      <c r="Q91" s="26">
        <f>$I$39*$Q$39</f>
        <v>0</v>
      </c>
      <c r="R91" s="26">
        <f>$I$39*$R$39</f>
        <v>0</v>
      </c>
      <c r="S91" s="26">
        <f>$I$39*$S$39</f>
        <v>0</v>
      </c>
      <c r="T91" s="26">
        <f>$I$39*$T$39</f>
        <v>0</v>
      </c>
      <c r="U91" s="26">
        <f>$I$39*$U$39</f>
        <v>0</v>
      </c>
      <c r="V91" s="26">
        <f>$I$39*$V$39</f>
        <v>0</v>
      </c>
      <c r="W91" s="26">
        <f>$I$39*$W$39</f>
        <v>0</v>
      </c>
      <c r="X91" s="26">
        <f>$I$39*$X$39</f>
        <v>0</v>
      </c>
      <c r="Y91" s="26">
        <f>$I$39*$Y$39</f>
        <v>0</v>
      </c>
      <c r="Z91" s="26">
        <f>$I$39*$Z$39</f>
        <v>0</v>
      </c>
      <c r="AA91" s="26">
        <f>$I$39*$AA$39</f>
        <v>0</v>
      </c>
      <c r="AB91" s="26">
        <f ca="1">$I$39*$AB$39</f>
        <v>0</v>
      </c>
      <c r="AC91" s="26">
        <f ca="1">$I$39*$AC$39</f>
        <v>0</v>
      </c>
      <c r="AD91" s="26">
        <f>$I$39*$AD$39</f>
        <v>0</v>
      </c>
      <c r="AE91" s="26">
        <f>$I$39*$AE$39</f>
        <v>0</v>
      </c>
      <c r="AF91" s="26">
        <f ca="1">$I$39*$AF$39</f>
        <v>0</v>
      </c>
      <c r="AG91" s="26">
        <f ca="1">$I$39*$AG$39</f>
        <v>0</v>
      </c>
      <c r="AI91" s="26">
        <f>$I$39*$AI$39</f>
        <v>0</v>
      </c>
      <c r="AJ91" s="26">
        <f>$I$39*$AJ$39</f>
        <v>0</v>
      </c>
      <c r="AK91" s="26">
        <f>$I$39*$AK$39</f>
        <v>0</v>
      </c>
      <c r="AL91" s="26">
        <f>$I$39*$AL$39</f>
        <v>0</v>
      </c>
      <c r="AM91" s="26">
        <f>$I$39*$AM$39</f>
        <v>0</v>
      </c>
      <c r="AN91" s="26">
        <f>$I$39*$AN$39</f>
        <v>0</v>
      </c>
      <c r="AO91" s="26">
        <f>$I$39*$AO$39</f>
        <v>0</v>
      </c>
      <c r="AP91" s="26">
        <f>$I$39*$AP$39</f>
        <v>0</v>
      </c>
      <c r="AQ91" s="26">
        <f>$I$39*$AQ$39</f>
        <v>0</v>
      </c>
      <c r="AR91" s="26">
        <f>$I$39*$AR$39</f>
        <v>0</v>
      </c>
      <c r="AS91" s="26">
        <f>$I$39*$AS$39</f>
        <v>0</v>
      </c>
      <c r="AT91" s="26">
        <f>$I$39*$AT$39</f>
        <v>0</v>
      </c>
      <c r="AU91" s="26">
        <f>$I$39*$AU$39</f>
        <v>0</v>
      </c>
      <c r="AV91" s="26">
        <f>$I$39*$AV$39</f>
        <v>0</v>
      </c>
      <c r="AW91" s="26">
        <f>$I$39*$AW$39</f>
        <v>0</v>
      </c>
      <c r="AX91" s="26">
        <f>$I$39*$AX$39</f>
        <v>0</v>
      </c>
      <c r="AY91" s="26">
        <f>$I$39*$AY$39</f>
        <v>0</v>
      </c>
      <c r="AZ91" s="26">
        <f>$I$39*$AZ$39</f>
        <v>0</v>
      </c>
      <c r="BA91" s="26">
        <f>$I$39*$BA$39</f>
        <v>0</v>
      </c>
      <c r="BB91" s="26">
        <f>$I$39*$BB$39</f>
        <v>0</v>
      </c>
      <c r="BC91" s="26">
        <f>$I$39*$BC$39</f>
        <v>0</v>
      </c>
      <c r="BD91" s="26">
        <f>$I$39*$BD$39</f>
        <v>0</v>
      </c>
    </row>
    <row r="92" spans="1:56" ht="11.25" customHeight="1" x14ac:dyDescent="0.25">
      <c r="A92" s="9" t="s">
        <v>43</v>
      </c>
      <c r="B92" s="9" t="s">
        <v>1001</v>
      </c>
      <c r="C92" s="9" t="s">
        <v>1002</v>
      </c>
      <c r="D92" s="9" t="s">
        <v>1025</v>
      </c>
      <c r="E92" s="9" t="s">
        <v>1026</v>
      </c>
      <c r="F92" s="9" t="s">
        <v>1027</v>
      </c>
      <c r="G92" s="9" t="s">
        <v>1030</v>
      </c>
      <c r="L92" s="26">
        <f>$I$40*$L$40</f>
        <v>0</v>
      </c>
      <c r="M92" s="26">
        <f>$I$40*$M$40</f>
        <v>0</v>
      </c>
      <c r="N92" s="26">
        <f ca="1">$I$40*$N$40</f>
        <v>0</v>
      </c>
      <c r="O92" s="26">
        <f>$I$40*$O$40</f>
        <v>0</v>
      </c>
      <c r="P92" s="26">
        <f>$I$40*$P$40</f>
        <v>0</v>
      </c>
      <c r="Q92" s="26">
        <f>$I$40*$Q$40</f>
        <v>0</v>
      </c>
      <c r="R92" s="26">
        <f>$I$40*$R$40</f>
        <v>0</v>
      </c>
      <c r="S92" s="26">
        <f>$I$40*$S$40</f>
        <v>0</v>
      </c>
      <c r="T92" s="26">
        <f>$I$40*$T$40</f>
        <v>0</v>
      </c>
      <c r="U92" s="26">
        <f>$I$40*$U$40</f>
        <v>0</v>
      </c>
      <c r="V92" s="26">
        <f>$I$40*$V$40</f>
        <v>0</v>
      </c>
      <c r="W92" s="26">
        <f>$I$40*$W$40</f>
        <v>0</v>
      </c>
      <c r="X92" s="26">
        <f>$I$40*$X$40</f>
        <v>0</v>
      </c>
      <c r="Y92" s="26">
        <f>$I$40*$Y$40</f>
        <v>0</v>
      </c>
      <c r="Z92" s="26">
        <f>$I$40*$Z$40</f>
        <v>0</v>
      </c>
      <c r="AA92" s="26">
        <f>$I$40*$AA$40</f>
        <v>0</v>
      </c>
      <c r="AB92" s="26">
        <f ca="1">$I$40*$AB$40</f>
        <v>0</v>
      </c>
      <c r="AC92" s="26">
        <f ca="1">$I$40*$AC$40</f>
        <v>0</v>
      </c>
      <c r="AD92" s="26">
        <f>$I$40*$AD$40</f>
        <v>0</v>
      </c>
      <c r="AE92" s="26">
        <f>$I$40*$AE$40</f>
        <v>0</v>
      </c>
      <c r="AF92" s="26">
        <f ca="1">$I$40*$AF$40</f>
        <v>0</v>
      </c>
      <c r="AG92" s="26">
        <f ca="1">$I$40*$AG$40</f>
        <v>0</v>
      </c>
      <c r="AI92" s="26">
        <f>$I$40*$AI$40</f>
        <v>0</v>
      </c>
      <c r="AJ92" s="26">
        <f>$I$40*$AJ$40</f>
        <v>0</v>
      </c>
      <c r="AK92" s="26">
        <f>$I$40*$AK$40</f>
        <v>0</v>
      </c>
      <c r="AL92" s="26">
        <f>$I$40*$AL$40</f>
        <v>0</v>
      </c>
      <c r="AM92" s="26">
        <f>$I$40*$AM$40</f>
        <v>0</v>
      </c>
      <c r="AN92" s="26">
        <f>$I$40*$AN$40</f>
        <v>0</v>
      </c>
      <c r="AO92" s="26">
        <f>$I$40*$AO$40</f>
        <v>0</v>
      </c>
      <c r="AP92" s="26">
        <f>$I$40*$AP$40</f>
        <v>0</v>
      </c>
      <c r="AQ92" s="26">
        <f>$I$40*$AQ$40</f>
        <v>0</v>
      </c>
      <c r="AR92" s="26">
        <f>$I$40*$AR$40</f>
        <v>0</v>
      </c>
      <c r="AS92" s="26">
        <f>$I$40*$AS$40</f>
        <v>0</v>
      </c>
      <c r="AT92" s="26">
        <f>$I$40*$AT$40</f>
        <v>0</v>
      </c>
      <c r="AU92" s="26">
        <f>$I$40*$AU$40</f>
        <v>0</v>
      </c>
      <c r="AV92" s="26">
        <f>$I$40*$AV$40</f>
        <v>0</v>
      </c>
      <c r="AW92" s="26">
        <f>$I$40*$AW$40</f>
        <v>0</v>
      </c>
      <c r="AX92" s="26">
        <f>$I$40*$AX$40</f>
        <v>0</v>
      </c>
      <c r="AY92" s="26">
        <f>$I$40*$AY$40</f>
        <v>0</v>
      </c>
      <c r="AZ92" s="26">
        <f>$I$40*$AZ$40</f>
        <v>0</v>
      </c>
      <c r="BA92" s="26">
        <f>$I$40*$BA$40</f>
        <v>0</v>
      </c>
      <c r="BB92" s="26">
        <f>$I$40*$BB$40</f>
        <v>0</v>
      </c>
      <c r="BC92" s="26">
        <f>$I$40*$BC$40</f>
        <v>0</v>
      </c>
      <c r="BD92" s="26">
        <f>$I$40*$BD$40</f>
        <v>0</v>
      </c>
    </row>
    <row r="93" spans="1:56" ht="11.25" customHeight="1" x14ac:dyDescent="0.25">
      <c r="A93" s="9" t="s">
        <v>43</v>
      </c>
      <c r="B93" s="9" t="s">
        <v>1009</v>
      </c>
      <c r="C93" s="9" t="s">
        <v>1010</v>
      </c>
      <c r="D93" s="9" t="s">
        <v>1031</v>
      </c>
      <c r="E93" s="9" t="s">
        <v>1032</v>
      </c>
      <c r="F93" s="9" t="s">
        <v>1033</v>
      </c>
      <c r="G93" s="9" t="s">
        <v>1034</v>
      </c>
      <c r="L93" s="26">
        <f>$I$41*$L$41</f>
        <v>0</v>
      </c>
      <c r="M93" s="26">
        <f>$I$41*$M$41</f>
        <v>0</v>
      </c>
      <c r="N93" s="26">
        <f ca="1">$I$41*$N$41</f>
        <v>0</v>
      </c>
      <c r="O93" s="26">
        <f>$I$41*$O$41</f>
        <v>0</v>
      </c>
      <c r="P93" s="26">
        <f>$I$41*$P$41</f>
        <v>0</v>
      </c>
      <c r="Q93" s="26">
        <f>$I$41*$Q$41</f>
        <v>0</v>
      </c>
      <c r="R93" s="26">
        <f>$I$41*$R$41</f>
        <v>0</v>
      </c>
      <c r="S93" s="26">
        <f>$I$41*$S$41</f>
        <v>0</v>
      </c>
      <c r="T93" s="26">
        <f>$I$41*$T$41</f>
        <v>0</v>
      </c>
      <c r="U93" s="26">
        <f>$I$41*$U$41</f>
        <v>0</v>
      </c>
      <c r="V93" s="26">
        <f>$I$41*$V$41</f>
        <v>0</v>
      </c>
      <c r="W93" s="26">
        <f>$I$41*$W$41</f>
        <v>0</v>
      </c>
      <c r="X93" s="26">
        <f>$I$41*$X$41</f>
        <v>0</v>
      </c>
      <c r="Y93" s="26">
        <f>$I$41*$Y$41</f>
        <v>0</v>
      </c>
      <c r="Z93" s="26">
        <f>$I$41*$Z$41</f>
        <v>0</v>
      </c>
      <c r="AA93" s="26">
        <f>$I$41*$AA$41</f>
        <v>0</v>
      </c>
      <c r="AB93" s="26">
        <f ca="1">$I$41*$AB$41</f>
        <v>0</v>
      </c>
      <c r="AC93" s="26">
        <f ca="1">$I$41*$AC$41</f>
        <v>0</v>
      </c>
      <c r="AD93" s="26">
        <f>$I$41*$AD$41</f>
        <v>0</v>
      </c>
      <c r="AE93" s="26">
        <f>$I$41*$AE$41</f>
        <v>0</v>
      </c>
      <c r="AF93" s="26">
        <f ca="1">$I$41*$AF$41</f>
        <v>0</v>
      </c>
      <c r="AG93" s="26">
        <f ca="1">$I$41*$AG$41</f>
        <v>0</v>
      </c>
      <c r="AI93" s="26">
        <f>$I$41*$AI$41</f>
        <v>0</v>
      </c>
      <c r="AJ93" s="26">
        <f>$I$41*$AJ$41</f>
        <v>0</v>
      </c>
      <c r="AK93" s="26">
        <f>$I$41*$AK$41</f>
        <v>0</v>
      </c>
      <c r="AL93" s="26">
        <f>$I$41*$AL$41</f>
        <v>0</v>
      </c>
      <c r="AM93" s="26">
        <f>$I$41*$AM$41</f>
        <v>0</v>
      </c>
      <c r="AN93" s="26">
        <f>$I$41*$AN$41</f>
        <v>0</v>
      </c>
      <c r="AO93" s="26">
        <f>$I$41*$AO$41</f>
        <v>0</v>
      </c>
      <c r="AP93" s="26">
        <f>$I$41*$AP$41</f>
        <v>0</v>
      </c>
      <c r="AQ93" s="26">
        <f>$I$41*$AQ$41</f>
        <v>0</v>
      </c>
      <c r="AR93" s="26">
        <f>$I$41*$AR$41</f>
        <v>0</v>
      </c>
      <c r="AS93" s="26">
        <f>$I$41*$AS$41</f>
        <v>0</v>
      </c>
      <c r="AT93" s="26">
        <f>$I$41*$AT$41</f>
        <v>0</v>
      </c>
      <c r="AU93" s="26">
        <f>$I$41*$AU$41</f>
        <v>0</v>
      </c>
      <c r="AV93" s="26">
        <f>$I$41*$AV$41</f>
        <v>0</v>
      </c>
      <c r="AW93" s="26">
        <f>$I$41*$AW$41</f>
        <v>0</v>
      </c>
      <c r="AX93" s="26">
        <f>$I$41*$AX$41</f>
        <v>0</v>
      </c>
      <c r="AY93" s="26">
        <f>$I$41*$AY$41</f>
        <v>0</v>
      </c>
      <c r="AZ93" s="26">
        <f>$I$41*$AZ$41</f>
        <v>0</v>
      </c>
      <c r="BA93" s="26">
        <f>$I$41*$BA$41</f>
        <v>0</v>
      </c>
      <c r="BB93" s="26">
        <f>$I$41*$BB$41</f>
        <v>0</v>
      </c>
      <c r="BC93" s="26">
        <f>$I$41*$BC$41</f>
        <v>0</v>
      </c>
      <c r="BD93" s="26">
        <f>$I$41*$BD$41</f>
        <v>0</v>
      </c>
    </row>
    <row r="94" spans="1:56" ht="11.25" customHeight="1" x14ac:dyDescent="0.25">
      <c r="A94" s="9" t="s">
        <v>43</v>
      </c>
      <c r="B94" s="9" t="s">
        <v>1035</v>
      </c>
      <c r="C94" s="9" t="s">
        <v>1036</v>
      </c>
      <c r="D94" s="9" t="s">
        <v>1037</v>
      </c>
      <c r="E94" s="9" t="s">
        <v>1038</v>
      </c>
      <c r="F94" s="9" t="s">
        <v>1039</v>
      </c>
      <c r="G94" s="9" t="s">
        <v>1040</v>
      </c>
      <c r="L94" s="26">
        <f>$I$42*$L$42</f>
        <v>0</v>
      </c>
      <c r="M94" s="26">
        <f>$I$42*$M$42</f>
        <v>0</v>
      </c>
      <c r="N94" s="26">
        <f ca="1">$I$42*$N$42</f>
        <v>0</v>
      </c>
      <c r="O94" s="26">
        <f>$I$42*$O$42</f>
        <v>0</v>
      </c>
      <c r="P94" s="26">
        <f>$I$42*$P$42</f>
        <v>0</v>
      </c>
      <c r="Q94" s="26">
        <f>$I$42*$Q$42</f>
        <v>0</v>
      </c>
      <c r="R94" s="26">
        <f>$I$42*$R$42</f>
        <v>0</v>
      </c>
      <c r="S94" s="26">
        <f>$I$42*$S$42</f>
        <v>0</v>
      </c>
      <c r="T94" s="26">
        <f>$I$42*$T$42</f>
        <v>0</v>
      </c>
      <c r="U94" s="26">
        <f>$I$42*$U$42</f>
        <v>0</v>
      </c>
      <c r="V94" s="26">
        <f>$I$42*$V$42</f>
        <v>0</v>
      </c>
      <c r="W94" s="26">
        <f>$I$42*$W$42</f>
        <v>0</v>
      </c>
      <c r="X94" s="26">
        <f>$I$42*$X$42</f>
        <v>0</v>
      </c>
      <c r="Y94" s="26">
        <f>$I$42*$Y$42</f>
        <v>0</v>
      </c>
      <c r="Z94" s="26">
        <f>$I$42*$Z$42</f>
        <v>0</v>
      </c>
      <c r="AA94" s="26">
        <f>$I$42*$AA$42</f>
        <v>0</v>
      </c>
      <c r="AB94" s="26">
        <f ca="1">$I$42*$AB$42</f>
        <v>0</v>
      </c>
      <c r="AC94" s="26">
        <f ca="1">$I$42*$AC$42</f>
        <v>0</v>
      </c>
      <c r="AD94" s="26">
        <f>$I$42*$AD$42</f>
        <v>0</v>
      </c>
      <c r="AE94" s="26">
        <f>$I$42*$AE$42</f>
        <v>0</v>
      </c>
      <c r="AF94" s="26">
        <f ca="1">$I$42*$AF$42</f>
        <v>0</v>
      </c>
      <c r="AG94" s="26">
        <f ca="1">$I$42*$AG$42</f>
        <v>0</v>
      </c>
      <c r="AI94" s="26">
        <f>$I$42*$AI$42</f>
        <v>0</v>
      </c>
      <c r="AJ94" s="26">
        <f>$I$42*$AJ$42</f>
        <v>0</v>
      </c>
      <c r="AK94" s="26">
        <f>$I$42*$AK$42</f>
        <v>0</v>
      </c>
      <c r="AL94" s="26">
        <f>$I$42*$AL$42</f>
        <v>0</v>
      </c>
      <c r="AM94" s="26">
        <f>$I$42*$AM$42</f>
        <v>0</v>
      </c>
      <c r="AN94" s="26">
        <f>$I$42*$AN$42</f>
        <v>0</v>
      </c>
      <c r="AO94" s="26">
        <f>$I$42*$AO$42</f>
        <v>0</v>
      </c>
      <c r="AP94" s="26">
        <f>$I$42*$AP$42</f>
        <v>0</v>
      </c>
      <c r="AQ94" s="26">
        <f>$I$42*$AQ$42</f>
        <v>0</v>
      </c>
      <c r="AR94" s="26">
        <f>$I$42*$AR$42</f>
        <v>0</v>
      </c>
      <c r="AS94" s="26">
        <f>$I$42*$AS$42</f>
        <v>0</v>
      </c>
      <c r="AT94" s="26">
        <f>$I$42*$AT$42</f>
        <v>0</v>
      </c>
      <c r="AU94" s="26">
        <f>$I$42*$AU$42</f>
        <v>0</v>
      </c>
      <c r="AV94" s="26">
        <f>$I$42*$AV$42</f>
        <v>0</v>
      </c>
      <c r="AW94" s="26">
        <f>$I$42*$AW$42</f>
        <v>0</v>
      </c>
      <c r="AX94" s="26">
        <f>$I$42*$AX$42</f>
        <v>0</v>
      </c>
      <c r="AY94" s="26">
        <f>$I$42*$AY$42</f>
        <v>0</v>
      </c>
      <c r="AZ94" s="26">
        <f>$I$42*$AZ$42</f>
        <v>0</v>
      </c>
      <c r="BA94" s="26">
        <f>$I$42*$BA$42</f>
        <v>0</v>
      </c>
      <c r="BB94" s="26">
        <f>$I$42*$BB$42</f>
        <v>0</v>
      </c>
      <c r="BC94" s="26">
        <f>$I$42*$BC$42</f>
        <v>0</v>
      </c>
      <c r="BD94" s="26">
        <f>$I$42*$BD$42</f>
        <v>0</v>
      </c>
    </row>
    <row r="95" spans="1:56" ht="11.25" customHeight="1" x14ac:dyDescent="0.25">
      <c r="A95" s="9" t="s">
        <v>43</v>
      </c>
      <c r="B95" s="9" t="s">
        <v>1035</v>
      </c>
      <c r="C95" s="9" t="s">
        <v>1036</v>
      </c>
      <c r="D95" s="9" t="s">
        <v>1041</v>
      </c>
      <c r="E95" s="9" t="s">
        <v>1042</v>
      </c>
      <c r="F95" s="9" t="s">
        <v>1043</v>
      </c>
      <c r="G95" s="9" t="s">
        <v>1044</v>
      </c>
      <c r="L95" s="26">
        <f>$I$43*$L$43</f>
        <v>0</v>
      </c>
      <c r="M95" s="26">
        <f>$I$43*$M$43</f>
        <v>0</v>
      </c>
      <c r="N95" s="26">
        <f ca="1">$I$43*$N$43</f>
        <v>0</v>
      </c>
      <c r="O95" s="26">
        <f>$I$43*$O$43</f>
        <v>0</v>
      </c>
      <c r="P95" s="26">
        <f>$I$43*$P$43</f>
        <v>0</v>
      </c>
      <c r="Q95" s="26">
        <f>$I$43*$Q$43</f>
        <v>0</v>
      </c>
      <c r="R95" s="26">
        <f>$I$43*$R$43</f>
        <v>0</v>
      </c>
      <c r="S95" s="26">
        <f>$I$43*$S$43</f>
        <v>0</v>
      </c>
      <c r="T95" s="26">
        <f>$I$43*$T$43</f>
        <v>0</v>
      </c>
      <c r="U95" s="26">
        <f>$I$43*$U$43</f>
        <v>0</v>
      </c>
      <c r="V95" s="26">
        <f>$I$43*$V$43</f>
        <v>0</v>
      </c>
      <c r="W95" s="26">
        <f>$I$43*$W$43</f>
        <v>0</v>
      </c>
      <c r="X95" s="26">
        <f>$I$43*$X$43</f>
        <v>0</v>
      </c>
      <c r="Y95" s="26">
        <f>$I$43*$Y$43</f>
        <v>0</v>
      </c>
      <c r="Z95" s="26">
        <f>$I$43*$Z$43</f>
        <v>0</v>
      </c>
      <c r="AA95" s="26">
        <f>$I$43*$AA$43</f>
        <v>0</v>
      </c>
      <c r="AB95" s="26">
        <f ca="1">$I$43*$AB$43</f>
        <v>0</v>
      </c>
      <c r="AC95" s="26">
        <f ca="1">$I$43*$AC$43</f>
        <v>0</v>
      </c>
      <c r="AD95" s="26">
        <f>$I$43*$AD$43</f>
        <v>0</v>
      </c>
      <c r="AE95" s="26">
        <f>$I$43*$AE$43</f>
        <v>0</v>
      </c>
      <c r="AF95" s="26">
        <f ca="1">$I$43*$AF$43</f>
        <v>0</v>
      </c>
      <c r="AG95" s="26">
        <f ca="1">$I$43*$AG$43</f>
        <v>0</v>
      </c>
      <c r="AI95" s="26">
        <f>$I$43*$AI$43</f>
        <v>0</v>
      </c>
      <c r="AJ95" s="26">
        <f>$I$43*$AJ$43</f>
        <v>0</v>
      </c>
      <c r="AK95" s="26">
        <f>$I$43*$AK$43</f>
        <v>0</v>
      </c>
      <c r="AL95" s="26">
        <f>$I$43*$AL$43</f>
        <v>0</v>
      </c>
      <c r="AM95" s="26">
        <f>$I$43*$AM$43</f>
        <v>0</v>
      </c>
      <c r="AN95" s="26">
        <f>$I$43*$AN$43</f>
        <v>0</v>
      </c>
      <c r="AO95" s="26">
        <f>$I$43*$AO$43</f>
        <v>0</v>
      </c>
      <c r="AP95" s="26">
        <f>$I$43*$AP$43</f>
        <v>0</v>
      </c>
      <c r="AQ95" s="26">
        <f>$I$43*$AQ$43</f>
        <v>0</v>
      </c>
      <c r="AR95" s="26">
        <f>$I$43*$AR$43</f>
        <v>0</v>
      </c>
      <c r="AS95" s="26">
        <f>$I$43*$AS$43</f>
        <v>0</v>
      </c>
      <c r="AT95" s="26">
        <f>$I$43*$AT$43</f>
        <v>0</v>
      </c>
      <c r="AU95" s="26">
        <f>$I$43*$AU$43</f>
        <v>0</v>
      </c>
      <c r="AV95" s="26">
        <f>$I$43*$AV$43</f>
        <v>0</v>
      </c>
      <c r="AW95" s="26">
        <f>$I$43*$AW$43</f>
        <v>0</v>
      </c>
      <c r="AX95" s="26">
        <f>$I$43*$AX$43</f>
        <v>0</v>
      </c>
      <c r="AY95" s="26">
        <f>$I$43*$AY$43</f>
        <v>0</v>
      </c>
      <c r="AZ95" s="26">
        <f>$I$43*$AZ$43</f>
        <v>0</v>
      </c>
      <c r="BA95" s="26">
        <f>$I$43*$BA$43</f>
        <v>0</v>
      </c>
      <c r="BB95" s="26">
        <f>$I$43*$BB$43</f>
        <v>0</v>
      </c>
      <c r="BC95" s="26">
        <f>$I$43*$BC$43</f>
        <v>0</v>
      </c>
      <c r="BD95" s="26">
        <f>$I$43*$BD$43</f>
        <v>0</v>
      </c>
    </row>
    <row r="96" spans="1:56" ht="11.25" customHeight="1" x14ac:dyDescent="0.25">
      <c r="A96" s="9" t="s">
        <v>43</v>
      </c>
      <c r="B96" s="9" t="s">
        <v>1035</v>
      </c>
      <c r="C96" s="9" t="s">
        <v>1036</v>
      </c>
      <c r="D96" s="9" t="s">
        <v>1045</v>
      </c>
      <c r="E96" s="9" t="s">
        <v>1046</v>
      </c>
      <c r="F96" s="9" t="s">
        <v>1047</v>
      </c>
      <c r="G96" s="9" t="s">
        <v>1048</v>
      </c>
      <c r="L96" s="26">
        <f>$I$44*$L$44</f>
        <v>0</v>
      </c>
      <c r="M96" s="26">
        <f>$I$44*$M$44</f>
        <v>0</v>
      </c>
      <c r="N96" s="26">
        <f ca="1">$I$44*$N$44</f>
        <v>0</v>
      </c>
      <c r="O96" s="26">
        <f>$I$44*$O$44</f>
        <v>0</v>
      </c>
      <c r="P96" s="26">
        <f>$I$44*$P$44</f>
        <v>0</v>
      </c>
      <c r="Q96" s="26">
        <f>$I$44*$Q$44</f>
        <v>0</v>
      </c>
      <c r="R96" s="26">
        <f>$I$44*$R$44</f>
        <v>0</v>
      </c>
      <c r="S96" s="26">
        <f>$I$44*$S$44</f>
        <v>0</v>
      </c>
      <c r="T96" s="26">
        <f>$I$44*$T$44</f>
        <v>0</v>
      </c>
      <c r="U96" s="26">
        <f>$I$44*$U$44</f>
        <v>0</v>
      </c>
      <c r="V96" s="26">
        <f>$I$44*$V$44</f>
        <v>0</v>
      </c>
      <c r="W96" s="26">
        <f>$I$44*$W$44</f>
        <v>0</v>
      </c>
      <c r="X96" s="26">
        <f>$I$44*$X$44</f>
        <v>0</v>
      </c>
      <c r="Y96" s="26">
        <f>$I$44*$Y$44</f>
        <v>0</v>
      </c>
      <c r="Z96" s="26">
        <f>$I$44*$Z$44</f>
        <v>0</v>
      </c>
      <c r="AA96" s="26">
        <f>$I$44*$AA$44</f>
        <v>0</v>
      </c>
      <c r="AB96" s="26">
        <f ca="1">$I$44*$AB$44</f>
        <v>0</v>
      </c>
      <c r="AC96" s="26">
        <f ca="1">$I$44*$AC$44</f>
        <v>0</v>
      </c>
      <c r="AD96" s="26">
        <f>$I$44*$AD$44</f>
        <v>0</v>
      </c>
      <c r="AE96" s="26">
        <f>$I$44*$AE$44</f>
        <v>0</v>
      </c>
      <c r="AF96" s="26">
        <f ca="1">$I$44*$AF$44</f>
        <v>0</v>
      </c>
      <c r="AG96" s="26">
        <f ca="1">$I$44*$AG$44</f>
        <v>0</v>
      </c>
      <c r="AI96" s="26">
        <f>$I$44*$AI$44</f>
        <v>0</v>
      </c>
      <c r="AJ96" s="26">
        <f>$I$44*$AJ$44</f>
        <v>0</v>
      </c>
      <c r="AK96" s="26">
        <f>$I$44*$AK$44</f>
        <v>0</v>
      </c>
      <c r="AL96" s="26">
        <f>$I$44*$AL$44</f>
        <v>0</v>
      </c>
      <c r="AM96" s="26">
        <f>$I$44*$AM$44</f>
        <v>0</v>
      </c>
      <c r="AN96" s="26">
        <f>$I$44*$AN$44</f>
        <v>0</v>
      </c>
      <c r="AO96" s="26">
        <f>$I$44*$AO$44</f>
        <v>0</v>
      </c>
      <c r="AP96" s="26">
        <f>$I$44*$AP$44</f>
        <v>0</v>
      </c>
      <c r="AQ96" s="26">
        <f>$I$44*$AQ$44</f>
        <v>0</v>
      </c>
      <c r="AR96" s="26">
        <f>$I$44*$AR$44</f>
        <v>0</v>
      </c>
      <c r="AS96" s="26">
        <f>$I$44*$AS$44</f>
        <v>0</v>
      </c>
      <c r="AT96" s="26">
        <f>$I$44*$AT$44</f>
        <v>0</v>
      </c>
      <c r="AU96" s="26">
        <f>$I$44*$AU$44</f>
        <v>0</v>
      </c>
      <c r="AV96" s="26">
        <f>$I$44*$AV$44</f>
        <v>0</v>
      </c>
      <c r="AW96" s="26">
        <f>$I$44*$AW$44</f>
        <v>0</v>
      </c>
      <c r="AX96" s="26">
        <f>$I$44*$AX$44</f>
        <v>0</v>
      </c>
      <c r="AY96" s="26">
        <f>$I$44*$AY$44</f>
        <v>0</v>
      </c>
      <c r="AZ96" s="26">
        <f>$I$44*$AZ$44</f>
        <v>0</v>
      </c>
      <c r="BA96" s="26">
        <f>$I$44*$BA$44</f>
        <v>0</v>
      </c>
      <c r="BB96" s="26">
        <f>$I$44*$BB$44</f>
        <v>0</v>
      </c>
      <c r="BC96" s="26">
        <f>$I$44*$BC$44</f>
        <v>0</v>
      </c>
      <c r="BD96" s="26">
        <f>$I$44*$BD$44</f>
        <v>0</v>
      </c>
    </row>
    <row r="97" spans="1:56" ht="11.25" customHeight="1" x14ac:dyDescent="0.25">
      <c r="A97" s="9" t="s">
        <v>39</v>
      </c>
      <c r="B97" s="9" t="s">
        <v>1049</v>
      </c>
      <c r="C97" s="9" t="s">
        <v>1050</v>
      </c>
      <c r="D97" s="9" t="s">
        <v>1051</v>
      </c>
      <c r="E97" s="9" t="s">
        <v>1052</v>
      </c>
      <c r="F97" s="9" t="s">
        <v>1053</v>
      </c>
      <c r="G97" s="9" t="s">
        <v>1054</v>
      </c>
      <c r="L97" s="26">
        <f>$I$45*$L$45</f>
        <v>0</v>
      </c>
      <c r="M97" s="26">
        <f>$I$45*$M$45</f>
        <v>0.94711658349072159</v>
      </c>
      <c r="N97" s="26">
        <f ca="1">$I$45*$N$45</f>
        <v>0</v>
      </c>
      <c r="O97" s="26">
        <f>$I$45*$O$45</f>
        <v>0</v>
      </c>
      <c r="P97" s="26">
        <f>$I$45*$P$45</f>
        <v>0</v>
      </c>
      <c r="Q97" s="26">
        <f>$I$45*$Q$45</f>
        <v>74.272140227113312</v>
      </c>
      <c r="R97" s="26">
        <f>$I$45*$R$45</f>
        <v>11.738159462514721</v>
      </c>
      <c r="S97" s="26">
        <f>$I$45*$S$45</f>
        <v>0</v>
      </c>
      <c r="T97" s="26">
        <f>$I$45*$T$45</f>
        <v>36.211900694170858</v>
      </c>
      <c r="U97" s="26">
        <f>$I$45*$U$45</f>
        <v>28.580755484612215</v>
      </c>
      <c r="V97" s="26">
        <f>$I$45*$V$45</f>
        <v>0</v>
      </c>
      <c r="W97" s="26">
        <f>$I$45*$W$45</f>
        <v>0</v>
      </c>
      <c r="X97" s="26">
        <f>$I$45*$X$45</f>
        <v>51.947926422464981</v>
      </c>
      <c r="Y97" s="26">
        <f>$I$45*$Y$45</f>
        <v>0</v>
      </c>
      <c r="Z97" s="26">
        <f>$I$45*$Z$45</f>
        <v>0</v>
      </c>
      <c r="AA97" s="26">
        <f>$I$45*$AA$45</f>
        <v>368.6433173617861</v>
      </c>
      <c r="AB97" s="26">
        <f ca="1">$I$45*$AB$45</f>
        <v>0</v>
      </c>
      <c r="AC97" s="26">
        <f ca="1">$I$45*$AC$45</f>
        <v>0</v>
      </c>
      <c r="AD97" s="26">
        <f>$I$45*$AD$45</f>
        <v>14.044418261409227</v>
      </c>
      <c r="AE97" s="26">
        <f>$I$45*$AE$45</f>
        <v>0.10756655081460144</v>
      </c>
      <c r="AF97" s="26">
        <f ca="1">$I$45*$AF$45</f>
        <v>0</v>
      </c>
      <c r="AG97" s="26">
        <f ca="1">$I$45*$AG$45</f>
        <v>0</v>
      </c>
      <c r="AI97" s="26">
        <f>$I$45*$AI$45</f>
        <v>0</v>
      </c>
      <c r="AJ97" s="26">
        <f>$I$45*$AJ$45</f>
        <v>0.82690242194699937</v>
      </c>
      <c r="AK97" s="26">
        <f>$I$45*$AK$45</f>
        <v>0</v>
      </c>
      <c r="AL97" s="26">
        <f>$I$45*$AL$45</f>
        <v>0</v>
      </c>
      <c r="AM97" s="26">
        <f>$I$45*$AM$45</f>
        <v>0</v>
      </c>
      <c r="AN97" s="26">
        <f>$I$45*$AN$45</f>
        <v>46.137312486805399</v>
      </c>
      <c r="AO97" s="26">
        <f>$I$45*$AO$45</f>
        <v>7.1963945606856488</v>
      </c>
      <c r="AP97" s="26">
        <f>$I$45*$AP$45</f>
        <v>0</v>
      </c>
      <c r="AQ97" s="26">
        <f>$I$45*$AQ$45</f>
        <v>50.855509762985143</v>
      </c>
      <c r="AR97" s="26">
        <f>$I$45*$AR$45</f>
        <v>51.983568205005426</v>
      </c>
      <c r="AS97" s="26">
        <f>$I$45*$AS$45</f>
        <v>0</v>
      </c>
      <c r="AT97" s="26">
        <f>$I$45*$AT$45</f>
        <v>0</v>
      </c>
      <c r="AU97" s="26">
        <f>$I$45*$AU$45</f>
        <v>52.85609077252731</v>
      </c>
      <c r="AV97" s="26">
        <f>$I$45*$AV$45</f>
        <v>0</v>
      </c>
      <c r="AW97" s="26">
        <f>$I$45*$AW$45</f>
        <v>0</v>
      </c>
      <c r="AX97" s="26">
        <f>$I$45*$AX$45</f>
        <v>321.13406490159338</v>
      </c>
      <c r="AY97" s="26">
        <f>$I$45*$AY$45</f>
        <v>3.3137757566154309</v>
      </c>
      <c r="AZ97" s="26">
        <f>$I$45*$AZ$45</f>
        <v>0</v>
      </c>
      <c r="BA97" s="26">
        <f>$I$45*$BA$45</f>
        <v>11.06021297717151</v>
      </c>
      <c r="BB97" s="26">
        <f>$I$45*$BB$45</f>
        <v>0</v>
      </c>
      <c r="BC97" s="26">
        <f>$I$45*$BC$45</f>
        <v>0</v>
      </c>
      <c r="BD97" s="26">
        <f>$I$45*$BD$45</f>
        <v>0</v>
      </c>
    </row>
    <row r="98" spans="1:56" ht="11.25" customHeight="1" x14ac:dyDescent="0.25">
      <c r="A98" s="9" t="s">
        <v>39</v>
      </c>
      <c r="B98" s="9" t="s">
        <v>1049</v>
      </c>
      <c r="C98" s="9" t="s">
        <v>1050</v>
      </c>
      <c r="D98" s="9" t="s">
        <v>1051</v>
      </c>
      <c r="E98" s="9" t="s">
        <v>1052</v>
      </c>
      <c r="F98" s="9" t="s">
        <v>1053</v>
      </c>
      <c r="G98" s="9" t="s">
        <v>1055</v>
      </c>
      <c r="L98" s="26">
        <f>$I$46*$L$46</f>
        <v>0</v>
      </c>
      <c r="M98" s="26">
        <f>$I$46*$M$46</f>
        <v>1.4471470778802298</v>
      </c>
      <c r="N98" s="26">
        <f ca="1">$I$46*$N$46</f>
        <v>0</v>
      </c>
      <c r="O98" s="26">
        <f>$I$46*$O$46</f>
        <v>0</v>
      </c>
      <c r="P98" s="26">
        <f>$I$46*$P$46</f>
        <v>0</v>
      </c>
      <c r="Q98" s="26">
        <f>$I$46*$Q$46</f>
        <v>113.4841397258996</v>
      </c>
      <c r="R98" s="26">
        <f>$I$46*$R$46</f>
        <v>17.935324396140466</v>
      </c>
      <c r="S98" s="26">
        <f>$I$46*$S$46</f>
        <v>0</v>
      </c>
      <c r="T98" s="26">
        <f>$I$46*$T$46</f>
        <v>33.198080318237366</v>
      </c>
      <c r="U98" s="26">
        <f>$I$46*$U$46</f>
        <v>26.201829265735604</v>
      </c>
      <c r="V98" s="26">
        <f>$I$46*$V$46</f>
        <v>0</v>
      </c>
      <c r="W98" s="26">
        <f>$I$46*$W$46</f>
        <v>0</v>
      </c>
      <c r="X98" s="26">
        <f>$I$46*$X$46</f>
        <v>47.624360288223713</v>
      </c>
      <c r="Y98" s="26">
        <f>$I$46*$Y$46</f>
        <v>0</v>
      </c>
      <c r="Z98" s="26">
        <f>$I$46*$Z$46</f>
        <v>0</v>
      </c>
      <c r="AA98" s="26">
        <f>$I$46*$AA$46</f>
        <v>337.96107621527977</v>
      </c>
      <c r="AB98" s="26">
        <f ca="1">$I$46*$AB$46</f>
        <v>0</v>
      </c>
      <c r="AC98" s="26">
        <f ca="1">$I$46*$AC$46</f>
        <v>0</v>
      </c>
      <c r="AD98" s="26">
        <f>$I$46*$AD$46</f>
        <v>21.459173244140761</v>
      </c>
      <c r="AE98" s="26">
        <f>$I$46*$AE$46</f>
        <v>0.16435634472293104</v>
      </c>
      <c r="AF98" s="26">
        <f ca="1">$I$46*$AF$46</f>
        <v>0</v>
      </c>
      <c r="AG98" s="26">
        <f ca="1">$I$46*$AG$46</f>
        <v>0</v>
      </c>
      <c r="AI98" s="26">
        <f>$I$46*$AI$46</f>
        <v>0</v>
      </c>
      <c r="AJ98" s="26">
        <f>$I$46*$AJ$46</f>
        <v>1.2634658124159093</v>
      </c>
      <c r="AK98" s="26">
        <f>$I$46*$AK$46</f>
        <v>0</v>
      </c>
      <c r="AL98" s="26">
        <f>$I$46*$AL$46</f>
        <v>0</v>
      </c>
      <c r="AM98" s="26">
        <f>$I$46*$AM$46</f>
        <v>0</v>
      </c>
      <c r="AN98" s="26">
        <f>$I$46*$AN$46</f>
        <v>70.495520942572071</v>
      </c>
      <c r="AO98" s="26">
        <f>$I$46*$AO$46</f>
        <v>10.995733303904757</v>
      </c>
      <c r="AP98" s="26">
        <f>$I$46*$AP$46</f>
        <v>0</v>
      </c>
      <c r="AQ98" s="26">
        <f>$I$46*$AQ$46</f>
        <v>46.62301451173596</v>
      </c>
      <c r="AR98" s="26">
        <f>$I$46*$AR$46</f>
        <v>47.656758230272636</v>
      </c>
      <c r="AS98" s="26">
        <f>$I$46*$AS$46</f>
        <v>0</v>
      </c>
      <c r="AT98" s="26">
        <f>$I$46*$AT$46</f>
        <v>0</v>
      </c>
      <c r="AU98" s="26">
        <f>$I$46*$AU$46</f>
        <v>48.456997178732898</v>
      </c>
      <c r="AV98" s="26">
        <f>$I$46*$AV$46</f>
        <v>0</v>
      </c>
      <c r="AW98" s="26">
        <f>$I$46*$AW$46</f>
        <v>0</v>
      </c>
      <c r="AX98" s="26">
        <f>$I$46*$AX$46</f>
        <v>294.40605811536045</v>
      </c>
      <c r="AY98" s="26">
        <f>$I$46*$AY$46</f>
        <v>3.2335367876560603</v>
      </c>
      <c r="AZ98" s="26">
        <f>$I$46*$AZ$46</f>
        <v>0</v>
      </c>
      <c r="BA98" s="26">
        <f>$I$46*$BA$46</f>
        <v>16.899455853317924</v>
      </c>
      <c r="BB98" s="26">
        <f>$I$46*$BB$46</f>
        <v>0</v>
      </c>
      <c r="BC98" s="26">
        <f>$I$46*$BC$46</f>
        <v>0</v>
      </c>
      <c r="BD98" s="26">
        <f>$I$46*$BD$46</f>
        <v>0</v>
      </c>
    </row>
    <row r="99" spans="1:56" ht="11.25" customHeight="1" x14ac:dyDescent="0.25">
      <c r="A99" s="9" t="s">
        <v>39</v>
      </c>
      <c r="B99" s="9" t="s">
        <v>1049</v>
      </c>
      <c r="C99" s="9" t="s">
        <v>1050</v>
      </c>
      <c r="D99" s="9" t="s">
        <v>1051</v>
      </c>
      <c r="E99" s="9" t="s">
        <v>1052</v>
      </c>
      <c r="F99" s="9" t="s">
        <v>1053</v>
      </c>
      <c r="G99" s="9" t="s">
        <v>1056</v>
      </c>
      <c r="L99" s="26">
        <f>$I$47*$L$47</f>
        <v>0</v>
      </c>
      <c r="M99" s="26">
        <f>$I$47*$M$47</f>
        <v>22.307242761470864</v>
      </c>
      <c r="N99" s="26">
        <f ca="1">$I$47*$N$47</f>
        <v>0</v>
      </c>
      <c r="O99" s="26">
        <f>$I$47*$O$47</f>
        <v>0</v>
      </c>
      <c r="P99" s="26">
        <f>$I$47*$P$47</f>
        <v>0</v>
      </c>
      <c r="Q99" s="26">
        <f>$I$47*$Q$47</f>
        <v>1749.3164952870379</v>
      </c>
      <c r="R99" s="26">
        <f>$I$47*$R$47</f>
        <v>276.46646386245794</v>
      </c>
      <c r="S99" s="26">
        <f>$I$47*$S$47</f>
        <v>0</v>
      </c>
      <c r="T99" s="26">
        <f>$I$47*$T$47</f>
        <v>170.57760613413353</v>
      </c>
      <c r="U99" s="26">
        <f>$I$47*$U$47</f>
        <v>134.62787807556015</v>
      </c>
      <c r="V99" s="26">
        <f>$I$47*$V$47</f>
        <v>0</v>
      </c>
      <c r="W99" s="26">
        <f>$I$47*$W$47</f>
        <v>0</v>
      </c>
      <c r="X99" s="26">
        <f>$I$47*$X$47</f>
        <v>244.70531727635503</v>
      </c>
      <c r="Y99" s="26">
        <f>$I$47*$Y$47</f>
        <v>0</v>
      </c>
      <c r="Z99" s="26">
        <f>$I$47*$Z$47</f>
        <v>0</v>
      </c>
      <c r="AA99" s="26">
        <f>$I$47*$AA$47</f>
        <v>1736.5149841226892</v>
      </c>
      <c r="AB99" s="26">
        <f ca="1">$I$47*$AB$47</f>
        <v>0</v>
      </c>
      <c r="AC99" s="26">
        <f ca="1">$I$47*$AC$47</f>
        <v>0</v>
      </c>
      <c r="AD99" s="26">
        <f>$I$47*$AD$47</f>
        <v>330.7853046413893</v>
      </c>
      <c r="AE99" s="26">
        <f>$I$47*$AE$47</f>
        <v>2.5334929235339616</v>
      </c>
      <c r="AF99" s="26">
        <f ca="1">$I$47*$AF$47</f>
        <v>0</v>
      </c>
      <c r="AG99" s="26">
        <f ca="1">$I$47*$AG$47</f>
        <v>0</v>
      </c>
      <c r="AI99" s="26">
        <f>$I$47*$AI$47</f>
        <v>0</v>
      </c>
      <c r="AJ99" s="26">
        <f>$I$47*$AJ$47</f>
        <v>19.475863254801336</v>
      </c>
      <c r="AK99" s="26">
        <f>$I$47*$AK$47</f>
        <v>0</v>
      </c>
      <c r="AL99" s="26">
        <f>$I$47*$AL$47</f>
        <v>0</v>
      </c>
      <c r="AM99" s="26">
        <f>$I$47*$AM$47</f>
        <v>0</v>
      </c>
      <c r="AN99" s="26">
        <f>$I$47*$AN$47</f>
        <v>1086.6626642855013</v>
      </c>
      <c r="AO99" s="26">
        <f>$I$47*$AO$47</f>
        <v>169.49520605043432</v>
      </c>
      <c r="AP99" s="26">
        <f>$I$47*$AP$47</f>
        <v>0</v>
      </c>
      <c r="AQ99" s="26">
        <f>$I$47*$AQ$47</f>
        <v>239.55787952949012</v>
      </c>
      <c r="AR99" s="26">
        <f>$I$47*$AR$47</f>
        <v>244.86465852519768</v>
      </c>
      <c r="AS99" s="26">
        <f>$I$47*$AS$47</f>
        <v>0</v>
      </c>
      <c r="AT99" s="26">
        <f>$I$47*$AT$47</f>
        <v>0</v>
      </c>
      <c r="AU99" s="26">
        <f>$I$47*$AU$47</f>
        <v>248.98299447829649</v>
      </c>
      <c r="AV99" s="26">
        <f>$I$47*$AV$47</f>
        <v>0</v>
      </c>
      <c r="AW99" s="26">
        <f>$I$47*$AW$47</f>
        <v>0</v>
      </c>
      <c r="AX99" s="26">
        <f>$I$47*$AX$47</f>
        <v>1512.7197530680301</v>
      </c>
      <c r="AY99" s="26">
        <f>$I$47*$AY$47</f>
        <v>21.638868553922585</v>
      </c>
      <c r="AZ99" s="26">
        <f>$I$47*$AZ$47</f>
        <v>0</v>
      </c>
      <c r="BA99" s="26">
        <f>$I$47*$BA$47</f>
        <v>260.4989292511446</v>
      </c>
      <c r="BB99" s="26">
        <f>$I$47*$BB$47</f>
        <v>0</v>
      </c>
      <c r="BC99" s="26">
        <f>$I$47*$BC$47</f>
        <v>0</v>
      </c>
      <c r="BD99" s="26">
        <f>$I$47*$BD$47</f>
        <v>0</v>
      </c>
    </row>
    <row r="100" spans="1:56" ht="11.25" customHeight="1" x14ac:dyDescent="0.25">
      <c r="A100" s="9" t="s">
        <v>39</v>
      </c>
      <c r="B100" s="9" t="s">
        <v>1057</v>
      </c>
      <c r="C100" s="9" t="s">
        <v>1058</v>
      </c>
      <c r="D100" s="9" t="s">
        <v>1059</v>
      </c>
      <c r="E100" s="9" t="s">
        <v>1060</v>
      </c>
      <c r="F100" s="9" t="s">
        <v>1061</v>
      </c>
      <c r="G100" s="9" t="s">
        <v>1062</v>
      </c>
      <c r="L100" s="26">
        <f>$I$48*$L$48</f>
        <v>0</v>
      </c>
      <c r="M100" s="26">
        <f>$I$48*$M$48</f>
        <v>20013.634650349351</v>
      </c>
      <c r="N100" s="26">
        <f ca="1">$I$48*$N$48</f>
        <v>0</v>
      </c>
      <c r="O100" s="26">
        <f>$I$48*$O$48</f>
        <v>0</v>
      </c>
      <c r="P100" s="26">
        <f>$I$48*$P$48</f>
        <v>0</v>
      </c>
      <c r="Q100" s="26">
        <f>$I$48*$Q$48</f>
        <v>1569453.5447013667</v>
      </c>
      <c r="R100" s="26">
        <f>$I$48*$R$48</f>
        <v>248040.46201415936</v>
      </c>
      <c r="S100" s="26">
        <f>$I$48*$S$48</f>
        <v>0</v>
      </c>
      <c r="T100" s="26">
        <f>$I$48*$T$48</f>
        <v>246839.02336824441</v>
      </c>
      <c r="U100" s="26">
        <f>$I$48*$U$48</f>
        <v>194821.33283278235</v>
      </c>
      <c r="V100" s="26">
        <f>$I$48*$V$48</f>
        <v>0</v>
      </c>
      <c r="W100" s="26">
        <f>$I$48*$W$48</f>
        <v>0</v>
      </c>
      <c r="X100" s="26">
        <f>$I$48*$X$48</f>
        <v>354102.4343056588</v>
      </c>
      <c r="Y100" s="26">
        <f>$I$48*$Y$48</f>
        <v>0</v>
      </c>
      <c r="Z100" s="26">
        <f>$I$48*$Z$48</f>
        <v>0</v>
      </c>
      <c r="AA100" s="26">
        <f>$I$48*$AA$48</f>
        <v>2512851.8902509403</v>
      </c>
      <c r="AB100" s="26">
        <f ca="1">$I$48*$AB$48</f>
        <v>0</v>
      </c>
      <c r="AC100" s="26">
        <f ca="1">$I$48*$AC$48</f>
        <v>0</v>
      </c>
      <c r="AD100" s="26">
        <f>$I$48*$AD$48</f>
        <v>296774.29459062207</v>
      </c>
      <c r="AE100" s="26">
        <f>$I$48*$AE$48</f>
        <v>2273.0017466986537</v>
      </c>
      <c r="AF100" s="26">
        <f ca="1">$I$48*$AF$48</f>
        <v>0</v>
      </c>
      <c r="AG100" s="26">
        <f ca="1">$I$48*$AG$48</f>
        <v>0</v>
      </c>
      <c r="AI100" s="26">
        <f>$I$48*$AI$48</f>
        <v>0</v>
      </c>
      <c r="AJ100" s="26">
        <f>$I$48*$AJ$48</f>
        <v>17473.374717335832</v>
      </c>
      <c r="AK100" s="26">
        <f>$I$48*$AK$48</f>
        <v>0</v>
      </c>
      <c r="AL100" s="26">
        <f>$I$48*$AL$48</f>
        <v>0</v>
      </c>
      <c r="AM100" s="26">
        <f>$I$48*$AM$48</f>
        <v>0</v>
      </c>
      <c r="AN100" s="26">
        <f>$I$48*$AN$48</f>
        <v>974933.10956155381</v>
      </c>
      <c r="AO100" s="26">
        <f>$I$48*$AO$48</f>
        <v>152067.88060504364</v>
      </c>
      <c r="AP100" s="26">
        <f>$I$48*$AP$48</f>
        <v>0</v>
      </c>
      <c r="AQ100" s="26">
        <f>$I$48*$AQ$48</f>
        <v>346656.89870744653</v>
      </c>
      <c r="AR100" s="26">
        <f>$I$48*$AR$48</f>
        <v>354347.52581237</v>
      </c>
      <c r="AS100" s="26">
        <f>$I$48*$AS$48</f>
        <v>0</v>
      </c>
      <c r="AT100" s="26">
        <f>$I$48*$AT$48</f>
        <v>0</v>
      </c>
      <c r="AU100" s="26">
        <f>$I$48*$AU$48</f>
        <v>360293.7690667311</v>
      </c>
      <c r="AV100" s="26">
        <f>$I$48*$AV$48</f>
        <v>0</v>
      </c>
      <c r="AW100" s="26">
        <f>$I$48*$AW$48</f>
        <v>0</v>
      </c>
      <c r="AX100" s="26">
        <f>$I$48*$AX$48</f>
        <v>2189005.2684496944</v>
      </c>
      <c r="AY100" s="26">
        <f>$I$48*$AY$48</f>
        <v>27168.732352717419</v>
      </c>
      <c r="AZ100" s="26">
        <f>$I$48*$AZ$48</f>
        <v>0</v>
      </c>
      <c r="BA100" s="26">
        <f>$I$48*$BA$48</f>
        <v>233714.69314192593</v>
      </c>
      <c r="BB100" s="26">
        <f>$I$48*$BB$48</f>
        <v>0</v>
      </c>
      <c r="BC100" s="26">
        <f>$I$48*$BC$48</f>
        <v>0</v>
      </c>
      <c r="BD100" s="26">
        <f>$I$48*$BD$48</f>
        <v>0</v>
      </c>
    </row>
    <row r="101" spans="1:56" ht="11.25" customHeight="1" x14ac:dyDescent="0.25">
      <c r="A101" s="9" t="s">
        <v>39</v>
      </c>
      <c r="B101" s="9" t="s">
        <v>1063</v>
      </c>
      <c r="C101" s="9" t="s">
        <v>1064</v>
      </c>
      <c r="D101" s="9" t="s">
        <v>1065</v>
      </c>
      <c r="E101" s="9" t="s">
        <v>1066</v>
      </c>
      <c r="F101" s="9" t="s">
        <v>1067</v>
      </c>
      <c r="G101" s="9" t="s">
        <v>1068</v>
      </c>
      <c r="L101" s="26">
        <f>$I$49*$L$49</f>
        <v>0</v>
      </c>
      <c r="M101" s="26">
        <f>$I$49*$M$49</f>
        <v>0</v>
      </c>
      <c r="N101" s="26">
        <f ca="1">$I$49*$N$49</f>
        <v>0</v>
      </c>
      <c r="O101" s="26">
        <f>$I$49*$O$49</f>
        <v>0</v>
      </c>
      <c r="P101" s="26">
        <f>$I$49*$P$49</f>
        <v>0</v>
      </c>
      <c r="Q101" s="26">
        <f>$I$49*$Q$49</f>
        <v>0</v>
      </c>
      <c r="R101" s="26">
        <f>$I$49*$R$49</f>
        <v>0</v>
      </c>
      <c r="S101" s="26">
        <f>$I$49*$S$49</f>
        <v>0</v>
      </c>
      <c r="T101" s="26">
        <f>$I$49*$T$49</f>
        <v>0</v>
      </c>
      <c r="U101" s="26">
        <f>$I$49*$U$49</f>
        <v>0</v>
      </c>
      <c r="V101" s="26">
        <f>$I$49*$V$49</f>
        <v>0</v>
      </c>
      <c r="W101" s="26">
        <f>$I$49*$W$49</f>
        <v>0</v>
      </c>
      <c r="X101" s="26">
        <f>$I$49*$X$49</f>
        <v>0</v>
      </c>
      <c r="Y101" s="26">
        <f>$I$49*$Y$49</f>
        <v>0</v>
      </c>
      <c r="Z101" s="26">
        <f>$I$49*$Z$49</f>
        <v>0</v>
      </c>
      <c r="AA101" s="26">
        <f>$I$49*$AA$49</f>
        <v>0</v>
      </c>
      <c r="AB101" s="26">
        <f ca="1">$I$49*$AB$49</f>
        <v>0</v>
      </c>
      <c r="AC101" s="26">
        <f ca="1">$I$49*$AC$49</f>
        <v>0</v>
      </c>
      <c r="AD101" s="26">
        <f>$I$49*$AD$49</f>
        <v>0</v>
      </c>
      <c r="AE101" s="26">
        <f>$I$49*$AE$49</f>
        <v>0</v>
      </c>
      <c r="AF101" s="26">
        <f ca="1">$I$49*$AF$49</f>
        <v>0</v>
      </c>
      <c r="AG101" s="26">
        <f ca="1">$I$49*$AG$49</f>
        <v>0</v>
      </c>
      <c r="AI101" s="26">
        <f>$I$49*$AI$49</f>
        <v>0</v>
      </c>
      <c r="AJ101" s="26">
        <f>$I$49*$AJ$49</f>
        <v>0</v>
      </c>
      <c r="AK101" s="26">
        <f>$I$49*$AK$49</f>
        <v>0</v>
      </c>
      <c r="AL101" s="26">
        <f>$I$49*$AL$49</f>
        <v>0</v>
      </c>
      <c r="AM101" s="26">
        <f>$I$49*$AM$49</f>
        <v>0</v>
      </c>
      <c r="AN101" s="26">
        <f>$I$49*$AN$49</f>
        <v>0</v>
      </c>
      <c r="AO101" s="26">
        <f>$I$49*$AO$49</f>
        <v>0</v>
      </c>
      <c r="AP101" s="26">
        <f>$I$49*$AP$49</f>
        <v>0</v>
      </c>
      <c r="AQ101" s="26">
        <f>$I$49*$AQ$49</f>
        <v>0</v>
      </c>
      <c r="AR101" s="26">
        <f>$I$49*$AR$49</f>
        <v>0</v>
      </c>
      <c r="AS101" s="26">
        <f>$I$49*$AS$49</f>
        <v>0</v>
      </c>
      <c r="AT101" s="26">
        <f>$I$49*$AT$49</f>
        <v>0</v>
      </c>
      <c r="AU101" s="26">
        <f>$I$49*$AU$49</f>
        <v>0</v>
      </c>
      <c r="AV101" s="26">
        <f>$I$49*$AV$49</f>
        <v>0</v>
      </c>
      <c r="AW101" s="26">
        <f>$I$49*$AW$49</f>
        <v>0</v>
      </c>
      <c r="AX101" s="26">
        <f>$I$49*$AX$49</f>
        <v>0</v>
      </c>
      <c r="AY101" s="26">
        <f>$I$49*$AY$49</f>
        <v>0</v>
      </c>
      <c r="AZ101" s="26">
        <f>$I$49*$AZ$49</f>
        <v>0</v>
      </c>
      <c r="BA101" s="26">
        <f>$I$49*$BA$49</f>
        <v>0</v>
      </c>
      <c r="BB101" s="26">
        <f>$I$49*$BB$49</f>
        <v>0</v>
      </c>
      <c r="BC101" s="26">
        <f>$I$49*$BC$49</f>
        <v>0</v>
      </c>
      <c r="BD101" s="26">
        <f>$I$49*$BD$49</f>
        <v>0</v>
      </c>
    </row>
    <row r="102" spans="1:56" ht="11.25" customHeight="1" x14ac:dyDescent="0.25">
      <c r="A102" s="9" t="s">
        <v>46</v>
      </c>
      <c r="B102" s="9" t="s">
        <v>1069</v>
      </c>
      <c r="C102" s="9" t="s">
        <v>1070</v>
      </c>
      <c r="D102" s="9" t="s">
        <v>1071</v>
      </c>
      <c r="E102" s="9" t="s">
        <v>1072</v>
      </c>
      <c r="F102" s="9" t="s">
        <v>1073</v>
      </c>
      <c r="G102" s="9" t="s">
        <v>1074</v>
      </c>
      <c r="L102" s="26">
        <f>$I$50*$L$50</f>
        <v>0</v>
      </c>
      <c r="M102" s="26">
        <f>$I$50*$M$50</f>
        <v>2400.0849575595153</v>
      </c>
      <c r="N102" s="26">
        <f ca="1">$I$50*$N$50</f>
        <v>0</v>
      </c>
      <c r="O102" s="26">
        <f>$I$50*$O$50</f>
        <v>0</v>
      </c>
      <c r="P102" s="26">
        <f>$I$50*$P$50</f>
        <v>0</v>
      </c>
      <c r="Q102" s="26">
        <f>$I$50*$Q$50</f>
        <v>188212.78143800123</v>
      </c>
      <c r="R102" s="26">
        <f>$I$50*$R$50</f>
        <v>29745.630523734206</v>
      </c>
      <c r="S102" s="26">
        <f>$I$50*$S$50</f>
        <v>0</v>
      </c>
      <c r="T102" s="26">
        <f>$I$50*$T$50</f>
        <v>29601.551006351754</v>
      </c>
      <c r="U102" s="26">
        <f>$I$50*$U$50</f>
        <v>23363.459886857414</v>
      </c>
      <c r="V102" s="26">
        <f>$I$50*$V$50</f>
        <v>0</v>
      </c>
      <c r="W102" s="26">
        <f>$I$50*$W$50</f>
        <v>0</v>
      </c>
      <c r="X102" s="26">
        <f>$I$50*$X$50</f>
        <v>42464.846633811372</v>
      </c>
      <c r="Y102" s="26">
        <f>$I$50*$Y$50</f>
        <v>0</v>
      </c>
      <c r="Z102" s="26">
        <f>$I$50*$Z$50</f>
        <v>0</v>
      </c>
      <c r="AA102" s="26">
        <f>$I$50*$AA$50</f>
        <v>301347.46275389817</v>
      </c>
      <c r="AB102" s="26">
        <f ca="1">$I$50*$AB$50</f>
        <v>0</v>
      </c>
      <c r="AC102" s="26">
        <f ca="1">$I$50*$AC$50</f>
        <v>0</v>
      </c>
      <c r="AD102" s="26">
        <f>$I$50*$AD$50</f>
        <v>35589.913210734812</v>
      </c>
      <c r="AE102" s="26">
        <f>$I$50*$AE$50</f>
        <v>272.58403563706082</v>
      </c>
      <c r="AF102" s="26">
        <f ca="1">$I$50*$AF$50</f>
        <v>0</v>
      </c>
      <c r="AG102" s="26">
        <f ca="1">$I$50*$AG$50</f>
        <v>0</v>
      </c>
      <c r="AI102" s="26">
        <f>$I$50*$AI$50</f>
        <v>0</v>
      </c>
      <c r="AJ102" s="26">
        <f>$I$50*$AJ$50</f>
        <v>2095.4506539943454</v>
      </c>
      <c r="AK102" s="26">
        <f>$I$50*$AK$50</f>
        <v>0</v>
      </c>
      <c r="AL102" s="26">
        <f>$I$50*$AL$50</f>
        <v>0</v>
      </c>
      <c r="AM102" s="26">
        <f>$I$50*$AM$50</f>
        <v>0</v>
      </c>
      <c r="AN102" s="26">
        <f>$I$50*$AN$50</f>
        <v>116916.40882654807</v>
      </c>
      <c r="AO102" s="26">
        <f>$I$50*$AO$50</f>
        <v>18236.359319257921</v>
      </c>
      <c r="AP102" s="26">
        <f>$I$50*$AP$50</f>
        <v>0</v>
      </c>
      <c r="AQ102" s="26">
        <f>$I$50*$AQ$50</f>
        <v>41571.959444530497</v>
      </c>
      <c r="AR102" s="26">
        <f>$I$50*$AR$50</f>
        <v>42494.238618264135</v>
      </c>
      <c r="AS102" s="26">
        <f>$I$50*$AS$50</f>
        <v>0</v>
      </c>
      <c r="AT102" s="26">
        <f>$I$50*$AT$50</f>
        <v>0</v>
      </c>
      <c r="AU102" s="26">
        <f>$I$50*$AU$50</f>
        <v>43207.326932211581</v>
      </c>
      <c r="AV102" s="26">
        <f>$I$50*$AV$50</f>
        <v>0</v>
      </c>
      <c r="AW102" s="26">
        <f>$I$50*$AW$50</f>
        <v>0</v>
      </c>
      <c r="AX102" s="26">
        <f>$I$50*$AX$50</f>
        <v>262510.9685777608</v>
      </c>
      <c r="AY102" s="26">
        <f>$I$50*$AY$50</f>
        <v>3258.142110362709</v>
      </c>
      <c r="AZ102" s="26">
        <f>$I$50*$AZ$50</f>
        <v>0</v>
      </c>
      <c r="BA102" s="26">
        <f>$I$50*$BA$50</f>
        <v>28027.648609083702</v>
      </c>
      <c r="BB102" s="26">
        <f>$I$50*$BB$50</f>
        <v>0</v>
      </c>
      <c r="BC102" s="26">
        <f>$I$50*$BC$50</f>
        <v>0</v>
      </c>
      <c r="BD102" s="26">
        <f>$I$50*$BD$50</f>
        <v>0</v>
      </c>
    </row>
    <row r="103" spans="1:56" ht="11.25" customHeight="1" x14ac:dyDescent="0.25">
      <c r="A103" s="9" t="s">
        <v>46</v>
      </c>
      <c r="B103" s="9" t="s">
        <v>1069</v>
      </c>
      <c r="C103" s="9" t="s">
        <v>1070</v>
      </c>
      <c r="D103" s="9" t="s">
        <v>1075</v>
      </c>
      <c r="E103" s="9" t="s">
        <v>1076</v>
      </c>
      <c r="F103" s="9" t="s">
        <v>1077</v>
      </c>
      <c r="G103" s="9" t="s">
        <v>1078</v>
      </c>
      <c r="L103" s="26">
        <f>$I$51*$L$51</f>
        <v>0</v>
      </c>
      <c r="M103" s="26">
        <f>$I$51*$M$51</f>
        <v>237.86156482524072</v>
      </c>
      <c r="N103" s="26">
        <f ca="1">$I$51*$N$51</f>
        <v>0</v>
      </c>
      <c r="O103" s="26">
        <f>$I$51*$O$51</f>
        <v>0</v>
      </c>
      <c r="P103" s="26">
        <f>$I$51*$P$51</f>
        <v>0</v>
      </c>
      <c r="Q103" s="26">
        <f>$I$51*$Q$51</f>
        <v>18652.917502752131</v>
      </c>
      <c r="R103" s="26">
        <f>$I$51*$R$51</f>
        <v>2947.9549050144046</v>
      </c>
      <c r="S103" s="26">
        <f>$I$51*$S$51</f>
        <v>0</v>
      </c>
      <c r="T103" s="26">
        <f>$I$51*$T$51</f>
        <v>2933.6758357023318</v>
      </c>
      <c r="U103" s="26">
        <f>$I$51*$U$51</f>
        <v>2315.4468390445886</v>
      </c>
      <c r="V103" s="26">
        <f>$I$51*$V$51</f>
        <v>0</v>
      </c>
      <c r="W103" s="26">
        <f>$I$51*$W$51</f>
        <v>0</v>
      </c>
      <c r="X103" s="26">
        <f>$I$51*$X$51</f>
        <v>4208.498886078185</v>
      </c>
      <c r="Y103" s="26">
        <f>$I$51*$Y$51</f>
        <v>0</v>
      </c>
      <c r="Z103" s="26">
        <f>$I$51*$Z$51</f>
        <v>0</v>
      </c>
      <c r="AA103" s="26">
        <f>$I$51*$AA$51</f>
        <v>29865.184072335367</v>
      </c>
      <c r="AB103" s="26">
        <f ca="1">$I$51*$AB$51</f>
        <v>0</v>
      </c>
      <c r="AC103" s="26">
        <f ca="1">$I$51*$AC$51</f>
        <v>0</v>
      </c>
      <c r="AD103" s="26">
        <f>$I$51*$AD$51</f>
        <v>3527.1553290796242</v>
      </c>
      <c r="AE103" s="26">
        <f>$I$51*$AE$51</f>
        <v>27.014570904581269</v>
      </c>
      <c r="AF103" s="26">
        <f ca="1">$I$51*$AF$51</f>
        <v>0</v>
      </c>
      <c r="AG103" s="26">
        <f ca="1">$I$51*$AG$51</f>
        <v>0</v>
      </c>
      <c r="AI103" s="26">
        <f>$I$51*$AI$51</f>
        <v>0</v>
      </c>
      <c r="AJ103" s="26">
        <f>$I$51*$AJ$51</f>
        <v>207.67063682611737</v>
      </c>
      <c r="AK103" s="26">
        <f>$I$51*$AK$51</f>
        <v>0</v>
      </c>
      <c r="AL103" s="26">
        <f>$I$51*$AL$51</f>
        <v>0</v>
      </c>
      <c r="AM103" s="26">
        <f>$I$51*$AM$51</f>
        <v>0</v>
      </c>
      <c r="AN103" s="26">
        <f>$I$51*$AN$51</f>
        <v>11587.056478829096</v>
      </c>
      <c r="AO103" s="26">
        <f>$I$51*$AO$51</f>
        <v>1807.323091097905</v>
      </c>
      <c r="AP103" s="26">
        <f>$I$51*$AP$51</f>
        <v>0</v>
      </c>
      <c r="AQ103" s="26">
        <f>$I$51*$AQ$51</f>
        <v>4120.008875178466</v>
      </c>
      <c r="AR103" s="26">
        <f>$I$51*$AR$51</f>
        <v>4211.4117927206044</v>
      </c>
      <c r="AS103" s="26">
        <f>$I$51*$AS$51</f>
        <v>0</v>
      </c>
      <c r="AT103" s="26">
        <f>$I$51*$AT$51</f>
        <v>0</v>
      </c>
      <c r="AU103" s="26">
        <f>$I$51*$AU$51</f>
        <v>4282.0827502964585</v>
      </c>
      <c r="AV103" s="26">
        <f>$I$51*$AV$51</f>
        <v>0</v>
      </c>
      <c r="AW103" s="26">
        <f>$I$51*$AW$51</f>
        <v>0</v>
      </c>
      <c r="AX103" s="26">
        <f>$I$51*$AX$51</f>
        <v>26016.274787700877</v>
      </c>
      <c r="AY103" s="26">
        <f>$I$51*$AY$51</f>
        <v>322.8997283420822</v>
      </c>
      <c r="AZ103" s="26">
        <f>$I$51*$AZ$51</f>
        <v>0</v>
      </c>
      <c r="BA103" s="26">
        <f>$I$51*$BA$51</f>
        <v>2777.6934876953464</v>
      </c>
      <c r="BB103" s="26">
        <f>$I$51*$BB$51</f>
        <v>0</v>
      </c>
      <c r="BC103" s="26">
        <f>$I$51*$BC$51</f>
        <v>0</v>
      </c>
      <c r="BD103" s="26">
        <f>$I$51*$BD$51</f>
        <v>0</v>
      </c>
    </row>
  </sheetData>
  <mergeCells count="88"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  <mergeCell ref="E45:E47"/>
    <mergeCell ref="F45:F47"/>
    <mergeCell ref="A50:A51"/>
    <mergeCell ref="B50:B51"/>
    <mergeCell ref="C50:C51"/>
    <mergeCell ref="D45:D47"/>
    <mergeCell ref="AI1:BD1"/>
    <mergeCell ref="AI2:BD2"/>
    <mergeCell ref="AI3:AP3"/>
    <mergeCell ref="AQ3:AW3"/>
    <mergeCell ref="AY3:AZ3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F5:F7"/>
    <mergeCell ref="B10:B14"/>
    <mergeCell ref="G1:G4"/>
    <mergeCell ref="H1:H4"/>
    <mergeCell ref="I1:I4"/>
    <mergeCell ref="F1:F4"/>
    <mergeCell ref="F10:F12"/>
    <mergeCell ref="F13:F1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686B2-57E3-40BA-BC51-38E8C6C75A3F}">
  <dimension ref="A1:AF83"/>
  <sheetViews>
    <sheetView showGridLines="0" topLeftCell="L1" workbookViewId="0">
      <selection activeCell="V42" sqref="V42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4.140625" style="9" bestFit="1" customWidth="1"/>
    <col min="13" max="13" width="8.7109375" style="9" bestFit="1" customWidth="1"/>
    <col min="14" max="14" width="6" style="9" bestFit="1" customWidth="1"/>
    <col min="15" max="15" width="11.140625" style="9" bestFit="1" customWidth="1"/>
    <col min="16" max="16" width="15" style="9" bestFit="1" customWidth="1"/>
    <col min="17" max="17" width="6" style="9" bestFit="1" customWidth="1"/>
    <col min="18" max="18" width="10.42578125" style="9" bestFit="1" customWidth="1"/>
    <col min="19" max="19" width="7" style="9" bestFit="1" customWidth="1"/>
    <col min="20" max="20" width="11.140625" style="9" bestFit="1" customWidth="1"/>
    <col min="21" max="21" width="11" style="9" bestFit="1" customWidth="1"/>
    <col min="22" max="22" width="9.140625" style="9"/>
    <col min="23" max="23" width="4.140625" style="9" bestFit="1" customWidth="1"/>
    <col min="24" max="24" width="8.7109375" style="9" bestFit="1" customWidth="1"/>
    <col min="25" max="25" width="6" style="9" bestFit="1" customWidth="1"/>
    <col min="26" max="26" width="11.140625" style="9" bestFit="1" customWidth="1"/>
    <col min="27" max="27" width="15" style="9" bestFit="1" customWidth="1"/>
    <col min="28" max="28" width="6" style="9" bestFit="1" customWidth="1"/>
    <col min="29" max="29" width="10.42578125" style="9" bestFit="1" customWidth="1"/>
    <col min="30" max="30" width="7" style="9" bestFit="1" customWidth="1"/>
    <col min="31" max="31" width="11.140625" style="9" bestFit="1" customWidth="1"/>
    <col min="32" max="32" width="11" style="9" bestFit="1" customWidth="1"/>
    <col min="33" max="16384" width="9.140625" style="9"/>
  </cols>
  <sheetData>
    <row r="1" spans="1:32" ht="11.25" customHeight="1" x14ac:dyDescent="0.25">
      <c r="A1" s="141" t="s">
        <v>66</v>
      </c>
      <c r="B1" s="141" t="s">
        <v>67</v>
      </c>
      <c r="C1" s="141" t="s">
        <v>68</v>
      </c>
      <c r="D1" s="141" t="s">
        <v>69</v>
      </c>
      <c r="E1" s="141" t="s">
        <v>70</v>
      </c>
      <c r="F1" s="141" t="s">
        <v>15</v>
      </c>
      <c r="G1" s="141" t="s">
        <v>72</v>
      </c>
      <c r="H1" s="141" t="s">
        <v>73</v>
      </c>
      <c r="I1" s="141" t="s">
        <v>717</v>
      </c>
      <c r="J1" s="126"/>
      <c r="L1" s="139" t="s">
        <v>1079</v>
      </c>
      <c r="M1" s="139"/>
      <c r="N1" s="139"/>
      <c r="O1" s="139"/>
      <c r="P1" s="139"/>
      <c r="Q1" s="139"/>
      <c r="R1" s="139"/>
      <c r="S1" s="139"/>
      <c r="T1" s="139"/>
      <c r="U1" s="139"/>
      <c r="W1" s="139" t="s">
        <v>1080</v>
      </c>
      <c r="X1" s="139"/>
      <c r="Y1" s="139"/>
      <c r="Z1" s="139"/>
      <c r="AA1" s="139"/>
      <c r="AB1" s="139"/>
      <c r="AC1" s="139"/>
      <c r="AD1" s="139"/>
      <c r="AE1" s="139"/>
      <c r="AF1" s="139"/>
    </row>
    <row r="2" spans="1:32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26"/>
      <c r="L2" s="139" t="s">
        <v>645</v>
      </c>
      <c r="M2" s="139"/>
      <c r="N2" s="139"/>
      <c r="O2" s="139"/>
      <c r="P2" s="139"/>
      <c r="Q2" s="139"/>
      <c r="R2" s="139"/>
      <c r="S2" s="139"/>
      <c r="T2" s="139"/>
      <c r="U2" s="139"/>
      <c r="W2" s="139" t="s">
        <v>645</v>
      </c>
      <c r="X2" s="139"/>
      <c r="Y2" s="139"/>
      <c r="Z2" s="139"/>
      <c r="AA2" s="139"/>
      <c r="AB2" s="139"/>
      <c r="AC2" s="139"/>
      <c r="AD2" s="139"/>
      <c r="AE2" s="139"/>
      <c r="AF2" s="139"/>
    </row>
    <row r="3" spans="1:32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26"/>
      <c r="L3" s="139" t="s">
        <v>618</v>
      </c>
      <c r="M3" s="139"/>
      <c r="N3" s="139"/>
      <c r="O3" s="139"/>
      <c r="P3" s="88" t="s">
        <v>648</v>
      </c>
      <c r="Q3" s="139" t="s">
        <v>627</v>
      </c>
      <c r="R3" s="139"/>
      <c r="S3" s="139"/>
      <c r="T3" s="88" t="s">
        <v>637</v>
      </c>
      <c r="U3" s="88" t="s">
        <v>640</v>
      </c>
      <c r="W3" s="139" t="s">
        <v>618</v>
      </c>
      <c r="X3" s="139"/>
      <c r="Y3" s="139"/>
      <c r="Z3" s="139"/>
      <c r="AA3" s="88" t="s">
        <v>648</v>
      </c>
      <c r="AB3" s="139" t="s">
        <v>627</v>
      </c>
      <c r="AC3" s="139"/>
      <c r="AD3" s="139"/>
      <c r="AE3" s="88" t="s">
        <v>637</v>
      </c>
      <c r="AF3" s="88" t="s">
        <v>640</v>
      </c>
    </row>
    <row r="4" spans="1:32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26"/>
      <c r="L4" s="88" t="s">
        <v>620</v>
      </c>
      <c r="M4" s="88" t="s">
        <v>646</v>
      </c>
      <c r="N4" s="88" t="s">
        <v>647</v>
      </c>
      <c r="O4" s="88" t="s">
        <v>705</v>
      </c>
      <c r="P4" s="88" t="s">
        <v>649</v>
      </c>
      <c r="Q4" s="88" t="s">
        <v>650</v>
      </c>
      <c r="R4" s="88" t="s">
        <v>651</v>
      </c>
      <c r="S4" s="88" t="s">
        <v>652</v>
      </c>
      <c r="T4" s="88" t="s">
        <v>638</v>
      </c>
      <c r="U4" s="88" t="s">
        <v>653</v>
      </c>
      <c r="W4" s="88" t="s">
        <v>620</v>
      </c>
      <c r="X4" s="88" t="s">
        <v>646</v>
      </c>
      <c r="Y4" s="88" t="s">
        <v>647</v>
      </c>
      <c r="Z4" s="88" t="s">
        <v>705</v>
      </c>
      <c r="AA4" s="88" t="s">
        <v>649</v>
      </c>
      <c r="AB4" s="88" t="s">
        <v>650</v>
      </c>
      <c r="AC4" s="88" t="s">
        <v>651</v>
      </c>
      <c r="AD4" s="88" t="s">
        <v>652</v>
      </c>
      <c r="AE4" s="88" t="s">
        <v>638</v>
      </c>
      <c r="AF4" s="88" t="s">
        <v>653</v>
      </c>
    </row>
    <row r="5" spans="1:32" ht="11.25" customHeight="1" x14ac:dyDescent="0.25">
      <c r="A5" s="142" t="s">
        <v>33</v>
      </c>
      <c r="B5" s="142" t="s">
        <v>75</v>
      </c>
      <c r="C5" s="142" t="s">
        <v>25</v>
      </c>
      <c r="D5" s="142" t="s">
        <v>25</v>
      </c>
      <c r="E5" s="142" t="s">
        <v>25</v>
      </c>
      <c r="F5" s="142" t="s">
        <v>25</v>
      </c>
      <c r="G5" s="52" t="s">
        <v>77</v>
      </c>
      <c r="H5" s="52" t="s">
        <v>76</v>
      </c>
      <c r="I5" s="52">
        <f>'MERCADO TE'!$U$2</f>
        <v>2264.5189999999998</v>
      </c>
      <c r="J5" s="18"/>
      <c r="L5" s="50">
        <f>('TE BE'!$L$5+'TE BF'!$L$5+'TE CVA'!$L$5)*1</f>
        <v>0</v>
      </c>
      <c r="M5" s="50">
        <f>('TE BE'!$M$5+'TE BF'!$M$5+'TE CVA'!$M$5)*1</f>
        <v>13.721703358304637</v>
      </c>
      <c r="N5" s="50">
        <f>('TE BE'!$N$5+'TE BF'!$N$5+'TE CVA'!$N$5)*1</f>
        <v>0</v>
      </c>
      <c r="O5" s="50">
        <f>('TE BE'!$O$5+'TE BF'!$O$5+'TE CVA'!$O$5)*1</f>
        <v>0</v>
      </c>
      <c r="P5" s="50">
        <f>('TE BE'!$Q$5+'TE BF'!$Q$5+'TE CVA'!$Q$5)*1</f>
        <v>195.42550380223474</v>
      </c>
      <c r="Q5" s="50">
        <f>('TE BE'!$S$5+'TE BF'!$S$5+'TE CVA'!$S$5)*1</f>
        <v>0</v>
      </c>
      <c r="R5" s="50">
        <f>('TE BE'!$T$5+'TE BF'!$T$5+'TE CVA'!$T$5)*1</f>
        <v>0</v>
      </c>
      <c r="S5" s="50">
        <f>('TE BE'!$U$5+'TE BF'!$U$5+'TE CVA'!$U$5)*1</f>
        <v>0</v>
      </c>
      <c r="T5" s="50">
        <f>('TE BE'!$W$5+'TE BF'!$W$5+'TE CVA'!$W$5)*1</f>
        <v>0</v>
      </c>
      <c r="U5" s="50">
        <f>('TE BE'!$Y$5+'TE BF'!$Y$5+'TE CVA'!$Y$5)*1</f>
        <v>1.4967688225986286</v>
      </c>
      <c r="W5" s="50">
        <v>0</v>
      </c>
      <c r="X5" s="50">
        <v>3.77591932148772</v>
      </c>
      <c r="Y5" s="50">
        <v>0</v>
      </c>
      <c r="Z5" s="50">
        <v>0</v>
      </c>
      <c r="AA5" s="50">
        <v>257.59060814009098</v>
      </c>
      <c r="AB5" s="50">
        <v>0</v>
      </c>
      <c r="AC5" s="50">
        <v>0</v>
      </c>
      <c r="AD5" s="50">
        <v>0</v>
      </c>
      <c r="AE5" s="50">
        <v>1.92784127128105</v>
      </c>
      <c r="AF5" s="50">
        <v>0</v>
      </c>
    </row>
    <row r="6" spans="1:32" ht="11.25" customHeight="1" x14ac:dyDescent="0.25">
      <c r="A6" s="142"/>
      <c r="B6" s="142"/>
      <c r="C6" s="142"/>
      <c r="D6" s="142"/>
      <c r="E6" s="142"/>
      <c r="F6" s="142"/>
      <c r="G6" s="52" t="s">
        <v>78</v>
      </c>
      <c r="H6" s="52" t="s">
        <v>76</v>
      </c>
      <c r="I6" s="52">
        <f>'MERCADO TE'!$U$3</f>
        <v>42745.164999999994</v>
      </c>
      <c r="J6" s="18"/>
      <c r="L6" s="50">
        <f>('TE BE'!$L$6+'TE BF'!$L$6+'TE CVA'!$L$6)*1</f>
        <v>0</v>
      </c>
      <c r="M6" s="50">
        <f>('TE BE'!$M$6+'TE BF'!$M$6+'TE CVA'!$M$6)*1</f>
        <v>13.721703358304637</v>
      </c>
      <c r="N6" s="50">
        <f>('TE BE'!$N$6+'TE BF'!$N$6+'TE CVA'!$N$6)*1</f>
        <v>0</v>
      </c>
      <c r="O6" s="50">
        <f>('TE BE'!$O$6+'TE BF'!$O$6+'TE CVA'!$O$6)*1</f>
        <v>0</v>
      </c>
      <c r="P6" s="50">
        <f>('TE BE'!$Q$6+'TE BF'!$Q$6+'TE CVA'!$Q$6)*1</f>
        <v>195.42550380223474</v>
      </c>
      <c r="Q6" s="50">
        <f>('TE BE'!$S$6+'TE BF'!$S$6+'TE CVA'!$S$6)*1</f>
        <v>0</v>
      </c>
      <c r="R6" s="50">
        <f>('TE BE'!$T$6+'TE BF'!$T$6+'TE CVA'!$T$6)*1</f>
        <v>0</v>
      </c>
      <c r="S6" s="50">
        <f>('TE BE'!$U$6+'TE BF'!$U$6+'TE CVA'!$U$6)*1</f>
        <v>0</v>
      </c>
      <c r="T6" s="50">
        <f>('TE BE'!$W$6+'TE BF'!$W$6+'TE CVA'!$W$6)*1</f>
        <v>0</v>
      </c>
      <c r="U6" s="50">
        <f>('TE BE'!$Y$6+'TE BF'!$Y$6+'TE CVA'!$Y$6)*1</f>
        <v>1.4967688225986286</v>
      </c>
      <c r="W6" s="50">
        <v>0</v>
      </c>
      <c r="X6" s="50">
        <v>3.77591932148772</v>
      </c>
      <c r="Y6" s="50">
        <v>0</v>
      </c>
      <c r="Z6" s="50">
        <v>0</v>
      </c>
      <c r="AA6" s="50">
        <v>257.59060814009098</v>
      </c>
      <c r="AB6" s="50">
        <v>0</v>
      </c>
      <c r="AC6" s="50">
        <v>0</v>
      </c>
      <c r="AD6" s="50">
        <v>0</v>
      </c>
      <c r="AE6" s="50">
        <v>1.92784127128105</v>
      </c>
      <c r="AF6" s="50">
        <v>0</v>
      </c>
    </row>
    <row r="7" spans="1:32" ht="11.25" customHeight="1" x14ac:dyDescent="0.25">
      <c r="A7" s="142" t="s">
        <v>22</v>
      </c>
      <c r="B7" s="142" t="s">
        <v>75</v>
      </c>
      <c r="C7" s="142" t="s">
        <v>24</v>
      </c>
      <c r="D7" s="142" t="s">
        <v>24</v>
      </c>
      <c r="E7" s="142" t="s">
        <v>25</v>
      </c>
      <c r="F7" s="142" t="s">
        <v>25</v>
      </c>
      <c r="G7" s="52" t="s">
        <v>77</v>
      </c>
      <c r="H7" s="52" t="s">
        <v>76</v>
      </c>
      <c r="I7" s="52">
        <f>'MERCADO TE'!$U$4</f>
        <v>4.6139999999999999</v>
      </c>
      <c r="J7" s="18"/>
      <c r="L7" s="50">
        <f>('TE BE'!$L$7+'TE BF'!$L$7+'TE CVA'!$L$7)*1</f>
        <v>0</v>
      </c>
      <c r="M7" s="50">
        <f>('TE BE'!$M$7+'TE BF'!$M$7+'TE CVA'!$M$7)*1</f>
        <v>13.721703358304637</v>
      </c>
      <c r="N7" s="50">
        <f>('TE BE'!$N$7+'TE BF'!$N$7+'TE CVA'!$N$7)*1</f>
        <v>0</v>
      </c>
      <c r="O7" s="50">
        <f>('TE BE'!$O$7+'TE BF'!$O$7+'TE CVA'!$O$7)*1</f>
        <v>0</v>
      </c>
      <c r="P7" s="50">
        <f>('TE BE'!$Q$7+'TE BF'!$Q$7+'TE CVA'!$Q$7)*1</f>
        <v>195.42550380223474</v>
      </c>
      <c r="Q7" s="50">
        <f>('TE BE'!$S$7+'TE BF'!$S$7+'TE CVA'!$S$7)*1</f>
        <v>0</v>
      </c>
      <c r="R7" s="50">
        <f>('TE BE'!$T$7+'TE BF'!$T$7+'TE CVA'!$T$7)*1</f>
        <v>0</v>
      </c>
      <c r="S7" s="50">
        <f>('TE BE'!$U$7+'TE BF'!$U$7+'TE CVA'!$U$7)*1</f>
        <v>0</v>
      </c>
      <c r="T7" s="50">
        <f>('TE BE'!$W$7+'TE BF'!$W$7+'TE CVA'!$W$7)*1</f>
        <v>0</v>
      </c>
      <c r="U7" s="50">
        <f>('TE BE'!$Y$7+'TE BF'!$Y$7+'TE CVA'!$Y$7)*1</f>
        <v>1.4967688225986286</v>
      </c>
      <c r="W7" s="50">
        <v>0</v>
      </c>
      <c r="X7" s="50">
        <v>3.77591932148772</v>
      </c>
      <c r="Y7" s="50">
        <v>0</v>
      </c>
      <c r="Z7" s="50">
        <v>0</v>
      </c>
      <c r="AA7" s="50">
        <v>257.59060814009098</v>
      </c>
      <c r="AB7" s="50">
        <v>0</v>
      </c>
      <c r="AC7" s="50">
        <v>0</v>
      </c>
      <c r="AD7" s="50">
        <v>0</v>
      </c>
      <c r="AE7" s="50">
        <v>1.92784127128105</v>
      </c>
      <c r="AF7" s="50">
        <v>0</v>
      </c>
    </row>
    <row r="8" spans="1:32" ht="11.25" customHeight="1" x14ac:dyDescent="0.25">
      <c r="A8" s="142"/>
      <c r="B8" s="142"/>
      <c r="C8" s="142"/>
      <c r="D8" s="142"/>
      <c r="E8" s="142"/>
      <c r="F8" s="142"/>
      <c r="G8" s="52" t="s">
        <v>88</v>
      </c>
      <c r="H8" s="52" t="s">
        <v>76</v>
      </c>
      <c r="I8" s="52">
        <f>'MERCADO TE'!$U$5</f>
        <v>7.0189999999999992</v>
      </c>
      <c r="J8" s="18"/>
      <c r="L8" s="50">
        <f>('TE BE'!$L$8+'TE BF'!$L$8+'TE CVA'!$L$8)*1</f>
        <v>0</v>
      </c>
      <c r="M8" s="50">
        <f>('TE BE'!$M$8+'TE BF'!$M$8+'TE CVA'!$M$8)*1</f>
        <v>13.721703358304637</v>
      </c>
      <c r="N8" s="50">
        <f>('TE BE'!$N$8+'TE BF'!$N$8+'TE CVA'!$N$8)*1</f>
        <v>0</v>
      </c>
      <c r="O8" s="50">
        <f>('TE BE'!$O$8+'TE BF'!$O$8+'TE CVA'!$O$8)*1</f>
        <v>0</v>
      </c>
      <c r="P8" s="50">
        <f>('TE BE'!$Q$8+'TE BF'!$Q$8+'TE CVA'!$Q$8)*1</f>
        <v>195.42550380223474</v>
      </c>
      <c r="Q8" s="50">
        <f>('TE BE'!$S$8+'TE BF'!$S$8+'TE CVA'!$S$8)*1</f>
        <v>0</v>
      </c>
      <c r="R8" s="50">
        <f>('TE BE'!$T$8+'TE BF'!$T$8+'TE CVA'!$T$8)*1</f>
        <v>0</v>
      </c>
      <c r="S8" s="50">
        <f>('TE BE'!$U$8+'TE BF'!$U$8+'TE CVA'!$U$8)*1</f>
        <v>0</v>
      </c>
      <c r="T8" s="50">
        <f>('TE BE'!$W$8+'TE BF'!$W$8+'TE CVA'!$W$8)*1</f>
        <v>0</v>
      </c>
      <c r="U8" s="50">
        <f>('TE BE'!$Y$8+'TE BF'!$Y$8+'TE CVA'!$Y$8)*1</f>
        <v>1.4967688225986286</v>
      </c>
      <c r="W8" s="50">
        <v>0</v>
      </c>
      <c r="X8" s="50">
        <v>3.77591932148772</v>
      </c>
      <c r="Y8" s="50">
        <v>0</v>
      </c>
      <c r="Z8" s="50">
        <v>0</v>
      </c>
      <c r="AA8" s="50">
        <v>257.59060814009098</v>
      </c>
      <c r="AB8" s="50">
        <v>0</v>
      </c>
      <c r="AC8" s="50">
        <v>0</v>
      </c>
      <c r="AD8" s="50">
        <v>0</v>
      </c>
      <c r="AE8" s="50">
        <v>1.92784127128105</v>
      </c>
      <c r="AF8" s="50">
        <v>0</v>
      </c>
    </row>
    <row r="9" spans="1:32" ht="11.25" customHeight="1" x14ac:dyDescent="0.25">
      <c r="A9" s="142"/>
      <c r="B9" s="142"/>
      <c r="C9" s="142"/>
      <c r="D9" s="142"/>
      <c r="E9" s="142"/>
      <c r="F9" s="142"/>
      <c r="G9" s="52" t="s">
        <v>78</v>
      </c>
      <c r="H9" s="52" t="s">
        <v>76</v>
      </c>
      <c r="I9" s="52">
        <f>'MERCADO TE'!$U$6</f>
        <v>29.872</v>
      </c>
      <c r="J9" s="18"/>
      <c r="L9" s="50">
        <f>('TE BE'!$L$9+'TE BF'!$L$9+'TE CVA'!$L$9)*1</f>
        <v>0</v>
      </c>
      <c r="M9" s="50">
        <f>('TE BE'!$M$9+'TE BF'!$M$9+'TE CVA'!$M$9)*1</f>
        <v>13.721703358304637</v>
      </c>
      <c r="N9" s="50">
        <f>('TE BE'!$N$9+'TE BF'!$N$9+'TE CVA'!$N$9)*1</f>
        <v>0</v>
      </c>
      <c r="O9" s="50">
        <f>('TE BE'!$O$9+'TE BF'!$O$9+'TE CVA'!$O$9)*1</f>
        <v>0</v>
      </c>
      <c r="P9" s="50">
        <f>('TE BE'!$Q$9+'TE BF'!$Q$9+'TE CVA'!$Q$9)*1</f>
        <v>195.42550380223474</v>
      </c>
      <c r="Q9" s="50">
        <f>('TE BE'!$S$9+'TE BF'!$S$9+'TE CVA'!$S$9)*1</f>
        <v>0</v>
      </c>
      <c r="R9" s="50">
        <f>('TE BE'!$T$9+'TE BF'!$T$9+'TE CVA'!$T$9)*1</f>
        <v>0</v>
      </c>
      <c r="S9" s="50">
        <f>('TE BE'!$U$9+'TE BF'!$U$9+'TE CVA'!$U$9)*1</f>
        <v>0</v>
      </c>
      <c r="T9" s="50">
        <f>('TE BE'!$W$9+'TE BF'!$W$9+'TE CVA'!$W$9)*1</f>
        <v>0</v>
      </c>
      <c r="U9" s="50">
        <f>('TE BE'!$Y$9+'TE BF'!$Y$9+'TE CVA'!$Y$9)*1</f>
        <v>1.4967688225986286</v>
      </c>
      <c r="W9" s="50">
        <v>0</v>
      </c>
      <c r="X9" s="50">
        <v>3.77591932148772</v>
      </c>
      <c r="Y9" s="50">
        <v>0</v>
      </c>
      <c r="Z9" s="50">
        <v>0</v>
      </c>
      <c r="AA9" s="50">
        <v>257.59060814009098</v>
      </c>
      <c r="AB9" s="50">
        <v>0</v>
      </c>
      <c r="AC9" s="50">
        <v>0</v>
      </c>
      <c r="AD9" s="50">
        <v>0</v>
      </c>
      <c r="AE9" s="50">
        <v>1.92784127128105</v>
      </c>
      <c r="AF9" s="50">
        <v>0</v>
      </c>
    </row>
    <row r="10" spans="1:32" ht="11.25" customHeight="1" x14ac:dyDescent="0.25">
      <c r="A10" s="142"/>
      <c r="B10" s="142" t="s">
        <v>89</v>
      </c>
      <c r="C10" s="142" t="s">
        <v>24</v>
      </c>
      <c r="D10" s="87" t="s">
        <v>24</v>
      </c>
      <c r="E10" s="87" t="s">
        <v>25</v>
      </c>
      <c r="F10" s="87" t="s">
        <v>25</v>
      </c>
      <c r="G10" s="52" t="s">
        <v>82</v>
      </c>
      <c r="H10" s="52" t="s">
        <v>76</v>
      </c>
      <c r="I10" s="52">
        <f>'MERCADO TE'!$U$7</f>
        <v>25648.588</v>
      </c>
      <c r="J10" s="18"/>
      <c r="L10" s="50">
        <f>('TE BE'!$L$10+'TE BF'!$L$10+'TE CVA'!$L$10)*1</f>
        <v>0</v>
      </c>
      <c r="M10" s="50">
        <f>('TE BE'!$M$10+'TE BF'!$M$10+'TE CVA'!$M$10)*1</f>
        <v>13.721703358304637</v>
      </c>
      <c r="N10" s="50">
        <f>('TE BE'!$N$10+'TE BF'!$N$10+'TE CVA'!$N$10)*1</f>
        <v>0</v>
      </c>
      <c r="O10" s="50">
        <f>('TE BE'!$O$10+'TE BF'!$O$10+'TE CVA'!$O$10)*1</f>
        <v>0</v>
      </c>
      <c r="P10" s="50">
        <f>('TE BE'!$Q$10+'TE BF'!$Q$10+'TE CVA'!$Q$10)*1</f>
        <v>195.42550380223474</v>
      </c>
      <c r="Q10" s="50">
        <f>('TE BE'!$S$10+'TE BF'!$S$10+'TE CVA'!$S$10)*1</f>
        <v>0</v>
      </c>
      <c r="R10" s="50">
        <f>('TE BE'!$T$10+'TE BF'!$T$10+'TE CVA'!$T$10)*1</f>
        <v>0</v>
      </c>
      <c r="S10" s="50">
        <f>('TE BE'!$U$10+'TE BF'!$U$10+'TE CVA'!$U$10)*1</f>
        <v>0</v>
      </c>
      <c r="T10" s="50">
        <f>('TE BE'!$W$10+'TE BF'!$W$10+'TE CVA'!$W$10)*1</f>
        <v>0</v>
      </c>
      <c r="U10" s="50">
        <f>('TE BE'!$Y$10+'TE BF'!$Y$10+'TE CVA'!$Y$10)*1</f>
        <v>1.4967688225986286</v>
      </c>
      <c r="W10" s="50">
        <v>0</v>
      </c>
      <c r="X10" s="50">
        <v>3.77591932148772</v>
      </c>
      <c r="Y10" s="50">
        <v>0</v>
      </c>
      <c r="Z10" s="50">
        <v>0</v>
      </c>
      <c r="AA10" s="50">
        <v>257.59060814009098</v>
      </c>
      <c r="AB10" s="50">
        <v>0</v>
      </c>
      <c r="AC10" s="50">
        <v>0</v>
      </c>
      <c r="AD10" s="50">
        <v>0</v>
      </c>
      <c r="AE10" s="50">
        <v>1.92784127128105</v>
      </c>
      <c r="AF10" s="50">
        <v>0</v>
      </c>
    </row>
    <row r="11" spans="1:32" ht="11.25" customHeight="1" x14ac:dyDescent="0.25">
      <c r="A11" s="142"/>
      <c r="B11" s="142"/>
      <c r="C11" s="142"/>
      <c r="D11" s="87" t="s">
        <v>29</v>
      </c>
      <c r="E11" s="87" t="s">
        <v>25</v>
      </c>
      <c r="F11" s="87" t="s">
        <v>25</v>
      </c>
      <c r="G11" s="52" t="s">
        <v>82</v>
      </c>
      <c r="H11" s="52" t="s">
        <v>76</v>
      </c>
      <c r="I11" s="52">
        <f>'MERCADO TE'!$U$8</f>
        <v>203.58</v>
      </c>
      <c r="J11" s="18"/>
      <c r="L11" s="50">
        <f>('TE BE'!$L$11+'TE BF'!$L$11+'TE CVA'!$L$11)*(1 - 0.65)</f>
        <v>0</v>
      </c>
      <c r="M11" s="50">
        <f>('TE BE'!$M$11+'TE BF'!$M$11+'TE CVA'!$M$11)*(1 - 0.65)</f>
        <v>4.8025961754066229</v>
      </c>
      <c r="N11" s="50">
        <f>('TE BE'!$N$11+'TE BF'!$N$11+'TE CVA'!$N$11)*(1 - 0.65)</f>
        <v>0</v>
      </c>
      <c r="O11" s="50">
        <f>('TE BE'!$O$11+'TE BF'!$O$11+'TE CVA'!$O$11)*(1 - 0.65)</f>
        <v>0</v>
      </c>
      <c r="P11" s="50">
        <f>('TE BE'!$Q$11+'TE BF'!$Q$11+'TE CVA'!$Q$11)*(1 - 0.65)</f>
        <v>68.39892633078216</v>
      </c>
      <c r="Q11" s="50">
        <f>('TE BE'!$S$11+'TE BF'!$S$11+'TE CVA'!$S$11)*(1 - 0.65)</f>
        <v>0</v>
      </c>
      <c r="R11" s="50">
        <f>('TE BE'!$T$11+'TE BF'!$T$11+'TE CVA'!$T$11)*(1 - 0.65)</f>
        <v>0</v>
      </c>
      <c r="S11" s="50">
        <f>('TE BE'!$U$11+'TE BF'!$U$11+'TE CVA'!$U$11)*(1 - 0.65)</f>
        <v>0</v>
      </c>
      <c r="T11" s="50">
        <f>('TE BE'!$W$11+'TE BF'!$W$11+'TE CVA'!$W$11)*(1 - 0.65)</f>
        <v>0</v>
      </c>
      <c r="U11" s="50">
        <f>('TE BE'!$Y$11+'TE BF'!$Y$11+'TE CVA'!$Y$11)*(1 - 0.65)</f>
        <v>0.52386908790952003</v>
      </c>
      <c r="W11" s="50">
        <v>0</v>
      </c>
      <c r="X11" s="50">
        <v>1.3215717625207</v>
      </c>
      <c r="Y11" s="50">
        <v>0</v>
      </c>
      <c r="Z11" s="50">
        <v>0</v>
      </c>
      <c r="AA11" s="50">
        <v>90.156712849031905</v>
      </c>
      <c r="AB11" s="50">
        <v>0</v>
      </c>
      <c r="AC11" s="50">
        <v>0</v>
      </c>
      <c r="AD11" s="50">
        <v>0</v>
      </c>
      <c r="AE11" s="50">
        <v>0.67474444494836805</v>
      </c>
      <c r="AF11" s="50">
        <v>0</v>
      </c>
    </row>
    <row r="12" spans="1:32" ht="11.25" customHeight="1" x14ac:dyDescent="0.25">
      <c r="A12" s="142"/>
      <c r="B12" s="142"/>
      <c r="C12" s="142"/>
      <c r="D12" s="87" t="s">
        <v>30</v>
      </c>
      <c r="E12" s="87" t="s">
        <v>25</v>
      </c>
      <c r="F12" s="87" t="s">
        <v>25</v>
      </c>
      <c r="G12" s="52" t="s">
        <v>82</v>
      </c>
      <c r="H12" s="52" t="s">
        <v>76</v>
      </c>
      <c r="I12" s="52">
        <f>'MERCADO TE'!$U$9</f>
        <v>441.75700000000001</v>
      </c>
      <c r="J12" s="18"/>
      <c r="L12" s="50">
        <f>('TE BE'!$L$12+'TE BF'!$L$12+'TE CVA'!$L$12)*(1 - 0.4)</f>
        <v>0</v>
      </c>
      <c r="M12" s="50">
        <f>('TE BE'!$M$12+'TE BF'!$M$12+'TE CVA'!$M$12)*(1 - 0.4)</f>
        <v>8.2330220149827813</v>
      </c>
      <c r="N12" s="50">
        <f>('TE BE'!$N$12+'TE BF'!$N$12+'TE CVA'!$N$12)*(1 - 0.4)</f>
        <v>0</v>
      </c>
      <c r="O12" s="50">
        <f>('TE BE'!$O$12+'TE BF'!$O$12+'TE CVA'!$O$12)*(1 - 0.4)</f>
        <v>0</v>
      </c>
      <c r="P12" s="50">
        <f>('TE BE'!$Q$12+'TE BF'!$Q$12+'TE CVA'!$Q$12)*(1 - 0.4)</f>
        <v>117.25530228134085</v>
      </c>
      <c r="Q12" s="50">
        <f>('TE BE'!$S$12+'TE BF'!$S$12+'TE CVA'!$S$12)*(1 - 0.4)</f>
        <v>0</v>
      </c>
      <c r="R12" s="50">
        <f>('TE BE'!$T$12+'TE BF'!$T$12+'TE CVA'!$T$12)*(1 - 0.4)</f>
        <v>0</v>
      </c>
      <c r="S12" s="50">
        <f>('TE BE'!$U$12+'TE BF'!$U$12+'TE CVA'!$U$12)*(1 - 0.4)</f>
        <v>0</v>
      </c>
      <c r="T12" s="50">
        <f>('TE BE'!$W$12+'TE BF'!$W$12+'TE CVA'!$W$12)*(1 - 0.4)</f>
        <v>0</v>
      </c>
      <c r="U12" s="50">
        <f>('TE BE'!$Y$12+'TE BF'!$Y$12+'TE CVA'!$Y$12)*(1 - 0.4)</f>
        <v>0.89806129355917719</v>
      </c>
      <c r="W12" s="50">
        <v>0</v>
      </c>
      <c r="X12" s="50">
        <v>2.26555159289263</v>
      </c>
      <c r="Y12" s="50">
        <v>0</v>
      </c>
      <c r="Z12" s="50">
        <v>0</v>
      </c>
      <c r="AA12" s="50">
        <v>154.55436488405499</v>
      </c>
      <c r="AB12" s="50">
        <v>0</v>
      </c>
      <c r="AC12" s="50">
        <v>0</v>
      </c>
      <c r="AD12" s="50">
        <v>0</v>
      </c>
      <c r="AE12" s="50">
        <v>1.15670476276863</v>
      </c>
      <c r="AF12" s="50">
        <v>0</v>
      </c>
    </row>
    <row r="13" spans="1:32" ht="11.25" customHeight="1" x14ac:dyDescent="0.25">
      <c r="A13" s="142"/>
      <c r="B13" s="142"/>
      <c r="C13" s="142"/>
      <c r="D13" s="87" t="s">
        <v>31</v>
      </c>
      <c r="E13" s="87" t="s">
        <v>25</v>
      </c>
      <c r="F13" s="87" t="s">
        <v>25</v>
      </c>
      <c r="G13" s="52" t="s">
        <v>82</v>
      </c>
      <c r="H13" s="52" t="s">
        <v>76</v>
      </c>
      <c r="I13" s="52">
        <f>'MERCADO TE'!$U$10</f>
        <v>380.55199999999996</v>
      </c>
      <c r="J13" s="18"/>
      <c r="L13" s="50">
        <f>('TE BE'!$L$13+'TE BF'!$L$13+'TE CVA'!$L$13)*(1 - 0.1)</f>
        <v>0</v>
      </c>
      <c r="M13" s="50">
        <f>('TE BE'!$M$13+'TE BF'!$M$13+'TE CVA'!$M$13)*(1 - 0.1)</f>
        <v>12.349533022474175</v>
      </c>
      <c r="N13" s="50">
        <f>('TE BE'!$N$13+'TE BF'!$N$13+'TE CVA'!$N$13)*(1 - 0.1)</f>
        <v>0</v>
      </c>
      <c r="O13" s="50">
        <f>('TE BE'!$O$13+'TE BF'!$O$13+'TE CVA'!$O$13)*(1 - 0.1)</f>
        <v>0</v>
      </c>
      <c r="P13" s="50">
        <f>('TE BE'!$Q$13+'TE BF'!$Q$13+'TE CVA'!$Q$13)*(1 - 0.1)</f>
        <v>175.88295342201127</v>
      </c>
      <c r="Q13" s="50">
        <f>('TE BE'!$S$13+'TE BF'!$S$13+'TE CVA'!$S$13)*(1 - 0.1)</f>
        <v>0</v>
      </c>
      <c r="R13" s="50">
        <f>('TE BE'!$T$13+'TE BF'!$T$13+'TE CVA'!$T$13)*(1 - 0.1)</f>
        <v>0</v>
      </c>
      <c r="S13" s="50">
        <f>('TE BE'!$U$13+'TE BF'!$U$13+'TE CVA'!$U$13)*(1 - 0.1)</f>
        <v>0</v>
      </c>
      <c r="T13" s="50">
        <f>('TE BE'!$W$13+'TE BF'!$W$13+'TE CVA'!$W$13)*(1 - 0.1)</f>
        <v>0</v>
      </c>
      <c r="U13" s="50">
        <f>('TE BE'!$Y$13+'TE BF'!$Y$13+'TE CVA'!$Y$13)*(1 - 0.1)</f>
        <v>1.3470919403387658</v>
      </c>
      <c r="W13" s="50">
        <v>0</v>
      </c>
      <c r="X13" s="50">
        <v>3.3983273893389501</v>
      </c>
      <c r="Y13" s="50">
        <v>0</v>
      </c>
      <c r="Z13" s="50">
        <v>0</v>
      </c>
      <c r="AA13" s="50">
        <v>231.83154732608199</v>
      </c>
      <c r="AB13" s="50">
        <v>0</v>
      </c>
      <c r="AC13" s="50">
        <v>0</v>
      </c>
      <c r="AD13" s="50">
        <v>0</v>
      </c>
      <c r="AE13" s="50">
        <v>1.7350571441529501</v>
      </c>
      <c r="AF13" s="50">
        <v>0</v>
      </c>
    </row>
    <row r="14" spans="1:32" ht="11.25" customHeight="1" x14ac:dyDescent="0.25">
      <c r="A14" s="142"/>
      <c r="B14" s="142"/>
      <c r="C14" s="142"/>
      <c r="D14" s="87" t="s">
        <v>32</v>
      </c>
      <c r="E14" s="87" t="s">
        <v>25</v>
      </c>
      <c r="F14" s="87" t="s">
        <v>25</v>
      </c>
      <c r="G14" s="52" t="s">
        <v>82</v>
      </c>
      <c r="H14" s="52" t="s">
        <v>76</v>
      </c>
      <c r="I14" s="52">
        <f>'MERCADO TE'!$U$11</f>
        <v>85.721000000000004</v>
      </c>
      <c r="J14" s="18"/>
      <c r="L14" s="50">
        <f>('TE BE'!$L$14+'TE BF'!$L$14+'TE CVA'!$L$14)*1</f>
        <v>0</v>
      </c>
      <c r="M14" s="50">
        <f>('TE BE'!$M$14+'TE BF'!$M$14+'TE CVA'!$M$14)*1</f>
        <v>13.721703358304637</v>
      </c>
      <c r="N14" s="50">
        <f>('TE BE'!$N$14+'TE BF'!$N$14+'TE CVA'!$N$14)*1</f>
        <v>0</v>
      </c>
      <c r="O14" s="50">
        <f>('TE BE'!$O$14+'TE BF'!$O$14+'TE CVA'!$O$14)*1</f>
        <v>0</v>
      </c>
      <c r="P14" s="50">
        <f>('TE BE'!$Q$14+'TE BF'!$Q$14+'TE CVA'!$Q$14)*1</f>
        <v>195.42550380223474</v>
      </c>
      <c r="Q14" s="50">
        <f>('TE BE'!$S$14+'TE BF'!$S$14+'TE CVA'!$S$14)*1</f>
        <v>0</v>
      </c>
      <c r="R14" s="50">
        <f>('TE BE'!$T$14+'TE BF'!$T$14+'TE CVA'!$T$14)*1</f>
        <v>0</v>
      </c>
      <c r="S14" s="50">
        <f>('TE BE'!$U$14+'TE BF'!$U$14+'TE CVA'!$U$14)*1</f>
        <v>0</v>
      </c>
      <c r="T14" s="50">
        <f>('TE BE'!$W$14+'TE BF'!$W$14+'TE CVA'!$W$14)*1</f>
        <v>0</v>
      </c>
      <c r="U14" s="50">
        <f>('TE BE'!$Y$14+'TE BF'!$Y$14+'TE CVA'!$Y$14)*1</f>
        <v>1.4967688225986286</v>
      </c>
      <c r="W14" s="50">
        <v>0</v>
      </c>
      <c r="X14" s="50">
        <v>3.77591932148772</v>
      </c>
      <c r="Y14" s="50">
        <v>0</v>
      </c>
      <c r="Z14" s="50">
        <v>0</v>
      </c>
      <c r="AA14" s="50">
        <v>257.59060814009098</v>
      </c>
      <c r="AB14" s="50">
        <v>0</v>
      </c>
      <c r="AC14" s="50">
        <v>0</v>
      </c>
      <c r="AD14" s="50">
        <v>0</v>
      </c>
      <c r="AE14" s="50">
        <v>1.92784127128105</v>
      </c>
      <c r="AF14" s="50">
        <v>0</v>
      </c>
    </row>
    <row r="15" spans="1:32" ht="11.25" customHeight="1" x14ac:dyDescent="0.25">
      <c r="A15" s="142"/>
      <c r="B15" s="142" t="s">
        <v>90</v>
      </c>
      <c r="C15" s="142" t="s">
        <v>24</v>
      </c>
      <c r="D15" s="87" t="s">
        <v>24</v>
      </c>
      <c r="E15" s="87" t="s">
        <v>25</v>
      </c>
      <c r="F15" s="87" t="s">
        <v>25</v>
      </c>
      <c r="G15" s="52" t="s">
        <v>82</v>
      </c>
      <c r="H15" s="52" t="s">
        <v>76</v>
      </c>
      <c r="I15" s="52">
        <f>'MERCADO TE'!$U$12</f>
        <v>0</v>
      </c>
      <c r="J15" s="18"/>
      <c r="L15" s="50">
        <f>('TE BE'!$L$15+'TE BF'!$L$15+'TE CVA'!$L$15)*1</f>
        <v>0</v>
      </c>
      <c r="M15" s="50">
        <f>('TE BE'!$M$15+'TE BF'!$M$15+'TE CVA'!$M$15)*1</f>
        <v>13.721703358304637</v>
      </c>
      <c r="N15" s="50">
        <f>('TE BE'!$N$15+'TE BF'!$N$15+'TE CVA'!$N$15)*1</f>
        <v>0</v>
      </c>
      <c r="O15" s="50">
        <f>('TE BE'!$O$15+'TE BF'!$O$15+'TE CVA'!$O$15)*1</f>
        <v>0</v>
      </c>
      <c r="P15" s="50">
        <f>('TE BE'!$Q$15+'TE BF'!$Q$15+'TE CVA'!$Q$15)*1</f>
        <v>195.42550380223474</v>
      </c>
      <c r="Q15" s="50">
        <f>('TE BE'!$S$15+'TE BF'!$S$15+'TE CVA'!$S$15)*1</f>
        <v>0</v>
      </c>
      <c r="R15" s="50">
        <f>('TE BE'!$T$15+'TE BF'!$T$15+'TE CVA'!$T$15)*1</f>
        <v>0</v>
      </c>
      <c r="S15" s="50">
        <f>('TE BE'!$U$15+'TE BF'!$U$15+'TE CVA'!$U$15)*1</f>
        <v>0</v>
      </c>
      <c r="T15" s="50">
        <f>('TE BE'!$W$15+'TE BF'!$W$15+'TE CVA'!$W$15)*1</f>
        <v>0</v>
      </c>
      <c r="U15" s="50">
        <f>('TE BE'!$Y$15+'TE BF'!$Y$15+'TE CVA'!$Y$15)*1</f>
        <v>1.4967688225986286</v>
      </c>
      <c r="W15" s="50">
        <v>0</v>
      </c>
      <c r="X15" s="50">
        <v>3.77591932148772</v>
      </c>
      <c r="Y15" s="50">
        <v>0</v>
      </c>
      <c r="Z15" s="50">
        <v>0</v>
      </c>
      <c r="AA15" s="50">
        <v>257.59060814009098</v>
      </c>
      <c r="AB15" s="50">
        <v>0</v>
      </c>
      <c r="AC15" s="50">
        <v>0</v>
      </c>
      <c r="AD15" s="50">
        <v>0</v>
      </c>
      <c r="AE15" s="50">
        <v>1.92784127128105</v>
      </c>
      <c r="AF15" s="50">
        <v>0</v>
      </c>
    </row>
    <row r="16" spans="1:32" ht="11.25" customHeight="1" x14ac:dyDescent="0.25">
      <c r="A16" s="142"/>
      <c r="B16" s="142"/>
      <c r="C16" s="142"/>
      <c r="D16" s="87" t="s">
        <v>29</v>
      </c>
      <c r="E16" s="87" t="s">
        <v>25</v>
      </c>
      <c r="F16" s="87" t="s">
        <v>25</v>
      </c>
      <c r="G16" s="52" t="s">
        <v>82</v>
      </c>
      <c r="H16" s="52" t="s">
        <v>76</v>
      </c>
      <c r="I16" s="52">
        <f>'MERCADO TE'!$U$13</f>
        <v>0</v>
      </c>
      <c r="J16" s="18"/>
      <c r="L16" s="50">
        <f>('TE BE'!$L$16+'TE BF'!$L$16+'TE CVA'!$L$16)*(1 - 0.65)</f>
        <v>0</v>
      </c>
      <c r="M16" s="50">
        <f>('TE BE'!$M$16+'TE BF'!$M$16+'TE CVA'!$M$16)*(1 - 0.65)</f>
        <v>4.8025961754066229</v>
      </c>
      <c r="N16" s="50">
        <f>('TE BE'!$N$16+'TE BF'!$N$16+'TE CVA'!$N$16)*(1 - 0.65)</f>
        <v>0</v>
      </c>
      <c r="O16" s="50">
        <f>('TE BE'!$O$16+'TE BF'!$O$16+'TE CVA'!$O$16)*(1 - 0.65)</f>
        <v>0</v>
      </c>
      <c r="P16" s="50">
        <f>('TE BE'!$Q$16+'TE BF'!$Q$16+'TE CVA'!$Q$16)*(1 - 0.65)</f>
        <v>68.39892633078216</v>
      </c>
      <c r="Q16" s="50">
        <f>('TE BE'!$S$16+'TE BF'!$S$16+'TE CVA'!$S$16)*(1 - 0.65)</f>
        <v>0</v>
      </c>
      <c r="R16" s="50">
        <f>('TE BE'!$T$16+'TE BF'!$T$16+'TE CVA'!$T$16)*(1 - 0.65)</f>
        <v>0</v>
      </c>
      <c r="S16" s="50">
        <f>('TE BE'!$U$16+'TE BF'!$U$16+'TE CVA'!$U$16)*(1 - 0.65)</f>
        <v>0</v>
      </c>
      <c r="T16" s="50">
        <f>('TE BE'!$W$16+'TE BF'!$W$16+'TE CVA'!$W$16)*(1 - 0.65)</f>
        <v>0</v>
      </c>
      <c r="U16" s="50">
        <f>('TE BE'!$Y$16+'TE BF'!$Y$16+'TE CVA'!$Y$16)*(1 - 0.65)</f>
        <v>0.52386908790952003</v>
      </c>
      <c r="W16" s="50">
        <v>0</v>
      </c>
      <c r="X16" s="50">
        <v>1.3215717625207</v>
      </c>
      <c r="Y16" s="50">
        <v>0</v>
      </c>
      <c r="Z16" s="50">
        <v>0</v>
      </c>
      <c r="AA16" s="50">
        <v>90.156712849031905</v>
      </c>
      <c r="AB16" s="50">
        <v>0</v>
      </c>
      <c r="AC16" s="50">
        <v>0</v>
      </c>
      <c r="AD16" s="50">
        <v>0</v>
      </c>
      <c r="AE16" s="50">
        <v>0.67474444494836805</v>
      </c>
      <c r="AF16" s="50">
        <v>0</v>
      </c>
    </row>
    <row r="17" spans="1:32" ht="11.25" customHeight="1" x14ac:dyDescent="0.25">
      <c r="A17" s="142"/>
      <c r="B17" s="142"/>
      <c r="C17" s="142"/>
      <c r="D17" s="87" t="s">
        <v>30</v>
      </c>
      <c r="E17" s="87" t="s">
        <v>25</v>
      </c>
      <c r="F17" s="87" t="s">
        <v>25</v>
      </c>
      <c r="G17" s="52" t="s">
        <v>82</v>
      </c>
      <c r="H17" s="52" t="s">
        <v>76</v>
      </c>
      <c r="I17" s="52">
        <f>'MERCADO TE'!$U$14</f>
        <v>0</v>
      </c>
      <c r="J17" s="18"/>
      <c r="L17" s="50">
        <f>('TE BE'!$L$17+'TE BF'!$L$17+'TE CVA'!$L$17)*(1 - 0.4)</f>
        <v>0</v>
      </c>
      <c r="M17" s="50">
        <f>('TE BE'!$M$17+'TE BF'!$M$17+'TE CVA'!$M$17)*(1 - 0.4)</f>
        <v>8.2330220149827813</v>
      </c>
      <c r="N17" s="50">
        <f>('TE BE'!$N$17+'TE BF'!$N$17+'TE CVA'!$N$17)*(1 - 0.4)</f>
        <v>0</v>
      </c>
      <c r="O17" s="50">
        <f>('TE BE'!$O$17+'TE BF'!$O$17+'TE CVA'!$O$17)*(1 - 0.4)</f>
        <v>0</v>
      </c>
      <c r="P17" s="50">
        <f>('TE BE'!$Q$17+'TE BF'!$Q$17+'TE CVA'!$Q$17)*(1 - 0.4)</f>
        <v>117.25530228134085</v>
      </c>
      <c r="Q17" s="50">
        <f>('TE BE'!$S$17+'TE BF'!$S$17+'TE CVA'!$S$17)*(1 - 0.4)</f>
        <v>0</v>
      </c>
      <c r="R17" s="50">
        <f>('TE BE'!$T$17+'TE BF'!$T$17+'TE CVA'!$T$17)*(1 - 0.4)</f>
        <v>0</v>
      </c>
      <c r="S17" s="50">
        <f>('TE BE'!$U$17+'TE BF'!$U$17+'TE CVA'!$U$17)*(1 - 0.4)</f>
        <v>0</v>
      </c>
      <c r="T17" s="50">
        <f>('TE BE'!$W$17+'TE BF'!$W$17+'TE CVA'!$W$17)*(1 - 0.4)</f>
        <v>0</v>
      </c>
      <c r="U17" s="50">
        <f>('TE BE'!$Y$17+'TE BF'!$Y$17+'TE CVA'!$Y$17)*(1 - 0.4)</f>
        <v>0.89806129355917719</v>
      </c>
      <c r="W17" s="50">
        <v>0</v>
      </c>
      <c r="X17" s="50">
        <v>2.26555159289263</v>
      </c>
      <c r="Y17" s="50">
        <v>0</v>
      </c>
      <c r="Z17" s="50">
        <v>0</v>
      </c>
      <c r="AA17" s="50">
        <v>154.55436488405499</v>
      </c>
      <c r="AB17" s="50">
        <v>0</v>
      </c>
      <c r="AC17" s="50">
        <v>0</v>
      </c>
      <c r="AD17" s="50">
        <v>0</v>
      </c>
      <c r="AE17" s="50">
        <v>1.15670476276863</v>
      </c>
      <c r="AF17" s="50">
        <v>0</v>
      </c>
    </row>
    <row r="18" spans="1:32" ht="11.25" customHeight="1" x14ac:dyDescent="0.25">
      <c r="A18" s="142"/>
      <c r="B18" s="142"/>
      <c r="C18" s="142"/>
      <c r="D18" s="87" t="s">
        <v>31</v>
      </c>
      <c r="E18" s="87" t="s">
        <v>25</v>
      </c>
      <c r="F18" s="87" t="s">
        <v>25</v>
      </c>
      <c r="G18" s="52" t="s">
        <v>82</v>
      </c>
      <c r="H18" s="52" t="s">
        <v>76</v>
      </c>
      <c r="I18" s="52">
        <f>'MERCADO TE'!$U$15</f>
        <v>0</v>
      </c>
      <c r="J18" s="18"/>
      <c r="L18" s="50">
        <f>('TE BE'!$L$18+'TE BF'!$L$18+'TE CVA'!$L$18)*(1 - 0.1)</f>
        <v>0</v>
      </c>
      <c r="M18" s="50">
        <f>('TE BE'!$M$18+'TE BF'!$M$18+'TE CVA'!$M$18)*(1 - 0.1)</f>
        <v>12.349533022474175</v>
      </c>
      <c r="N18" s="50">
        <f>('TE BE'!$N$18+'TE BF'!$N$18+'TE CVA'!$N$18)*(1 - 0.1)</f>
        <v>0</v>
      </c>
      <c r="O18" s="50">
        <f>('TE BE'!$O$18+'TE BF'!$O$18+'TE CVA'!$O$18)*(1 - 0.1)</f>
        <v>0</v>
      </c>
      <c r="P18" s="50">
        <f>('TE BE'!$Q$18+'TE BF'!$Q$18+'TE CVA'!$Q$18)*(1 - 0.1)</f>
        <v>175.88295342201127</v>
      </c>
      <c r="Q18" s="50">
        <f>('TE BE'!$S$18+'TE BF'!$S$18+'TE CVA'!$S$18)*(1 - 0.1)</f>
        <v>0</v>
      </c>
      <c r="R18" s="50">
        <f>('TE BE'!$T$18+'TE BF'!$T$18+'TE CVA'!$T$18)*(1 - 0.1)</f>
        <v>0</v>
      </c>
      <c r="S18" s="50">
        <f>('TE BE'!$U$18+'TE BF'!$U$18+'TE CVA'!$U$18)*(1 - 0.1)</f>
        <v>0</v>
      </c>
      <c r="T18" s="50">
        <f>('TE BE'!$W$18+'TE BF'!$W$18+'TE CVA'!$W$18)*(1 - 0.1)</f>
        <v>0</v>
      </c>
      <c r="U18" s="50">
        <f>('TE BE'!$Y$18+'TE BF'!$Y$18+'TE CVA'!$Y$18)*(1 - 0.1)</f>
        <v>1.3470919403387658</v>
      </c>
      <c r="W18" s="50">
        <v>0</v>
      </c>
      <c r="X18" s="50">
        <v>3.3983273893389501</v>
      </c>
      <c r="Y18" s="50">
        <v>0</v>
      </c>
      <c r="Z18" s="50">
        <v>0</v>
      </c>
      <c r="AA18" s="50">
        <v>231.83154732608199</v>
      </c>
      <c r="AB18" s="50">
        <v>0</v>
      </c>
      <c r="AC18" s="50">
        <v>0</v>
      </c>
      <c r="AD18" s="50">
        <v>0</v>
      </c>
      <c r="AE18" s="50">
        <v>1.7350571441529501</v>
      </c>
      <c r="AF18" s="50">
        <v>0</v>
      </c>
    </row>
    <row r="19" spans="1:32" ht="11.25" customHeight="1" x14ac:dyDescent="0.25">
      <c r="A19" s="142"/>
      <c r="B19" s="142"/>
      <c r="C19" s="142"/>
      <c r="D19" s="87" t="s">
        <v>32</v>
      </c>
      <c r="E19" s="87" t="s">
        <v>25</v>
      </c>
      <c r="F19" s="87" t="s">
        <v>25</v>
      </c>
      <c r="G19" s="52" t="s">
        <v>82</v>
      </c>
      <c r="H19" s="52" t="s">
        <v>76</v>
      </c>
      <c r="I19" s="52">
        <f>'MERCADO TE'!$U$16</f>
        <v>0</v>
      </c>
      <c r="J19" s="18"/>
      <c r="L19" s="50">
        <f>('TE BE'!$L$19+'TE BF'!$L$19+'TE CVA'!$L$19)*1</f>
        <v>0</v>
      </c>
      <c r="M19" s="50">
        <f>('TE BE'!$M$19+'TE BF'!$M$19+'TE CVA'!$M$19)*1</f>
        <v>13.721703358304637</v>
      </c>
      <c r="N19" s="50">
        <f>('TE BE'!$N$19+'TE BF'!$N$19+'TE CVA'!$N$19)*1</f>
        <v>0</v>
      </c>
      <c r="O19" s="50">
        <f>('TE BE'!$O$19+'TE BF'!$O$19+'TE CVA'!$O$19)*1</f>
        <v>0</v>
      </c>
      <c r="P19" s="50">
        <f>('TE BE'!$Q$19+'TE BF'!$Q$19+'TE CVA'!$Q$19)*1</f>
        <v>195.42550380223474</v>
      </c>
      <c r="Q19" s="50">
        <f>('TE BE'!$S$19+'TE BF'!$S$19+'TE CVA'!$S$19)*1</f>
        <v>0</v>
      </c>
      <c r="R19" s="50">
        <f>('TE BE'!$T$19+'TE BF'!$T$19+'TE CVA'!$T$19)*1</f>
        <v>0</v>
      </c>
      <c r="S19" s="50">
        <f>('TE BE'!$U$19+'TE BF'!$U$19+'TE CVA'!$U$19)*1</f>
        <v>0</v>
      </c>
      <c r="T19" s="50">
        <f>('TE BE'!$W$19+'TE BF'!$W$19+'TE CVA'!$W$19)*1</f>
        <v>0</v>
      </c>
      <c r="U19" s="50">
        <f>('TE BE'!$Y$19+'TE BF'!$Y$19+'TE CVA'!$Y$19)*1</f>
        <v>1.4967688225986286</v>
      </c>
      <c r="W19" s="50">
        <v>0</v>
      </c>
      <c r="X19" s="50">
        <v>3.77591932148772</v>
      </c>
      <c r="Y19" s="50">
        <v>0</v>
      </c>
      <c r="Z19" s="50">
        <v>0</v>
      </c>
      <c r="AA19" s="50">
        <v>257.59060814009098</v>
      </c>
      <c r="AB19" s="50">
        <v>0</v>
      </c>
      <c r="AC19" s="50">
        <v>0</v>
      </c>
      <c r="AD19" s="50">
        <v>0</v>
      </c>
      <c r="AE19" s="50">
        <v>1.92784127128105</v>
      </c>
      <c r="AF19" s="50">
        <v>0</v>
      </c>
    </row>
    <row r="20" spans="1:32" ht="11.25" customHeight="1" x14ac:dyDescent="0.25">
      <c r="A20" s="142" t="s">
        <v>43</v>
      </c>
      <c r="B20" s="142" t="s">
        <v>75</v>
      </c>
      <c r="C20" s="142" t="s">
        <v>44</v>
      </c>
      <c r="D20" s="142" t="s">
        <v>25</v>
      </c>
      <c r="E20" s="142" t="s">
        <v>25</v>
      </c>
      <c r="F20" s="142" t="s">
        <v>25</v>
      </c>
      <c r="G20" s="52" t="s">
        <v>77</v>
      </c>
      <c r="H20" s="52" t="s">
        <v>76</v>
      </c>
      <c r="I20" s="52">
        <f>'MERCADO TE'!$U$17</f>
        <v>0.78900000000000003</v>
      </c>
      <c r="J20" s="18"/>
      <c r="L20" s="50">
        <f>('TE BE'!$L$20+'TE BF'!$L$20+'TE CVA'!$L$20)*(1 - CUSTOS!$M$38)</f>
        <v>0</v>
      </c>
      <c r="M20" s="50">
        <f>('TE BE'!$M$20+'TE BF'!$M$20+'TE CVA'!$M$20)*(1 - CUSTOS!$M$38)</f>
        <v>12.898401156806358</v>
      </c>
      <c r="N20" s="50">
        <f>('TE BE'!$N$20+'TE BF'!$N$20+'TE CVA'!$N$20)*(1 - CUSTOS!$M$38)</f>
        <v>0</v>
      </c>
      <c r="O20" s="50">
        <f>('TE BE'!$O$20+'TE BF'!$O$20+'TE CVA'!$O$20)*(1 - CUSTOS!$M$38)</f>
        <v>0</v>
      </c>
      <c r="P20" s="50">
        <f>('TE BE'!$Q$20+'TE BF'!$Q$20+'TE CVA'!$Q$20)*(1 - CUSTOS!$M$38)</f>
        <v>183.69997357410065</v>
      </c>
      <c r="Q20" s="50">
        <f>('TE BE'!$S$20+'TE BF'!$S$20+'TE CVA'!$S$20)*(1 - CUSTOS!$M$38)</f>
        <v>0</v>
      </c>
      <c r="R20" s="50">
        <f>('TE BE'!$T$20+'TE BF'!$T$20+'TE CVA'!$T$20)*(1 - CUSTOS!$M$38)</f>
        <v>0</v>
      </c>
      <c r="S20" s="50">
        <f>('TE BE'!$U$20+'TE BF'!$U$20+'TE CVA'!$U$20)*(1 - CUSTOS!$M$38)</f>
        <v>0</v>
      </c>
      <c r="T20" s="50">
        <f>('TE BE'!$W$20+'TE BF'!$W$20+'TE CVA'!$W$20)*(1 - CUSTOS!$M$38)</f>
        <v>0</v>
      </c>
      <c r="U20" s="50">
        <f>('TE BE'!$Y$20+'TE BF'!$Y$20+'TE CVA'!$Y$20)*(1 - CUSTOS!$M$38)</f>
        <v>1.4069626932427108</v>
      </c>
      <c r="W20" s="50">
        <v>0</v>
      </c>
      <c r="X20" s="50">
        <v>3.3228090029091999</v>
      </c>
      <c r="Y20" s="50">
        <v>0</v>
      </c>
      <c r="Z20" s="50">
        <v>0</v>
      </c>
      <c r="AA20" s="50">
        <v>226.67973516327999</v>
      </c>
      <c r="AB20" s="50">
        <v>0</v>
      </c>
      <c r="AC20" s="50">
        <v>0</v>
      </c>
      <c r="AD20" s="50">
        <v>0</v>
      </c>
      <c r="AE20" s="50">
        <v>1.69650031872733</v>
      </c>
      <c r="AF20" s="50">
        <v>0</v>
      </c>
    </row>
    <row r="21" spans="1:32" ht="11.25" customHeight="1" x14ac:dyDescent="0.25">
      <c r="A21" s="142"/>
      <c r="B21" s="142"/>
      <c r="C21" s="142"/>
      <c r="D21" s="142"/>
      <c r="E21" s="142"/>
      <c r="F21" s="142"/>
      <c r="G21" s="52" t="s">
        <v>88</v>
      </c>
      <c r="H21" s="52" t="s">
        <v>76</v>
      </c>
      <c r="I21" s="52">
        <f>'MERCADO TE'!$U$18</f>
        <v>0.57700000000000018</v>
      </c>
      <c r="J21" s="18"/>
      <c r="L21" s="50">
        <f>('TE BE'!$L$21+'TE BF'!$L$21+'TE CVA'!$L$21)*(1 - CUSTOS!$M$38)</f>
        <v>0</v>
      </c>
      <c r="M21" s="50">
        <f>('TE BE'!$M$21+'TE BF'!$M$21+'TE CVA'!$M$21)*(1 - CUSTOS!$M$38)</f>
        <v>12.898401156806358</v>
      </c>
      <c r="N21" s="50">
        <f>('TE BE'!$N$21+'TE BF'!$N$21+'TE CVA'!$N$21)*(1 - CUSTOS!$M$38)</f>
        <v>0</v>
      </c>
      <c r="O21" s="50">
        <f>('TE BE'!$O$21+'TE BF'!$O$21+'TE CVA'!$O$21)*(1 - CUSTOS!$M$38)</f>
        <v>0</v>
      </c>
      <c r="P21" s="50">
        <f>('TE BE'!$Q$21+'TE BF'!$Q$21+'TE CVA'!$Q$21)*(1 - CUSTOS!$M$38)</f>
        <v>183.69997357410065</v>
      </c>
      <c r="Q21" s="50">
        <f>('TE BE'!$S$21+'TE BF'!$S$21+'TE CVA'!$S$21)*(1 - CUSTOS!$M$38)</f>
        <v>0</v>
      </c>
      <c r="R21" s="50">
        <f>('TE BE'!$T$21+'TE BF'!$T$21+'TE CVA'!$T$21)*(1 - CUSTOS!$M$38)</f>
        <v>0</v>
      </c>
      <c r="S21" s="50">
        <f>('TE BE'!$U$21+'TE BF'!$U$21+'TE CVA'!$U$21)*(1 - CUSTOS!$M$38)</f>
        <v>0</v>
      </c>
      <c r="T21" s="50">
        <f>('TE BE'!$W$21+'TE BF'!$W$21+'TE CVA'!$W$21)*(1 - CUSTOS!$M$38)</f>
        <v>0</v>
      </c>
      <c r="U21" s="50">
        <f>('TE BE'!$Y$21+'TE BF'!$Y$21+'TE CVA'!$Y$21)*(1 - CUSTOS!$M$38)</f>
        <v>1.4069626932427108</v>
      </c>
      <c r="W21" s="50">
        <v>0</v>
      </c>
      <c r="X21" s="50">
        <v>3.3228090029091999</v>
      </c>
      <c r="Y21" s="50">
        <v>0</v>
      </c>
      <c r="Z21" s="50">
        <v>0</v>
      </c>
      <c r="AA21" s="50">
        <v>226.67973516327999</v>
      </c>
      <c r="AB21" s="50">
        <v>0</v>
      </c>
      <c r="AC21" s="50">
        <v>0</v>
      </c>
      <c r="AD21" s="50">
        <v>0</v>
      </c>
      <c r="AE21" s="50">
        <v>1.69650031872733</v>
      </c>
      <c r="AF21" s="50">
        <v>0</v>
      </c>
    </row>
    <row r="22" spans="1:32" ht="11.25" customHeight="1" x14ac:dyDescent="0.25">
      <c r="A22" s="142"/>
      <c r="B22" s="142"/>
      <c r="C22" s="142"/>
      <c r="D22" s="142"/>
      <c r="E22" s="142"/>
      <c r="F22" s="142"/>
      <c r="G22" s="52" t="s">
        <v>78</v>
      </c>
      <c r="H22" s="52" t="s">
        <v>76</v>
      </c>
      <c r="I22" s="52">
        <f>'MERCADO TE'!$U$19</f>
        <v>5.0960000000000001</v>
      </c>
      <c r="J22" s="18"/>
      <c r="L22" s="50">
        <f>('TE BE'!$L$22+'TE BF'!$L$22+'TE CVA'!$L$22)*(1 - CUSTOS!$M$38)</f>
        <v>0</v>
      </c>
      <c r="M22" s="50">
        <f>('TE BE'!$M$22+'TE BF'!$M$22+'TE CVA'!$M$22)*(1 - CUSTOS!$M$38)</f>
        <v>12.898401156806358</v>
      </c>
      <c r="N22" s="50">
        <f>('TE BE'!$N$22+'TE BF'!$N$22+'TE CVA'!$N$22)*(1 - CUSTOS!$M$38)</f>
        <v>0</v>
      </c>
      <c r="O22" s="50">
        <f>('TE BE'!$O$22+'TE BF'!$O$22+'TE CVA'!$O$22)*(1 - CUSTOS!$M$38)</f>
        <v>0</v>
      </c>
      <c r="P22" s="50">
        <f>('TE BE'!$Q$22+'TE BF'!$Q$22+'TE CVA'!$Q$22)*(1 - CUSTOS!$M$38)</f>
        <v>183.69997357410065</v>
      </c>
      <c r="Q22" s="50">
        <f>('TE BE'!$S$22+'TE BF'!$S$22+'TE CVA'!$S$22)*(1 - CUSTOS!$M$38)</f>
        <v>0</v>
      </c>
      <c r="R22" s="50">
        <f>('TE BE'!$T$22+'TE BF'!$T$22+'TE CVA'!$T$22)*(1 - CUSTOS!$M$38)</f>
        <v>0</v>
      </c>
      <c r="S22" s="50">
        <f>('TE BE'!$U$22+'TE BF'!$U$22+'TE CVA'!$U$22)*(1 - CUSTOS!$M$38)</f>
        <v>0</v>
      </c>
      <c r="T22" s="50">
        <f>('TE BE'!$W$22+'TE BF'!$W$22+'TE CVA'!$W$22)*(1 - CUSTOS!$M$38)</f>
        <v>0</v>
      </c>
      <c r="U22" s="50">
        <f>('TE BE'!$Y$22+'TE BF'!$Y$22+'TE CVA'!$Y$22)*(1 - CUSTOS!$M$38)</f>
        <v>1.4069626932427108</v>
      </c>
      <c r="W22" s="50">
        <v>0</v>
      </c>
      <c r="X22" s="50">
        <v>3.3228090029091999</v>
      </c>
      <c r="Y22" s="50">
        <v>0</v>
      </c>
      <c r="Z22" s="50">
        <v>0</v>
      </c>
      <c r="AA22" s="50">
        <v>226.67973516327999</v>
      </c>
      <c r="AB22" s="50">
        <v>0</v>
      </c>
      <c r="AC22" s="50">
        <v>0</v>
      </c>
      <c r="AD22" s="50">
        <v>0</v>
      </c>
      <c r="AE22" s="50">
        <v>1.69650031872733</v>
      </c>
      <c r="AF22" s="50">
        <v>0</v>
      </c>
    </row>
    <row r="23" spans="1:32" ht="11.25" customHeight="1" x14ac:dyDescent="0.25">
      <c r="A23" s="142"/>
      <c r="B23" s="87" t="s">
        <v>89</v>
      </c>
      <c r="C23" s="87" t="s">
        <v>44</v>
      </c>
      <c r="D23" s="87" t="s">
        <v>25</v>
      </c>
      <c r="E23" s="87" t="s">
        <v>25</v>
      </c>
      <c r="F23" s="87" t="s">
        <v>25</v>
      </c>
      <c r="G23" s="52" t="s">
        <v>82</v>
      </c>
      <c r="H23" s="52" t="s">
        <v>76</v>
      </c>
      <c r="I23" s="52">
        <f>'MERCADO TE'!$U$20</f>
        <v>36373.667999999998</v>
      </c>
      <c r="J23" s="18"/>
      <c r="L23" s="50">
        <f>('TE BE'!$L$23+'TE BF'!$L$23+'TE CVA'!$L$23)*(1 - CUSTOS!$M$38)</f>
        <v>0</v>
      </c>
      <c r="M23" s="50">
        <f>('TE BE'!$M$23+'TE BF'!$M$23+'TE CVA'!$M$23)*(1 - CUSTOS!$M$38)</f>
        <v>12.898401156806358</v>
      </c>
      <c r="N23" s="50">
        <f>('TE BE'!$N$23+'TE BF'!$N$23+'TE CVA'!$N$23)*(1 - CUSTOS!$M$38)</f>
        <v>0</v>
      </c>
      <c r="O23" s="50">
        <f>('TE BE'!$O$23+'TE BF'!$O$23+'TE CVA'!$O$23)*(1 - CUSTOS!$M$38)</f>
        <v>0</v>
      </c>
      <c r="P23" s="50">
        <f>('TE BE'!$Q$23+'TE BF'!$Q$23+'TE CVA'!$Q$23)*(1 - CUSTOS!$M$38)</f>
        <v>183.69997357410065</v>
      </c>
      <c r="Q23" s="50">
        <f>('TE BE'!$S$23+'TE BF'!$S$23+'TE CVA'!$S$23)*(1 - CUSTOS!$M$38)</f>
        <v>0</v>
      </c>
      <c r="R23" s="50">
        <f>('TE BE'!$T$23+'TE BF'!$T$23+'TE CVA'!$T$23)*(1 - CUSTOS!$M$38)</f>
        <v>0</v>
      </c>
      <c r="S23" s="50">
        <f>('TE BE'!$U$23+'TE BF'!$U$23+'TE CVA'!$U$23)*(1 - CUSTOS!$M$38)</f>
        <v>0</v>
      </c>
      <c r="T23" s="50">
        <f>('TE BE'!$W$23+'TE BF'!$W$23+'TE CVA'!$W$23)*(1 - CUSTOS!$M$38)</f>
        <v>0</v>
      </c>
      <c r="U23" s="50">
        <f>('TE BE'!$Y$23+'TE BF'!$Y$23+'TE CVA'!$Y$23)*(1 - CUSTOS!$M$38)</f>
        <v>1.4069626932427108</v>
      </c>
      <c r="W23" s="50">
        <v>0</v>
      </c>
      <c r="X23" s="50">
        <v>3.3228090029091999</v>
      </c>
      <c r="Y23" s="50">
        <v>0</v>
      </c>
      <c r="Z23" s="50">
        <v>0</v>
      </c>
      <c r="AA23" s="50">
        <v>226.67973516327999</v>
      </c>
      <c r="AB23" s="50">
        <v>0</v>
      </c>
      <c r="AC23" s="50">
        <v>0</v>
      </c>
      <c r="AD23" s="50">
        <v>0</v>
      </c>
      <c r="AE23" s="50">
        <v>1.69650031872733</v>
      </c>
      <c r="AF23" s="50">
        <v>0</v>
      </c>
    </row>
    <row r="24" spans="1:32" ht="11.25" customHeight="1" x14ac:dyDescent="0.25">
      <c r="A24" s="142"/>
      <c r="B24" s="142" t="s">
        <v>75</v>
      </c>
      <c r="C24" s="142" t="s">
        <v>44</v>
      </c>
      <c r="D24" s="142" t="s">
        <v>92</v>
      </c>
      <c r="E24" s="142" t="s">
        <v>25</v>
      </c>
      <c r="F24" s="142" t="s">
        <v>25</v>
      </c>
      <c r="G24" s="52" t="s">
        <v>77</v>
      </c>
      <c r="H24" s="52" t="s">
        <v>76</v>
      </c>
      <c r="I24" s="52">
        <f>'MERCADO TE'!$U$21</f>
        <v>0</v>
      </c>
      <c r="J24" s="18"/>
      <c r="L24" s="50">
        <f>('TE BE'!$L$24+'TE BF'!$L$24+'TE CVA'!$L$24)*(1 - CUSTOS!$M$39)</f>
        <v>0</v>
      </c>
      <c r="M24" s="50">
        <f>('TE BE'!$M$24+'TE BF'!$M$24+'TE CVA'!$M$24)*(1 - CUSTOS!$M$39)</f>
        <v>12.898401156806358</v>
      </c>
      <c r="N24" s="50">
        <f>('TE BE'!$N$24+'TE BF'!$N$24+'TE CVA'!$N$24)*(1 - CUSTOS!$M$39)</f>
        <v>0</v>
      </c>
      <c r="O24" s="50">
        <f>('TE BE'!$O$24+'TE BF'!$O$24+'TE CVA'!$O$24)*(1 - CUSTOS!$M$39)</f>
        <v>0</v>
      </c>
      <c r="P24" s="50">
        <f>('TE BE'!$Q$24+'TE BF'!$Q$24+'TE CVA'!$Q$24)*(1 - CUSTOS!$M$39)</f>
        <v>183.69997357410065</v>
      </c>
      <c r="Q24" s="50">
        <f>('TE BE'!$S$24+'TE BF'!$S$24+'TE CVA'!$S$24)*(1 - CUSTOS!$M$39)</f>
        <v>0</v>
      </c>
      <c r="R24" s="50">
        <f>('TE BE'!$T$24+'TE BF'!$T$24+'TE CVA'!$T$24)*(1 - CUSTOS!$M$39)</f>
        <v>0</v>
      </c>
      <c r="S24" s="50">
        <f>('TE BE'!$U$24+'TE BF'!$U$24+'TE CVA'!$U$24)*(1 - CUSTOS!$M$39)</f>
        <v>0</v>
      </c>
      <c r="T24" s="50">
        <f>('TE BE'!$W$24+'TE BF'!$W$24+'TE CVA'!$W$24)*(1 - CUSTOS!$M$39)</f>
        <v>0</v>
      </c>
      <c r="U24" s="50">
        <f>('TE BE'!$Y$24+'TE BF'!$Y$24+'TE CVA'!$Y$24)*(1 - CUSTOS!$M$39)</f>
        <v>1.4069626932427108</v>
      </c>
      <c r="W24" s="50">
        <v>0</v>
      </c>
      <c r="X24" s="50">
        <v>3.3228090029091999</v>
      </c>
      <c r="Y24" s="50">
        <v>0</v>
      </c>
      <c r="Z24" s="50">
        <v>0</v>
      </c>
      <c r="AA24" s="50">
        <v>226.67973516327999</v>
      </c>
      <c r="AB24" s="50">
        <v>0</v>
      </c>
      <c r="AC24" s="50">
        <v>0</v>
      </c>
      <c r="AD24" s="50">
        <v>0</v>
      </c>
      <c r="AE24" s="50">
        <v>1.69650031872733</v>
      </c>
      <c r="AF24" s="50">
        <v>0</v>
      </c>
    </row>
    <row r="25" spans="1:32" ht="11.25" customHeight="1" x14ac:dyDescent="0.25">
      <c r="A25" s="142"/>
      <c r="B25" s="142"/>
      <c r="C25" s="142"/>
      <c r="D25" s="142"/>
      <c r="E25" s="142"/>
      <c r="F25" s="142"/>
      <c r="G25" s="52" t="s">
        <v>88</v>
      </c>
      <c r="H25" s="52" t="s">
        <v>76</v>
      </c>
      <c r="I25" s="52">
        <f>'MERCADO TE'!$U$22</f>
        <v>0</v>
      </c>
      <c r="J25" s="18"/>
      <c r="L25" s="50">
        <f>('TE BE'!$L$25+'TE BF'!$L$25+'TE CVA'!$L$25)*(1 - CUSTOS!$M$39)</f>
        <v>0</v>
      </c>
      <c r="M25" s="50">
        <f>('TE BE'!$M$25+'TE BF'!$M$25+'TE CVA'!$M$25)*(1 - CUSTOS!$M$39)</f>
        <v>12.898401156806358</v>
      </c>
      <c r="N25" s="50">
        <f>('TE BE'!$N$25+'TE BF'!$N$25+'TE CVA'!$N$25)*(1 - CUSTOS!$M$39)</f>
        <v>0</v>
      </c>
      <c r="O25" s="50">
        <f>('TE BE'!$O$25+'TE BF'!$O$25+'TE CVA'!$O$25)*(1 - CUSTOS!$M$39)</f>
        <v>0</v>
      </c>
      <c r="P25" s="50">
        <f>('TE BE'!$Q$25+'TE BF'!$Q$25+'TE CVA'!$Q$25)*(1 - CUSTOS!$M$39)</f>
        <v>183.69997357410065</v>
      </c>
      <c r="Q25" s="50">
        <f>('TE BE'!$S$25+'TE BF'!$S$25+'TE CVA'!$S$25)*(1 - CUSTOS!$M$39)</f>
        <v>0</v>
      </c>
      <c r="R25" s="50">
        <f>('TE BE'!$T$25+'TE BF'!$T$25+'TE CVA'!$T$25)*(1 - CUSTOS!$M$39)</f>
        <v>0</v>
      </c>
      <c r="S25" s="50">
        <f>('TE BE'!$U$25+'TE BF'!$U$25+'TE CVA'!$U$25)*(1 - CUSTOS!$M$39)</f>
        <v>0</v>
      </c>
      <c r="T25" s="50">
        <f>('TE BE'!$W$25+'TE BF'!$W$25+'TE CVA'!$W$25)*(1 - CUSTOS!$M$39)</f>
        <v>0</v>
      </c>
      <c r="U25" s="50">
        <f>('TE BE'!$Y$25+'TE BF'!$Y$25+'TE CVA'!$Y$25)*(1 - CUSTOS!$M$39)</f>
        <v>1.4069626932427108</v>
      </c>
      <c r="W25" s="50">
        <v>0</v>
      </c>
      <c r="X25" s="50">
        <v>3.3228090029091999</v>
      </c>
      <c r="Y25" s="50">
        <v>0</v>
      </c>
      <c r="Z25" s="50">
        <v>0</v>
      </c>
      <c r="AA25" s="50">
        <v>226.67973516327999</v>
      </c>
      <c r="AB25" s="50">
        <v>0</v>
      </c>
      <c r="AC25" s="50">
        <v>0</v>
      </c>
      <c r="AD25" s="50">
        <v>0</v>
      </c>
      <c r="AE25" s="50">
        <v>1.69650031872733</v>
      </c>
      <c r="AF25" s="50">
        <v>0</v>
      </c>
    </row>
    <row r="26" spans="1:32" ht="11.25" customHeight="1" x14ac:dyDescent="0.25">
      <c r="A26" s="142"/>
      <c r="B26" s="142"/>
      <c r="C26" s="142"/>
      <c r="D26" s="142"/>
      <c r="E26" s="142"/>
      <c r="F26" s="142"/>
      <c r="G26" s="52" t="s">
        <v>78</v>
      </c>
      <c r="H26" s="52" t="s">
        <v>76</v>
      </c>
      <c r="I26" s="52">
        <f>'MERCADO TE'!$U$23</f>
        <v>0</v>
      </c>
      <c r="J26" s="18"/>
      <c r="L26" s="50">
        <f>('TE BE'!$L$26+'TE BF'!$L$26+'TE CVA'!$L$26)*(1 - CUSTOS!$M$39)</f>
        <v>0</v>
      </c>
      <c r="M26" s="50">
        <f>('TE BE'!$M$26+'TE BF'!$M$26+'TE CVA'!$M$26)*(1 - CUSTOS!$M$39)</f>
        <v>12.898401156806358</v>
      </c>
      <c r="N26" s="50">
        <f>('TE BE'!$N$26+'TE BF'!$N$26+'TE CVA'!$N$26)*(1 - CUSTOS!$M$39)</f>
        <v>0</v>
      </c>
      <c r="O26" s="50">
        <f>('TE BE'!$O$26+'TE BF'!$O$26+'TE CVA'!$O$26)*(1 - CUSTOS!$M$39)</f>
        <v>0</v>
      </c>
      <c r="P26" s="50">
        <f>('TE BE'!$Q$26+'TE BF'!$Q$26+'TE CVA'!$Q$26)*(1 - CUSTOS!$M$39)</f>
        <v>183.69997357410065</v>
      </c>
      <c r="Q26" s="50">
        <f>('TE BE'!$S$26+'TE BF'!$S$26+'TE CVA'!$S$26)*(1 - CUSTOS!$M$39)</f>
        <v>0</v>
      </c>
      <c r="R26" s="50">
        <f>('TE BE'!$T$26+'TE BF'!$T$26+'TE CVA'!$T$26)*(1 - CUSTOS!$M$39)</f>
        <v>0</v>
      </c>
      <c r="S26" s="50">
        <f>('TE BE'!$U$26+'TE BF'!$U$26+'TE CVA'!$U$26)*(1 - CUSTOS!$M$39)</f>
        <v>0</v>
      </c>
      <c r="T26" s="50">
        <f>('TE BE'!$W$26+'TE BF'!$W$26+'TE CVA'!$W$26)*(1 - CUSTOS!$M$39)</f>
        <v>0</v>
      </c>
      <c r="U26" s="50">
        <f>('TE BE'!$Y$26+'TE BF'!$Y$26+'TE CVA'!$Y$26)*(1 - CUSTOS!$M$39)</f>
        <v>1.4069626932427108</v>
      </c>
      <c r="W26" s="50">
        <v>0</v>
      </c>
      <c r="X26" s="50">
        <v>3.3228090029091999</v>
      </c>
      <c r="Y26" s="50">
        <v>0</v>
      </c>
      <c r="Z26" s="50">
        <v>0</v>
      </c>
      <c r="AA26" s="50">
        <v>226.67973516327999</v>
      </c>
      <c r="AB26" s="50">
        <v>0</v>
      </c>
      <c r="AC26" s="50">
        <v>0</v>
      </c>
      <c r="AD26" s="50">
        <v>0</v>
      </c>
      <c r="AE26" s="50">
        <v>1.69650031872733</v>
      </c>
      <c r="AF26" s="50">
        <v>0</v>
      </c>
    </row>
    <row r="27" spans="1:32" ht="11.25" customHeight="1" x14ac:dyDescent="0.25">
      <c r="A27" s="142"/>
      <c r="B27" s="87" t="s">
        <v>89</v>
      </c>
      <c r="C27" s="87" t="s">
        <v>44</v>
      </c>
      <c r="D27" s="87" t="s">
        <v>92</v>
      </c>
      <c r="E27" s="87" t="s">
        <v>25</v>
      </c>
      <c r="F27" s="87" t="s">
        <v>25</v>
      </c>
      <c r="G27" s="52" t="s">
        <v>82</v>
      </c>
      <c r="H27" s="52" t="s">
        <v>76</v>
      </c>
      <c r="I27" s="52">
        <f>'MERCADO TE'!$U$24</f>
        <v>0</v>
      </c>
      <c r="J27" s="18"/>
      <c r="L27" s="50">
        <f>('TE BE'!$L$27+'TE BF'!$L$27+'TE CVA'!$L$27)*(1 - CUSTOS!$M$39)</f>
        <v>0</v>
      </c>
      <c r="M27" s="50">
        <f>('TE BE'!$M$27+'TE BF'!$M$27+'TE CVA'!$M$27)*(1 - CUSTOS!$M$39)</f>
        <v>12.898401156806358</v>
      </c>
      <c r="N27" s="50">
        <f>('TE BE'!$N$27+'TE BF'!$N$27+'TE CVA'!$N$27)*(1 - CUSTOS!$M$39)</f>
        <v>0</v>
      </c>
      <c r="O27" s="50">
        <f>('TE BE'!$O$27+'TE BF'!$O$27+'TE CVA'!$O$27)*(1 - CUSTOS!$M$39)</f>
        <v>0</v>
      </c>
      <c r="P27" s="50">
        <f>('TE BE'!$Q$27+'TE BF'!$Q$27+'TE CVA'!$Q$27)*(1 - CUSTOS!$M$39)</f>
        <v>183.69997357410065</v>
      </c>
      <c r="Q27" s="50">
        <f>('TE BE'!$S$27+'TE BF'!$S$27+'TE CVA'!$S$27)*(1 - CUSTOS!$M$39)</f>
        <v>0</v>
      </c>
      <c r="R27" s="50">
        <f>('TE BE'!$T$27+'TE BF'!$T$27+'TE CVA'!$T$27)*(1 - CUSTOS!$M$39)</f>
        <v>0</v>
      </c>
      <c r="S27" s="50">
        <f>('TE BE'!$U$27+'TE BF'!$U$27+'TE CVA'!$U$27)*(1 - CUSTOS!$M$39)</f>
        <v>0</v>
      </c>
      <c r="T27" s="50">
        <f>('TE BE'!$W$27+'TE BF'!$W$27+'TE CVA'!$W$27)*(1 - CUSTOS!$M$39)</f>
        <v>0</v>
      </c>
      <c r="U27" s="50">
        <f>('TE BE'!$Y$27+'TE BF'!$Y$27+'TE CVA'!$Y$27)*(1 - CUSTOS!$M$39)</f>
        <v>1.4069626932427108</v>
      </c>
      <c r="W27" s="50">
        <v>0</v>
      </c>
      <c r="X27" s="50">
        <v>3.3228090029091999</v>
      </c>
      <c r="Y27" s="50">
        <v>0</v>
      </c>
      <c r="Z27" s="50">
        <v>0</v>
      </c>
      <c r="AA27" s="50">
        <v>226.67973516327999</v>
      </c>
      <c r="AB27" s="50">
        <v>0</v>
      </c>
      <c r="AC27" s="50">
        <v>0</v>
      </c>
      <c r="AD27" s="50">
        <v>0</v>
      </c>
      <c r="AE27" s="50">
        <v>1.69650031872733</v>
      </c>
      <c r="AF27" s="50">
        <v>0</v>
      </c>
    </row>
    <row r="28" spans="1:32" ht="11.25" customHeight="1" x14ac:dyDescent="0.25">
      <c r="A28" s="142"/>
      <c r="B28" s="142" t="s">
        <v>75</v>
      </c>
      <c r="C28" s="142" t="s">
        <v>44</v>
      </c>
      <c r="D28" s="142" t="s">
        <v>93</v>
      </c>
      <c r="E28" s="142" t="s">
        <v>25</v>
      </c>
      <c r="F28" s="142" t="s">
        <v>25</v>
      </c>
      <c r="G28" s="52" t="s">
        <v>77</v>
      </c>
      <c r="H28" s="52" t="s">
        <v>76</v>
      </c>
      <c r="I28" s="52">
        <f>'MERCADO TE'!$U$25</f>
        <v>0</v>
      </c>
      <c r="J28" s="18"/>
      <c r="L28" s="50">
        <f>('TE BE'!$L$28+'TE BF'!$L$28+'TE CVA'!$L$28)*(1 - CUSTOS!$M$40)</f>
        <v>0</v>
      </c>
      <c r="M28" s="50">
        <f>('TE BE'!$M$28+'TE BF'!$M$28+'TE CVA'!$M$28)*(1 - CUSTOS!$M$40)</f>
        <v>12.623967089640267</v>
      </c>
      <c r="N28" s="50">
        <f>('TE BE'!$N$28+'TE BF'!$N$28+'TE CVA'!$N$28)*(1 - CUSTOS!$M$40)</f>
        <v>0</v>
      </c>
      <c r="O28" s="50">
        <f>('TE BE'!$O$28+'TE BF'!$O$28+'TE CVA'!$O$28)*(1 - CUSTOS!$M$40)</f>
        <v>0</v>
      </c>
      <c r="P28" s="50">
        <f>('TE BE'!$Q$28+'TE BF'!$Q$28+'TE CVA'!$Q$28)*(1 - CUSTOS!$M$40)</f>
        <v>179.79146349805598</v>
      </c>
      <c r="Q28" s="50">
        <f>('TE BE'!$S$28+'TE BF'!$S$28+'TE CVA'!$S$28)*(1 - CUSTOS!$M$40)</f>
        <v>0</v>
      </c>
      <c r="R28" s="50">
        <f>('TE BE'!$T$28+'TE BF'!$T$28+'TE CVA'!$T$28)*(1 - CUSTOS!$M$40)</f>
        <v>0</v>
      </c>
      <c r="S28" s="50">
        <f>('TE BE'!$U$28+'TE BF'!$U$28+'TE CVA'!$U$28)*(1 - CUSTOS!$M$40)</f>
        <v>0</v>
      </c>
      <c r="T28" s="50">
        <f>('TE BE'!$W$28+'TE BF'!$W$28+'TE CVA'!$W$28)*(1 - CUSTOS!$M$40)</f>
        <v>0</v>
      </c>
      <c r="U28" s="50">
        <f>('TE BE'!$Y$28+'TE BF'!$Y$28+'TE CVA'!$Y$28)*(1 - CUSTOS!$M$40)</f>
        <v>1.3770273167907383</v>
      </c>
      <c r="W28" s="50">
        <v>0</v>
      </c>
      <c r="X28" s="50">
        <v>3.1717722300496898</v>
      </c>
      <c r="Y28" s="50">
        <v>0</v>
      </c>
      <c r="Z28" s="50">
        <v>0</v>
      </c>
      <c r="AA28" s="50">
        <v>216.376110837677</v>
      </c>
      <c r="AB28" s="50">
        <v>0</v>
      </c>
      <c r="AC28" s="50">
        <v>0</v>
      </c>
      <c r="AD28" s="50">
        <v>0</v>
      </c>
      <c r="AE28" s="50">
        <v>1.61938666787608</v>
      </c>
      <c r="AF28" s="50">
        <v>0</v>
      </c>
    </row>
    <row r="29" spans="1:32" ht="11.25" customHeight="1" x14ac:dyDescent="0.25">
      <c r="A29" s="142"/>
      <c r="B29" s="142"/>
      <c r="C29" s="142"/>
      <c r="D29" s="142"/>
      <c r="E29" s="142"/>
      <c r="F29" s="142"/>
      <c r="G29" s="52" t="s">
        <v>88</v>
      </c>
      <c r="H29" s="52" t="s">
        <v>76</v>
      </c>
      <c r="I29" s="52">
        <f>'MERCADO TE'!$U$26</f>
        <v>0</v>
      </c>
      <c r="J29" s="18"/>
      <c r="L29" s="50">
        <f>('TE BE'!$L$29+'TE BF'!$L$29+'TE CVA'!$L$29)*(1 - CUSTOS!$M$40)</f>
        <v>0</v>
      </c>
      <c r="M29" s="50">
        <f>('TE BE'!$M$29+'TE BF'!$M$29+'TE CVA'!$M$29)*(1 - CUSTOS!$M$40)</f>
        <v>12.623967089640267</v>
      </c>
      <c r="N29" s="50">
        <f>('TE BE'!$N$29+'TE BF'!$N$29+'TE CVA'!$N$29)*(1 - CUSTOS!$M$40)</f>
        <v>0</v>
      </c>
      <c r="O29" s="50">
        <f>('TE BE'!$O$29+'TE BF'!$O$29+'TE CVA'!$O$29)*(1 - CUSTOS!$M$40)</f>
        <v>0</v>
      </c>
      <c r="P29" s="50">
        <f>('TE BE'!$Q$29+'TE BF'!$Q$29+'TE CVA'!$Q$29)*(1 - CUSTOS!$M$40)</f>
        <v>179.79146349805598</v>
      </c>
      <c r="Q29" s="50">
        <f>('TE BE'!$S$29+'TE BF'!$S$29+'TE CVA'!$S$29)*(1 - CUSTOS!$M$40)</f>
        <v>0</v>
      </c>
      <c r="R29" s="50">
        <f>('TE BE'!$T$29+'TE BF'!$T$29+'TE CVA'!$T$29)*(1 - CUSTOS!$M$40)</f>
        <v>0</v>
      </c>
      <c r="S29" s="50">
        <f>('TE BE'!$U$29+'TE BF'!$U$29+'TE CVA'!$U$29)*(1 - CUSTOS!$M$40)</f>
        <v>0</v>
      </c>
      <c r="T29" s="50">
        <f>('TE BE'!$W$29+'TE BF'!$W$29+'TE CVA'!$W$29)*(1 - CUSTOS!$M$40)</f>
        <v>0</v>
      </c>
      <c r="U29" s="50">
        <f>('TE BE'!$Y$29+'TE BF'!$Y$29+'TE CVA'!$Y$29)*(1 - CUSTOS!$M$40)</f>
        <v>1.3770273167907383</v>
      </c>
      <c r="W29" s="50">
        <v>0</v>
      </c>
      <c r="X29" s="50">
        <v>3.1717722300496898</v>
      </c>
      <c r="Y29" s="50">
        <v>0</v>
      </c>
      <c r="Z29" s="50">
        <v>0</v>
      </c>
      <c r="AA29" s="50">
        <v>216.376110837677</v>
      </c>
      <c r="AB29" s="50">
        <v>0</v>
      </c>
      <c r="AC29" s="50">
        <v>0</v>
      </c>
      <c r="AD29" s="50">
        <v>0</v>
      </c>
      <c r="AE29" s="50">
        <v>1.61938666787608</v>
      </c>
      <c r="AF29" s="50">
        <v>0</v>
      </c>
    </row>
    <row r="30" spans="1:32" ht="11.25" customHeight="1" x14ac:dyDescent="0.25">
      <c r="A30" s="142"/>
      <c r="B30" s="142"/>
      <c r="C30" s="142"/>
      <c r="D30" s="142"/>
      <c r="E30" s="142"/>
      <c r="F30" s="142"/>
      <c r="G30" s="52" t="s">
        <v>78</v>
      </c>
      <c r="H30" s="52" t="s">
        <v>76</v>
      </c>
      <c r="I30" s="52">
        <f>'MERCADO TE'!$U$27</f>
        <v>0</v>
      </c>
      <c r="J30" s="18"/>
      <c r="L30" s="50">
        <f>('TE BE'!$L$30+'TE BF'!$L$30+'TE CVA'!$L$30)*(1 - CUSTOS!$M$40)</f>
        <v>0</v>
      </c>
      <c r="M30" s="50">
        <f>('TE BE'!$M$30+'TE BF'!$M$30+'TE CVA'!$M$30)*(1 - CUSTOS!$M$40)</f>
        <v>12.623967089640267</v>
      </c>
      <c r="N30" s="50">
        <f>('TE BE'!$N$30+'TE BF'!$N$30+'TE CVA'!$N$30)*(1 - CUSTOS!$M$40)</f>
        <v>0</v>
      </c>
      <c r="O30" s="50">
        <f>('TE BE'!$O$30+'TE BF'!$O$30+'TE CVA'!$O$30)*(1 - CUSTOS!$M$40)</f>
        <v>0</v>
      </c>
      <c r="P30" s="50">
        <f>('TE BE'!$Q$30+'TE BF'!$Q$30+'TE CVA'!$Q$30)*(1 - CUSTOS!$M$40)</f>
        <v>179.79146349805598</v>
      </c>
      <c r="Q30" s="50">
        <f>('TE BE'!$S$30+'TE BF'!$S$30+'TE CVA'!$S$30)*(1 - CUSTOS!$M$40)</f>
        <v>0</v>
      </c>
      <c r="R30" s="50">
        <f>('TE BE'!$T$30+'TE BF'!$T$30+'TE CVA'!$T$30)*(1 - CUSTOS!$M$40)</f>
        <v>0</v>
      </c>
      <c r="S30" s="50">
        <f>('TE BE'!$U$30+'TE BF'!$U$30+'TE CVA'!$U$30)*(1 - CUSTOS!$M$40)</f>
        <v>0</v>
      </c>
      <c r="T30" s="50">
        <f>('TE BE'!$W$30+'TE BF'!$W$30+'TE CVA'!$W$30)*(1 - CUSTOS!$M$40)</f>
        <v>0</v>
      </c>
      <c r="U30" s="50">
        <f>('TE BE'!$Y$30+'TE BF'!$Y$30+'TE CVA'!$Y$30)*(1 - CUSTOS!$M$40)</f>
        <v>1.3770273167907383</v>
      </c>
      <c r="W30" s="50">
        <v>0</v>
      </c>
      <c r="X30" s="50">
        <v>3.1717722300496898</v>
      </c>
      <c r="Y30" s="50">
        <v>0</v>
      </c>
      <c r="Z30" s="50">
        <v>0</v>
      </c>
      <c r="AA30" s="50">
        <v>216.376110837677</v>
      </c>
      <c r="AB30" s="50">
        <v>0</v>
      </c>
      <c r="AC30" s="50">
        <v>0</v>
      </c>
      <c r="AD30" s="50">
        <v>0</v>
      </c>
      <c r="AE30" s="50">
        <v>1.61938666787608</v>
      </c>
      <c r="AF30" s="50">
        <v>0</v>
      </c>
    </row>
    <row r="31" spans="1:32" ht="11.25" customHeight="1" x14ac:dyDescent="0.25">
      <c r="A31" s="142"/>
      <c r="B31" s="87" t="s">
        <v>89</v>
      </c>
      <c r="C31" s="87" t="s">
        <v>44</v>
      </c>
      <c r="D31" s="87" t="s">
        <v>93</v>
      </c>
      <c r="E31" s="87" t="s">
        <v>25</v>
      </c>
      <c r="F31" s="87" t="s">
        <v>25</v>
      </c>
      <c r="G31" s="52" t="s">
        <v>82</v>
      </c>
      <c r="H31" s="52" t="s">
        <v>76</v>
      </c>
      <c r="I31" s="52">
        <f>'MERCADO TE'!$U$28</f>
        <v>0</v>
      </c>
      <c r="J31" s="18"/>
      <c r="L31" s="50">
        <f>('TE BE'!$L$31+'TE BF'!$L$31+'TE CVA'!$L$31)*(1 - CUSTOS!$M$40)</f>
        <v>0</v>
      </c>
      <c r="M31" s="50">
        <f>('TE BE'!$M$31+'TE BF'!$M$31+'TE CVA'!$M$31)*(1 - CUSTOS!$M$40)</f>
        <v>12.623967089640267</v>
      </c>
      <c r="N31" s="50">
        <f>('TE BE'!$N$31+'TE BF'!$N$31+'TE CVA'!$N$31)*(1 - CUSTOS!$M$40)</f>
        <v>0</v>
      </c>
      <c r="O31" s="50">
        <f>('TE BE'!$O$31+'TE BF'!$O$31+'TE CVA'!$O$31)*(1 - CUSTOS!$M$40)</f>
        <v>0</v>
      </c>
      <c r="P31" s="50">
        <f>('TE BE'!$Q$31+'TE BF'!$Q$31+'TE CVA'!$Q$31)*(1 - CUSTOS!$M$40)</f>
        <v>179.79146349805598</v>
      </c>
      <c r="Q31" s="50">
        <f>('TE BE'!$S$31+'TE BF'!$S$31+'TE CVA'!$S$31)*(1 - CUSTOS!$M$40)</f>
        <v>0</v>
      </c>
      <c r="R31" s="50">
        <f>('TE BE'!$T$31+'TE BF'!$T$31+'TE CVA'!$T$31)*(1 - CUSTOS!$M$40)</f>
        <v>0</v>
      </c>
      <c r="S31" s="50">
        <f>('TE BE'!$U$31+'TE BF'!$U$31+'TE CVA'!$U$31)*(1 - CUSTOS!$M$40)</f>
        <v>0</v>
      </c>
      <c r="T31" s="50">
        <f>('TE BE'!$W$31+'TE BF'!$W$31+'TE CVA'!$W$31)*(1 - CUSTOS!$M$40)</f>
        <v>0</v>
      </c>
      <c r="U31" s="50">
        <f>('TE BE'!$Y$31+'TE BF'!$Y$31+'TE CVA'!$Y$31)*(1 - CUSTOS!$M$40)</f>
        <v>1.3770273167907383</v>
      </c>
      <c r="W31" s="50">
        <v>0</v>
      </c>
      <c r="X31" s="50">
        <v>3.1717722300496898</v>
      </c>
      <c r="Y31" s="50">
        <v>0</v>
      </c>
      <c r="Z31" s="50">
        <v>0</v>
      </c>
      <c r="AA31" s="50">
        <v>216.376110837677</v>
      </c>
      <c r="AB31" s="50">
        <v>0</v>
      </c>
      <c r="AC31" s="50">
        <v>0</v>
      </c>
      <c r="AD31" s="50">
        <v>0</v>
      </c>
      <c r="AE31" s="50">
        <v>1.61938666787608</v>
      </c>
      <c r="AF31" s="50">
        <v>0</v>
      </c>
    </row>
    <row r="32" spans="1:32" ht="11.25" customHeight="1" x14ac:dyDescent="0.25">
      <c r="A32" s="142"/>
      <c r="B32" s="142" t="s">
        <v>90</v>
      </c>
      <c r="C32" s="142" t="s">
        <v>44</v>
      </c>
      <c r="D32" s="87" t="s">
        <v>25</v>
      </c>
      <c r="E32" s="87" t="s">
        <v>25</v>
      </c>
      <c r="F32" s="87" t="s">
        <v>25</v>
      </c>
      <c r="G32" s="52" t="s">
        <v>82</v>
      </c>
      <c r="H32" s="52" t="s">
        <v>76</v>
      </c>
      <c r="I32" s="52">
        <f>'MERCADO TE'!$U$29</f>
        <v>0</v>
      </c>
      <c r="J32" s="18"/>
      <c r="L32" s="50">
        <f>('TE BE'!$L$32+'TE BF'!$L$32+'TE CVA'!$L$32)*(1 - CUSTOS!$M$38)</f>
        <v>0</v>
      </c>
      <c r="M32" s="50">
        <f>('TE BE'!$M$32+'TE BF'!$M$32+'TE CVA'!$M$32)*(1 - CUSTOS!$M$38)</f>
        <v>12.898401156806358</v>
      </c>
      <c r="N32" s="50">
        <f>('TE BE'!$N$32+'TE BF'!$N$32+'TE CVA'!$N$32)*(1 - CUSTOS!$M$38)</f>
        <v>0</v>
      </c>
      <c r="O32" s="50">
        <f>('TE BE'!$O$32+'TE BF'!$O$32+'TE CVA'!$O$32)*(1 - CUSTOS!$M$38)</f>
        <v>0</v>
      </c>
      <c r="P32" s="50">
        <f>('TE BE'!$Q$32+'TE BF'!$Q$32+'TE CVA'!$Q$32)*(1 - CUSTOS!$M$38)</f>
        <v>183.69997357410065</v>
      </c>
      <c r="Q32" s="50">
        <f>('TE BE'!$S$32+'TE BF'!$S$32+'TE CVA'!$S$32)*(1 - CUSTOS!$M$38)</f>
        <v>0</v>
      </c>
      <c r="R32" s="50">
        <f>('TE BE'!$T$32+'TE BF'!$T$32+'TE CVA'!$T$32)*(1 - CUSTOS!$M$38)</f>
        <v>0</v>
      </c>
      <c r="S32" s="50">
        <f>('TE BE'!$U$32+'TE BF'!$U$32+'TE CVA'!$U$32)*(1 - CUSTOS!$M$38)</f>
        <v>0</v>
      </c>
      <c r="T32" s="50">
        <f>('TE BE'!$W$32+'TE BF'!$W$32+'TE CVA'!$W$32)*(1 - CUSTOS!$M$38)</f>
        <v>0</v>
      </c>
      <c r="U32" s="50">
        <f>('TE BE'!$Y$32+'TE BF'!$Y$32+'TE CVA'!$Y$32)*(1 - CUSTOS!$M$38)</f>
        <v>1.4069626932427108</v>
      </c>
      <c r="W32" s="50">
        <v>0</v>
      </c>
      <c r="X32" s="50">
        <v>3.3228090029091999</v>
      </c>
      <c r="Y32" s="50">
        <v>0</v>
      </c>
      <c r="Z32" s="50">
        <v>0</v>
      </c>
      <c r="AA32" s="50">
        <v>226.67973516327999</v>
      </c>
      <c r="AB32" s="50">
        <v>0</v>
      </c>
      <c r="AC32" s="50">
        <v>0</v>
      </c>
      <c r="AD32" s="50">
        <v>0</v>
      </c>
      <c r="AE32" s="50">
        <v>1.69650031872733</v>
      </c>
      <c r="AF32" s="50">
        <v>0</v>
      </c>
    </row>
    <row r="33" spans="1:32" ht="11.25" customHeight="1" x14ac:dyDescent="0.25">
      <c r="A33" s="142"/>
      <c r="B33" s="142"/>
      <c r="C33" s="142"/>
      <c r="D33" s="87" t="s">
        <v>92</v>
      </c>
      <c r="E33" s="87" t="s">
        <v>25</v>
      </c>
      <c r="F33" s="87" t="s">
        <v>25</v>
      </c>
      <c r="G33" s="52" t="s">
        <v>82</v>
      </c>
      <c r="H33" s="52" t="s">
        <v>76</v>
      </c>
      <c r="I33" s="52">
        <f>'MERCADO TE'!$U$30</f>
        <v>0</v>
      </c>
      <c r="J33" s="18"/>
      <c r="L33" s="50">
        <f>('TE BE'!$L$33+'TE BF'!$L$33+'TE CVA'!$L$33)*(1 - CUSTOS!$M$39)</f>
        <v>0</v>
      </c>
      <c r="M33" s="50">
        <f>('TE BE'!$M$33+'TE BF'!$M$33+'TE CVA'!$M$33)*(1 - CUSTOS!$M$39)</f>
        <v>12.898401156806358</v>
      </c>
      <c r="N33" s="50">
        <f>('TE BE'!$N$33+'TE BF'!$N$33+'TE CVA'!$N$33)*(1 - CUSTOS!$M$39)</f>
        <v>0</v>
      </c>
      <c r="O33" s="50">
        <f>('TE BE'!$O$33+'TE BF'!$O$33+'TE CVA'!$O$33)*(1 - CUSTOS!$M$39)</f>
        <v>0</v>
      </c>
      <c r="P33" s="50">
        <f>('TE BE'!$Q$33+'TE BF'!$Q$33+'TE CVA'!$Q$33)*(1 - CUSTOS!$M$39)</f>
        <v>183.69997357410065</v>
      </c>
      <c r="Q33" s="50">
        <f>('TE BE'!$S$33+'TE BF'!$S$33+'TE CVA'!$S$33)*(1 - CUSTOS!$M$39)</f>
        <v>0</v>
      </c>
      <c r="R33" s="50">
        <f>('TE BE'!$T$33+'TE BF'!$T$33+'TE CVA'!$T$33)*(1 - CUSTOS!$M$39)</f>
        <v>0</v>
      </c>
      <c r="S33" s="50">
        <f>('TE BE'!$U$33+'TE BF'!$U$33+'TE CVA'!$U$33)*(1 - CUSTOS!$M$39)</f>
        <v>0</v>
      </c>
      <c r="T33" s="50">
        <f>('TE BE'!$W$33+'TE BF'!$W$33+'TE CVA'!$W$33)*(1 - CUSTOS!$M$39)</f>
        <v>0</v>
      </c>
      <c r="U33" s="50">
        <f>('TE BE'!$Y$33+'TE BF'!$Y$33+'TE CVA'!$Y$33)*(1 - CUSTOS!$M$39)</f>
        <v>1.4069626932427108</v>
      </c>
      <c r="W33" s="50">
        <v>0</v>
      </c>
      <c r="X33" s="50">
        <v>3.3228090029091999</v>
      </c>
      <c r="Y33" s="50">
        <v>0</v>
      </c>
      <c r="Z33" s="50">
        <v>0</v>
      </c>
      <c r="AA33" s="50">
        <v>226.67973516327999</v>
      </c>
      <c r="AB33" s="50">
        <v>0</v>
      </c>
      <c r="AC33" s="50">
        <v>0</v>
      </c>
      <c r="AD33" s="50">
        <v>0</v>
      </c>
      <c r="AE33" s="50">
        <v>1.69650031872733</v>
      </c>
      <c r="AF33" s="50">
        <v>0</v>
      </c>
    </row>
    <row r="34" spans="1:32" ht="11.25" customHeight="1" x14ac:dyDescent="0.25">
      <c r="A34" s="142"/>
      <c r="B34" s="142"/>
      <c r="C34" s="142"/>
      <c r="D34" s="87" t="s">
        <v>93</v>
      </c>
      <c r="E34" s="87" t="s">
        <v>25</v>
      </c>
      <c r="F34" s="87" t="s">
        <v>25</v>
      </c>
      <c r="G34" s="52" t="s">
        <v>82</v>
      </c>
      <c r="H34" s="52" t="s">
        <v>76</v>
      </c>
      <c r="I34" s="52">
        <f>'MERCADO TE'!$U$31</f>
        <v>0</v>
      </c>
      <c r="J34" s="18"/>
      <c r="L34" s="50">
        <f>('TE BE'!$L$34+'TE BF'!$L$34+'TE CVA'!$L$34)*(1 - CUSTOS!$M$40)</f>
        <v>0</v>
      </c>
      <c r="M34" s="50">
        <f>('TE BE'!$M$34+'TE BF'!$M$34+'TE CVA'!$M$34)*(1 - CUSTOS!$M$40)</f>
        <v>12.623967089640267</v>
      </c>
      <c r="N34" s="50">
        <f>('TE BE'!$N$34+'TE BF'!$N$34+'TE CVA'!$N$34)*(1 - CUSTOS!$M$40)</f>
        <v>0</v>
      </c>
      <c r="O34" s="50">
        <f>('TE BE'!$O$34+'TE BF'!$O$34+'TE CVA'!$O$34)*(1 - CUSTOS!$M$40)</f>
        <v>0</v>
      </c>
      <c r="P34" s="50">
        <f>('TE BE'!$Q$34+'TE BF'!$Q$34+'TE CVA'!$Q$34)*(1 - CUSTOS!$M$40)</f>
        <v>179.79146349805598</v>
      </c>
      <c r="Q34" s="50">
        <f>('TE BE'!$S$34+'TE BF'!$S$34+'TE CVA'!$S$34)*(1 - CUSTOS!$M$40)</f>
        <v>0</v>
      </c>
      <c r="R34" s="50">
        <f>('TE BE'!$T$34+'TE BF'!$T$34+'TE CVA'!$T$34)*(1 - CUSTOS!$M$40)</f>
        <v>0</v>
      </c>
      <c r="S34" s="50">
        <f>('TE BE'!$U$34+'TE BF'!$U$34+'TE CVA'!$U$34)*(1 - CUSTOS!$M$40)</f>
        <v>0</v>
      </c>
      <c r="T34" s="50">
        <f>('TE BE'!$W$34+'TE BF'!$W$34+'TE CVA'!$W$34)*(1 - CUSTOS!$M$40)</f>
        <v>0</v>
      </c>
      <c r="U34" s="50">
        <f>('TE BE'!$Y$34+'TE BF'!$Y$34+'TE CVA'!$Y$34)*(1 - CUSTOS!$M$40)</f>
        <v>1.3770273167907383</v>
      </c>
      <c r="W34" s="50">
        <v>0</v>
      </c>
      <c r="X34" s="50">
        <v>3.1717722300496898</v>
      </c>
      <c r="Y34" s="50">
        <v>0</v>
      </c>
      <c r="Z34" s="50">
        <v>0</v>
      </c>
      <c r="AA34" s="50">
        <v>216.376110837677</v>
      </c>
      <c r="AB34" s="50">
        <v>0</v>
      </c>
      <c r="AC34" s="50">
        <v>0</v>
      </c>
      <c r="AD34" s="50">
        <v>0</v>
      </c>
      <c r="AE34" s="50">
        <v>1.61938666787608</v>
      </c>
      <c r="AF34" s="50">
        <v>0</v>
      </c>
    </row>
    <row r="35" spans="1:32" ht="11.25" customHeight="1" x14ac:dyDescent="0.25">
      <c r="A35" s="142" t="s">
        <v>39</v>
      </c>
      <c r="B35" s="142" t="s">
        <v>75</v>
      </c>
      <c r="C35" s="142" t="s">
        <v>25</v>
      </c>
      <c r="D35" s="142" t="s">
        <v>25</v>
      </c>
      <c r="E35" s="142" t="s">
        <v>25</v>
      </c>
      <c r="F35" s="142" t="s">
        <v>25</v>
      </c>
      <c r="G35" s="52" t="s">
        <v>77</v>
      </c>
      <c r="H35" s="52" t="s">
        <v>76</v>
      </c>
      <c r="I35" s="52">
        <f>'MERCADO TE'!$U$32</f>
        <v>0.80500000000000171</v>
      </c>
      <c r="J35" s="18"/>
      <c r="L35" s="50">
        <f>('TE BE'!$L$35+'TE BF'!$L$35+'TE CVA'!$L$35)*1</f>
        <v>0</v>
      </c>
      <c r="M35" s="50">
        <f>('TE BE'!$M$35+'TE BF'!$M$35+'TE CVA'!$M$35)*1</f>
        <v>13.721703358304637</v>
      </c>
      <c r="N35" s="50">
        <f>('TE BE'!$N$35+'TE BF'!$N$35+'TE CVA'!$N$35)*1</f>
        <v>0</v>
      </c>
      <c r="O35" s="50">
        <f>('TE BE'!$O$35+'TE BF'!$O$35+'TE CVA'!$O$35)*1</f>
        <v>0</v>
      </c>
      <c r="P35" s="50">
        <f>('TE BE'!$Q$35+'TE BF'!$Q$35+'TE CVA'!$Q$35)*1</f>
        <v>195.42550380223474</v>
      </c>
      <c r="Q35" s="50">
        <f>('TE BE'!$S$35+'TE BF'!$S$35+'TE CVA'!$S$35)*1</f>
        <v>0</v>
      </c>
      <c r="R35" s="50">
        <f>('TE BE'!$T$35+'TE BF'!$T$35+'TE CVA'!$T$35)*1</f>
        <v>0</v>
      </c>
      <c r="S35" s="50">
        <f>('TE BE'!$U$35+'TE BF'!$U$35+'TE CVA'!$U$35)*1</f>
        <v>0</v>
      </c>
      <c r="T35" s="50">
        <f>('TE BE'!$W$35+'TE BF'!$W$35+'TE CVA'!$W$35)*1</f>
        <v>0</v>
      </c>
      <c r="U35" s="50">
        <f>('TE BE'!$Y$35+'TE BF'!$Y$35+'TE CVA'!$Y$35)*1</f>
        <v>1.4967688225986286</v>
      </c>
      <c r="W35" s="50">
        <v>0</v>
      </c>
      <c r="X35" s="50">
        <v>3.77591932148772</v>
      </c>
      <c r="Y35" s="50">
        <v>0</v>
      </c>
      <c r="Z35" s="50">
        <v>0</v>
      </c>
      <c r="AA35" s="50">
        <v>257.59060814009098</v>
      </c>
      <c r="AB35" s="50">
        <v>0</v>
      </c>
      <c r="AC35" s="50">
        <v>0</v>
      </c>
      <c r="AD35" s="50">
        <v>0</v>
      </c>
      <c r="AE35" s="50">
        <v>1.92784127128105</v>
      </c>
      <c r="AF35" s="50">
        <v>0</v>
      </c>
    </row>
    <row r="36" spans="1:32" ht="11.25" customHeight="1" x14ac:dyDescent="0.25">
      <c r="A36" s="142"/>
      <c r="B36" s="142"/>
      <c r="C36" s="142"/>
      <c r="D36" s="142"/>
      <c r="E36" s="142"/>
      <c r="F36" s="142"/>
      <c r="G36" s="52" t="s">
        <v>88</v>
      </c>
      <c r="H36" s="52" t="s">
        <v>76</v>
      </c>
      <c r="I36" s="52">
        <f>'MERCADO TE'!$U$33</f>
        <v>1.23</v>
      </c>
      <c r="J36" s="18"/>
      <c r="L36" s="50">
        <f>('TE BE'!$L$36+'TE BF'!$L$36+'TE CVA'!$L$36)*1</f>
        <v>0</v>
      </c>
      <c r="M36" s="50">
        <f>('TE BE'!$M$36+'TE BF'!$M$36+'TE CVA'!$M$36)*1</f>
        <v>13.721703358304637</v>
      </c>
      <c r="N36" s="50">
        <f>('TE BE'!$N$36+'TE BF'!$N$36+'TE CVA'!$N$36)*1</f>
        <v>0</v>
      </c>
      <c r="O36" s="50">
        <f>('TE BE'!$O$36+'TE BF'!$O$36+'TE CVA'!$O$36)*1</f>
        <v>0</v>
      </c>
      <c r="P36" s="50">
        <f>('TE BE'!$Q$36+'TE BF'!$Q$36+'TE CVA'!$Q$36)*1</f>
        <v>195.42550380223474</v>
      </c>
      <c r="Q36" s="50">
        <f>('TE BE'!$S$36+'TE BF'!$S$36+'TE CVA'!$S$36)*1</f>
        <v>0</v>
      </c>
      <c r="R36" s="50">
        <f>('TE BE'!$T$36+'TE BF'!$T$36+'TE CVA'!$T$36)*1</f>
        <v>0</v>
      </c>
      <c r="S36" s="50">
        <f>('TE BE'!$U$36+'TE BF'!$U$36+'TE CVA'!$U$36)*1</f>
        <v>0</v>
      </c>
      <c r="T36" s="50">
        <f>('TE BE'!$W$36+'TE BF'!$W$36+'TE CVA'!$W$36)*1</f>
        <v>0</v>
      </c>
      <c r="U36" s="50">
        <f>('TE BE'!$Y$36+'TE BF'!$Y$36+'TE CVA'!$Y$36)*1</f>
        <v>1.4967688225986286</v>
      </c>
      <c r="W36" s="50">
        <v>0</v>
      </c>
      <c r="X36" s="50">
        <v>3.77591932148772</v>
      </c>
      <c r="Y36" s="50">
        <v>0</v>
      </c>
      <c r="Z36" s="50">
        <v>0</v>
      </c>
      <c r="AA36" s="50">
        <v>257.59060814009098</v>
      </c>
      <c r="AB36" s="50">
        <v>0</v>
      </c>
      <c r="AC36" s="50">
        <v>0</v>
      </c>
      <c r="AD36" s="50">
        <v>0</v>
      </c>
      <c r="AE36" s="50">
        <v>1.92784127128105</v>
      </c>
      <c r="AF36" s="50">
        <v>0</v>
      </c>
    </row>
    <row r="37" spans="1:32" ht="11.25" customHeight="1" x14ac:dyDescent="0.25">
      <c r="A37" s="142"/>
      <c r="B37" s="142"/>
      <c r="C37" s="142"/>
      <c r="D37" s="142"/>
      <c r="E37" s="142"/>
      <c r="F37" s="142"/>
      <c r="G37" s="52" t="s">
        <v>78</v>
      </c>
      <c r="H37" s="52" t="s">
        <v>76</v>
      </c>
      <c r="I37" s="52">
        <f>'MERCADO TE'!$U$34</f>
        <v>18.96</v>
      </c>
      <c r="J37" s="18"/>
      <c r="L37" s="50">
        <f>('TE BE'!$L$37+'TE BF'!$L$37+'TE CVA'!$L$37)*1</f>
        <v>0</v>
      </c>
      <c r="M37" s="50">
        <f>('TE BE'!$M$37+'TE BF'!$M$37+'TE CVA'!$M$37)*1</f>
        <v>13.721703358304637</v>
      </c>
      <c r="N37" s="50">
        <f>('TE BE'!$N$37+'TE BF'!$N$37+'TE CVA'!$N$37)*1</f>
        <v>0</v>
      </c>
      <c r="O37" s="50">
        <f>('TE BE'!$O$37+'TE BF'!$O$37+'TE CVA'!$O$37)*1</f>
        <v>0</v>
      </c>
      <c r="P37" s="50">
        <f>('TE BE'!$Q$37+'TE BF'!$Q$37+'TE CVA'!$Q$37)*1</f>
        <v>195.42550380223474</v>
      </c>
      <c r="Q37" s="50">
        <f>('TE BE'!$S$37+'TE BF'!$S$37+'TE CVA'!$S$37)*1</f>
        <v>0</v>
      </c>
      <c r="R37" s="50">
        <f>('TE BE'!$T$37+'TE BF'!$T$37+'TE CVA'!$T$37)*1</f>
        <v>0</v>
      </c>
      <c r="S37" s="50">
        <f>('TE BE'!$U$37+'TE BF'!$U$37+'TE CVA'!$U$37)*1</f>
        <v>0</v>
      </c>
      <c r="T37" s="50">
        <f>('TE BE'!$W$37+'TE BF'!$W$37+'TE CVA'!$W$37)*1</f>
        <v>0</v>
      </c>
      <c r="U37" s="50">
        <f>('TE BE'!$Y$37+'TE BF'!$Y$37+'TE CVA'!$Y$37)*1</f>
        <v>1.4967688225986286</v>
      </c>
      <c r="W37" s="50">
        <v>0</v>
      </c>
      <c r="X37" s="50">
        <v>3.77591932148772</v>
      </c>
      <c r="Y37" s="50">
        <v>0</v>
      </c>
      <c r="Z37" s="50">
        <v>0</v>
      </c>
      <c r="AA37" s="50">
        <v>257.59060814009098</v>
      </c>
      <c r="AB37" s="50">
        <v>0</v>
      </c>
      <c r="AC37" s="50">
        <v>0</v>
      </c>
      <c r="AD37" s="50">
        <v>0</v>
      </c>
      <c r="AE37" s="50">
        <v>1.92784127128105</v>
      </c>
      <c r="AF37" s="50">
        <v>0</v>
      </c>
    </row>
    <row r="38" spans="1:32" ht="11.25" customHeight="1" x14ac:dyDescent="0.25">
      <c r="A38" s="142"/>
      <c r="B38" s="87" t="s">
        <v>89</v>
      </c>
      <c r="C38" s="87" t="s">
        <v>25</v>
      </c>
      <c r="D38" s="87" t="s">
        <v>25</v>
      </c>
      <c r="E38" s="87" t="s">
        <v>25</v>
      </c>
      <c r="F38" s="87" t="s">
        <v>25</v>
      </c>
      <c r="G38" s="52" t="s">
        <v>82</v>
      </c>
      <c r="H38" s="52" t="s">
        <v>76</v>
      </c>
      <c r="I38" s="52">
        <f>'MERCADO TE'!$U$35</f>
        <v>17010.552</v>
      </c>
      <c r="J38" s="18"/>
      <c r="L38" s="50">
        <f>('TE BE'!$L$38+'TE BF'!$L$38+'TE CVA'!$L$38)*1</f>
        <v>0</v>
      </c>
      <c r="M38" s="50">
        <f>('TE BE'!$M$38+'TE BF'!$M$38+'TE CVA'!$M$38)*1</f>
        <v>13.721703358304637</v>
      </c>
      <c r="N38" s="50">
        <f>('TE BE'!$N$38+'TE BF'!$N$38+'TE CVA'!$N$38)*1</f>
        <v>0</v>
      </c>
      <c r="O38" s="50">
        <f>('TE BE'!$O$38+'TE BF'!$O$38+'TE CVA'!$O$38)*1</f>
        <v>0</v>
      </c>
      <c r="P38" s="50">
        <f>('TE BE'!$Q$38+'TE BF'!$Q$38+'TE CVA'!$Q$38)*1</f>
        <v>195.42550380223474</v>
      </c>
      <c r="Q38" s="50">
        <f>('TE BE'!$S$38+'TE BF'!$S$38+'TE CVA'!$S$38)*1</f>
        <v>0</v>
      </c>
      <c r="R38" s="50">
        <f>('TE BE'!$T$38+'TE BF'!$T$38+'TE CVA'!$T$38)*1</f>
        <v>0</v>
      </c>
      <c r="S38" s="50">
        <f>('TE BE'!$U$38+'TE BF'!$U$38+'TE CVA'!$U$38)*1</f>
        <v>0</v>
      </c>
      <c r="T38" s="50">
        <f>('TE BE'!$W$38+'TE BF'!$W$38+'TE CVA'!$W$38)*1</f>
        <v>0</v>
      </c>
      <c r="U38" s="50">
        <f>('TE BE'!$Y$38+'TE BF'!$Y$38+'TE CVA'!$Y$38)*1</f>
        <v>1.4967688225986286</v>
      </c>
      <c r="W38" s="50">
        <v>0</v>
      </c>
      <c r="X38" s="50">
        <v>3.77591932148772</v>
      </c>
      <c r="Y38" s="50">
        <v>0</v>
      </c>
      <c r="Z38" s="50">
        <v>0</v>
      </c>
      <c r="AA38" s="50">
        <v>257.59060814009098</v>
      </c>
      <c r="AB38" s="50">
        <v>0</v>
      </c>
      <c r="AC38" s="50">
        <v>0</v>
      </c>
      <c r="AD38" s="50">
        <v>0</v>
      </c>
      <c r="AE38" s="50">
        <v>1.92784127128105</v>
      </c>
      <c r="AF38" s="50">
        <v>0</v>
      </c>
    </row>
    <row r="39" spans="1:32" ht="11.25" customHeight="1" x14ac:dyDescent="0.25">
      <c r="A39" s="142"/>
      <c r="B39" s="87" t="s">
        <v>90</v>
      </c>
      <c r="C39" s="87" t="s">
        <v>25</v>
      </c>
      <c r="D39" s="87" t="s">
        <v>25</v>
      </c>
      <c r="E39" s="87" t="s">
        <v>25</v>
      </c>
      <c r="F39" s="87" t="s">
        <v>25</v>
      </c>
      <c r="G39" s="52" t="s">
        <v>82</v>
      </c>
      <c r="H39" s="52" t="s">
        <v>76</v>
      </c>
      <c r="I39" s="52">
        <f>'MERCADO TE'!$U$36</f>
        <v>0</v>
      </c>
      <c r="J39" s="18"/>
      <c r="L39" s="50">
        <f>('TE BE'!$L$39+'TE BF'!$L$39+'TE CVA'!$L$39)*1</f>
        <v>0</v>
      </c>
      <c r="M39" s="50">
        <f>('TE BE'!$M$39+'TE BF'!$M$39+'TE CVA'!$M$39)*1</f>
        <v>13.721703358304637</v>
      </c>
      <c r="N39" s="50">
        <f>('TE BE'!$N$39+'TE BF'!$N$39+'TE CVA'!$N$39)*1</f>
        <v>0</v>
      </c>
      <c r="O39" s="50">
        <f>('TE BE'!$O$39+'TE BF'!$O$39+'TE CVA'!$O$39)*1</f>
        <v>0</v>
      </c>
      <c r="P39" s="50">
        <f>('TE BE'!$Q$39+'TE BF'!$Q$39+'TE CVA'!$Q$39)*1</f>
        <v>195.42550380223474</v>
      </c>
      <c r="Q39" s="50">
        <f>('TE BE'!$S$39+'TE BF'!$S$39+'TE CVA'!$S$39)*1</f>
        <v>0</v>
      </c>
      <c r="R39" s="50">
        <f>('TE BE'!$T$39+'TE BF'!$T$39+'TE CVA'!$T$39)*1</f>
        <v>0</v>
      </c>
      <c r="S39" s="50">
        <f>('TE BE'!$U$39+'TE BF'!$U$39+'TE CVA'!$U$39)*1</f>
        <v>0</v>
      </c>
      <c r="T39" s="50">
        <f>('TE BE'!$W$39+'TE BF'!$W$39+'TE CVA'!$W$39)*1</f>
        <v>0</v>
      </c>
      <c r="U39" s="50">
        <f>('TE BE'!$Y$39+'TE BF'!$Y$39+'TE CVA'!$Y$39)*1</f>
        <v>1.4967688225986286</v>
      </c>
      <c r="W39" s="50">
        <v>0</v>
      </c>
      <c r="X39" s="50">
        <v>3.77591932148772</v>
      </c>
      <c r="Y39" s="50">
        <v>0</v>
      </c>
      <c r="Z39" s="50">
        <v>0</v>
      </c>
      <c r="AA39" s="50">
        <v>257.59060814009098</v>
      </c>
      <c r="AB39" s="50">
        <v>0</v>
      </c>
      <c r="AC39" s="50">
        <v>0</v>
      </c>
      <c r="AD39" s="50">
        <v>0</v>
      </c>
      <c r="AE39" s="50">
        <v>1.92784127128105</v>
      </c>
      <c r="AF39" s="50">
        <v>0</v>
      </c>
    </row>
    <row r="40" spans="1:32" ht="11.25" customHeight="1" x14ac:dyDescent="0.25">
      <c r="A40" s="142" t="s">
        <v>46</v>
      </c>
      <c r="B40" s="142" t="s">
        <v>89</v>
      </c>
      <c r="C40" s="142" t="s">
        <v>47</v>
      </c>
      <c r="D40" s="87" t="s">
        <v>48</v>
      </c>
      <c r="E40" s="87" t="s">
        <v>25</v>
      </c>
      <c r="F40" s="87" t="s">
        <v>25</v>
      </c>
      <c r="G40" s="52" t="s">
        <v>82</v>
      </c>
      <c r="H40" s="52" t="s">
        <v>76</v>
      </c>
      <c r="I40" s="52">
        <f>'MERCADO TE'!$U$37</f>
        <v>3708.9960000000001</v>
      </c>
      <c r="J40" s="18"/>
      <c r="L40" s="50">
        <f>('TE BE'!$L$40+'TE BF'!$L$40+'TE CVA'!$L$40)*1</f>
        <v>0</v>
      </c>
      <c r="M40" s="50">
        <f>('TE BE'!$M$40+'TE BF'!$M$40+'TE CVA'!$M$40)*1</f>
        <v>7.5469368470675509</v>
      </c>
      <c r="N40" s="50">
        <f>('TE BE'!$N$40+'TE BF'!$N$40+'TE CVA'!$N$40)*1</f>
        <v>0</v>
      </c>
      <c r="O40" s="50">
        <f>('TE BE'!$O$40+'TE BF'!$O$40+'TE CVA'!$O$40)*1</f>
        <v>0</v>
      </c>
      <c r="P40" s="50">
        <f>('TE BE'!$Q$40+'TE BF'!$Q$40+'TE CVA'!$Q$40)*1</f>
        <v>107.48402709122912</v>
      </c>
      <c r="Q40" s="50">
        <f>('TE BE'!$S$40+'TE BF'!$S$40+'TE CVA'!$S$40)*1</f>
        <v>0</v>
      </c>
      <c r="R40" s="50">
        <f>('TE BE'!$T$40+'TE BF'!$T$40+'TE CVA'!$T$40)*1</f>
        <v>0</v>
      </c>
      <c r="S40" s="50">
        <f>('TE BE'!$U$40+'TE BF'!$U$40+'TE CVA'!$U$40)*1</f>
        <v>0</v>
      </c>
      <c r="T40" s="50">
        <f>('TE BE'!$W$40+'TE BF'!$W$40+'TE CVA'!$W$40)*1</f>
        <v>0</v>
      </c>
      <c r="U40" s="50">
        <f>('TE BE'!$Y$40+'TE BF'!$Y$40+'TE CVA'!$Y$40)*1</f>
        <v>0.82322285242924587</v>
      </c>
      <c r="W40" s="50">
        <v>0</v>
      </c>
      <c r="X40" s="50">
        <v>2.0767556268182501</v>
      </c>
      <c r="Y40" s="50">
        <v>0</v>
      </c>
      <c r="Z40" s="50">
        <v>0</v>
      </c>
      <c r="AA40" s="50">
        <v>141.67483447705001</v>
      </c>
      <c r="AB40" s="50">
        <v>0</v>
      </c>
      <c r="AC40" s="50">
        <v>0</v>
      </c>
      <c r="AD40" s="50">
        <v>0</v>
      </c>
      <c r="AE40" s="50">
        <v>1.0603126992045799</v>
      </c>
      <c r="AF40" s="50">
        <v>0</v>
      </c>
    </row>
    <row r="41" spans="1:32" ht="11.25" customHeight="1" x14ac:dyDescent="0.25">
      <c r="A41" s="142"/>
      <c r="B41" s="142"/>
      <c r="C41" s="142"/>
      <c r="D41" s="52" t="s">
        <v>49</v>
      </c>
      <c r="E41" s="52" t="s">
        <v>25</v>
      </c>
      <c r="F41" s="52" t="s">
        <v>25</v>
      </c>
      <c r="G41" s="52" t="s">
        <v>82</v>
      </c>
      <c r="H41" s="52" t="s">
        <v>76</v>
      </c>
      <c r="I41" s="52">
        <f>'MERCADO TE'!$U$38</f>
        <v>336.95</v>
      </c>
      <c r="J41" s="18"/>
      <c r="L41" s="50">
        <f>('TE BE'!$L$41+'TE BF'!$L$41+'TE CVA'!$L$41)*1</f>
        <v>0</v>
      </c>
      <c r="M41" s="50">
        <f>('TE BE'!$M$41+'TE BF'!$M$41+'TE CVA'!$M$41)*1</f>
        <v>8.2330220149827831</v>
      </c>
      <c r="N41" s="50">
        <f>('TE BE'!$N$41+'TE BF'!$N$41+'TE CVA'!$N$41)*1</f>
        <v>0</v>
      </c>
      <c r="O41" s="50">
        <f>('TE BE'!$O$41+'TE BF'!$O$41+'TE CVA'!$O$41)*1</f>
        <v>0</v>
      </c>
      <c r="P41" s="50">
        <f>('TE BE'!$Q$41+'TE BF'!$Q$41+'TE CVA'!$Q$41)*1</f>
        <v>117.25530228134085</v>
      </c>
      <c r="Q41" s="50">
        <f>('TE BE'!$S$41+'TE BF'!$S$41+'TE CVA'!$S$41)*1</f>
        <v>0</v>
      </c>
      <c r="R41" s="50">
        <f>('TE BE'!$T$41+'TE BF'!$T$41+'TE CVA'!$T$41)*1</f>
        <v>0</v>
      </c>
      <c r="S41" s="50">
        <f>('TE BE'!$U$41+'TE BF'!$U$41+'TE CVA'!$U$41)*1</f>
        <v>0</v>
      </c>
      <c r="T41" s="50">
        <f>('TE BE'!$W$41+'TE BF'!$W$41+'TE CVA'!$W$41)*1</f>
        <v>0</v>
      </c>
      <c r="U41" s="50">
        <f>('TE BE'!$Y$41+'TE BF'!$Y$41+'TE CVA'!$Y$41)*1</f>
        <v>0.89806129355917719</v>
      </c>
      <c r="W41" s="50">
        <v>0</v>
      </c>
      <c r="X41" s="50">
        <v>2.26555159289263</v>
      </c>
      <c r="Y41" s="50">
        <v>0</v>
      </c>
      <c r="Z41" s="50">
        <v>0</v>
      </c>
      <c r="AA41" s="50">
        <v>154.55436488405499</v>
      </c>
      <c r="AB41" s="50">
        <v>0</v>
      </c>
      <c r="AC41" s="50">
        <v>0</v>
      </c>
      <c r="AD41" s="50">
        <v>0</v>
      </c>
      <c r="AE41" s="50">
        <v>1.15670476276863</v>
      </c>
      <c r="AF41" s="50">
        <v>0</v>
      </c>
    </row>
    <row r="43" spans="1:32" ht="11.25" customHeight="1" x14ac:dyDescent="0.25">
      <c r="L43" s="139" t="s">
        <v>1079</v>
      </c>
      <c r="M43" s="139"/>
      <c r="N43" s="139"/>
      <c r="O43" s="139"/>
      <c r="P43" s="139"/>
      <c r="Q43" s="139"/>
      <c r="R43" s="139"/>
      <c r="S43" s="139"/>
      <c r="T43" s="139"/>
      <c r="U43" s="139"/>
      <c r="W43" s="139" t="s">
        <v>1080</v>
      </c>
      <c r="X43" s="139"/>
      <c r="Y43" s="139"/>
      <c r="Z43" s="139"/>
      <c r="AA43" s="139"/>
      <c r="AB43" s="139"/>
      <c r="AC43" s="139"/>
      <c r="AD43" s="139"/>
      <c r="AE43" s="139"/>
      <c r="AF43" s="139"/>
    </row>
    <row r="44" spans="1:32" ht="11.25" customHeight="1" x14ac:dyDescent="0.25">
      <c r="L44" s="139" t="s">
        <v>645</v>
      </c>
      <c r="M44" s="139"/>
      <c r="N44" s="139"/>
      <c r="O44" s="139"/>
      <c r="P44" s="139"/>
      <c r="Q44" s="139"/>
      <c r="R44" s="139"/>
      <c r="S44" s="139"/>
      <c r="T44" s="139"/>
      <c r="U44" s="139"/>
      <c r="W44" s="139" t="s">
        <v>645</v>
      </c>
      <c r="X44" s="139"/>
      <c r="Y44" s="139"/>
      <c r="Z44" s="139"/>
      <c r="AA44" s="139"/>
      <c r="AB44" s="139"/>
      <c r="AC44" s="139"/>
      <c r="AD44" s="139"/>
      <c r="AE44" s="139"/>
      <c r="AF44" s="139"/>
    </row>
    <row r="45" spans="1:32" ht="11.25" customHeight="1" x14ac:dyDescent="0.25">
      <c r="L45" s="139" t="s">
        <v>618</v>
      </c>
      <c r="M45" s="139"/>
      <c r="N45" s="139"/>
      <c r="O45" s="139"/>
      <c r="P45" s="88" t="s">
        <v>648</v>
      </c>
      <c r="Q45" s="139" t="s">
        <v>627</v>
      </c>
      <c r="R45" s="139"/>
      <c r="S45" s="139"/>
      <c r="T45" s="88" t="s">
        <v>637</v>
      </c>
      <c r="U45" s="88" t="s">
        <v>640</v>
      </c>
      <c r="W45" s="139" t="s">
        <v>618</v>
      </c>
      <c r="X45" s="139"/>
      <c r="Y45" s="139"/>
      <c r="Z45" s="139"/>
      <c r="AA45" s="88" t="s">
        <v>648</v>
      </c>
      <c r="AB45" s="139" t="s">
        <v>627</v>
      </c>
      <c r="AC45" s="139"/>
      <c r="AD45" s="139"/>
      <c r="AE45" s="88" t="s">
        <v>637</v>
      </c>
      <c r="AF45" s="88" t="s">
        <v>640</v>
      </c>
    </row>
    <row r="46" spans="1:32" ht="11.25" customHeight="1" x14ac:dyDescent="0.25">
      <c r="L46" s="88" t="s">
        <v>620</v>
      </c>
      <c r="M46" s="88" t="s">
        <v>646</v>
      </c>
      <c r="N46" s="88" t="s">
        <v>647</v>
      </c>
      <c r="O46" s="88" t="s">
        <v>705</v>
      </c>
      <c r="P46" s="88" t="s">
        <v>649</v>
      </c>
      <c r="Q46" s="88" t="s">
        <v>650</v>
      </c>
      <c r="R46" s="88" t="s">
        <v>651</v>
      </c>
      <c r="S46" s="88" t="s">
        <v>652</v>
      </c>
      <c r="T46" s="88" t="s">
        <v>638</v>
      </c>
      <c r="U46" s="88" t="s">
        <v>653</v>
      </c>
      <c r="W46" s="88" t="s">
        <v>620</v>
      </c>
      <c r="X46" s="88" t="s">
        <v>646</v>
      </c>
      <c r="Y46" s="88" t="s">
        <v>647</v>
      </c>
      <c r="Z46" s="88" t="s">
        <v>705</v>
      </c>
      <c r="AA46" s="88" t="s">
        <v>649</v>
      </c>
      <c r="AB46" s="88" t="s">
        <v>650</v>
      </c>
      <c r="AC46" s="88" t="s">
        <v>651</v>
      </c>
      <c r="AD46" s="88" t="s">
        <v>652</v>
      </c>
      <c r="AE46" s="88" t="s">
        <v>638</v>
      </c>
      <c r="AF46" s="88" t="s">
        <v>653</v>
      </c>
    </row>
    <row r="47" spans="1:32" ht="11.25" customHeight="1" x14ac:dyDescent="0.25">
      <c r="A47" s="9" t="s">
        <v>33</v>
      </c>
      <c r="B47" s="9" t="s">
        <v>1081</v>
      </c>
      <c r="C47" s="9" t="s">
        <v>1082</v>
      </c>
      <c r="D47" s="9" t="s">
        <v>1083</v>
      </c>
      <c r="E47" s="9" t="s">
        <v>1084</v>
      </c>
      <c r="F47" s="9" t="s">
        <v>1085</v>
      </c>
      <c r="G47" s="9" t="s">
        <v>1086</v>
      </c>
      <c r="L47" s="50">
        <f>$I$5*$L$5</f>
        <v>0</v>
      </c>
      <c r="M47" s="50">
        <f>$I$5*$M$5</f>
        <v>31073.057967244655</v>
      </c>
      <c r="N47" s="50">
        <f>$I$5*$N$5</f>
        <v>0</v>
      </c>
      <c r="O47" s="50">
        <f>$I$5*$O$5</f>
        <v>0</v>
      </c>
      <c r="P47" s="50">
        <f>$I$5*$P$5</f>
        <v>442544.76644473278</v>
      </c>
      <c r="Q47" s="50">
        <f>$I$5*$Q$5</f>
        <v>0</v>
      </c>
      <c r="R47" s="50">
        <f>$I$5*$R$5</f>
        <v>0</v>
      </c>
      <c r="S47" s="50">
        <f>$I$5*$S$5</f>
        <v>0</v>
      </c>
      <c r="T47" s="50">
        <f>$I$5*$T$5</f>
        <v>0</v>
      </c>
      <c r="U47" s="50">
        <f>$I$5*$U$5</f>
        <v>3389.4614373822237</v>
      </c>
      <c r="W47" s="50">
        <f>$I$5*$W$5</f>
        <v>0</v>
      </c>
      <c r="X47" s="50">
        <f>$I$5*$X$5</f>
        <v>8550.64104597605</v>
      </c>
      <c r="Y47" s="50">
        <f>$I$5*$Y$5</f>
        <v>0</v>
      </c>
      <c r="Z47" s="50">
        <f>$I$5*$Z$5</f>
        <v>0</v>
      </c>
      <c r="AA47" s="50">
        <f>$I$5*$AA$5</f>
        <v>583318.8263547906</v>
      </c>
      <c r="AB47" s="50">
        <f>$I$5*$AB$5</f>
        <v>0</v>
      </c>
      <c r="AC47" s="50">
        <f>$I$5*$AC$5</f>
        <v>0</v>
      </c>
      <c r="AD47" s="50">
        <f>$I$5*$AD$5</f>
        <v>0</v>
      </c>
      <c r="AE47" s="50">
        <f>$I$5*$AE$5</f>
        <v>4365.6331878000919</v>
      </c>
      <c r="AF47" s="50">
        <f>$I$5*$AF$5</f>
        <v>0</v>
      </c>
    </row>
    <row r="48" spans="1:32" ht="11.25" customHeight="1" x14ac:dyDescent="0.25">
      <c r="A48" s="9" t="s">
        <v>33</v>
      </c>
      <c r="B48" s="9" t="s">
        <v>1081</v>
      </c>
      <c r="C48" s="9" t="s">
        <v>1082</v>
      </c>
      <c r="D48" s="9" t="s">
        <v>1083</v>
      </c>
      <c r="E48" s="9" t="s">
        <v>1084</v>
      </c>
      <c r="F48" s="9" t="s">
        <v>1085</v>
      </c>
      <c r="G48" s="9" t="s">
        <v>1087</v>
      </c>
      <c r="L48" s="50">
        <f>$I$6*$L$6</f>
        <v>0</v>
      </c>
      <c r="M48" s="50">
        <f>$I$6*$M$6</f>
        <v>586536.4741317858</v>
      </c>
      <c r="N48" s="50">
        <f>$I$6*$N$6</f>
        <v>0</v>
      </c>
      <c r="O48" s="50">
        <f>$I$6*$O$6</f>
        <v>0</v>
      </c>
      <c r="P48" s="50">
        <f>$I$6*$P$6</f>
        <v>8353495.4052346498</v>
      </c>
      <c r="Q48" s="50">
        <f>$I$6*$Q$6</f>
        <v>0</v>
      </c>
      <c r="R48" s="50">
        <f>$I$6*$R$6</f>
        <v>0</v>
      </c>
      <c r="S48" s="50">
        <f>$I$6*$S$6</f>
        <v>0</v>
      </c>
      <c r="T48" s="50">
        <f>$I$6*$T$6</f>
        <v>0</v>
      </c>
      <c r="U48" s="50">
        <f>$I$6*$U$6</f>
        <v>63979.630288834102</v>
      </c>
      <c r="W48" s="50">
        <f>$I$6*$W$6</f>
        <v>0</v>
      </c>
      <c r="X48" s="50">
        <f>$I$6*$X$6</f>
        <v>161402.29442368061</v>
      </c>
      <c r="Y48" s="50">
        <f>$I$6*$Y$6</f>
        <v>0</v>
      </c>
      <c r="Z48" s="50">
        <f>$I$6*$Z$6</f>
        <v>0</v>
      </c>
      <c r="AA48" s="50">
        <f>$I$6*$AA$6</f>
        <v>11010753.04739853</v>
      </c>
      <c r="AB48" s="50">
        <f>$I$6*$AB$6</f>
        <v>0</v>
      </c>
      <c r="AC48" s="50">
        <f>$I$6*$AC$6</f>
        <v>0</v>
      </c>
      <c r="AD48" s="50">
        <f>$I$6*$AD$6</f>
        <v>0</v>
      </c>
      <c r="AE48" s="50">
        <f>$I$6*$AE$6</f>
        <v>82405.893234718227</v>
      </c>
      <c r="AF48" s="50">
        <f>$I$6*$AF$6</f>
        <v>0</v>
      </c>
    </row>
    <row r="49" spans="1:32" ht="11.25" customHeight="1" x14ac:dyDescent="0.25">
      <c r="A49" s="9" t="s">
        <v>22</v>
      </c>
      <c r="B49" s="9" t="s">
        <v>1088</v>
      </c>
      <c r="C49" s="9" t="s">
        <v>1089</v>
      </c>
      <c r="D49" s="9" t="s">
        <v>1090</v>
      </c>
      <c r="E49" s="9" t="s">
        <v>1091</v>
      </c>
      <c r="F49" s="9" t="s">
        <v>1092</v>
      </c>
      <c r="G49" s="9" t="s">
        <v>1093</v>
      </c>
      <c r="L49" s="50">
        <f>$I$7*$L$7</f>
        <v>0</v>
      </c>
      <c r="M49" s="50">
        <f>$I$7*$M$7</f>
        <v>63.311939295217591</v>
      </c>
      <c r="N49" s="50">
        <f>$I$7*$N$7</f>
        <v>0</v>
      </c>
      <c r="O49" s="50">
        <f>$I$7*$O$7</f>
        <v>0</v>
      </c>
      <c r="P49" s="50">
        <f>$I$7*$P$7</f>
        <v>901.69327454351105</v>
      </c>
      <c r="Q49" s="50">
        <f>$I$7*$Q$7</f>
        <v>0</v>
      </c>
      <c r="R49" s="50">
        <f>$I$7*$R$7</f>
        <v>0</v>
      </c>
      <c r="S49" s="50">
        <f>$I$7*$S$7</f>
        <v>0</v>
      </c>
      <c r="T49" s="50">
        <f>$I$7*$T$7</f>
        <v>0</v>
      </c>
      <c r="U49" s="50">
        <f>$I$7*$U$7</f>
        <v>6.9060913474700723</v>
      </c>
      <c r="W49" s="50">
        <f>$I$7*$W$7</f>
        <v>0</v>
      </c>
      <c r="X49" s="50">
        <f>$I$7*$X$7</f>
        <v>17.422091749344339</v>
      </c>
      <c r="Y49" s="50">
        <f>$I$7*$Y$7</f>
        <v>0</v>
      </c>
      <c r="Z49" s="50">
        <f>$I$7*$Z$7</f>
        <v>0</v>
      </c>
      <c r="AA49" s="50">
        <f>$I$7*$AA$7</f>
        <v>1188.5230659583797</v>
      </c>
      <c r="AB49" s="50">
        <f>$I$7*$AB$7</f>
        <v>0</v>
      </c>
      <c r="AC49" s="50">
        <f>$I$7*$AC$7</f>
        <v>0</v>
      </c>
      <c r="AD49" s="50">
        <f>$I$7*$AD$7</f>
        <v>0</v>
      </c>
      <c r="AE49" s="50">
        <f>$I$7*$AE$7</f>
        <v>8.8950596256907648</v>
      </c>
      <c r="AF49" s="50">
        <f>$I$7*$AF$7</f>
        <v>0</v>
      </c>
    </row>
    <row r="50" spans="1:32" ht="11.25" customHeight="1" x14ac:dyDescent="0.25">
      <c r="A50" s="9" t="s">
        <v>22</v>
      </c>
      <c r="B50" s="9" t="s">
        <v>1088</v>
      </c>
      <c r="C50" s="9" t="s">
        <v>1089</v>
      </c>
      <c r="D50" s="9" t="s">
        <v>1090</v>
      </c>
      <c r="E50" s="9" t="s">
        <v>1091</v>
      </c>
      <c r="F50" s="9" t="s">
        <v>1092</v>
      </c>
      <c r="G50" s="9" t="s">
        <v>1094</v>
      </c>
      <c r="L50" s="50">
        <f>$I$8*$L$8</f>
        <v>0</v>
      </c>
      <c r="M50" s="50">
        <f>$I$8*$M$8</f>
        <v>96.312635871940245</v>
      </c>
      <c r="N50" s="50">
        <f>$I$8*$N$8</f>
        <v>0</v>
      </c>
      <c r="O50" s="50">
        <f>$I$8*$O$8</f>
        <v>0</v>
      </c>
      <c r="P50" s="50">
        <f>$I$8*$P$8</f>
        <v>1371.6916111878854</v>
      </c>
      <c r="Q50" s="50">
        <f>$I$8*$Q$8</f>
        <v>0</v>
      </c>
      <c r="R50" s="50">
        <f>$I$8*$R$8</f>
        <v>0</v>
      </c>
      <c r="S50" s="50">
        <f>$I$8*$S$8</f>
        <v>0</v>
      </c>
      <c r="T50" s="50">
        <f>$I$8*$T$8</f>
        <v>0</v>
      </c>
      <c r="U50" s="50">
        <f>$I$8*$U$8</f>
        <v>10.505820365819773</v>
      </c>
      <c r="W50" s="50">
        <f>$I$8*$W$8</f>
        <v>0</v>
      </c>
      <c r="X50" s="50">
        <f>$I$8*$X$8</f>
        <v>26.503177717522306</v>
      </c>
      <c r="Y50" s="50">
        <f>$I$8*$Y$8</f>
        <v>0</v>
      </c>
      <c r="Z50" s="50">
        <f>$I$8*$Z$8</f>
        <v>0</v>
      </c>
      <c r="AA50" s="50">
        <f>$I$8*$AA$8</f>
        <v>1808.0284785352983</v>
      </c>
      <c r="AB50" s="50">
        <f>$I$8*$AB$8</f>
        <v>0</v>
      </c>
      <c r="AC50" s="50">
        <f>$I$8*$AC$8</f>
        <v>0</v>
      </c>
      <c r="AD50" s="50">
        <f>$I$8*$AD$8</f>
        <v>0</v>
      </c>
      <c r="AE50" s="50">
        <f>$I$8*$AE$8</f>
        <v>13.531517883121689</v>
      </c>
      <c r="AF50" s="50">
        <f>$I$8*$AF$8</f>
        <v>0</v>
      </c>
    </row>
    <row r="51" spans="1:32" ht="11.25" customHeight="1" x14ac:dyDescent="0.25">
      <c r="A51" s="9" t="s">
        <v>22</v>
      </c>
      <c r="B51" s="9" t="s">
        <v>1088</v>
      </c>
      <c r="C51" s="9" t="s">
        <v>1089</v>
      </c>
      <c r="D51" s="9" t="s">
        <v>1090</v>
      </c>
      <c r="E51" s="9" t="s">
        <v>1091</v>
      </c>
      <c r="F51" s="9" t="s">
        <v>1092</v>
      </c>
      <c r="G51" s="9" t="s">
        <v>1095</v>
      </c>
      <c r="L51" s="50">
        <f>$I$9*$L$9</f>
        <v>0</v>
      </c>
      <c r="M51" s="50">
        <f>$I$9*$M$9</f>
        <v>409.8947227192761</v>
      </c>
      <c r="N51" s="50">
        <f>$I$9*$N$9</f>
        <v>0</v>
      </c>
      <c r="O51" s="50">
        <f>$I$9*$O$9</f>
        <v>0</v>
      </c>
      <c r="P51" s="50">
        <f>$I$9*$P$9</f>
        <v>5837.7506495803564</v>
      </c>
      <c r="Q51" s="50">
        <f>$I$9*$Q$9</f>
        <v>0</v>
      </c>
      <c r="R51" s="50">
        <f>$I$9*$R$9</f>
        <v>0</v>
      </c>
      <c r="S51" s="50">
        <f>$I$9*$S$9</f>
        <v>0</v>
      </c>
      <c r="T51" s="50">
        <f>$I$9*$T$9</f>
        <v>0</v>
      </c>
      <c r="U51" s="50">
        <f>$I$9*$U$9</f>
        <v>44.711478268666234</v>
      </c>
      <c r="W51" s="50">
        <f>$I$9*$W$9</f>
        <v>0</v>
      </c>
      <c r="X51" s="50">
        <f>$I$9*$X$9</f>
        <v>112.79426197148118</v>
      </c>
      <c r="Y51" s="50">
        <f>$I$9*$Y$9</f>
        <v>0</v>
      </c>
      <c r="Z51" s="50">
        <f>$I$9*$Z$9</f>
        <v>0</v>
      </c>
      <c r="AA51" s="50">
        <f>$I$9*$AA$9</f>
        <v>7694.746646360798</v>
      </c>
      <c r="AB51" s="50">
        <f>$I$9*$AB$9</f>
        <v>0</v>
      </c>
      <c r="AC51" s="50">
        <f>$I$9*$AC$9</f>
        <v>0</v>
      </c>
      <c r="AD51" s="50">
        <f>$I$9*$AD$9</f>
        <v>0</v>
      </c>
      <c r="AE51" s="50">
        <f>$I$9*$AE$9</f>
        <v>57.588474455707527</v>
      </c>
      <c r="AF51" s="50">
        <f>$I$9*$AF$9</f>
        <v>0</v>
      </c>
    </row>
    <row r="52" spans="1:32" ht="11.25" customHeight="1" x14ac:dyDescent="0.25">
      <c r="A52" s="9" t="s">
        <v>22</v>
      </c>
      <c r="B52" s="9" t="s">
        <v>1096</v>
      </c>
      <c r="C52" s="9" t="s">
        <v>1097</v>
      </c>
      <c r="D52" s="9" t="s">
        <v>1098</v>
      </c>
      <c r="E52" s="9" t="s">
        <v>1099</v>
      </c>
      <c r="F52" s="9" t="s">
        <v>1100</v>
      </c>
      <c r="G52" s="9" t="s">
        <v>1101</v>
      </c>
      <c r="L52" s="50">
        <f>$I$10*$L$10</f>
        <v>0</v>
      </c>
      <c r="M52" s="50">
        <f>$I$10*$M$10</f>
        <v>351942.31609537202</v>
      </c>
      <c r="N52" s="50">
        <f>$I$10*$N$10</f>
        <v>0</v>
      </c>
      <c r="O52" s="50">
        <f>$I$10*$O$10</f>
        <v>0</v>
      </c>
      <c r="P52" s="50">
        <f>$I$10*$P$10</f>
        <v>5012388.231715952</v>
      </c>
      <c r="Q52" s="50">
        <f>$I$10*$Q$10</f>
        <v>0</v>
      </c>
      <c r="R52" s="50">
        <f>$I$10*$R$10</f>
        <v>0</v>
      </c>
      <c r="S52" s="50">
        <f>$I$10*$S$10</f>
        <v>0</v>
      </c>
      <c r="T52" s="50">
        <f>$I$10*$T$10</f>
        <v>0</v>
      </c>
      <c r="U52" s="50">
        <f>$I$10*$U$10</f>
        <v>38390.006862077316</v>
      </c>
      <c r="W52" s="50">
        <f>$I$10*$W$10</f>
        <v>0</v>
      </c>
      <c r="X52" s="50">
        <f>$I$10*$X$10</f>
        <v>96846.998998078081</v>
      </c>
      <c r="Y52" s="50">
        <f>$I$10*$Y$10</f>
        <v>0</v>
      </c>
      <c r="Z52" s="50">
        <f>$I$10*$Z$10</f>
        <v>0</v>
      </c>
      <c r="AA52" s="50">
        <f>$I$10*$AA$10</f>
        <v>6606835.3808546402</v>
      </c>
      <c r="AB52" s="50">
        <f>$I$10*$AB$10</f>
        <v>0</v>
      </c>
      <c r="AC52" s="50">
        <f>$I$10*$AC$10</f>
        <v>0</v>
      </c>
      <c r="AD52" s="50">
        <f>$I$10*$AD$10</f>
        <v>0</v>
      </c>
      <c r="AE52" s="50">
        <f>$I$10*$AE$10</f>
        <v>49446.406496483884</v>
      </c>
      <c r="AF52" s="50">
        <f>$I$10*$AF$10</f>
        <v>0</v>
      </c>
    </row>
    <row r="53" spans="1:32" ht="11.25" customHeight="1" x14ac:dyDescent="0.25">
      <c r="A53" s="9" t="s">
        <v>22</v>
      </c>
      <c r="B53" s="9" t="s">
        <v>1096</v>
      </c>
      <c r="C53" s="9" t="s">
        <v>1097</v>
      </c>
      <c r="D53" s="9" t="s">
        <v>1102</v>
      </c>
      <c r="E53" s="9" t="s">
        <v>1103</v>
      </c>
      <c r="F53" s="9" t="s">
        <v>1104</v>
      </c>
      <c r="G53" s="9" t="s">
        <v>1105</v>
      </c>
      <c r="L53" s="50">
        <f>$I$11*$L$11</f>
        <v>0</v>
      </c>
      <c r="M53" s="50">
        <f>$I$11*$M$11</f>
        <v>977.71252938928035</v>
      </c>
      <c r="N53" s="50">
        <f>$I$11*$N$11</f>
        <v>0</v>
      </c>
      <c r="O53" s="50">
        <f>$I$11*$O$11</f>
        <v>0</v>
      </c>
      <c r="P53" s="50">
        <f>$I$11*$P$11</f>
        <v>13924.653422420633</v>
      </c>
      <c r="Q53" s="50">
        <f>$I$11*$Q$11</f>
        <v>0</v>
      </c>
      <c r="R53" s="50">
        <f>$I$11*$R$11</f>
        <v>0</v>
      </c>
      <c r="S53" s="50">
        <f>$I$11*$S$11</f>
        <v>0</v>
      </c>
      <c r="T53" s="50">
        <f>$I$11*$T$11</f>
        <v>0</v>
      </c>
      <c r="U53" s="50">
        <f>$I$11*$U$11</f>
        <v>106.64926891662009</v>
      </c>
      <c r="W53" s="50">
        <f>$I$11*$W$11</f>
        <v>0</v>
      </c>
      <c r="X53" s="50">
        <f>$I$11*$X$11</f>
        <v>269.04557941396411</v>
      </c>
      <c r="Y53" s="50">
        <f>$I$11*$Y$11</f>
        <v>0</v>
      </c>
      <c r="Z53" s="50">
        <f>$I$11*$Z$11</f>
        <v>0</v>
      </c>
      <c r="AA53" s="50">
        <f>$I$11*$AA$11</f>
        <v>18354.103601805917</v>
      </c>
      <c r="AB53" s="50">
        <f>$I$11*$AB$11</f>
        <v>0</v>
      </c>
      <c r="AC53" s="50">
        <f>$I$11*$AC$11</f>
        <v>0</v>
      </c>
      <c r="AD53" s="50">
        <f>$I$11*$AD$11</f>
        <v>0</v>
      </c>
      <c r="AE53" s="50">
        <f>$I$11*$AE$11</f>
        <v>137.36447410258879</v>
      </c>
      <c r="AF53" s="50">
        <f>$I$11*$AF$11</f>
        <v>0</v>
      </c>
    </row>
    <row r="54" spans="1:32" ht="11.25" customHeight="1" x14ac:dyDescent="0.25">
      <c r="A54" s="9" t="s">
        <v>22</v>
      </c>
      <c r="B54" s="9" t="s">
        <v>1096</v>
      </c>
      <c r="C54" s="9" t="s">
        <v>1097</v>
      </c>
      <c r="D54" s="9" t="s">
        <v>1106</v>
      </c>
      <c r="E54" s="9" t="s">
        <v>1107</v>
      </c>
      <c r="F54" s="9" t="s">
        <v>1108</v>
      </c>
      <c r="G54" s="9" t="s">
        <v>1109</v>
      </c>
      <c r="L54" s="50">
        <f>$I$12*$L$12</f>
        <v>0</v>
      </c>
      <c r="M54" s="50">
        <f>$I$12*$M$12</f>
        <v>3636.9951062727487</v>
      </c>
      <c r="N54" s="50">
        <f>$I$12*$N$12</f>
        <v>0</v>
      </c>
      <c r="O54" s="50">
        <f>$I$12*$O$12</f>
        <v>0</v>
      </c>
      <c r="P54" s="50">
        <f>$I$12*$P$12</f>
        <v>51798.350569898292</v>
      </c>
      <c r="Q54" s="50">
        <f>$I$12*$Q$12</f>
        <v>0</v>
      </c>
      <c r="R54" s="50">
        <f>$I$12*$R$12</f>
        <v>0</v>
      </c>
      <c r="S54" s="50">
        <f>$I$12*$S$12</f>
        <v>0</v>
      </c>
      <c r="T54" s="50">
        <f>$I$12*$T$12</f>
        <v>0</v>
      </c>
      <c r="U54" s="50">
        <f>$I$12*$U$12</f>
        <v>396.72486285882144</v>
      </c>
      <c r="W54" s="50">
        <f>$I$12*$W$12</f>
        <v>0</v>
      </c>
      <c r="X54" s="50">
        <f>$I$12*$X$12</f>
        <v>1000.8232750214695</v>
      </c>
      <c r="Y54" s="50">
        <f>$I$12*$Y$12</f>
        <v>0</v>
      </c>
      <c r="Z54" s="50">
        <f>$I$12*$Z$12</f>
        <v>0</v>
      </c>
      <c r="AA54" s="50">
        <f>$I$12*$AA$12</f>
        <v>68275.472568085475</v>
      </c>
      <c r="AB54" s="50">
        <f>$I$12*$AB$12</f>
        <v>0</v>
      </c>
      <c r="AC54" s="50">
        <f>$I$12*$AC$12</f>
        <v>0</v>
      </c>
      <c r="AD54" s="50">
        <f>$I$12*$AD$12</f>
        <v>0</v>
      </c>
      <c r="AE54" s="50">
        <f>$I$12*$AE$12</f>
        <v>510.98242588638169</v>
      </c>
      <c r="AF54" s="50">
        <f>$I$12*$AF$12</f>
        <v>0</v>
      </c>
    </row>
    <row r="55" spans="1:32" ht="11.25" customHeight="1" x14ac:dyDescent="0.25">
      <c r="A55" s="9" t="s">
        <v>22</v>
      </c>
      <c r="B55" s="9" t="s">
        <v>1096</v>
      </c>
      <c r="C55" s="9" t="s">
        <v>1097</v>
      </c>
      <c r="D55" s="9" t="s">
        <v>1110</v>
      </c>
      <c r="E55" s="9" t="s">
        <v>1111</v>
      </c>
      <c r="F55" s="9" t="s">
        <v>1112</v>
      </c>
      <c r="G55" s="9" t="s">
        <v>1113</v>
      </c>
      <c r="L55" s="50">
        <f>$I$13*$L$13</f>
        <v>0</v>
      </c>
      <c r="M55" s="50">
        <f>$I$13*$M$13</f>
        <v>4699.6394907685917</v>
      </c>
      <c r="N55" s="50">
        <f>$I$13*$N$13</f>
        <v>0</v>
      </c>
      <c r="O55" s="50">
        <f>$I$13*$O$13</f>
        <v>0</v>
      </c>
      <c r="P55" s="50">
        <f>$I$13*$P$13</f>
        <v>66932.609690653233</v>
      </c>
      <c r="Q55" s="50">
        <f>$I$13*$Q$13</f>
        <v>0</v>
      </c>
      <c r="R55" s="50">
        <f>$I$13*$R$13</f>
        <v>0</v>
      </c>
      <c r="S55" s="50">
        <f>$I$13*$S$13</f>
        <v>0</v>
      </c>
      <c r="T55" s="50">
        <f>$I$13*$T$13</f>
        <v>0</v>
      </c>
      <c r="U55" s="50">
        <f>$I$13*$U$13</f>
        <v>512.63853207979798</v>
      </c>
      <c r="W55" s="50">
        <f>$I$13*$W$13</f>
        <v>0</v>
      </c>
      <c r="X55" s="50">
        <f>$I$13*$X$13</f>
        <v>1293.240284667716</v>
      </c>
      <c r="Y55" s="50">
        <f>$I$13*$Y$13</f>
        <v>0</v>
      </c>
      <c r="Z55" s="50">
        <f>$I$13*$Z$13</f>
        <v>0</v>
      </c>
      <c r="AA55" s="50">
        <f>$I$13*$AA$13</f>
        <v>88223.958998035145</v>
      </c>
      <c r="AB55" s="50">
        <f>$I$13*$AB$13</f>
        <v>0</v>
      </c>
      <c r="AC55" s="50">
        <f>$I$13*$AC$13</f>
        <v>0</v>
      </c>
      <c r="AD55" s="50">
        <f>$I$13*$AD$13</f>
        <v>0</v>
      </c>
      <c r="AE55" s="50">
        <f>$I$13*$AE$13</f>
        <v>660.27946632169335</v>
      </c>
      <c r="AF55" s="50">
        <f>$I$13*$AF$13</f>
        <v>0</v>
      </c>
    </row>
    <row r="56" spans="1:32" ht="11.25" customHeight="1" x14ac:dyDescent="0.25">
      <c r="A56" s="9" t="s">
        <v>22</v>
      </c>
      <c r="B56" s="9" t="s">
        <v>1096</v>
      </c>
      <c r="C56" s="9" t="s">
        <v>1097</v>
      </c>
      <c r="D56" s="9" t="s">
        <v>1114</v>
      </c>
      <c r="E56" s="9" t="s">
        <v>1115</v>
      </c>
      <c r="F56" s="9" t="s">
        <v>1116</v>
      </c>
      <c r="G56" s="9" t="s">
        <v>1117</v>
      </c>
      <c r="L56" s="50">
        <f>$I$14*$L$14</f>
        <v>0</v>
      </c>
      <c r="M56" s="50">
        <f>$I$14*$M$14</f>
        <v>1176.2381335772318</v>
      </c>
      <c r="N56" s="50">
        <f>$I$14*$N$14</f>
        <v>0</v>
      </c>
      <c r="O56" s="50">
        <f>$I$14*$O$14</f>
        <v>0</v>
      </c>
      <c r="P56" s="50">
        <f>$I$14*$P$14</f>
        <v>16752.069611431365</v>
      </c>
      <c r="Q56" s="50">
        <f>$I$14*$Q$14</f>
        <v>0</v>
      </c>
      <c r="R56" s="50">
        <f>$I$14*$R$14</f>
        <v>0</v>
      </c>
      <c r="S56" s="50">
        <f>$I$14*$S$14</f>
        <v>0</v>
      </c>
      <c r="T56" s="50">
        <f>$I$14*$T$14</f>
        <v>0</v>
      </c>
      <c r="U56" s="50">
        <f>$I$14*$U$14</f>
        <v>128.30452024197706</v>
      </c>
      <c r="W56" s="50">
        <f>$I$14*$W$14</f>
        <v>0</v>
      </c>
      <c r="X56" s="50">
        <f>$I$14*$X$14</f>
        <v>323.67558015724887</v>
      </c>
      <c r="Y56" s="50">
        <f>$I$14*$Y$14</f>
        <v>0</v>
      </c>
      <c r="Z56" s="50">
        <f>$I$14*$Z$14</f>
        <v>0</v>
      </c>
      <c r="AA56" s="50">
        <f>$I$14*$AA$14</f>
        <v>22080.924520376739</v>
      </c>
      <c r="AB56" s="50">
        <f>$I$14*$AB$14</f>
        <v>0</v>
      </c>
      <c r="AC56" s="50">
        <f>$I$14*$AC$14</f>
        <v>0</v>
      </c>
      <c r="AD56" s="50">
        <f>$I$14*$AD$14</f>
        <v>0</v>
      </c>
      <c r="AE56" s="50">
        <f>$I$14*$AE$14</f>
        <v>165.2564816154829</v>
      </c>
      <c r="AF56" s="50">
        <f>$I$14*$AF$14</f>
        <v>0</v>
      </c>
    </row>
    <row r="57" spans="1:32" ht="11.25" customHeight="1" x14ac:dyDescent="0.25">
      <c r="A57" s="9" t="s">
        <v>22</v>
      </c>
      <c r="B57" s="9" t="s">
        <v>1118</v>
      </c>
      <c r="C57" s="9" t="s">
        <v>1119</v>
      </c>
      <c r="D57" s="9" t="s">
        <v>1120</v>
      </c>
      <c r="E57" s="9" t="s">
        <v>1121</v>
      </c>
      <c r="F57" s="9" t="s">
        <v>1122</v>
      </c>
      <c r="G57" s="9" t="s">
        <v>1123</v>
      </c>
      <c r="L57" s="50">
        <f>$I$15*$L$15</f>
        <v>0</v>
      </c>
      <c r="M57" s="50">
        <f>$I$15*$M$15</f>
        <v>0</v>
      </c>
      <c r="N57" s="50">
        <f>$I$15*$N$15</f>
        <v>0</v>
      </c>
      <c r="O57" s="50">
        <f>$I$15*$O$15</f>
        <v>0</v>
      </c>
      <c r="P57" s="50">
        <f>$I$15*$P$15</f>
        <v>0</v>
      </c>
      <c r="Q57" s="50">
        <f>$I$15*$Q$15</f>
        <v>0</v>
      </c>
      <c r="R57" s="50">
        <f>$I$15*$R$15</f>
        <v>0</v>
      </c>
      <c r="S57" s="50">
        <f>$I$15*$S$15</f>
        <v>0</v>
      </c>
      <c r="T57" s="50">
        <f>$I$15*$T$15</f>
        <v>0</v>
      </c>
      <c r="U57" s="50">
        <f>$I$15*$U$15</f>
        <v>0</v>
      </c>
      <c r="W57" s="50">
        <f>$I$15*$W$15</f>
        <v>0</v>
      </c>
      <c r="X57" s="50">
        <f>$I$15*$X$15</f>
        <v>0</v>
      </c>
      <c r="Y57" s="50">
        <f>$I$15*$Y$15</f>
        <v>0</v>
      </c>
      <c r="Z57" s="50">
        <f>$I$15*$Z$15</f>
        <v>0</v>
      </c>
      <c r="AA57" s="50">
        <f>$I$15*$AA$15</f>
        <v>0</v>
      </c>
      <c r="AB57" s="50">
        <f>$I$15*$AB$15</f>
        <v>0</v>
      </c>
      <c r="AC57" s="50">
        <f>$I$15*$AC$15</f>
        <v>0</v>
      </c>
      <c r="AD57" s="50">
        <f>$I$15*$AD$15</f>
        <v>0</v>
      </c>
      <c r="AE57" s="50">
        <f>$I$15*$AE$15</f>
        <v>0</v>
      </c>
      <c r="AF57" s="50">
        <f>$I$15*$AF$15</f>
        <v>0</v>
      </c>
    </row>
    <row r="58" spans="1:32" ht="11.25" customHeight="1" x14ac:dyDescent="0.25">
      <c r="A58" s="9" t="s">
        <v>22</v>
      </c>
      <c r="B58" s="9" t="s">
        <v>1118</v>
      </c>
      <c r="C58" s="9" t="s">
        <v>1119</v>
      </c>
      <c r="D58" s="9" t="s">
        <v>1124</v>
      </c>
      <c r="E58" s="9" t="s">
        <v>1125</v>
      </c>
      <c r="F58" s="9" t="s">
        <v>1126</v>
      </c>
      <c r="G58" s="9" t="s">
        <v>1127</v>
      </c>
      <c r="L58" s="50">
        <f>$I$16*$L$16</f>
        <v>0</v>
      </c>
      <c r="M58" s="50">
        <f>$I$16*$M$16</f>
        <v>0</v>
      </c>
      <c r="N58" s="50">
        <f>$I$16*$N$16</f>
        <v>0</v>
      </c>
      <c r="O58" s="50">
        <f>$I$16*$O$16</f>
        <v>0</v>
      </c>
      <c r="P58" s="50">
        <f>$I$16*$P$16</f>
        <v>0</v>
      </c>
      <c r="Q58" s="50">
        <f>$I$16*$Q$16</f>
        <v>0</v>
      </c>
      <c r="R58" s="50">
        <f>$I$16*$R$16</f>
        <v>0</v>
      </c>
      <c r="S58" s="50">
        <f>$I$16*$S$16</f>
        <v>0</v>
      </c>
      <c r="T58" s="50">
        <f>$I$16*$T$16</f>
        <v>0</v>
      </c>
      <c r="U58" s="50">
        <f>$I$16*$U$16</f>
        <v>0</v>
      </c>
      <c r="W58" s="50">
        <f>$I$16*$W$16</f>
        <v>0</v>
      </c>
      <c r="X58" s="50">
        <f>$I$16*$X$16</f>
        <v>0</v>
      </c>
      <c r="Y58" s="50">
        <f>$I$16*$Y$16</f>
        <v>0</v>
      </c>
      <c r="Z58" s="50">
        <f>$I$16*$Z$16</f>
        <v>0</v>
      </c>
      <c r="AA58" s="50">
        <f>$I$16*$AA$16</f>
        <v>0</v>
      </c>
      <c r="AB58" s="50">
        <f>$I$16*$AB$16</f>
        <v>0</v>
      </c>
      <c r="AC58" s="50">
        <f>$I$16*$AC$16</f>
        <v>0</v>
      </c>
      <c r="AD58" s="50">
        <f>$I$16*$AD$16</f>
        <v>0</v>
      </c>
      <c r="AE58" s="50">
        <f>$I$16*$AE$16</f>
        <v>0</v>
      </c>
      <c r="AF58" s="50">
        <f>$I$16*$AF$16</f>
        <v>0</v>
      </c>
    </row>
    <row r="59" spans="1:32" ht="11.25" customHeight="1" x14ac:dyDescent="0.25">
      <c r="A59" s="9" t="s">
        <v>22</v>
      </c>
      <c r="B59" s="9" t="s">
        <v>1118</v>
      </c>
      <c r="C59" s="9" t="s">
        <v>1119</v>
      </c>
      <c r="D59" s="9" t="s">
        <v>1128</v>
      </c>
      <c r="E59" s="9" t="s">
        <v>1129</v>
      </c>
      <c r="F59" s="9" t="s">
        <v>1130</v>
      </c>
      <c r="G59" s="9" t="s">
        <v>1131</v>
      </c>
      <c r="L59" s="50">
        <f>$I$17*$L$17</f>
        <v>0</v>
      </c>
      <c r="M59" s="50">
        <f>$I$17*$M$17</f>
        <v>0</v>
      </c>
      <c r="N59" s="50">
        <f>$I$17*$N$17</f>
        <v>0</v>
      </c>
      <c r="O59" s="50">
        <f>$I$17*$O$17</f>
        <v>0</v>
      </c>
      <c r="P59" s="50">
        <f>$I$17*$P$17</f>
        <v>0</v>
      </c>
      <c r="Q59" s="50">
        <f>$I$17*$Q$17</f>
        <v>0</v>
      </c>
      <c r="R59" s="50">
        <f>$I$17*$R$17</f>
        <v>0</v>
      </c>
      <c r="S59" s="50">
        <f>$I$17*$S$17</f>
        <v>0</v>
      </c>
      <c r="T59" s="50">
        <f>$I$17*$T$17</f>
        <v>0</v>
      </c>
      <c r="U59" s="50">
        <f>$I$17*$U$17</f>
        <v>0</v>
      </c>
      <c r="W59" s="50">
        <f>$I$17*$W$17</f>
        <v>0</v>
      </c>
      <c r="X59" s="50">
        <f>$I$17*$X$17</f>
        <v>0</v>
      </c>
      <c r="Y59" s="50">
        <f>$I$17*$Y$17</f>
        <v>0</v>
      </c>
      <c r="Z59" s="50">
        <f>$I$17*$Z$17</f>
        <v>0</v>
      </c>
      <c r="AA59" s="50">
        <f>$I$17*$AA$17</f>
        <v>0</v>
      </c>
      <c r="AB59" s="50">
        <f>$I$17*$AB$17</f>
        <v>0</v>
      </c>
      <c r="AC59" s="50">
        <f>$I$17*$AC$17</f>
        <v>0</v>
      </c>
      <c r="AD59" s="50">
        <f>$I$17*$AD$17</f>
        <v>0</v>
      </c>
      <c r="AE59" s="50">
        <f>$I$17*$AE$17</f>
        <v>0</v>
      </c>
      <c r="AF59" s="50">
        <f>$I$17*$AF$17</f>
        <v>0</v>
      </c>
    </row>
    <row r="60" spans="1:32" ht="11.25" customHeight="1" x14ac:dyDescent="0.25">
      <c r="A60" s="9" t="s">
        <v>22</v>
      </c>
      <c r="B60" s="9" t="s">
        <v>1118</v>
      </c>
      <c r="C60" s="9" t="s">
        <v>1119</v>
      </c>
      <c r="D60" s="9" t="s">
        <v>1132</v>
      </c>
      <c r="E60" s="9" t="s">
        <v>1133</v>
      </c>
      <c r="F60" s="9" t="s">
        <v>1134</v>
      </c>
      <c r="G60" s="9" t="s">
        <v>1135</v>
      </c>
      <c r="L60" s="50">
        <f>$I$18*$L$18</f>
        <v>0</v>
      </c>
      <c r="M60" s="50">
        <f>$I$18*$M$18</f>
        <v>0</v>
      </c>
      <c r="N60" s="50">
        <f>$I$18*$N$18</f>
        <v>0</v>
      </c>
      <c r="O60" s="50">
        <f>$I$18*$O$18</f>
        <v>0</v>
      </c>
      <c r="P60" s="50">
        <f>$I$18*$P$18</f>
        <v>0</v>
      </c>
      <c r="Q60" s="50">
        <f>$I$18*$Q$18</f>
        <v>0</v>
      </c>
      <c r="R60" s="50">
        <f>$I$18*$R$18</f>
        <v>0</v>
      </c>
      <c r="S60" s="50">
        <f>$I$18*$S$18</f>
        <v>0</v>
      </c>
      <c r="T60" s="50">
        <f>$I$18*$T$18</f>
        <v>0</v>
      </c>
      <c r="U60" s="50">
        <f>$I$18*$U$18</f>
        <v>0</v>
      </c>
      <c r="W60" s="50">
        <f>$I$18*$W$18</f>
        <v>0</v>
      </c>
      <c r="X60" s="50">
        <f>$I$18*$X$18</f>
        <v>0</v>
      </c>
      <c r="Y60" s="50">
        <f>$I$18*$Y$18</f>
        <v>0</v>
      </c>
      <c r="Z60" s="50">
        <f>$I$18*$Z$18</f>
        <v>0</v>
      </c>
      <c r="AA60" s="50">
        <f>$I$18*$AA$18</f>
        <v>0</v>
      </c>
      <c r="AB60" s="50">
        <f>$I$18*$AB$18</f>
        <v>0</v>
      </c>
      <c r="AC60" s="50">
        <f>$I$18*$AC$18</f>
        <v>0</v>
      </c>
      <c r="AD60" s="50">
        <f>$I$18*$AD$18</f>
        <v>0</v>
      </c>
      <c r="AE60" s="50">
        <f>$I$18*$AE$18</f>
        <v>0</v>
      </c>
      <c r="AF60" s="50">
        <f>$I$18*$AF$18</f>
        <v>0</v>
      </c>
    </row>
    <row r="61" spans="1:32" ht="11.25" customHeight="1" x14ac:dyDescent="0.25">
      <c r="A61" s="9" t="s">
        <v>22</v>
      </c>
      <c r="B61" s="9" t="s">
        <v>1118</v>
      </c>
      <c r="C61" s="9" t="s">
        <v>1119</v>
      </c>
      <c r="D61" s="9" t="s">
        <v>1136</v>
      </c>
      <c r="E61" s="9" t="s">
        <v>1137</v>
      </c>
      <c r="F61" s="9" t="s">
        <v>1138</v>
      </c>
      <c r="G61" s="9" t="s">
        <v>1139</v>
      </c>
      <c r="L61" s="50">
        <f>$I$19*$L$19</f>
        <v>0</v>
      </c>
      <c r="M61" s="50">
        <f>$I$19*$M$19</f>
        <v>0</v>
      </c>
      <c r="N61" s="50">
        <f>$I$19*$N$19</f>
        <v>0</v>
      </c>
      <c r="O61" s="50">
        <f>$I$19*$O$19</f>
        <v>0</v>
      </c>
      <c r="P61" s="50">
        <f>$I$19*$P$19</f>
        <v>0</v>
      </c>
      <c r="Q61" s="50">
        <f>$I$19*$Q$19</f>
        <v>0</v>
      </c>
      <c r="R61" s="50">
        <f>$I$19*$R$19</f>
        <v>0</v>
      </c>
      <c r="S61" s="50">
        <f>$I$19*$S$19</f>
        <v>0</v>
      </c>
      <c r="T61" s="50">
        <f>$I$19*$T$19</f>
        <v>0</v>
      </c>
      <c r="U61" s="50">
        <f>$I$19*$U$19</f>
        <v>0</v>
      </c>
      <c r="W61" s="50">
        <f>$I$19*$W$19</f>
        <v>0</v>
      </c>
      <c r="X61" s="50">
        <f>$I$19*$X$19</f>
        <v>0</v>
      </c>
      <c r="Y61" s="50">
        <f>$I$19*$Y$19</f>
        <v>0</v>
      </c>
      <c r="Z61" s="50">
        <f>$I$19*$Z$19</f>
        <v>0</v>
      </c>
      <c r="AA61" s="50">
        <f>$I$19*$AA$19</f>
        <v>0</v>
      </c>
      <c r="AB61" s="50">
        <f>$I$19*$AB$19</f>
        <v>0</v>
      </c>
      <c r="AC61" s="50">
        <f>$I$19*$AC$19</f>
        <v>0</v>
      </c>
      <c r="AD61" s="50">
        <f>$I$19*$AD$19</f>
        <v>0</v>
      </c>
      <c r="AE61" s="50">
        <f>$I$19*$AE$19</f>
        <v>0</v>
      </c>
      <c r="AF61" s="50">
        <f>$I$19*$AF$19</f>
        <v>0</v>
      </c>
    </row>
    <row r="62" spans="1:32" ht="11.25" customHeight="1" x14ac:dyDescent="0.25">
      <c r="A62" s="9" t="s">
        <v>43</v>
      </c>
      <c r="B62" s="9" t="s">
        <v>1140</v>
      </c>
      <c r="C62" s="9" t="s">
        <v>1141</v>
      </c>
      <c r="D62" s="9" t="s">
        <v>1142</v>
      </c>
      <c r="E62" s="9" t="s">
        <v>1143</v>
      </c>
      <c r="F62" s="9" t="s">
        <v>1144</v>
      </c>
      <c r="G62" s="9" t="s">
        <v>1145</v>
      </c>
      <c r="L62" s="50">
        <f>$I$20*$L$20</f>
        <v>0</v>
      </c>
      <c r="M62" s="50">
        <f>$I$20*$M$20</f>
        <v>10.176838512720217</v>
      </c>
      <c r="N62" s="50">
        <f>$I$20*$N$20</f>
        <v>0</v>
      </c>
      <c r="O62" s="50">
        <f>$I$20*$O$20</f>
        <v>0</v>
      </c>
      <c r="P62" s="50">
        <f>$I$20*$P$20</f>
        <v>144.93927914996542</v>
      </c>
      <c r="Q62" s="50">
        <f>$I$20*$Q$20</f>
        <v>0</v>
      </c>
      <c r="R62" s="50">
        <f>$I$20*$R$20</f>
        <v>0</v>
      </c>
      <c r="S62" s="50">
        <f>$I$20*$S$20</f>
        <v>0</v>
      </c>
      <c r="T62" s="50">
        <f>$I$20*$T$20</f>
        <v>0</v>
      </c>
      <c r="U62" s="50">
        <f>$I$20*$U$20</f>
        <v>1.1100935649684989</v>
      </c>
      <c r="W62" s="50">
        <f>$I$20*$W$20</f>
        <v>0</v>
      </c>
      <c r="X62" s="50">
        <f>$I$20*$X$20</f>
        <v>2.6216963032953586</v>
      </c>
      <c r="Y62" s="50">
        <f>$I$20*$Y$20</f>
        <v>0</v>
      </c>
      <c r="Z62" s="50">
        <f>$I$20*$Z$20</f>
        <v>0</v>
      </c>
      <c r="AA62" s="50">
        <f>$I$20*$AA$20</f>
        <v>178.85031104382793</v>
      </c>
      <c r="AB62" s="50">
        <f>$I$20*$AB$20</f>
        <v>0</v>
      </c>
      <c r="AC62" s="50">
        <f>$I$20*$AC$20</f>
        <v>0</v>
      </c>
      <c r="AD62" s="50">
        <f>$I$20*$AD$20</f>
        <v>0</v>
      </c>
      <c r="AE62" s="50">
        <f>$I$20*$AE$20</f>
        <v>1.3385387514758633</v>
      </c>
      <c r="AF62" s="50">
        <f>$I$20*$AF$20</f>
        <v>0</v>
      </c>
    </row>
    <row r="63" spans="1:32" ht="11.25" customHeight="1" x14ac:dyDescent="0.25">
      <c r="A63" s="9" t="s">
        <v>43</v>
      </c>
      <c r="B63" s="9" t="s">
        <v>1140</v>
      </c>
      <c r="C63" s="9" t="s">
        <v>1141</v>
      </c>
      <c r="D63" s="9" t="s">
        <v>1142</v>
      </c>
      <c r="E63" s="9" t="s">
        <v>1143</v>
      </c>
      <c r="F63" s="9" t="s">
        <v>1144</v>
      </c>
      <c r="G63" s="9" t="s">
        <v>1146</v>
      </c>
      <c r="L63" s="50">
        <f>$I$21*$L$21</f>
        <v>0</v>
      </c>
      <c r="M63" s="50">
        <f>$I$21*$M$21</f>
        <v>7.4423774674772707</v>
      </c>
      <c r="N63" s="50">
        <f>$I$21*$N$21</f>
        <v>0</v>
      </c>
      <c r="O63" s="50">
        <f>$I$21*$O$21</f>
        <v>0</v>
      </c>
      <c r="P63" s="50">
        <f>$I$21*$P$21</f>
        <v>105.99488475225611</v>
      </c>
      <c r="Q63" s="50">
        <f>$I$21*$Q$21</f>
        <v>0</v>
      </c>
      <c r="R63" s="50">
        <f>$I$21*$R$21</f>
        <v>0</v>
      </c>
      <c r="S63" s="50">
        <f>$I$21*$S$21</f>
        <v>0</v>
      </c>
      <c r="T63" s="50">
        <f>$I$21*$T$21</f>
        <v>0</v>
      </c>
      <c r="U63" s="50">
        <f>$I$21*$U$21</f>
        <v>0.81181747400104443</v>
      </c>
      <c r="W63" s="50">
        <f>$I$21*$W$21</f>
        <v>0</v>
      </c>
      <c r="X63" s="50">
        <f>$I$21*$X$21</f>
        <v>1.9172607946786089</v>
      </c>
      <c r="Y63" s="50">
        <f>$I$21*$Y$21</f>
        <v>0</v>
      </c>
      <c r="Z63" s="50">
        <f>$I$21*$Z$21</f>
        <v>0</v>
      </c>
      <c r="AA63" s="50">
        <f>$I$21*$AA$21</f>
        <v>130.79420718921259</v>
      </c>
      <c r="AB63" s="50">
        <f>$I$21*$AB$21</f>
        <v>0</v>
      </c>
      <c r="AC63" s="50">
        <f>$I$21*$AC$21</f>
        <v>0</v>
      </c>
      <c r="AD63" s="50">
        <f>$I$21*$AD$21</f>
        <v>0</v>
      </c>
      <c r="AE63" s="50">
        <f>$I$21*$AE$21</f>
        <v>0.97888068390566974</v>
      </c>
      <c r="AF63" s="50">
        <f>$I$21*$AF$21</f>
        <v>0</v>
      </c>
    </row>
    <row r="64" spans="1:32" ht="11.25" customHeight="1" x14ac:dyDescent="0.25">
      <c r="A64" s="9" t="s">
        <v>43</v>
      </c>
      <c r="B64" s="9" t="s">
        <v>1140</v>
      </c>
      <c r="C64" s="9" t="s">
        <v>1141</v>
      </c>
      <c r="D64" s="9" t="s">
        <v>1142</v>
      </c>
      <c r="E64" s="9" t="s">
        <v>1143</v>
      </c>
      <c r="F64" s="9" t="s">
        <v>1144</v>
      </c>
      <c r="G64" s="9" t="s">
        <v>1147</v>
      </c>
      <c r="L64" s="50">
        <f>$I$22*$L$22</f>
        <v>0</v>
      </c>
      <c r="M64" s="50">
        <f>$I$22*$M$22</f>
        <v>65.730252295085208</v>
      </c>
      <c r="N64" s="50">
        <f>$I$22*$N$22</f>
        <v>0</v>
      </c>
      <c r="O64" s="50">
        <f>$I$22*$O$22</f>
        <v>0</v>
      </c>
      <c r="P64" s="50">
        <f>$I$22*$P$22</f>
        <v>936.13506533361692</v>
      </c>
      <c r="Q64" s="50">
        <f>$I$22*$Q$22</f>
        <v>0</v>
      </c>
      <c r="R64" s="50">
        <f>$I$22*$R$22</f>
        <v>0</v>
      </c>
      <c r="S64" s="50">
        <f>$I$22*$S$22</f>
        <v>0</v>
      </c>
      <c r="T64" s="50">
        <f>$I$22*$T$22</f>
        <v>0</v>
      </c>
      <c r="U64" s="50">
        <f>$I$22*$U$22</f>
        <v>7.1698818847648544</v>
      </c>
      <c r="W64" s="50">
        <f>$I$22*$W$22</f>
        <v>0</v>
      </c>
      <c r="X64" s="50">
        <f>$I$22*$X$22</f>
        <v>16.933034678825283</v>
      </c>
      <c r="Y64" s="50">
        <f>$I$22*$Y$22</f>
        <v>0</v>
      </c>
      <c r="Z64" s="50">
        <f>$I$22*$Z$22</f>
        <v>0</v>
      </c>
      <c r="AA64" s="50">
        <f>$I$22*$AA$22</f>
        <v>1155.1599303920748</v>
      </c>
      <c r="AB64" s="50">
        <f>$I$22*$AB$22</f>
        <v>0</v>
      </c>
      <c r="AC64" s="50">
        <f>$I$22*$AC$22</f>
        <v>0</v>
      </c>
      <c r="AD64" s="50">
        <f>$I$22*$AD$22</f>
        <v>0</v>
      </c>
      <c r="AE64" s="50">
        <f>$I$22*$AE$22</f>
        <v>8.6453656242344739</v>
      </c>
      <c r="AF64" s="50">
        <f>$I$22*$AF$22</f>
        <v>0</v>
      </c>
    </row>
    <row r="65" spans="1:32" ht="11.25" customHeight="1" x14ac:dyDescent="0.25">
      <c r="A65" s="9" t="s">
        <v>43</v>
      </c>
      <c r="B65" s="9" t="s">
        <v>1148</v>
      </c>
      <c r="C65" s="9" t="s">
        <v>1149</v>
      </c>
      <c r="D65" s="9" t="s">
        <v>1150</v>
      </c>
      <c r="E65" s="9" t="s">
        <v>1151</v>
      </c>
      <c r="F65" s="9" t="s">
        <v>1152</v>
      </c>
      <c r="G65" s="9" t="s">
        <v>1153</v>
      </c>
      <c r="L65" s="50">
        <f>$I$23*$L$23</f>
        <v>0</v>
      </c>
      <c r="M65" s="50">
        <f>$I$23*$M$23</f>
        <v>469162.16140849038</v>
      </c>
      <c r="N65" s="50">
        <f>$I$23*$N$23</f>
        <v>0</v>
      </c>
      <c r="O65" s="50">
        <f>$I$23*$O$23</f>
        <v>0</v>
      </c>
      <c r="P65" s="50">
        <f>$I$23*$P$23</f>
        <v>6681841.85039311</v>
      </c>
      <c r="Q65" s="50">
        <f>$I$23*$Q$23</f>
        <v>0</v>
      </c>
      <c r="R65" s="50">
        <f>$I$23*$R$23</f>
        <v>0</v>
      </c>
      <c r="S65" s="50">
        <f>$I$23*$S$23</f>
        <v>0</v>
      </c>
      <c r="T65" s="50">
        <f>$I$23*$T$23</f>
        <v>0</v>
      </c>
      <c r="U65" s="50">
        <f>$I$23*$U$23</f>
        <v>51176.393892396205</v>
      </c>
      <c r="W65" s="50">
        <f>$I$23*$W$23</f>
        <v>0</v>
      </c>
      <c r="X65" s="50">
        <f>$I$23*$X$23</f>
        <v>120862.75149923026</v>
      </c>
      <c r="Y65" s="50">
        <f>$I$23*$Y$23</f>
        <v>0</v>
      </c>
      <c r="Z65" s="50">
        <f>$I$23*$Z$23</f>
        <v>0</v>
      </c>
      <c r="AA65" s="50">
        <f>$I$23*$AA$23</f>
        <v>8245173.4291570717</v>
      </c>
      <c r="AB65" s="50">
        <f>$I$23*$AB$23</f>
        <v>0</v>
      </c>
      <c r="AC65" s="50">
        <f>$I$23*$AC$23</f>
        <v>0</v>
      </c>
      <c r="AD65" s="50">
        <f>$I$23*$AD$23</f>
        <v>0</v>
      </c>
      <c r="AE65" s="50">
        <f>$I$23*$AE$23</f>
        <v>61707.939355282077</v>
      </c>
      <c r="AF65" s="50">
        <f>$I$23*$AF$23</f>
        <v>0</v>
      </c>
    </row>
    <row r="66" spans="1:32" ht="11.25" customHeight="1" x14ac:dyDescent="0.25">
      <c r="A66" s="9" t="s">
        <v>43</v>
      </c>
      <c r="B66" s="9" t="s">
        <v>1140</v>
      </c>
      <c r="C66" s="9" t="s">
        <v>1141</v>
      </c>
      <c r="D66" s="9" t="s">
        <v>1154</v>
      </c>
      <c r="E66" s="9" t="s">
        <v>1155</v>
      </c>
      <c r="F66" s="9" t="s">
        <v>1156</v>
      </c>
      <c r="G66" s="9" t="s">
        <v>1157</v>
      </c>
      <c r="L66" s="50">
        <f>$I$24*$L$24</f>
        <v>0</v>
      </c>
      <c r="M66" s="50">
        <f>$I$24*$M$24</f>
        <v>0</v>
      </c>
      <c r="N66" s="50">
        <f>$I$24*$N$24</f>
        <v>0</v>
      </c>
      <c r="O66" s="50">
        <f>$I$24*$O$24</f>
        <v>0</v>
      </c>
      <c r="P66" s="50">
        <f>$I$24*$P$24</f>
        <v>0</v>
      </c>
      <c r="Q66" s="50">
        <f>$I$24*$Q$24</f>
        <v>0</v>
      </c>
      <c r="R66" s="50">
        <f>$I$24*$R$24</f>
        <v>0</v>
      </c>
      <c r="S66" s="50">
        <f>$I$24*$S$24</f>
        <v>0</v>
      </c>
      <c r="T66" s="50">
        <f>$I$24*$T$24</f>
        <v>0</v>
      </c>
      <c r="U66" s="50">
        <f>$I$24*$U$24</f>
        <v>0</v>
      </c>
      <c r="W66" s="50">
        <f>$I$24*$W$24</f>
        <v>0</v>
      </c>
      <c r="X66" s="50">
        <f>$I$24*$X$24</f>
        <v>0</v>
      </c>
      <c r="Y66" s="50">
        <f>$I$24*$Y$24</f>
        <v>0</v>
      </c>
      <c r="Z66" s="50">
        <f>$I$24*$Z$24</f>
        <v>0</v>
      </c>
      <c r="AA66" s="50">
        <f>$I$24*$AA$24</f>
        <v>0</v>
      </c>
      <c r="AB66" s="50">
        <f>$I$24*$AB$24</f>
        <v>0</v>
      </c>
      <c r="AC66" s="50">
        <f>$I$24*$AC$24</f>
        <v>0</v>
      </c>
      <c r="AD66" s="50">
        <f>$I$24*$AD$24</f>
        <v>0</v>
      </c>
      <c r="AE66" s="50">
        <f>$I$24*$AE$24</f>
        <v>0</v>
      </c>
      <c r="AF66" s="50">
        <f>$I$24*$AF$24</f>
        <v>0</v>
      </c>
    </row>
    <row r="67" spans="1:32" ht="11.25" customHeight="1" x14ac:dyDescent="0.25">
      <c r="A67" s="9" t="s">
        <v>43</v>
      </c>
      <c r="B67" s="9" t="s">
        <v>1140</v>
      </c>
      <c r="C67" s="9" t="s">
        <v>1141</v>
      </c>
      <c r="D67" s="9" t="s">
        <v>1154</v>
      </c>
      <c r="E67" s="9" t="s">
        <v>1155</v>
      </c>
      <c r="F67" s="9" t="s">
        <v>1156</v>
      </c>
      <c r="G67" s="9" t="s">
        <v>1158</v>
      </c>
      <c r="L67" s="50">
        <f>$I$25*$L$25</f>
        <v>0</v>
      </c>
      <c r="M67" s="50">
        <f>$I$25*$M$25</f>
        <v>0</v>
      </c>
      <c r="N67" s="50">
        <f>$I$25*$N$25</f>
        <v>0</v>
      </c>
      <c r="O67" s="50">
        <f>$I$25*$O$25</f>
        <v>0</v>
      </c>
      <c r="P67" s="50">
        <f>$I$25*$P$25</f>
        <v>0</v>
      </c>
      <c r="Q67" s="50">
        <f>$I$25*$Q$25</f>
        <v>0</v>
      </c>
      <c r="R67" s="50">
        <f>$I$25*$R$25</f>
        <v>0</v>
      </c>
      <c r="S67" s="50">
        <f>$I$25*$S$25</f>
        <v>0</v>
      </c>
      <c r="T67" s="50">
        <f>$I$25*$T$25</f>
        <v>0</v>
      </c>
      <c r="U67" s="50">
        <f>$I$25*$U$25</f>
        <v>0</v>
      </c>
      <c r="W67" s="50">
        <f>$I$25*$W$25</f>
        <v>0</v>
      </c>
      <c r="X67" s="50">
        <f>$I$25*$X$25</f>
        <v>0</v>
      </c>
      <c r="Y67" s="50">
        <f>$I$25*$Y$25</f>
        <v>0</v>
      </c>
      <c r="Z67" s="50">
        <f>$I$25*$Z$25</f>
        <v>0</v>
      </c>
      <c r="AA67" s="50">
        <f>$I$25*$AA$25</f>
        <v>0</v>
      </c>
      <c r="AB67" s="50">
        <f>$I$25*$AB$25</f>
        <v>0</v>
      </c>
      <c r="AC67" s="50">
        <f>$I$25*$AC$25</f>
        <v>0</v>
      </c>
      <c r="AD67" s="50">
        <f>$I$25*$AD$25</f>
        <v>0</v>
      </c>
      <c r="AE67" s="50">
        <f>$I$25*$AE$25</f>
        <v>0</v>
      </c>
      <c r="AF67" s="50">
        <f>$I$25*$AF$25</f>
        <v>0</v>
      </c>
    </row>
    <row r="68" spans="1:32" ht="11.25" customHeight="1" x14ac:dyDescent="0.25">
      <c r="A68" s="9" t="s">
        <v>43</v>
      </c>
      <c r="B68" s="9" t="s">
        <v>1140</v>
      </c>
      <c r="C68" s="9" t="s">
        <v>1141</v>
      </c>
      <c r="D68" s="9" t="s">
        <v>1154</v>
      </c>
      <c r="E68" s="9" t="s">
        <v>1155</v>
      </c>
      <c r="F68" s="9" t="s">
        <v>1156</v>
      </c>
      <c r="G68" s="9" t="s">
        <v>1159</v>
      </c>
      <c r="L68" s="50">
        <f>$I$26*$L$26</f>
        <v>0</v>
      </c>
      <c r="M68" s="50">
        <f>$I$26*$M$26</f>
        <v>0</v>
      </c>
      <c r="N68" s="50">
        <f>$I$26*$N$26</f>
        <v>0</v>
      </c>
      <c r="O68" s="50">
        <f>$I$26*$O$26</f>
        <v>0</v>
      </c>
      <c r="P68" s="50">
        <f>$I$26*$P$26</f>
        <v>0</v>
      </c>
      <c r="Q68" s="50">
        <f>$I$26*$Q$26</f>
        <v>0</v>
      </c>
      <c r="R68" s="50">
        <f>$I$26*$R$26</f>
        <v>0</v>
      </c>
      <c r="S68" s="50">
        <f>$I$26*$S$26</f>
        <v>0</v>
      </c>
      <c r="T68" s="50">
        <f>$I$26*$T$26</f>
        <v>0</v>
      </c>
      <c r="U68" s="50">
        <f>$I$26*$U$26</f>
        <v>0</v>
      </c>
      <c r="W68" s="50">
        <f>$I$26*$W$26</f>
        <v>0</v>
      </c>
      <c r="X68" s="50">
        <f>$I$26*$X$26</f>
        <v>0</v>
      </c>
      <c r="Y68" s="50">
        <f>$I$26*$Y$26</f>
        <v>0</v>
      </c>
      <c r="Z68" s="50">
        <f>$I$26*$Z$26</f>
        <v>0</v>
      </c>
      <c r="AA68" s="50">
        <f>$I$26*$AA$26</f>
        <v>0</v>
      </c>
      <c r="AB68" s="50">
        <f>$I$26*$AB$26</f>
        <v>0</v>
      </c>
      <c r="AC68" s="50">
        <f>$I$26*$AC$26</f>
        <v>0</v>
      </c>
      <c r="AD68" s="50">
        <f>$I$26*$AD$26</f>
        <v>0</v>
      </c>
      <c r="AE68" s="50">
        <f>$I$26*$AE$26</f>
        <v>0</v>
      </c>
      <c r="AF68" s="50">
        <f>$I$26*$AF$26</f>
        <v>0</v>
      </c>
    </row>
    <row r="69" spans="1:32" ht="11.25" customHeight="1" x14ac:dyDescent="0.25">
      <c r="A69" s="9" t="s">
        <v>43</v>
      </c>
      <c r="B69" s="9" t="s">
        <v>1148</v>
      </c>
      <c r="C69" s="9" t="s">
        <v>1149</v>
      </c>
      <c r="D69" s="9" t="s">
        <v>1160</v>
      </c>
      <c r="E69" s="9" t="s">
        <v>1161</v>
      </c>
      <c r="F69" s="9" t="s">
        <v>1162</v>
      </c>
      <c r="G69" s="9" t="s">
        <v>1163</v>
      </c>
      <c r="L69" s="50">
        <f>$I$27*$L$27</f>
        <v>0</v>
      </c>
      <c r="M69" s="50">
        <f>$I$27*$M$27</f>
        <v>0</v>
      </c>
      <c r="N69" s="50">
        <f>$I$27*$N$27</f>
        <v>0</v>
      </c>
      <c r="O69" s="50">
        <f>$I$27*$O$27</f>
        <v>0</v>
      </c>
      <c r="P69" s="50">
        <f>$I$27*$P$27</f>
        <v>0</v>
      </c>
      <c r="Q69" s="50">
        <f>$I$27*$Q$27</f>
        <v>0</v>
      </c>
      <c r="R69" s="50">
        <f>$I$27*$R$27</f>
        <v>0</v>
      </c>
      <c r="S69" s="50">
        <f>$I$27*$S$27</f>
        <v>0</v>
      </c>
      <c r="T69" s="50">
        <f>$I$27*$T$27</f>
        <v>0</v>
      </c>
      <c r="U69" s="50">
        <f>$I$27*$U$27</f>
        <v>0</v>
      </c>
      <c r="W69" s="50">
        <f>$I$27*$W$27</f>
        <v>0</v>
      </c>
      <c r="X69" s="50">
        <f>$I$27*$X$27</f>
        <v>0</v>
      </c>
      <c r="Y69" s="50">
        <f>$I$27*$Y$27</f>
        <v>0</v>
      </c>
      <c r="Z69" s="50">
        <f>$I$27*$Z$27</f>
        <v>0</v>
      </c>
      <c r="AA69" s="50">
        <f>$I$27*$AA$27</f>
        <v>0</v>
      </c>
      <c r="AB69" s="50">
        <f>$I$27*$AB$27</f>
        <v>0</v>
      </c>
      <c r="AC69" s="50">
        <f>$I$27*$AC$27</f>
        <v>0</v>
      </c>
      <c r="AD69" s="50">
        <f>$I$27*$AD$27</f>
        <v>0</v>
      </c>
      <c r="AE69" s="50">
        <f>$I$27*$AE$27</f>
        <v>0</v>
      </c>
      <c r="AF69" s="50">
        <f>$I$27*$AF$27</f>
        <v>0</v>
      </c>
    </row>
    <row r="70" spans="1:32" ht="11.25" customHeight="1" x14ac:dyDescent="0.25">
      <c r="A70" s="9" t="s">
        <v>43</v>
      </c>
      <c r="B70" s="9" t="s">
        <v>1140</v>
      </c>
      <c r="C70" s="9" t="s">
        <v>1141</v>
      </c>
      <c r="D70" s="9" t="s">
        <v>1164</v>
      </c>
      <c r="E70" s="9" t="s">
        <v>1165</v>
      </c>
      <c r="F70" s="9" t="s">
        <v>1166</v>
      </c>
      <c r="G70" s="9" t="s">
        <v>1167</v>
      </c>
      <c r="L70" s="50">
        <f>$I$28*$L$28</f>
        <v>0</v>
      </c>
      <c r="M70" s="50">
        <f>$I$28*$M$28</f>
        <v>0</v>
      </c>
      <c r="N70" s="50">
        <f>$I$28*$N$28</f>
        <v>0</v>
      </c>
      <c r="O70" s="50">
        <f>$I$28*$O$28</f>
        <v>0</v>
      </c>
      <c r="P70" s="50">
        <f>$I$28*$P$28</f>
        <v>0</v>
      </c>
      <c r="Q70" s="50">
        <f>$I$28*$Q$28</f>
        <v>0</v>
      </c>
      <c r="R70" s="50">
        <f>$I$28*$R$28</f>
        <v>0</v>
      </c>
      <c r="S70" s="50">
        <f>$I$28*$S$28</f>
        <v>0</v>
      </c>
      <c r="T70" s="50">
        <f>$I$28*$T$28</f>
        <v>0</v>
      </c>
      <c r="U70" s="50">
        <f>$I$28*$U$28</f>
        <v>0</v>
      </c>
      <c r="W70" s="50">
        <f>$I$28*$W$28</f>
        <v>0</v>
      </c>
      <c r="X70" s="50">
        <f>$I$28*$X$28</f>
        <v>0</v>
      </c>
      <c r="Y70" s="50">
        <f>$I$28*$Y$28</f>
        <v>0</v>
      </c>
      <c r="Z70" s="50">
        <f>$I$28*$Z$28</f>
        <v>0</v>
      </c>
      <c r="AA70" s="50">
        <f>$I$28*$AA$28</f>
        <v>0</v>
      </c>
      <c r="AB70" s="50">
        <f>$I$28*$AB$28</f>
        <v>0</v>
      </c>
      <c r="AC70" s="50">
        <f>$I$28*$AC$28</f>
        <v>0</v>
      </c>
      <c r="AD70" s="50">
        <f>$I$28*$AD$28</f>
        <v>0</v>
      </c>
      <c r="AE70" s="50">
        <f>$I$28*$AE$28</f>
        <v>0</v>
      </c>
      <c r="AF70" s="50">
        <f>$I$28*$AF$28</f>
        <v>0</v>
      </c>
    </row>
    <row r="71" spans="1:32" ht="11.25" customHeight="1" x14ac:dyDescent="0.25">
      <c r="A71" s="9" t="s">
        <v>43</v>
      </c>
      <c r="B71" s="9" t="s">
        <v>1140</v>
      </c>
      <c r="C71" s="9" t="s">
        <v>1141</v>
      </c>
      <c r="D71" s="9" t="s">
        <v>1164</v>
      </c>
      <c r="E71" s="9" t="s">
        <v>1165</v>
      </c>
      <c r="F71" s="9" t="s">
        <v>1166</v>
      </c>
      <c r="G71" s="9" t="s">
        <v>1168</v>
      </c>
      <c r="L71" s="50">
        <f>$I$29*$L$29</f>
        <v>0</v>
      </c>
      <c r="M71" s="50">
        <f>$I$29*$M$29</f>
        <v>0</v>
      </c>
      <c r="N71" s="50">
        <f>$I$29*$N$29</f>
        <v>0</v>
      </c>
      <c r="O71" s="50">
        <f>$I$29*$O$29</f>
        <v>0</v>
      </c>
      <c r="P71" s="50">
        <f>$I$29*$P$29</f>
        <v>0</v>
      </c>
      <c r="Q71" s="50">
        <f>$I$29*$Q$29</f>
        <v>0</v>
      </c>
      <c r="R71" s="50">
        <f>$I$29*$R$29</f>
        <v>0</v>
      </c>
      <c r="S71" s="50">
        <f>$I$29*$S$29</f>
        <v>0</v>
      </c>
      <c r="T71" s="50">
        <f>$I$29*$T$29</f>
        <v>0</v>
      </c>
      <c r="U71" s="50">
        <f>$I$29*$U$29</f>
        <v>0</v>
      </c>
      <c r="W71" s="50">
        <f>$I$29*$W$29</f>
        <v>0</v>
      </c>
      <c r="X71" s="50">
        <f>$I$29*$X$29</f>
        <v>0</v>
      </c>
      <c r="Y71" s="50">
        <f>$I$29*$Y$29</f>
        <v>0</v>
      </c>
      <c r="Z71" s="50">
        <f>$I$29*$Z$29</f>
        <v>0</v>
      </c>
      <c r="AA71" s="50">
        <f>$I$29*$AA$29</f>
        <v>0</v>
      </c>
      <c r="AB71" s="50">
        <f>$I$29*$AB$29</f>
        <v>0</v>
      </c>
      <c r="AC71" s="50">
        <f>$I$29*$AC$29</f>
        <v>0</v>
      </c>
      <c r="AD71" s="50">
        <f>$I$29*$AD$29</f>
        <v>0</v>
      </c>
      <c r="AE71" s="50">
        <f>$I$29*$AE$29</f>
        <v>0</v>
      </c>
      <c r="AF71" s="50">
        <f>$I$29*$AF$29</f>
        <v>0</v>
      </c>
    </row>
    <row r="72" spans="1:32" ht="11.25" customHeight="1" x14ac:dyDescent="0.25">
      <c r="A72" s="9" t="s">
        <v>43</v>
      </c>
      <c r="B72" s="9" t="s">
        <v>1140</v>
      </c>
      <c r="C72" s="9" t="s">
        <v>1141</v>
      </c>
      <c r="D72" s="9" t="s">
        <v>1164</v>
      </c>
      <c r="E72" s="9" t="s">
        <v>1165</v>
      </c>
      <c r="F72" s="9" t="s">
        <v>1166</v>
      </c>
      <c r="G72" s="9" t="s">
        <v>1169</v>
      </c>
      <c r="L72" s="50">
        <f>$I$30*$L$30</f>
        <v>0</v>
      </c>
      <c r="M72" s="50">
        <f>$I$30*$M$30</f>
        <v>0</v>
      </c>
      <c r="N72" s="50">
        <f>$I$30*$N$30</f>
        <v>0</v>
      </c>
      <c r="O72" s="50">
        <f>$I$30*$O$30</f>
        <v>0</v>
      </c>
      <c r="P72" s="50">
        <f>$I$30*$P$30</f>
        <v>0</v>
      </c>
      <c r="Q72" s="50">
        <f>$I$30*$Q$30</f>
        <v>0</v>
      </c>
      <c r="R72" s="50">
        <f>$I$30*$R$30</f>
        <v>0</v>
      </c>
      <c r="S72" s="50">
        <f>$I$30*$S$30</f>
        <v>0</v>
      </c>
      <c r="T72" s="50">
        <f>$I$30*$T$30</f>
        <v>0</v>
      </c>
      <c r="U72" s="50">
        <f>$I$30*$U$30</f>
        <v>0</v>
      </c>
      <c r="W72" s="50">
        <f>$I$30*$W$30</f>
        <v>0</v>
      </c>
      <c r="X72" s="50">
        <f>$I$30*$X$30</f>
        <v>0</v>
      </c>
      <c r="Y72" s="50">
        <f>$I$30*$Y$30</f>
        <v>0</v>
      </c>
      <c r="Z72" s="50">
        <f>$I$30*$Z$30</f>
        <v>0</v>
      </c>
      <c r="AA72" s="50">
        <f>$I$30*$AA$30</f>
        <v>0</v>
      </c>
      <c r="AB72" s="50">
        <f>$I$30*$AB$30</f>
        <v>0</v>
      </c>
      <c r="AC72" s="50">
        <f>$I$30*$AC$30</f>
        <v>0</v>
      </c>
      <c r="AD72" s="50">
        <f>$I$30*$AD$30</f>
        <v>0</v>
      </c>
      <c r="AE72" s="50">
        <f>$I$30*$AE$30</f>
        <v>0</v>
      </c>
      <c r="AF72" s="50">
        <f>$I$30*$AF$30</f>
        <v>0</v>
      </c>
    </row>
    <row r="73" spans="1:32" ht="11.25" customHeight="1" x14ac:dyDescent="0.25">
      <c r="A73" s="9" t="s">
        <v>43</v>
      </c>
      <c r="B73" s="9" t="s">
        <v>1148</v>
      </c>
      <c r="C73" s="9" t="s">
        <v>1149</v>
      </c>
      <c r="D73" s="9" t="s">
        <v>1170</v>
      </c>
      <c r="E73" s="9" t="s">
        <v>1171</v>
      </c>
      <c r="F73" s="9" t="s">
        <v>1172</v>
      </c>
      <c r="G73" s="9" t="s">
        <v>1173</v>
      </c>
      <c r="L73" s="50">
        <f>$I$31*$L$31</f>
        <v>0</v>
      </c>
      <c r="M73" s="50">
        <f>$I$31*$M$31</f>
        <v>0</v>
      </c>
      <c r="N73" s="50">
        <f>$I$31*$N$31</f>
        <v>0</v>
      </c>
      <c r="O73" s="50">
        <f>$I$31*$O$31</f>
        <v>0</v>
      </c>
      <c r="P73" s="50">
        <f>$I$31*$P$31</f>
        <v>0</v>
      </c>
      <c r="Q73" s="50">
        <f>$I$31*$Q$31</f>
        <v>0</v>
      </c>
      <c r="R73" s="50">
        <f>$I$31*$R$31</f>
        <v>0</v>
      </c>
      <c r="S73" s="50">
        <f>$I$31*$S$31</f>
        <v>0</v>
      </c>
      <c r="T73" s="50">
        <f>$I$31*$T$31</f>
        <v>0</v>
      </c>
      <c r="U73" s="50">
        <f>$I$31*$U$31</f>
        <v>0</v>
      </c>
      <c r="W73" s="50">
        <f>$I$31*$W$31</f>
        <v>0</v>
      </c>
      <c r="X73" s="50">
        <f>$I$31*$X$31</f>
        <v>0</v>
      </c>
      <c r="Y73" s="50">
        <f>$I$31*$Y$31</f>
        <v>0</v>
      </c>
      <c r="Z73" s="50">
        <f>$I$31*$Z$31</f>
        <v>0</v>
      </c>
      <c r="AA73" s="50">
        <f>$I$31*$AA$31</f>
        <v>0</v>
      </c>
      <c r="AB73" s="50">
        <f>$I$31*$AB$31</f>
        <v>0</v>
      </c>
      <c r="AC73" s="50">
        <f>$I$31*$AC$31</f>
        <v>0</v>
      </c>
      <c r="AD73" s="50">
        <f>$I$31*$AD$31</f>
        <v>0</v>
      </c>
      <c r="AE73" s="50">
        <f>$I$31*$AE$31</f>
        <v>0</v>
      </c>
      <c r="AF73" s="50">
        <f>$I$31*$AF$31</f>
        <v>0</v>
      </c>
    </row>
    <row r="74" spans="1:32" ht="11.25" customHeight="1" x14ac:dyDescent="0.25">
      <c r="A74" s="9" t="s">
        <v>43</v>
      </c>
      <c r="B74" s="9" t="s">
        <v>1174</v>
      </c>
      <c r="C74" s="9" t="s">
        <v>1175</v>
      </c>
      <c r="D74" s="9" t="s">
        <v>1176</v>
      </c>
      <c r="E74" s="9" t="s">
        <v>1177</v>
      </c>
      <c r="F74" s="9" t="s">
        <v>1178</v>
      </c>
      <c r="G74" s="9" t="s">
        <v>1179</v>
      </c>
      <c r="L74" s="50">
        <f>$I$32*$L$32</f>
        <v>0</v>
      </c>
      <c r="M74" s="50">
        <f>$I$32*$M$32</f>
        <v>0</v>
      </c>
      <c r="N74" s="50">
        <f>$I$32*$N$32</f>
        <v>0</v>
      </c>
      <c r="O74" s="50">
        <f>$I$32*$O$32</f>
        <v>0</v>
      </c>
      <c r="P74" s="50">
        <f>$I$32*$P$32</f>
        <v>0</v>
      </c>
      <c r="Q74" s="50">
        <f>$I$32*$Q$32</f>
        <v>0</v>
      </c>
      <c r="R74" s="50">
        <f>$I$32*$R$32</f>
        <v>0</v>
      </c>
      <c r="S74" s="50">
        <f>$I$32*$S$32</f>
        <v>0</v>
      </c>
      <c r="T74" s="50">
        <f>$I$32*$T$32</f>
        <v>0</v>
      </c>
      <c r="U74" s="50">
        <f>$I$32*$U$32</f>
        <v>0</v>
      </c>
      <c r="W74" s="50">
        <f>$I$32*$W$32</f>
        <v>0</v>
      </c>
      <c r="X74" s="50">
        <f>$I$32*$X$32</f>
        <v>0</v>
      </c>
      <c r="Y74" s="50">
        <f>$I$32*$Y$32</f>
        <v>0</v>
      </c>
      <c r="Z74" s="50">
        <f>$I$32*$Z$32</f>
        <v>0</v>
      </c>
      <c r="AA74" s="50">
        <f>$I$32*$AA$32</f>
        <v>0</v>
      </c>
      <c r="AB74" s="50">
        <f>$I$32*$AB$32</f>
        <v>0</v>
      </c>
      <c r="AC74" s="50">
        <f>$I$32*$AC$32</f>
        <v>0</v>
      </c>
      <c r="AD74" s="50">
        <f>$I$32*$AD$32</f>
        <v>0</v>
      </c>
      <c r="AE74" s="50">
        <f>$I$32*$AE$32</f>
        <v>0</v>
      </c>
      <c r="AF74" s="50">
        <f>$I$32*$AF$32</f>
        <v>0</v>
      </c>
    </row>
    <row r="75" spans="1:32" ht="11.25" customHeight="1" x14ac:dyDescent="0.25">
      <c r="A75" s="9" t="s">
        <v>43</v>
      </c>
      <c r="B75" s="9" t="s">
        <v>1174</v>
      </c>
      <c r="C75" s="9" t="s">
        <v>1175</v>
      </c>
      <c r="D75" s="9" t="s">
        <v>1180</v>
      </c>
      <c r="E75" s="9" t="s">
        <v>1181</v>
      </c>
      <c r="F75" s="9" t="s">
        <v>1182</v>
      </c>
      <c r="G75" s="9" t="s">
        <v>1183</v>
      </c>
      <c r="L75" s="50">
        <f>$I$33*$L$33</f>
        <v>0</v>
      </c>
      <c r="M75" s="50">
        <f>$I$33*$M$33</f>
        <v>0</v>
      </c>
      <c r="N75" s="50">
        <f>$I$33*$N$33</f>
        <v>0</v>
      </c>
      <c r="O75" s="50">
        <f>$I$33*$O$33</f>
        <v>0</v>
      </c>
      <c r="P75" s="50">
        <f>$I$33*$P$33</f>
        <v>0</v>
      </c>
      <c r="Q75" s="50">
        <f>$I$33*$Q$33</f>
        <v>0</v>
      </c>
      <c r="R75" s="50">
        <f>$I$33*$R$33</f>
        <v>0</v>
      </c>
      <c r="S75" s="50">
        <f>$I$33*$S$33</f>
        <v>0</v>
      </c>
      <c r="T75" s="50">
        <f>$I$33*$T$33</f>
        <v>0</v>
      </c>
      <c r="U75" s="50">
        <f>$I$33*$U$33</f>
        <v>0</v>
      </c>
      <c r="W75" s="50">
        <f>$I$33*$W$33</f>
        <v>0</v>
      </c>
      <c r="X75" s="50">
        <f>$I$33*$X$33</f>
        <v>0</v>
      </c>
      <c r="Y75" s="50">
        <f>$I$33*$Y$33</f>
        <v>0</v>
      </c>
      <c r="Z75" s="50">
        <f>$I$33*$Z$33</f>
        <v>0</v>
      </c>
      <c r="AA75" s="50">
        <f>$I$33*$AA$33</f>
        <v>0</v>
      </c>
      <c r="AB75" s="50">
        <f>$I$33*$AB$33</f>
        <v>0</v>
      </c>
      <c r="AC75" s="50">
        <f>$I$33*$AC$33</f>
        <v>0</v>
      </c>
      <c r="AD75" s="50">
        <f>$I$33*$AD$33</f>
        <v>0</v>
      </c>
      <c r="AE75" s="50">
        <f>$I$33*$AE$33</f>
        <v>0</v>
      </c>
      <c r="AF75" s="50">
        <f>$I$33*$AF$33</f>
        <v>0</v>
      </c>
    </row>
    <row r="76" spans="1:32" ht="11.25" customHeight="1" x14ac:dyDescent="0.25">
      <c r="A76" s="9" t="s">
        <v>43</v>
      </c>
      <c r="B76" s="9" t="s">
        <v>1174</v>
      </c>
      <c r="C76" s="9" t="s">
        <v>1175</v>
      </c>
      <c r="D76" s="9" t="s">
        <v>1184</v>
      </c>
      <c r="E76" s="9" t="s">
        <v>1185</v>
      </c>
      <c r="F76" s="9" t="s">
        <v>1186</v>
      </c>
      <c r="G76" s="9" t="s">
        <v>1187</v>
      </c>
      <c r="L76" s="50">
        <f>$I$34*$L$34</f>
        <v>0</v>
      </c>
      <c r="M76" s="50">
        <f>$I$34*$M$34</f>
        <v>0</v>
      </c>
      <c r="N76" s="50">
        <f>$I$34*$N$34</f>
        <v>0</v>
      </c>
      <c r="O76" s="50">
        <f>$I$34*$O$34</f>
        <v>0</v>
      </c>
      <c r="P76" s="50">
        <f>$I$34*$P$34</f>
        <v>0</v>
      </c>
      <c r="Q76" s="50">
        <f>$I$34*$Q$34</f>
        <v>0</v>
      </c>
      <c r="R76" s="50">
        <f>$I$34*$R$34</f>
        <v>0</v>
      </c>
      <c r="S76" s="50">
        <f>$I$34*$S$34</f>
        <v>0</v>
      </c>
      <c r="T76" s="50">
        <f>$I$34*$T$34</f>
        <v>0</v>
      </c>
      <c r="U76" s="50">
        <f>$I$34*$U$34</f>
        <v>0</v>
      </c>
      <c r="W76" s="50">
        <f>$I$34*$W$34</f>
        <v>0</v>
      </c>
      <c r="X76" s="50">
        <f>$I$34*$X$34</f>
        <v>0</v>
      </c>
      <c r="Y76" s="50">
        <f>$I$34*$Y$34</f>
        <v>0</v>
      </c>
      <c r="Z76" s="50">
        <f>$I$34*$Z$34</f>
        <v>0</v>
      </c>
      <c r="AA76" s="50">
        <f>$I$34*$AA$34</f>
        <v>0</v>
      </c>
      <c r="AB76" s="50">
        <f>$I$34*$AB$34</f>
        <v>0</v>
      </c>
      <c r="AC76" s="50">
        <f>$I$34*$AC$34</f>
        <v>0</v>
      </c>
      <c r="AD76" s="50">
        <f>$I$34*$AD$34</f>
        <v>0</v>
      </c>
      <c r="AE76" s="50">
        <f>$I$34*$AE$34</f>
        <v>0</v>
      </c>
      <c r="AF76" s="50">
        <f>$I$34*$AF$34</f>
        <v>0</v>
      </c>
    </row>
    <row r="77" spans="1:32" ht="11.25" customHeight="1" x14ac:dyDescent="0.25">
      <c r="A77" s="9" t="s">
        <v>39</v>
      </c>
      <c r="B77" s="9" t="s">
        <v>1188</v>
      </c>
      <c r="C77" s="9" t="s">
        <v>1189</v>
      </c>
      <c r="D77" s="9" t="s">
        <v>1190</v>
      </c>
      <c r="E77" s="9" t="s">
        <v>1191</v>
      </c>
      <c r="F77" s="9" t="s">
        <v>1192</v>
      </c>
      <c r="G77" s="9" t="s">
        <v>1193</v>
      </c>
      <c r="L77" s="50">
        <f>$I$35*$L$35</f>
        <v>0</v>
      </c>
      <c r="M77" s="50">
        <f>$I$35*$M$35</f>
        <v>11.045971203435256</v>
      </c>
      <c r="N77" s="50">
        <f>$I$35*$N$35</f>
        <v>0</v>
      </c>
      <c r="O77" s="50">
        <f>$I$35*$O$35</f>
        <v>0</v>
      </c>
      <c r="P77" s="50">
        <f>$I$35*$P$35</f>
        <v>157.3175305607993</v>
      </c>
      <c r="Q77" s="50">
        <f>$I$35*$Q$35</f>
        <v>0</v>
      </c>
      <c r="R77" s="50">
        <f>$I$35*$R$35</f>
        <v>0</v>
      </c>
      <c r="S77" s="50">
        <f>$I$35*$S$35</f>
        <v>0</v>
      </c>
      <c r="T77" s="50">
        <f>$I$35*$T$35</f>
        <v>0</v>
      </c>
      <c r="U77" s="50">
        <f>$I$35*$U$35</f>
        <v>1.2048989021918985</v>
      </c>
      <c r="W77" s="50">
        <f>$I$35*$W$35</f>
        <v>0</v>
      </c>
      <c r="X77" s="50">
        <f>$I$35*$X$35</f>
        <v>3.039615053797621</v>
      </c>
      <c r="Y77" s="50">
        <f>$I$35*$Y$35</f>
        <v>0</v>
      </c>
      <c r="Z77" s="50">
        <f>$I$35*$Z$35</f>
        <v>0</v>
      </c>
      <c r="AA77" s="50">
        <f>$I$35*$AA$35</f>
        <v>207.36043955277367</v>
      </c>
      <c r="AB77" s="50">
        <f>$I$35*$AB$35</f>
        <v>0</v>
      </c>
      <c r="AC77" s="50">
        <f>$I$35*$AC$35</f>
        <v>0</v>
      </c>
      <c r="AD77" s="50">
        <f>$I$35*$AD$35</f>
        <v>0</v>
      </c>
      <c r="AE77" s="50">
        <f>$I$35*$AE$35</f>
        <v>1.5519122233812486</v>
      </c>
      <c r="AF77" s="50">
        <f>$I$35*$AF$35</f>
        <v>0</v>
      </c>
    </row>
    <row r="78" spans="1:32" ht="11.25" customHeight="1" x14ac:dyDescent="0.25">
      <c r="A78" s="9" t="s">
        <v>39</v>
      </c>
      <c r="B78" s="9" t="s">
        <v>1188</v>
      </c>
      <c r="C78" s="9" t="s">
        <v>1189</v>
      </c>
      <c r="D78" s="9" t="s">
        <v>1190</v>
      </c>
      <c r="E78" s="9" t="s">
        <v>1191</v>
      </c>
      <c r="F78" s="9" t="s">
        <v>1192</v>
      </c>
      <c r="G78" s="9" t="s">
        <v>1194</v>
      </c>
      <c r="L78" s="50">
        <f>$I$36*$L$36</f>
        <v>0</v>
      </c>
      <c r="M78" s="50">
        <f>$I$36*$M$36</f>
        <v>16.877695130714702</v>
      </c>
      <c r="N78" s="50">
        <f>$I$36*$N$36</f>
        <v>0</v>
      </c>
      <c r="O78" s="50">
        <f>$I$36*$O$36</f>
        <v>0</v>
      </c>
      <c r="P78" s="50">
        <f>$I$36*$P$36</f>
        <v>240.37336967674872</v>
      </c>
      <c r="Q78" s="50">
        <f>$I$36*$Q$36</f>
        <v>0</v>
      </c>
      <c r="R78" s="50">
        <f>$I$36*$R$36</f>
        <v>0</v>
      </c>
      <c r="S78" s="50">
        <f>$I$36*$S$36</f>
        <v>0</v>
      </c>
      <c r="T78" s="50">
        <f>$I$36*$T$36</f>
        <v>0</v>
      </c>
      <c r="U78" s="50">
        <f>$I$36*$U$36</f>
        <v>1.8410256517963133</v>
      </c>
      <c r="W78" s="50">
        <f>$I$36*$W$36</f>
        <v>0</v>
      </c>
      <c r="X78" s="50">
        <f>$I$36*$X$36</f>
        <v>4.6443807654298954</v>
      </c>
      <c r="Y78" s="50">
        <f>$I$36*$Y$36</f>
        <v>0</v>
      </c>
      <c r="Z78" s="50">
        <f>$I$36*$Z$36</f>
        <v>0</v>
      </c>
      <c r="AA78" s="50">
        <f>$I$36*$AA$36</f>
        <v>316.83644801231191</v>
      </c>
      <c r="AB78" s="50">
        <f>$I$36*$AB$36</f>
        <v>0</v>
      </c>
      <c r="AC78" s="50">
        <f>$I$36*$AC$36</f>
        <v>0</v>
      </c>
      <c r="AD78" s="50">
        <f>$I$36*$AD$36</f>
        <v>0</v>
      </c>
      <c r="AE78" s="50">
        <f>$I$36*$AE$36</f>
        <v>2.3712447636756915</v>
      </c>
      <c r="AF78" s="50">
        <f>$I$36*$AF$36</f>
        <v>0</v>
      </c>
    </row>
    <row r="79" spans="1:32" ht="11.25" customHeight="1" x14ac:dyDescent="0.25">
      <c r="A79" s="9" t="s">
        <v>39</v>
      </c>
      <c r="B79" s="9" t="s">
        <v>1188</v>
      </c>
      <c r="C79" s="9" t="s">
        <v>1189</v>
      </c>
      <c r="D79" s="9" t="s">
        <v>1190</v>
      </c>
      <c r="E79" s="9" t="s">
        <v>1191</v>
      </c>
      <c r="F79" s="9" t="s">
        <v>1192</v>
      </c>
      <c r="G79" s="9" t="s">
        <v>1195</v>
      </c>
      <c r="L79" s="50">
        <f>$I$37*$L$37</f>
        <v>0</v>
      </c>
      <c r="M79" s="50">
        <f>$I$37*$M$37</f>
        <v>260.16349567345594</v>
      </c>
      <c r="N79" s="50">
        <f>$I$37*$N$37</f>
        <v>0</v>
      </c>
      <c r="O79" s="50">
        <f>$I$37*$O$37</f>
        <v>0</v>
      </c>
      <c r="P79" s="50">
        <f>$I$37*$P$37</f>
        <v>3705.2675520903708</v>
      </c>
      <c r="Q79" s="50">
        <f>$I$37*$Q$37</f>
        <v>0</v>
      </c>
      <c r="R79" s="50">
        <f>$I$37*$R$37</f>
        <v>0</v>
      </c>
      <c r="S79" s="50">
        <f>$I$37*$S$37</f>
        <v>0</v>
      </c>
      <c r="T79" s="50">
        <f>$I$37*$T$37</f>
        <v>0</v>
      </c>
      <c r="U79" s="50">
        <f>$I$37*$U$37</f>
        <v>28.378736876470001</v>
      </c>
      <c r="W79" s="50">
        <f>$I$37*$W$37</f>
        <v>0</v>
      </c>
      <c r="X79" s="50">
        <f>$I$37*$X$37</f>
        <v>71.591430335407182</v>
      </c>
      <c r="Y79" s="50">
        <f>$I$37*$Y$37</f>
        <v>0</v>
      </c>
      <c r="Z79" s="50">
        <f>$I$37*$Z$37</f>
        <v>0</v>
      </c>
      <c r="AA79" s="50">
        <f>$I$37*$AA$37</f>
        <v>4883.9179303361252</v>
      </c>
      <c r="AB79" s="50">
        <f>$I$37*$AB$37</f>
        <v>0</v>
      </c>
      <c r="AC79" s="50">
        <f>$I$37*$AC$37</f>
        <v>0</v>
      </c>
      <c r="AD79" s="50">
        <f>$I$37*$AD$37</f>
        <v>0</v>
      </c>
      <c r="AE79" s="50">
        <f>$I$37*$AE$37</f>
        <v>36.551870503488708</v>
      </c>
      <c r="AF79" s="50">
        <f>$I$37*$AF$37</f>
        <v>0</v>
      </c>
    </row>
    <row r="80" spans="1:32" ht="11.25" customHeight="1" x14ac:dyDescent="0.25">
      <c r="A80" s="9" t="s">
        <v>39</v>
      </c>
      <c r="B80" s="9" t="s">
        <v>1196</v>
      </c>
      <c r="C80" s="9" t="s">
        <v>1197</v>
      </c>
      <c r="D80" s="9" t="s">
        <v>1198</v>
      </c>
      <c r="E80" s="9" t="s">
        <v>1199</v>
      </c>
      <c r="F80" s="9" t="s">
        <v>1200</v>
      </c>
      <c r="G80" s="9" t="s">
        <v>1201</v>
      </c>
      <c r="L80" s="50">
        <f>$I$38*$L$38</f>
        <v>0</v>
      </c>
      <c r="M80" s="50">
        <f>$I$38*$M$38</f>
        <v>233413.74850501565</v>
      </c>
      <c r="N80" s="50">
        <f>$I$38*$N$38</f>
        <v>0</v>
      </c>
      <c r="O80" s="50">
        <f>$I$38*$O$38</f>
        <v>0</v>
      </c>
      <c r="P80" s="50">
        <f>$I$38*$P$38</f>
        <v>3324295.6945541119</v>
      </c>
      <c r="Q80" s="50">
        <f>$I$38*$Q$38</f>
        <v>0</v>
      </c>
      <c r="R80" s="50">
        <f>$I$38*$R$38</f>
        <v>0</v>
      </c>
      <c r="S80" s="50">
        <f>$I$38*$S$38</f>
        <v>0</v>
      </c>
      <c r="T80" s="50">
        <f>$I$38*$T$38</f>
        <v>0</v>
      </c>
      <c r="U80" s="50">
        <f>$I$38*$U$38</f>
        <v>25460.863888792748</v>
      </c>
      <c r="W80" s="50">
        <f>$I$38*$W$38</f>
        <v>0</v>
      </c>
      <c r="X80" s="50">
        <f>$I$38*$X$38</f>
        <v>64230.471965971577</v>
      </c>
      <c r="Y80" s="50">
        <f>$I$38*$Y$38</f>
        <v>0</v>
      </c>
      <c r="Z80" s="50">
        <f>$I$38*$Z$38</f>
        <v>0</v>
      </c>
      <c r="AA80" s="50">
        <f>$I$38*$AA$38</f>
        <v>4381758.4344786406</v>
      </c>
      <c r="AB80" s="50">
        <f>$I$38*$AB$38</f>
        <v>0</v>
      </c>
      <c r="AC80" s="50">
        <f>$I$38*$AC$38</f>
        <v>0</v>
      </c>
      <c r="AD80" s="50">
        <f>$I$38*$AD$38</f>
        <v>0</v>
      </c>
      <c r="AE80" s="50">
        <f>$I$38*$AE$38</f>
        <v>32793.644192872409</v>
      </c>
      <c r="AF80" s="50">
        <f>$I$38*$AF$38</f>
        <v>0</v>
      </c>
    </row>
    <row r="81" spans="1:32" ht="11.25" customHeight="1" x14ac:dyDescent="0.25">
      <c r="A81" s="9" t="s">
        <v>39</v>
      </c>
      <c r="B81" s="9" t="s">
        <v>1202</v>
      </c>
      <c r="C81" s="9" t="s">
        <v>1203</v>
      </c>
      <c r="D81" s="9" t="s">
        <v>1204</v>
      </c>
      <c r="E81" s="9" t="s">
        <v>1205</v>
      </c>
      <c r="F81" s="9" t="s">
        <v>1206</v>
      </c>
      <c r="G81" s="9" t="s">
        <v>1207</v>
      </c>
      <c r="L81" s="50">
        <f>$I$39*$L$39</f>
        <v>0</v>
      </c>
      <c r="M81" s="50">
        <f>$I$39*$M$39</f>
        <v>0</v>
      </c>
      <c r="N81" s="50">
        <f>$I$39*$N$39</f>
        <v>0</v>
      </c>
      <c r="O81" s="50">
        <f>$I$39*$O$39</f>
        <v>0</v>
      </c>
      <c r="P81" s="50">
        <f>$I$39*$P$39</f>
        <v>0</v>
      </c>
      <c r="Q81" s="50">
        <f>$I$39*$Q$39</f>
        <v>0</v>
      </c>
      <c r="R81" s="50">
        <f>$I$39*$R$39</f>
        <v>0</v>
      </c>
      <c r="S81" s="50">
        <f>$I$39*$S$39</f>
        <v>0</v>
      </c>
      <c r="T81" s="50">
        <f>$I$39*$T$39</f>
        <v>0</v>
      </c>
      <c r="U81" s="50">
        <f>$I$39*$U$39</f>
        <v>0</v>
      </c>
      <c r="W81" s="50">
        <f>$I$39*$W$39</f>
        <v>0</v>
      </c>
      <c r="X81" s="50">
        <f>$I$39*$X$39</f>
        <v>0</v>
      </c>
      <c r="Y81" s="50">
        <f>$I$39*$Y$39</f>
        <v>0</v>
      </c>
      <c r="Z81" s="50">
        <f>$I$39*$Z$39</f>
        <v>0</v>
      </c>
      <c r="AA81" s="50">
        <f>$I$39*$AA$39</f>
        <v>0</v>
      </c>
      <c r="AB81" s="50">
        <f>$I$39*$AB$39</f>
        <v>0</v>
      </c>
      <c r="AC81" s="50">
        <f>$I$39*$AC$39</f>
        <v>0</v>
      </c>
      <c r="AD81" s="50">
        <f>$I$39*$AD$39</f>
        <v>0</v>
      </c>
      <c r="AE81" s="50">
        <f>$I$39*$AE$39</f>
        <v>0</v>
      </c>
      <c r="AF81" s="50">
        <f>$I$39*$AF$39</f>
        <v>0</v>
      </c>
    </row>
    <row r="82" spans="1:32" ht="11.25" customHeight="1" x14ac:dyDescent="0.25">
      <c r="A82" s="9" t="s">
        <v>46</v>
      </c>
      <c r="B82" s="9" t="s">
        <v>1208</v>
      </c>
      <c r="C82" s="9" t="s">
        <v>1209</v>
      </c>
      <c r="D82" s="9" t="s">
        <v>1210</v>
      </c>
      <c r="E82" s="9" t="s">
        <v>1211</v>
      </c>
      <c r="F82" s="9" t="s">
        <v>1212</v>
      </c>
      <c r="G82" s="9" t="s">
        <v>1213</v>
      </c>
      <c r="L82" s="50">
        <f>$I$40*$L$40</f>
        <v>0</v>
      </c>
      <c r="M82" s="50">
        <f>$I$40*$M$40</f>
        <v>27991.558578026157</v>
      </c>
      <c r="N82" s="50">
        <f>$I$40*$N$40</f>
        <v>0</v>
      </c>
      <c r="O82" s="50">
        <f>$I$40*$O$40</f>
        <v>0</v>
      </c>
      <c r="P82" s="50">
        <f>$I$40*$P$40</f>
        <v>398657.82654526044</v>
      </c>
      <c r="Q82" s="50">
        <f>$I$40*$Q$40</f>
        <v>0</v>
      </c>
      <c r="R82" s="50">
        <f>$I$40*$R$40</f>
        <v>0</v>
      </c>
      <c r="S82" s="50">
        <f>$I$40*$S$40</f>
        <v>0</v>
      </c>
      <c r="T82" s="50">
        <f>$I$40*$T$40</f>
        <v>0</v>
      </c>
      <c r="U82" s="50">
        <f>$I$40*$U$40</f>
        <v>3053.3302667686635</v>
      </c>
      <c r="W82" s="50">
        <f>$I$40*$W$40</f>
        <v>0</v>
      </c>
      <c r="X82" s="50">
        <f>$I$40*$X$40</f>
        <v>7702.6783128463821</v>
      </c>
      <c r="Y82" s="50">
        <f>$I$40*$Y$40</f>
        <v>0</v>
      </c>
      <c r="Z82" s="50">
        <f>$I$40*$Z$40</f>
        <v>0</v>
      </c>
      <c r="AA82" s="50">
        <f>$I$40*$AA$40</f>
        <v>525471.39437604055</v>
      </c>
      <c r="AB82" s="50">
        <f>$I$40*$AB$40</f>
        <v>0</v>
      </c>
      <c r="AC82" s="50">
        <f>$I$40*$AC$40</f>
        <v>0</v>
      </c>
      <c r="AD82" s="50">
        <f>$I$40*$AD$40</f>
        <v>0</v>
      </c>
      <c r="AE82" s="50">
        <f>$I$40*$AE$40</f>
        <v>3932.6955600989904</v>
      </c>
      <c r="AF82" s="50">
        <f>$I$40*$AF$40</f>
        <v>0</v>
      </c>
    </row>
    <row r="83" spans="1:32" ht="11.25" customHeight="1" x14ac:dyDescent="0.25">
      <c r="A83" s="9" t="s">
        <v>46</v>
      </c>
      <c r="B83" s="9" t="s">
        <v>1208</v>
      </c>
      <c r="C83" s="9" t="s">
        <v>1209</v>
      </c>
      <c r="D83" s="9" t="s">
        <v>1214</v>
      </c>
      <c r="E83" s="9" t="s">
        <v>1215</v>
      </c>
      <c r="F83" s="9" t="s">
        <v>1216</v>
      </c>
      <c r="G83" s="9" t="s">
        <v>1217</v>
      </c>
      <c r="L83" s="50">
        <f>$I$41*$L$41</f>
        <v>0</v>
      </c>
      <c r="M83" s="50">
        <f>$I$41*$M$41</f>
        <v>2774.1167679484488</v>
      </c>
      <c r="N83" s="50">
        <f>$I$41*$N$41</f>
        <v>0</v>
      </c>
      <c r="O83" s="50">
        <f>$I$41*$O$41</f>
        <v>0</v>
      </c>
      <c r="P83" s="50">
        <f>$I$41*$P$41</f>
        <v>39509.174103697798</v>
      </c>
      <c r="Q83" s="50">
        <f>$I$41*$Q$41</f>
        <v>0</v>
      </c>
      <c r="R83" s="50">
        <f>$I$41*$R$41</f>
        <v>0</v>
      </c>
      <c r="S83" s="50">
        <f>$I$41*$S$41</f>
        <v>0</v>
      </c>
      <c r="T83" s="50">
        <f>$I$41*$T$41</f>
        <v>0</v>
      </c>
      <c r="U83" s="50">
        <f>$I$41*$U$41</f>
        <v>302.60175286476476</v>
      </c>
      <c r="W83" s="50">
        <f>$I$41*$W$41</f>
        <v>0</v>
      </c>
      <c r="X83" s="50">
        <f>$I$41*$X$41</f>
        <v>763.37760922517168</v>
      </c>
      <c r="Y83" s="50">
        <f>$I$41*$Y$41</f>
        <v>0</v>
      </c>
      <c r="Z83" s="50">
        <f>$I$41*$Z$41</f>
        <v>0</v>
      </c>
      <c r="AA83" s="50">
        <f>$I$41*$AA$41</f>
        <v>52077.093247682329</v>
      </c>
      <c r="AB83" s="50">
        <f>$I$41*$AB$41</f>
        <v>0</v>
      </c>
      <c r="AC83" s="50">
        <f>$I$41*$AC$41</f>
        <v>0</v>
      </c>
      <c r="AD83" s="50">
        <f>$I$41*$AD$41</f>
        <v>0</v>
      </c>
      <c r="AE83" s="50">
        <f>$I$41*$AE$41</f>
        <v>389.75166981488985</v>
      </c>
      <c r="AF83" s="50">
        <f>$I$41*$AF$41</f>
        <v>0</v>
      </c>
    </row>
  </sheetData>
  <mergeCells count="69">
    <mergeCell ref="L43:U43"/>
    <mergeCell ref="W43:AF43"/>
    <mergeCell ref="L44:U44"/>
    <mergeCell ref="W44:AF44"/>
    <mergeCell ref="L45:O45"/>
    <mergeCell ref="Q45:S45"/>
    <mergeCell ref="W45:Z45"/>
    <mergeCell ref="AB45:AD45"/>
    <mergeCell ref="E35:E37"/>
    <mergeCell ref="F35:F37"/>
    <mergeCell ref="A40:A41"/>
    <mergeCell ref="B40:B41"/>
    <mergeCell ref="C40:C41"/>
    <mergeCell ref="A35:A39"/>
    <mergeCell ref="B35:B37"/>
    <mergeCell ref="C35:C37"/>
    <mergeCell ref="D35:D37"/>
    <mergeCell ref="W1:AF1"/>
    <mergeCell ref="W2:AF2"/>
    <mergeCell ref="W3:Z3"/>
    <mergeCell ref="AB3:AD3"/>
    <mergeCell ref="B32:B34"/>
    <mergeCell ref="C32:C34"/>
    <mergeCell ref="F24:F26"/>
    <mergeCell ref="B28:B30"/>
    <mergeCell ref="C28:C30"/>
    <mergeCell ref="D28:D30"/>
    <mergeCell ref="E28:E30"/>
    <mergeCell ref="F28:F30"/>
    <mergeCell ref="F20:F22"/>
    <mergeCell ref="F7:F9"/>
    <mergeCell ref="F5:F6"/>
    <mergeCell ref="G1:G4"/>
    <mergeCell ref="A20:A34"/>
    <mergeCell ref="B20:B22"/>
    <mergeCell ref="C20:C22"/>
    <mergeCell ref="D20:D22"/>
    <mergeCell ref="E20:E22"/>
    <mergeCell ref="B24:B26"/>
    <mergeCell ref="C24:C26"/>
    <mergeCell ref="D24:D26"/>
    <mergeCell ref="E24:E26"/>
    <mergeCell ref="A7:A19"/>
    <mergeCell ref="B7:B9"/>
    <mergeCell ref="C7:C9"/>
    <mergeCell ref="D7:D9"/>
    <mergeCell ref="E7:E9"/>
    <mergeCell ref="B10:B14"/>
    <mergeCell ref="C10:C14"/>
    <mergeCell ref="B15:B19"/>
    <mergeCell ref="C15:C19"/>
    <mergeCell ref="A5:A6"/>
    <mergeCell ref="B5:B6"/>
    <mergeCell ref="C5:C6"/>
    <mergeCell ref="D5:D6"/>
    <mergeCell ref="E5:E6"/>
    <mergeCell ref="H1:H4"/>
    <mergeCell ref="I1:I4"/>
    <mergeCell ref="J1:J4"/>
    <mergeCell ref="L1:U1"/>
    <mergeCell ref="L2:U2"/>
    <mergeCell ref="L3:O3"/>
    <mergeCell ref="Q3:S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9C941-9EAF-40EE-BC68-EA4472B55C79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7" bestFit="1" customWidth="1"/>
    <col min="2" max="2" width="12.42578125" style="17" bestFit="1" customWidth="1"/>
    <col min="3" max="6" width="10.28515625" style="17" bestFit="1" customWidth="1"/>
    <col min="7" max="7" width="10.85546875" style="17" bestFit="1" customWidth="1"/>
    <col min="8" max="8" width="10" style="17" bestFit="1" customWidth="1"/>
    <col min="9" max="9" width="8" style="17" bestFit="1" customWidth="1"/>
    <col min="10" max="11" width="10" style="17" bestFit="1" customWidth="1"/>
    <col min="12" max="12" width="9.5703125" style="17" bestFit="1" customWidth="1"/>
    <col min="13" max="13" width="9.7109375" style="17" bestFit="1" customWidth="1"/>
    <col min="14" max="14" width="10" style="17" bestFit="1" customWidth="1"/>
    <col min="15" max="15" width="7.42578125" style="17" bestFit="1" customWidth="1"/>
    <col min="16" max="16" width="9.7109375" style="17" bestFit="1" customWidth="1"/>
    <col min="17" max="17" width="11" style="17" bestFit="1" customWidth="1"/>
    <col min="18" max="18" width="7.7109375" style="17" bestFit="1" customWidth="1"/>
    <col min="19" max="19" width="7.140625" style="17" bestFit="1" customWidth="1"/>
    <col min="20" max="20" width="14.5703125" style="17" bestFit="1" customWidth="1"/>
    <col min="21" max="21" width="17.7109375" style="17" bestFit="1" customWidth="1"/>
    <col min="22" max="22" width="18.42578125" style="17" bestFit="1" customWidth="1"/>
    <col min="23" max="23" width="6" style="17" bestFit="1" customWidth="1"/>
    <col min="24" max="24" width="10.85546875" style="17" bestFit="1" customWidth="1"/>
    <col min="25" max="26" width="9.140625" style="17"/>
    <col min="27" max="27" width="3" style="17" bestFit="1" customWidth="1"/>
    <col min="28" max="28" width="21.5703125" style="17" bestFit="1" customWidth="1"/>
    <col min="29" max="29" width="13.5703125" style="17" bestFit="1" customWidth="1"/>
    <col min="30" max="30" width="25.140625" style="17" bestFit="1" customWidth="1"/>
    <col min="31" max="33" width="10.28515625" style="17" bestFit="1" customWidth="1"/>
    <col min="34" max="16384" width="9.140625" style="17"/>
  </cols>
  <sheetData>
    <row r="1" spans="1:33" x14ac:dyDescent="0.2">
      <c r="A1" s="17" t="s">
        <v>66</v>
      </c>
      <c r="B1" s="17" t="s">
        <v>67</v>
      </c>
      <c r="C1" s="17" t="s">
        <v>68</v>
      </c>
      <c r="D1" s="17" t="s">
        <v>69</v>
      </c>
      <c r="E1" s="17" t="s">
        <v>70</v>
      </c>
      <c r="F1" s="17" t="s">
        <v>15</v>
      </c>
      <c r="G1" s="17" t="s">
        <v>72</v>
      </c>
      <c r="I1" s="17" t="s">
        <v>1225</v>
      </c>
      <c r="AA1" s="17" t="s">
        <v>33</v>
      </c>
      <c r="AB1" s="17" t="s">
        <v>25</v>
      </c>
      <c r="AC1" s="17" t="s">
        <v>25</v>
      </c>
      <c r="AD1" s="17" t="s">
        <v>25</v>
      </c>
      <c r="AE1" s="17" t="s">
        <v>25</v>
      </c>
      <c r="AF1" s="17" t="s">
        <v>25</v>
      </c>
      <c r="AG1" s="17" t="s">
        <v>25</v>
      </c>
    </row>
    <row r="2" spans="1:33" x14ac:dyDescent="0.2">
      <c r="A2" s="17" t="s">
        <v>33</v>
      </c>
      <c r="B2" s="17" t="s">
        <v>25</v>
      </c>
      <c r="C2" s="17" t="s">
        <v>25</v>
      </c>
      <c r="D2" s="17" t="s">
        <v>25</v>
      </c>
      <c r="E2" s="17" t="s">
        <v>25</v>
      </c>
      <c r="F2" s="17" t="s">
        <v>25</v>
      </c>
      <c r="G2" s="17" t="s">
        <v>25</v>
      </c>
      <c r="I2" s="17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7" t="s">
        <v>85</v>
      </c>
      <c r="AB2" s="17" t="s">
        <v>41</v>
      </c>
      <c r="AC2" s="17" t="s">
        <v>24</v>
      </c>
      <c r="AD2" s="17" t="s">
        <v>24</v>
      </c>
      <c r="AE2" s="17" t="s">
        <v>83</v>
      </c>
      <c r="AG2" s="17" t="s">
        <v>80</v>
      </c>
    </row>
    <row r="3" spans="1:33" x14ac:dyDescent="0.2">
      <c r="AA3" s="17" t="s">
        <v>22</v>
      </c>
      <c r="AB3" s="17" t="s">
        <v>84</v>
      </c>
      <c r="AC3" s="17" t="s">
        <v>44</v>
      </c>
      <c r="AD3" s="17" t="s">
        <v>29</v>
      </c>
      <c r="AE3" s="17" t="s">
        <v>86</v>
      </c>
      <c r="AG3" s="17" t="s">
        <v>81</v>
      </c>
    </row>
    <row r="4" spans="1:33" x14ac:dyDescent="0.2">
      <c r="AA4" s="17" t="s">
        <v>43</v>
      </c>
      <c r="AB4" s="17" t="s">
        <v>34</v>
      </c>
      <c r="AC4" s="17" t="s">
        <v>47</v>
      </c>
      <c r="AD4" s="17" t="s">
        <v>30</v>
      </c>
      <c r="AE4" s="17" t="s">
        <v>87</v>
      </c>
      <c r="AG4" s="17" t="s">
        <v>82</v>
      </c>
    </row>
    <row r="5" spans="1:33" x14ac:dyDescent="0.2">
      <c r="A5" s="17" t="s">
        <v>1218</v>
      </c>
      <c r="B5" s="17" t="str">
        <f>TUSD!$AI$4</f>
        <v>CDE Covid TUSD</v>
      </c>
      <c r="C5" s="17" t="str">
        <f>TUSD!$AJ$4</f>
        <v>TFSEE</v>
      </c>
      <c r="D5" s="17" t="str">
        <f>TUSD!$AK$4</f>
        <v>P&amp;D</v>
      </c>
      <c r="E5" s="17" t="str">
        <f>TUSD!$AL$4</f>
        <v>ONS</v>
      </c>
      <c r="F5" s="17" t="str">
        <f>TUSD!$AM$4</f>
        <v>CCC</v>
      </c>
      <c r="G5" s="17" t="str">
        <f>TUSD!$AN$4</f>
        <v>CDE</v>
      </c>
      <c r="H5" s="17" t="str">
        <f>TUSD!$AO$4</f>
        <v>PROINFA</v>
      </c>
      <c r="I5" s="17" t="str">
        <f>TUSD!$AP$4</f>
        <v>LIMINAR 1</v>
      </c>
      <c r="J5" s="17" t="str">
        <f>TUSD!$AQ$4</f>
        <v>TUSD RB</v>
      </c>
      <c r="K5" s="17" t="str">
        <f>TUSD!$AR$4</f>
        <v>TUSD FR</v>
      </c>
      <c r="L5" s="17" t="str">
        <f>TUSD!$AS$4</f>
        <v>CONEXAO T</v>
      </c>
      <c r="M5" s="17" t="str">
        <f>TUSD!$AT$4</f>
        <v>CONEXAO D</v>
      </c>
      <c r="N5" s="17" t="str">
        <f>TUSD!$AU$4</f>
        <v>CUSD</v>
      </c>
      <c r="O5" s="17" t="str">
        <f>TUSD!$AV$4</f>
        <v>TUSDG-T</v>
      </c>
      <c r="P5" s="17" t="str">
        <f>TUSD!$AW$4</f>
        <v>TUSDG-ONS</v>
      </c>
      <c r="Q5" s="17" t="str">
        <f>TUSD!$AX$4</f>
        <v>DISTRIBUICAO</v>
      </c>
      <c r="R5" s="17" t="str">
        <f>TUSD!$AY$4</f>
        <v>SUBSIDIO</v>
      </c>
      <c r="S5" s="17" t="str">
        <f>TUSD!$AZ$4</f>
        <v>OUTROS</v>
      </c>
      <c r="T5" s="17" t="str">
        <f>TUSD!$BA$4</f>
        <v>PERDAS TECNICAS</v>
      </c>
      <c r="U5" s="17" t="str">
        <f>TUSD!$BB$4</f>
        <v>PERDAS RB/ PERDAS D</v>
      </c>
      <c r="V5" s="17" t="str">
        <f>TUSD!$BC$4</f>
        <v>PERDAS NAO TECNICAS</v>
      </c>
      <c r="W5" s="17" t="str">
        <f>TUSD!$BD$4</f>
        <v>RI</v>
      </c>
      <c r="X5" s="17" t="s">
        <v>654</v>
      </c>
      <c r="AA5" s="17" t="s">
        <v>39</v>
      </c>
      <c r="AB5" s="17" t="s">
        <v>37</v>
      </c>
      <c r="AD5" s="17" t="s">
        <v>31</v>
      </c>
      <c r="AG5" s="17" t="s">
        <v>9</v>
      </c>
    </row>
    <row r="6" spans="1:33" x14ac:dyDescent="0.2">
      <c r="A6" s="17" t="s">
        <v>1219</v>
      </c>
      <c r="B6" s="28">
        <f>SUM(TUSD!$AI$57:'TUSD'!$AI$103)</f>
        <v>0</v>
      </c>
      <c r="C6" s="28">
        <f>SUM(TUSD!$AJ$57:'TUSD'!$AJ$103)</f>
        <v>115899.02521619722</v>
      </c>
      <c r="D6" s="28">
        <f>SUM(TUSD!$AK$57:'TUSD'!$AK$103)</f>
        <v>0</v>
      </c>
      <c r="E6" s="28">
        <f>SUM(TUSD!$AL$57:'TUSD'!$AL$103)</f>
        <v>0</v>
      </c>
      <c r="F6" s="28">
        <f>SUM(TUSD!$AM$57:'TUSD'!$AM$103)</f>
        <v>0</v>
      </c>
      <c r="G6" s="28">
        <f>SUM(TUSD!$AN$57:'TUSD'!$AN$103)</f>
        <v>8699459.5084025152</v>
      </c>
      <c r="H6" s="28">
        <f>SUM(TUSD!$AO$57:'TUSD'!$AO$103)</f>
        <v>1456852.6882346561</v>
      </c>
      <c r="I6" s="28">
        <f>SUM(TUSD!$AP$57:'TUSD'!$AP$103)</f>
        <v>0</v>
      </c>
      <c r="J6" s="28">
        <f>SUM(TUSD!$AQ$57:'TUSD'!$AQ$103)</f>
        <v>3557725.2376903244</v>
      </c>
      <c r="K6" s="28">
        <f>SUM(TUSD!$AR$57:'TUSD'!$AR$103)</f>
        <v>3643398.2573054032</v>
      </c>
      <c r="L6" s="28">
        <f>SUM(TUSD!$AS$57:'TUSD'!$AS$103)</f>
        <v>0</v>
      </c>
      <c r="M6" s="28">
        <f>SUM(TUSD!$AT$57:'TUSD'!$AT$103)</f>
        <v>0</v>
      </c>
      <c r="N6" s="28">
        <f>SUM(TUSD!$AU$57:'TUSD'!$AU$103)</f>
        <v>3697639.0096751289</v>
      </c>
      <c r="O6" s="28">
        <f>SUM(TUSD!$AV$57:'TUSD'!$AV$103)</f>
        <v>0</v>
      </c>
      <c r="P6" s="28">
        <f>SUM(TUSD!$AW$57:'TUSD'!$AW$103)</f>
        <v>0</v>
      </c>
      <c r="Q6" s="28">
        <f>SUM(TUSD!$AX$57:'TUSD'!$AX$103)</f>
        <v>14687614.378914962</v>
      </c>
      <c r="R6" s="28">
        <f>SUM(TUSD!$AY$57:'TUSD'!$AY$103)</f>
        <v>210500.12661949874</v>
      </c>
      <c r="S6" s="28">
        <f>SUM(TUSD!$AZ$57:'TUSD'!$AZ$103)</f>
        <v>0</v>
      </c>
      <c r="T6" s="28">
        <f>SUM(TUSD!$BA$57:'TUSD'!$BA$103)</f>
        <v>1589990.0324674542</v>
      </c>
      <c r="U6" s="28">
        <f>SUM(TUSD!$BB$57:'TUSD'!$BB$103)</f>
        <v>0</v>
      </c>
      <c r="V6" s="28">
        <f>SUM(TUSD!$BC$57:'TUSD'!$BC$103)</f>
        <v>0</v>
      </c>
      <c r="W6" s="28">
        <f>SUM(TUSD!$BD$57:'TUSD'!$BD$103)</f>
        <v>0</v>
      </c>
      <c r="X6" s="28">
        <f t="shared" ref="X6:X11" si="0">SUM(B6:W6)</f>
        <v>37659078.264526136</v>
      </c>
      <c r="AA6" s="17" t="s">
        <v>46</v>
      </c>
      <c r="AB6" s="17" t="s">
        <v>23</v>
      </c>
      <c r="AD6" s="17" t="s">
        <v>32</v>
      </c>
      <c r="AG6" s="17" t="s">
        <v>77</v>
      </c>
    </row>
    <row r="7" spans="1:33" x14ac:dyDescent="0.2">
      <c r="A7" s="17" t="s">
        <v>1220</v>
      </c>
      <c r="B7" s="28">
        <f>SUM(TUSD!$L$57:'TUSD'!$L$103)</f>
        <v>0</v>
      </c>
      <c r="C7" s="28">
        <f>SUM(TUSD!$M$57:'TUSD'!$M$103)</f>
        <v>136870.05331115317</v>
      </c>
      <c r="D7" s="28">
        <f ca="1">SUM(TUSD!$N$57:'TUSD'!$N$103)</f>
        <v>0</v>
      </c>
      <c r="E7" s="28">
        <f>SUM(TUSD!$O$57:'TUSD'!$O$103)</f>
        <v>0</v>
      </c>
      <c r="F7" s="28">
        <f>SUM(TUSD!$P$57:'TUSD'!$P$103)</f>
        <v>0</v>
      </c>
      <c r="G7" s="28">
        <f>SUM(TUSD!$Q$57:'TUSD'!$Q$103)</f>
        <v>13967833.547034362</v>
      </c>
      <c r="H7" s="28">
        <f>SUM(TUSD!$R$57:'TUSD'!$R$103)</f>
        <v>2408125.5252933088</v>
      </c>
      <c r="I7" s="28">
        <f>SUM(TUSD!$S$57:'TUSD'!$S$103)</f>
        <v>0</v>
      </c>
      <c r="J7" s="28">
        <f>SUM(TUSD!$T$57:'TUSD'!$T$103)</f>
        <v>2564980.7220337088</v>
      </c>
      <c r="K7" s="28">
        <f>SUM(TUSD!$U$57:'TUSD'!$U$103)</f>
        <v>2028142.8301158401</v>
      </c>
      <c r="L7" s="28">
        <f>SUM(TUSD!$V$57:'TUSD'!$V$103)</f>
        <v>0</v>
      </c>
      <c r="M7" s="28">
        <f>SUM(TUSD!$W$57:'TUSD'!$W$103)</f>
        <v>0</v>
      </c>
      <c r="N7" s="28">
        <f>SUM(TUSD!$X$57:'TUSD'!$X$103)</f>
        <v>3679555.5980205429</v>
      </c>
      <c r="O7" s="28">
        <f>SUM(TUSD!$Y$57:'TUSD'!$Y$103)</f>
        <v>0</v>
      </c>
      <c r="P7" s="28">
        <f>SUM(TUSD!$Z$57:'TUSD'!$Z$103)</f>
        <v>0</v>
      </c>
      <c r="Q7" s="28">
        <f>SUM(TUSD!$AA$57:'TUSD'!$AA$103)</f>
        <v>17182988.199809983</v>
      </c>
      <c r="R7" s="28">
        <f ca="1">SUM(TUSD!$AB$57:'TUSD'!$AB$103)</f>
        <v>0</v>
      </c>
      <c r="S7" s="28">
        <f ca="1">SUM(TUSD!$AC$57:'TUSD'!$AC$103)</f>
        <v>0</v>
      </c>
      <c r="T7" s="28">
        <f>SUM(TUSD!$AD$57:'TUSD'!$AD$103)</f>
        <v>2057072.3744792973</v>
      </c>
      <c r="U7" s="28">
        <f>SUM(TUSD!$AE$57:'TUSD'!$AE$103)</f>
        <v>15755.168778100573</v>
      </c>
      <c r="V7" s="28">
        <f ca="1">SUM(TUSD!$AF$57:'TUSD'!$AF$103)</f>
        <v>0</v>
      </c>
      <c r="W7" s="28">
        <f ca="1">SUM(TUSD!$AG$57:'TUSD'!$AG$103)</f>
        <v>0</v>
      </c>
      <c r="X7" s="28">
        <f t="shared" ca="1" si="0"/>
        <v>44041324.018876292</v>
      </c>
      <c r="AB7" s="17" t="s">
        <v>91</v>
      </c>
      <c r="AD7" s="17" t="s">
        <v>92</v>
      </c>
      <c r="AG7" s="17" t="s">
        <v>78</v>
      </c>
    </row>
    <row r="8" spans="1:33" x14ac:dyDescent="0.2">
      <c r="A8" s="17" t="s">
        <v>1223</v>
      </c>
      <c r="B8" s="28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0</v>
      </c>
      <c r="C8" s="28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36041.003733446632</v>
      </c>
      <c r="D8" s="28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0</v>
      </c>
      <c r="E8" s="28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28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28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4287570.5653146161</v>
      </c>
      <c r="H8" s="28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768696.14245694457</v>
      </c>
      <c r="I8" s="28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28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1973602.2576707564</v>
      </c>
      <c r="K8" s="28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2024131.3327620532</v>
      </c>
      <c r="L8" s="28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0</v>
      </c>
      <c r="M8" s="28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28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2051199.4306993289</v>
      </c>
      <c r="O8" s="28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28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28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4684485.751006633</v>
      </c>
      <c r="R8" s="28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86597.315802081343</v>
      </c>
      <c r="S8" s="28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28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521851.03312204918</v>
      </c>
      <c r="U8" s="28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0</v>
      </c>
      <c r="V8" s="28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0</v>
      </c>
      <c r="W8" s="28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0</v>
      </c>
      <c r="X8" s="28">
        <f t="shared" si="0"/>
        <v>16434174.832567908</v>
      </c>
      <c r="AD8" s="17" t="s">
        <v>93</v>
      </c>
      <c r="AG8" s="17" t="s">
        <v>88</v>
      </c>
    </row>
    <row r="9" spans="1:33" x14ac:dyDescent="0.2">
      <c r="A9" s="17" t="s">
        <v>1224</v>
      </c>
      <c r="B9" s="28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0</v>
      </c>
      <c r="C9" s="28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42834.194999316205</v>
      </c>
      <c r="D9" s="28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0</v>
      </c>
      <c r="E9" s="28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28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28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6664153.0075440267</v>
      </c>
      <c r="H9" s="28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1253833.1274487344</v>
      </c>
      <c r="I9" s="28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28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1405322.7990438854</v>
      </c>
      <c r="K9" s="28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1112865.7526043546</v>
      </c>
      <c r="L9" s="28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0</v>
      </c>
      <c r="M9" s="28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28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2015970.6076120981</v>
      </c>
      <c r="O9" s="28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28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28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5377526.6169746574</v>
      </c>
      <c r="R9" s="28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0</v>
      </c>
      <c r="S9" s="28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28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662651.72054615687</v>
      </c>
      <c r="U9" s="28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5075.2661052803942</v>
      </c>
      <c r="V9" s="28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0</v>
      </c>
      <c r="W9" s="28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0</v>
      </c>
      <c r="X9" s="28">
        <f t="shared" ca="1" si="0"/>
        <v>18540233.092878506</v>
      </c>
      <c r="AD9" s="17" t="s">
        <v>48</v>
      </c>
    </row>
    <row r="10" spans="1:33" x14ac:dyDescent="0.2">
      <c r="A10" s="17" t="s">
        <v>1221</v>
      </c>
      <c r="B10" s="28">
        <f>SUMIF(TUSD!$A$57:'TUSD'!$A$103,$A$2,TUSD!$AI$57:'TUSD'!$AI$103)</f>
        <v>0</v>
      </c>
      <c r="C10" s="28">
        <f>SUMIF(TUSD!$A$57:'TUSD'!$A$103,$A$2,TUSD!$AJ$57:'TUSD'!$AJ$103)</f>
        <v>36041.003733446632</v>
      </c>
      <c r="D10" s="28">
        <f>SUMIF(TUSD!$A$57:'TUSD'!$A$103,$A$2,TUSD!$AK$57:'TUSD'!$AK$103)</f>
        <v>0</v>
      </c>
      <c r="E10" s="28">
        <f>SUMIF(TUSD!$A$57:'TUSD'!$A$103,$A$2,TUSD!$AL$57:'TUSD'!$AL$103)</f>
        <v>0</v>
      </c>
      <c r="F10" s="28">
        <f>SUMIF(TUSD!$A$57:'TUSD'!$A$103,$A$2,TUSD!$AM$57:'TUSD'!$AM$103)</f>
        <v>0</v>
      </c>
      <c r="G10" s="28">
        <f>SUMIF(TUSD!$A$57:'TUSD'!$A$103,$A$2,TUSD!$AN$57:'TUSD'!$AN$103)</f>
        <v>4287570.5653146161</v>
      </c>
      <c r="H10" s="28">
        <f>SUMIF(TUSD!$A$57:'TUSD'!$A$103,$A$2,TUSD!$AO$57:'TUSD'!$AO$103)</f>
        <v>768696.14245694457</v>
      </c>
      <c r="I10" s="28">
        <f>SUMIF(TUSD!$A$57:'TUSD'!$A$103,$A$2,TUSD!$AP$57:'TUSD'!$AP$103)</f>
        <v>0</v>
      </c>
      <c r="J10" s="28">
        <f>SUMIF(TUSD!$A$57:'TUSD'!$A$103,$A$2,TUSD!$AQ$57:'TUSD'!$AQ$103)</f>
        <v>1973602.2576707564</v>
      </c>
      <c r="K10" s="28">
        <f>SUMIF(TUSD!$A$57:'TUSD'!$A$103,$A$2,TUSD!$AR$57:'TUSD'!$AR$103)</f>
        <v>2024131.3327620532</v>
      </c>
      <c r="L10" s="28">
        <f>SUMIF(TUSD!$A$57:'TUSD'!$A$103,$A$2,TUSD!$AS$57:'TUSD'!$AS$103)</f>
        <v>0</v>
      </c>
      <c r="M10" s="28">
        <f>SUMIF(TUSD!$A$57:'TUSD'!$A$103,$A$2,TUSD!$AT$57:'TUSD'!$AT$103)</f>
        <v>0</v>
      </c>
      <c r="N10" s="28">
        <f>SUMIF(TUSD!$A$57:'TUSD'!$A$103,$A$2,TUSD!$AU$57:'TUSD'!$AU$103)</f>
        <v>2051199.4306993289</v>
      </c>
      <c r="O10" s="28">
        <f>SUMIF(TUSD!$A$57:'TUSD'!$A$103,$A$2,TUSD!$AV$57:'TUSD'!$AV$103)</f>
        <v>0</v>
      </c>
      <c r="P10" s="28">
        <f>SUMIF(TUSD!$A$57:'TUSD'!$A$103,$A$2,TUSD!$AW$57:'TUSD'!$AW$103)</f>
        <v>0</v>
      </c>
      <c r="Q10" s="28">
        <f>SUMIF(TUSD!$A$57:'TUSD'!$A$103,$A$2,TUSD!$AX$57:'TUSD'!$AX$103)</f>
        <v>4684485.751006633</v>
      </c>
      <c r="R10" s="28">
        <f>SUMIF(TUSD!$A$57:'TUSD'!$A$103,$A$2,TUSD!$AY$57:'TUSD'!$AY$103)</f>
        <v>86597.315802081343</v>
      </c>
      <c r="S10" s="28">
        <f>SUMIF(TUSD!$A$57:'TUSD'!$A$103,$A$2,TUSD!$AZ$57:'TUSD'!$AZ$103)</f>
        <v>0</v>
      </c>
      <c r="T10" s="28">
        <f>SUMIF(TUSD!$A$57:'TUSD'!$A$103,$A$2,TUSD!$BA$57:'TUSD'!$BA$103)</f>
        <v>521851.03312204918</v>
      </c>
      <c r="U10" s="28">
        <f>SUMIF(TUSD!$A$57:'TUSD'!$A$103,$A$2,TUSD!$BB$57:'TUSD'!$BB$103)</f>
        <v>0</v>
      </c>
      <c r="V10" s="28">
        <f>SUMIF(TUSD!$A$57:'TUSD'!$A$103,$A$2,TUSD!$BC$57:'TUSD'!$BC$103)</f>
        <v>0</v>
      </c>
      <c r="W10" s="28">
        <f>SUMIF(TUSD!$A$57:'TUSD'!$A$103,$A$2,TUSD!$BD$57:'TUSD'!$BD$103)</f>
        <v>0</v>
      </c>
      <c r="X10" s="28">
        <f t="shared" si="0"/>
        <v>16434174.832567908</v>
      </c>
      <c r="AD10" s="17" t="s">
        <v>49</v>
      </c>
    </row>
    <row r="11" spans="1:33" x14ac:dyDescent="0.2">
      <c r="A11" s="17" t="s">
        <v>1222</v>
      </c>
      <c r="B11" s="28">
        <f>SUMIF(TUSD!$A$57:'TUSD'!$A$103,$A$2,TUSD!$L$57:'TUSD'!$L$103)</f>
        <v>0</v>
      </c>
      <c r="C11" s="28">
        <f>SUMIF(TUSD!$A$57:'TUSD'!$A$103,$A$2,TUSD!$M$57:'TUSD'!$M$103)</f>
        <v>42834.194999316205</v>
      </c>
      <c r="D11" s="28">
        <f ca="1">SUMIF(TUSD!$A$57:'TUSD'!$A$103,$A$2,TUSD!$N$57:'TUSD'!$N$103)</f>
        <v>0</v>
      </c>
      <c r="E11" s="28">
        <f>SUMIF(TUSD!$A$57:'TUSD'!$A$103,$A$2,TUSD!$O$57:'TUSD'!$O$103)</f>
        <v>0</v>
      </c>
      <c r="F11" s="28">
        <f>SUMIF(TUSD!$A$57:'TUSD'!$A$103,$A$2,TUSD!$P$57:'TUSD'!$P$103)</f>
        <v>0</v>
      </c>
      <c r="G11" s="28">
        <f>SUMIF(TUSD!$A$57:'TUSD'!$A$103,$A$2,TUSD!$Q$57:'TUSD'!$Q$103)</f>
        <v>6664153.0075440267</v>
      </c>
      <c r="H11" s="28">
        <f>SUMIF(TUSD!$A$57:'TUSD'!$A$103,$A$2,TUSD!$R$57:'TUSD'!$R$103)</f>
        <v>1253833.1274487344</v>
      </c>
      <c r="I11" s="28">
        <f>SUMIF(TUSD!$A$57:'TUSD'!$A$103,$A$2,TUSD!$S$57:'TUSD'!$S$103)</f>
        <v>0</v>
      </c>
      <c r="J11" s="28">
        <f>SUMIF(TUSD!$A$57:'TUSD'!$A$103,$A$2,TUSD!$T$57:'TUSD'!$T$103)</f>
        <v>1405322.7990438854</v>
      </c>
      <c r="K11" s="28">
        <f>SUMIF(TUSD!$A$57:'TUSD'!$A$103,$A$2,TUSD!$U$57:'TUSD'!$U$103)</f>
        <v>1112865.7526043546</v>
      </c>
      <c r="L11" s="28">
        <f>SUMIF(TUSD!$A$57:'TUSD'!$A$103,$A$2,TUSD!$V$57:'TUSD'!$V$103)</f>
        <v>0</v>
      </c>
      <c r="M11" s="28">
        <f>SUMIF(TUSD!$A$57:'TUSD'!$A$103,$A$2,TUSD!$W$57:'TUSD'!$W$103)</f>
        <v>0</v>
      </c>
      <c r="N11" s="28">
        <f>SUMIF(TUSD!$A$57:'TUSD'!$A$103,$A$2,TUSD!$X$57:'TUSD'!$X$103)</f>
        <v>2015970.6076120981</v>
      </c>
      <c r="O11" s="28">
        <f>SUMIF(TUSD!$A$57:'TUSD'!$A$103,$A$2,TUSD!$Y$57:'TUSD'!$Y$103)</f>
        <v>0</v>
      </c>
      <c r="P11" s="28">
        <f>SUMIF(TUSD!$A$57:'TUSD'!$A$103,$A$2,TUSD!$Z$57:'TUSD'!$Z$103)</f>
        <v>0</v>
      </c>
      <c r="Q11" s="28">
        <f>SUMIF(TUSD!$A$57:'TUSD'!$A$103,$A$2,TUSD!$AA$57:'TUSD'!$AA$103)</f>
        <v>5377526.6169746574</v>
      </c>
      <c r="R11" s="28">
        <f ca="1">SUMIF(TUSD!$A$57:'TUSD'!$A$103,$A$2,TUSD!$AB$57:'TUSD'!$AB$103)</f>
        <v>0</v>
      </c>
      <c r="S11" s="28">
        <f ca="1">SUMIF(TUSD!$A$57:'TUSD'!$A$103,$A$2,TUSD!$AC$57:'TUSD'!$AC$103)</f>
        <v>0</v>
      </c>
      <c r="T11" s="28">
        <f>SUMIF(TUSD!$A$57:'TUSD'!$A$103,$A$2,TUSD!$AD$57:'TUSD'!$AD$103)</f>
        <v>662651.72054615687</v>
      </c>
      <c r="U11" s="28">
        <f>SUMIF(TUSD!$A$57:'TUSD'!$A$103,$A$2,TUSD!$AE$57:'TUSD'!$AE$103)</f>
        <v>5075.2661052803942</v>
      </c>
      <c r="V11" s="28">
        <f ca="1">SUMIF(TUSD!$A$57:'TUSD'!$A$103,$A$2,TUSD!$AF$57:'TUSD'!$AF$103)</f>
        <v>0</v>
      </c>
      <c r="W11" s="28">
        <f ca="1">SUMIF(TUSD!$A$57:'TUSD'!$A$103,$A$2,TUSD!$AG$57:'TUSD'!$AG$103)</f>
        <v>0</v>
      </c>
      <c r="X11" s="28">
        <f t="shared" ca="1" si="0"/>
        <v>18540233.092878506</v>
      </c>
    </row>
    <row r="13" spans="1:33" x14ac:dyDescent="0.2">
      <c r="A13" s="17" t="s">
        <v>1226</v>
      </c>
      <c r="B13" s="39">
        <f t="shared" ref="B13:X13" si="1">IF($X$6&lt;&gt;0,(B$7-B$6)/$X$6,0)</f>
        <v>0</v>
      </c>
      <c r="C13" s="39">
        <f t="shared" si="1"/>
        <v>5.5686514544117541E-4</v>
      </c>
      <c r="D13" s="39">
        <f t="shared" ca="1" si="1"/>
        <v>0</v>
      </c>
      <c r="E13" s="39">
        <f t="shared" si="1"/>
        <v>0</v>
      </c>
      <c r="F13" s="39">
        <f t="shared" si="1"/>
        <v>0</v>
      </c>
      <c r="G13" s="39">
        <f t="shared" si="1"/>
        <v>0.13989652114227441</v>
      </c>
      <c r="H13" s="39">
        <f t="shared" si="1"/>
        <v>2.5260120026748684E-2</v>
      </c>
      <c r="I13" s="39">
        <f t="shared" si="1"/>
        <v>0</v>
      </c>
      <c r="J13" s="39">
        <f t="shared" si="1"/>
        <v>-2.6361359900615382E-2</v>
      </c>
      <c r="K13" s="39">
        <f t="shared" si="1"/>
        <v>-4.2891528460777317E-2</v>
      </c>
      <c r="L13" s="39">
        <f t="shared" si="1"/>
        <v>0</v>
      </c>
      <c r="M13" s="39">
        <f t="shared" si="1"/>
        <v>0</v>
      </c>
      <c r="N13" s="39">
        <f t="shared" si="1"/>
        <v>-4.8018731439903754E-4</v>
      </c>
      <c r="O13" s="39">
        <f t="shared" si="1"/>
        <v>0</v>
      </c>
      <c r="P13" s="39">
        <f t="shared" si="1"/>
        <v>0</v>
      </c>
      <c r="Q13" s="39">
        <f t="shared" si="1"/>
        <v>6.6262211819602568E-2</v>
      </c>
      <c r="R13" s="39">
        <f t="shared" ca="1" si="1"/>
        <v>-5.5896250338602774E-3</v>
      </c>
      <c r="S13" s="39">
        <f t="shared" ca="1" si="1"/>
        <v>0</v>
      </c>
      <c r="T13" s="39">
        <f t="shared" si="1"/>
        <v>1.2402914875689414E-2</v>
      </c>
      <c r="U13" s="39">
        <f t="shared" si="1"/>
        <v>4.183631013864067E-4</v>
      </c>
      <c r="V13" s="39">
        <f t="shared" ca="1" si="1"/>
        <v>0</v>
      </c>
      <c r="W13" s="39">
        <f t="shared" ca="1" si="1"/>
        <v>0</v>
      </c>
      <c r="X13" s="39">
        <f t="shared" ca="1" si="1"/>
        <v>0.16947429540149059</v>
      </c>
    </row>
    <row r="14" spans="1:33" x14ac:dyDescent="0.2">
      <c r="A14" s="17" t="s">
        <v>1227</v>
      </c>
      <c r="B14" s="39">
        <f t="shared" ref="B14:X14" si="2">IF($X$10&lt;&gt;0,(B$9-B$8)/$X$10,0)</f>
        <v>0</v>
      </c>
      <c r="C14" s="39">
        <f t="shared" si="2"/>
        <v>4.1335761211493138E-4</v>
      </c>
      <c r="D14" s="39">
        <f t="shared" ca="1" si="2"/>
        <v>0</v>
      </c>
      <c r="E14" s="39">
        <f t="shared" si="2"/>
        <v>0</v>
      </c>
      <c r="F14" s="39">
        <f t="shared" si="2"/>
        <v>0</v>
      </c>
      <c r="G14" s="39">
        <f t="shared" si="2"/>
        <v>0.14461221609494462</v>
      </c>
      <c r="H14" s="39">
        <f t="shared" si="2"/>
        <v>2.9520008758236214E-2</v>
      </c>
      <c r="I14" s="39">
        <f t="shared" si="2"/>
        <v>0</v>
      </c>
      <c r="J14" s="39">
        <f t="shared" si="2"/>
        <v>-3.4579129430989203E-2</v>
      </c>
      <c r="K14" s="39">
        <f t="shared" si="2"/>
        <v>-5.5449427150539181E-2</v>
      </c>
      <c r="L14" s="39">
        <f t="shared" si="2"/>
        <v>0</v>
      </c>
      <c r="M14" s="39">
        <f t="shared" si="2"/>
        <v>0</v>
      </c>
      <c r="N14" s="39">
        <f t="shared" si="2"/>
        <v>-2.1436320013717503E-3</v>
      </c>
      <c r="O14" s="39">
        <f t="shared" si="2"/>
        <v>0</v>
      </c>
      <c r="P14" s="39">
        <f t="shared" si="2"/>
        <v>0</v>
      </c>
      <c r="Q14" s="39">
        <f t="shared" si="2"/>
        <v>4.2170712739079082E-2</v>
      </c>
      <c r="R14" s="39">
        <f t="shared" ca="1" si="2"/>
        <v>-5.2693437111591291E-3</v>
      </c>
      <c r="S14" s="39">
        <f t="shared" ca="1" si="2"/>
        <v>0</v>
      </c>
      <c r="T14" s="39">
        <f t="shared" si="2"/>
        <v>8.5675544320655741E-3</v>
      </c>
      <c r="U14" s="39">
        <f t="shared" si="2"/>
        <v>3.0882390853130304E-4</v>
      </c>
      <c r="V14" s="39">
        <f t="shared" ca="1" si="2"/>
        <v>0</v>
      </c>
      <c r="W14" s="39">
        <f t="shared" ca="1" si="2"/>
        <v>0</v>
      </c>
      <c r="X14" s="39">
        <f t="shared" ca="1" si="2"/>
        <v>0.12815114125091229</v>
      </c>
    </row>
    <row r="15" spans="1:33" x14ac:dyDescent="0.2">
      <c r="A15" s="17" t="s">
        <v>1228</v>
      </c>
      <c r="B15" s="39">
        <f t="shared" ref="B15:X15" si="3">IF($X$8&lt;&gt;0,(B$9-B$8)/$X$8,0)</f>
        <v>0</v>
      </c>
      <c r="C15" s="39">
        <f t="shared" si="3"/>
        <v>4.1335761211493138E-4</v>
      </c>
      <c r="D15" s="39">
        <f t="shared" ca="1" si="3"/>
        <v>0</v>
      </c>
      <c r="E15" s="39">
        <f t="shared" si="3"/>
        <v>0</v>
      </c>
      <c r="F15" s="39">
        <f t="shared" si="3"/>
        <v>0</v>
      </c>
      <c r="G15" s="39">
        <f t="shared" si="3"/>
        <v>0.14461221609494462</v>
      </c>
      <c r="H15" s="39">
        <f t="shared" si="3"/>
        <v>2.9520008758236214E-2</v>
      </c>
      <c r="I15" s="39">
        <f t="shared" si="3"/>
        <v>0</v>
      </c>
      <c r="J15" s="39">
        <f t="shared" si="3"/>
        <v>-3.4579129430989203E-2</v>
      </c>
      <c r="K15" s="39">
        <f t="shared" si="3"/>
        <v>-5.5449427150539181E-2</v>
      </c>
      <c r="L15" s="39">
        <f t="shared" si="3"/>
        <v>0</v>
      </c>
      <c r="M15" s="39">
        <f t="shared" si="3"/>
        <v>0</v>
      </c>
      <c r="N15" s="39">
        <f t="shared" si="3"/>
        <v>-2.1436320013717503E-3</v>
      </c>
      <c r="O15" s="39">
        <f t="shared" si="3"/>
        <v>0</v>
      </c>
      <c r="P15" s="39">
        <f t="shared" si="3"/>
        <v>0</v>
      </c>
      <c r="Q15" s="39">
        <f t="shared" si="3"/>
        <v>4.2170712739079082E-2</v>
      </c>
      <c r="R15" s="39">
        <f t="shared" ca="1" si="3"/>
        <v>-5.2693437111591291E-3</v>
      </c>
      <c r="S15" s="39">
        <f t="shared" ca="1" si="3"/>
        <v>0</v>
      </c>
      <c r="T15" s="39">
        <f t="shared" si="3"/>
        <v>8.5675544320655741E-3</v>
      </c>
      <c r="U15" s="39">
        <f t="shared" si="3"/>
        <v>3.0882390853130304E-4</v>
      </c>
      <c r="V15" s="39">
        <f t="shared" ca="1" si="3"/>
        <v>0</v>
      </c>
      <c r="W15" s="39">
        <f t="shared" ca="1" si="3"/>
        <v>0</v>
      </c>
      <c r="X15" s="39">
        <f t="shared" ca="1" si="3"/>
        <v>0.12815114125091229</v>
      </c>
    </row>
  </sheetData>
  <dataValidations count="6">
    <dataValidation type="list" allowBlank="1" showInputMessage="1" showErrorMessage="1" error="Deve-se selecionar grupo válido" sqref="A2" xr:uid="{A8E7512F-E8E4-483A-8C8B-6140521C1E13}">
      <formula1>AA1:AA6</formula1>
    </dataValidation>
    <dataValidation type="list" allowBlank="1" showInputMessage="1" showErrorMessage="1" error="Deve-se selecionar grupo válido" sqref="B2" xr:uid="{E6B9427E-332A-41EF-98A9-4FCF41B5B905}">
      <formula1>AB1:AB7</formula1>
    </dataValidation>
    <dataValidation type="list" allowBlank="1" showInputMessage="1" showErrorMessage="1" error="Deve-se selecionar grupo válido" sqref="C2 E2" xr:uid="{0D138836-9BDE-4C09-B903-7B57A9475AC9}">
      <formula1>AC1:AC4</formula1>
    </dataValidation>
    <dataValidation type="list" allowBlank="1" showInputMessage="1" showErrorMessage="1" error="Deve-se selecionar grupo válido" sqref="D2" xr:uid="{6FA1503F-F531-4578-AEAC-FCE6CD83C6D6}">
      <formula1>AD1:AD10</formula1>
    </dataValidation>
    <dataValidation type="list" allowBlank="1" showInputMessage="1" showErrorMessage="1" error="Deve-se selecionar grupo válido" sqref="F2" xr:uid="{8211F5F4-F302-43C4-8F94-33698EF84E13}">
      <formula1>AF1:AF1</formula1>
    </dataValidation>
    <dataValidation type="list" allowBlank="1" showInputMessage="1" showErrorMessage="1" error="Deve-se selecionar grupo válido" sqref="G2" xr:uid="{748167C5-833F-4388-B616-734DFA443138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78332-97EA-4F10-8959-572E376FF9C7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7" bestFit="1" customWidth="1"/>
    <col min="2" max="2" width="10.5703125" style="17" bestFit="1" customWidth="1"/>
    <col min="3" max="5" width="10.28515625" style="17" bestFit="1" customWidth="1"/>
    <col min="6" max="6" width="14.85546875" style="17" bestFit="1" customWidth="1"/>
    <col min="7" max="7" width="10.28515625" style="17" bestFit="1" customWidth="1"/>
    <col min="8" max="8" width="9.5703125" style="17" bestFit="1" customWidth="1"/>
    <col min="9" max="9" width="6.42578125" style="17" bestFit="1" customWidth="1"/>
    <col min="10" max="10" width="7.7109375" style="17" bestFit="1" customWidth="1"/>
    <col min="11" max="11" width="10.7109375" style="17" bestFit="1" customWidth="1"/>
    <col min="12" max="12" width="10.85546875" style="17" bestFit="1" customWidth="1"/>
    <col min="13" max="26" width="9.140625" style="17"/>
    <col min="27" max="27" width="3" style="17" bestFit="1" customWidth="1"/>
    <col min="28" max="28" width="27.140625" style="17" bestFit="1" customWidth="1"/>
    <col min="29" max="29" width="13.5703125" style="17" bestFit="1" customWidth="1"/>
    <col min="30" max="30" width="25.140625" style="17" bestFit="1" customWidth="1"/>
    <col min="31" max="33" width="10.28515625" style="17" bestFit="1" customWidth="1"/>
    <col min="34" max="16384" width="9.140625" style="17"/>
  </cols>
  <sheetData>
    <row r="1" spans="1:33" x14ac:dyDescent="0.2">
      <c r="A1" s="17" t="s">
        <v>66</v>
      </c>
      <c r="B1" s="17" t="s">
        <v>67</v>
      </c>
      <c r="C1" s="17" t="s">
        <v>68</v>
      </c>
      <c r="D1" s="17" t="s">
        <v>69</v>
      </c>
      <c r="E1" s="17" t="s">
        <v>70</v>
      </c>
      <c r="F1" s="17" t="s">
        <v>15</v>
      </c>
      <c r="G1" s="17" t="s">
        <v>72</v>
      </c>
      <c r="I1" s="17" t="s">
        <v>1225</v>
      </c>
      <c r="AA1" s="17" t="s">
        <v>33</v>
      </c>
      <c r="AB1" s="17" t="s">
        <v>25</v>
      </c>
      <c r="AC1" s="17" t="s">
        <v>25</v>
      </c>
      <c r="AD1" s="17" t="s">
        <v>25</v>
      </c>
      <c r="AE1" s="17" t="s">
        <v>25</v>
      </c>
      <c r="AF1" s="17" t="s">
        <v>25</v>
      </c>
      <c r="AG1" s="17" t="s">
        <v>25</v>
      </c>
    </row>
    <row r="2" spans="1:33" x14ac:dyDescent="0.2">
      <c r="A2" s="17" t="s">
        <v>33</v>
      </c>
      <c r="B2" s="17" t="s">
        <v>25</v>
      </c>
      <c r="C2" s="17" t="s">
        <v>25</v>
      </c>
      <c r="D2" s="17" t="s">
        <v>25</v>
      </c>
      <c r="E2" s="17" t="s">
        <v>25</v>
      </c>
      <c r="F2" s="17" t="s">
        <v>25</v>
      </c>
      <c r="G2" s="17" t="s">
        <v>25</v>
      </c>
      <c r="I2" s="17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7" t="s">
        <v>22</v>
      </c>
      <c r="AB2" s="17" t="s">
        <v>75</v>
      </c>
      <c r="AC2" s="17" t="s">
        <v>24</v>
      </c>
      <c r="AD2" s="17" t="s">
        <v>24</v>
      </c>
      <c r="AG2" s="17" t="s">
        <v>77</v>
      </c>
    </row>
    <row r="3" spans="1:33" x14ac:dyDescent="0.2">
      <c r="AA3" s="17" t="s">
        <v>43</v>
      </c>
      <c r="AB3" s="17" t="s">
        <v>89</v>
      </c>
      <c r="AC3" s="17" t="s">
        <v>44</v>
      </c>
      <c r="AD3" s="17" t="s">
        <v>29</v>
      </c>
      <c r="AG3" s="17" t="s">
        <v>78</v>
      </c>
    </row>
    <row r="4" spans="1:33" x14ac:dyDescent="0.2">
      <c r="AA4" s="17" t="s">
        <v>39</v>
      </c>
      <c r="AB4" s="17" t="s">
        <v>90</v>
      </c>
      <c r="AC4" s="17" t="s">
        <v>47</v>
      </c>
      <c r="AD4" s="17" t="s">
        <v>30</v>
      </c>
      <c r="AG4" s="17" t="s">
        <v>88</v>
      </c>
    </row>
    <row r="5" spans="1:33" x14ac:dyDescent="0.2">
      <c r="A5" s="17" t="s">
        <v>1218</v>
      </c>
      <c r="B5" s="17" t="str">
        <f>TE!$W$4</f>
        <v>P&amp;D</v>
      </c>
      <c r="C5" s="17" t="str">
        <f>TE!$X$4</f>
        <v>ESS/ERR</v>
      </c>
      <c r="D5" s="17" t="str">
        <f>TE!$Y$4</f>
        <v>CFURH</v>
      </c>
      <c r="E5" s="17" t="str">
        <f>TE!$Z$4</f>
        <v>CDE Covid TE</v>
      </c>
      <c r="F5" s="17" t="str">
        <f>TE!$AA$4</f>
        <v>ENERGIA REVENDA</v>
      </c>
      <c r="G5" s="17" t="str">
        <f>TE!$AB$4</f>
        <v>ITAIPU</v>
      </c>
      <c r="H5" s="17" t="str">
        <f>TE!$AC$4</f>
        <v>TUST ITAIPU</v>
      </c>
      <c r="I5" s="17" t="str">
        <f>TE!$AD$4</f>
        <v>TUST CI</v>
      </c>
      <c r="J5" s="17" t="str">
        <f>TE!$AE$4</f>
        <v>SUBSIDIO</v>
      </c>
      <c r="K5" s="17" t="str">
        <f>TE!$AF$4</f>
        <v>PERDAS RB/C</v>
      </c>
      <c r="L5" s="17" t="s">
        <v>654</v>
      </c>
      <c r="AA5" s="17" t="s">
        <v>46</v>
      </c>
      <c r="AD5" s="17" t="s">
        <v>31</v>
      </c>
      <c r="AG5" s="17" t="s">
        <v>82</v>
      </c>
    </row>
    <row r="6" spans="1:33" x14ac:dyDescent="0.2">
      <c r="A6" s="17" t="s">
        <v>1219</v>
      </c>
      <c r="B6" s="28">
        <f>SUM(TE!$W$47:'TE'!$W$83)</f>
        <v>0</v>
      </c>
      <c r="C6" s="28">
        <f>SUM(TE!$X$47:'TE'!$X$83)</f>
        <v>463503.4655236383</v>
      </c>
      <c r="D6" s="28">
        <f>SUM(TE!$Y$47:'TE'!$Y$83)</f>
        <v>0</v>
      </c>
      <c r="E6" s="28">
        <f>SUM(TE!$Z$47:'TE'!$Z$83)</f>
        <v>0</v>
      </c>
      <c r="F6" s="28">
        <f>SUM(TE!$AA$47:'TE'!$AA$83)</f>
        <v>31619886.283013083</v>
      </c>
      <c r="G6" s="28">
        <f>SUM(TE!$AB$47:'TE'!$AB$83)</f>
        <v>0</v>
      </c>
      <c r="H6" s="28">
        <f>SUM(TE!$AC$47:'TE'!$AC$83)</f>
        <v>0</v>
      </c>
      <c r="I6" s="28">
        <f>SUM(TE!$AD$47:'TE'!$AD$83)</f>
        <v>0</v>
      </c>
      <c r="J6" s="28">
        <f>SUM(TE!$AE$47:'TE'!$AE$83)</f>
        <v>236647.29940951138</v>
      </c>
      <c r="K6" s="28">
        <f>SUM(TE!$AF$47:'TE'!$AF$83)</f>
        <v>0</v>
      </c>
      <c r="L6" s="28">
        <f t="shared" ref="L6:L11" si="0">SUM(B6:K6)</f>
        <v>32320037.047946233</v>
      </c>
      <c r="AD6" s="17" t="s">
        <v>32</v>
      </c>
    </row>
    <row r="7" spans="1:33" x14ac:dyDescent="0.2">
      <c r="A7" s="17" t="s">
        <v>1220</v>
      </c>
      <c r="B7" s="28">
        <f>SUM(TE!$L$47:'TE'!$L$83)</f>
        <v>0</v>
      </c>
      <c r="C7" s="28">
        <f>SUM(TE!$M$47:'TE'!$M$83)</f>
        <v>1714324.9746420607</v>
      </c>
      <c r="D7" s="28">
        <f>SUM(TE!$N$47:'TE'!$N$83)</f>
        <v>0</v>
      </c>
      <c r="E7" s="28">
        <f>SUM(TE!$O$47:'TE'!$O$83)</f>
        <v>0</v>
      </c>
      <c r="F7" s="28">
        <f>SUM(TE!$P$47:'TE'!$P$83)</f>
        <v>24415541.795502797</v>
      </c>
      <c r="G7" s="28">
        <f>SUM(TE!$Q$47:'TE'!$Q$83)</f>
        <v>0</v>
      </c>
      <c r="H7" s="28">
        <f>SUM(TE!$R$47:'TE'!$R$83)</f>
        <v>0</v>
      </c>
      <c r="I7" s="28">
        <f>SUM(TE!$S$47:'TE'!$S$83)</f>
        <v>0</v>
      </c>
      <c r="J7" s="28">
        <f>SUM(TE!$T$47:'TE'!$T$83)</f>
        <v>0</v>
      </c>
      <c r="K7" s="28">
        <f>SUM(TE!$U$47:'TE'!$U$83)</f>
        <v>186999.24541754939</v>
      </c>
      <c r="L7" s="28">
        <f t="shared" si="0"/>
        <v>26316866.015562408</v>
      </c>
      <c r="AD7" s="17" t="s">
        <v>92</v>
      </c>
    </row>
    <row r="8" spans="1:33" x14ac:dyDescent="0.2">
      <c r="A8" s="17" t="s">
        <v>1223</v>
      </c>
      <c r="B8" s="28">
        <f>IF($G$2&lt;&gt;"Não se aplica",SUMIF(TE!$G$47:'TE'!$G$83,$I$2,TE!$W$47:'TE'!$W$83),IF($F$2&lt;&gt;"Não se aplica",SUMIF(TE!$F$47:'TE'!$F$83,$I$2,TE!$W$47:'TE'!$W$83),IF($E$2&lt;&gt;"Não se aplica",SUMIF(TE!$E$47:'TE'!$E$83,$I$2,TE!$W$47:'TE'!$W$83),IF($D$2&lt;&gt;"Não se aplica",SUMIF(TE!$D$47:'TE'!$D$83,$I$2,TE!$W$47:'TE'!$W$83),IF($C$2&lt;&gt;"Não se aplica",SUMIF(TE!$C$47:'TE'!$C$83,$I$2,TE!$W$47:'TE'!$W$83),IF($B$2&lt;&gt;"Não se aplica",SUMIF(TE!$B$47:'TE'!$B$83,$I$2,TE!$W$47:'TE'!$W$83),SUMIF(TE!$A$47:'TE'!$A$83,$I$2,TE!$W$47:'TE'!$W$83)))))))</f>
        <v>0</v>
      </c>
      <c r="C8" s="28">
        <f>IF($G$2&lt;&gt;"Não se aplica",SUMIF(TE!$G$47:'TE'!$G$83,$I$2,TE!$X$47:'TE'!$X$83),IF($F$2&lt;&gt;"Não se aplica",SUMIF(TE!$F$47:'TE'!$F$83,$I$2,TE!$X$47:'TE'!$X$83),IF($E$2&lt;&gt;"Não se aplica",SUMIF(TE!$E$47:'TE'!$E$83,$I$2,TE!$X$47:'TE'!$X$83),IF($D$2&lt;&gt;"Não se aplica",SUMIF(TE!$D$47:'TE'!$D$83,$I$2,TE!$X$47:'TE'!$X$83),IF($C$2&lt;&gt;"Não se aplica",SUMIF(TE!$C$47:'TE'!$C$83,$I$2,TE!$X$47:'TE'!$X$83),IF($B$2&lt;&gt;"Não se aplica",SUMIF(TE!$B$47:'TE'!$B$83,$I$2,TE!$X$47:'TE'!$X$83),SUMIF(TE!$A$47:'TE'!$A$83,$I$2,TE!$X$47:'TE'!$X$83)))))))</f>
        <v>169952.93546965666</v>
      </c>
      <c r="D8" s="28">
        <f>IF($G$2&lt;&gt;"Não se aplica",SUMIF(TE!$G$47:'TE'!$G$83,$I$2,TE!$Y$47:'TE'!$Y$83),IF($F$2&lt;&gt;"Não se aplica",SUMIF(TE!$F$47:'TE'!$F$83,$I$2,TE!$Y$47:'TE'!$Y$83),IF($E$2&lt;&gt;"Não se aplica",SUMIF(TE!$E$47:'TE'!$E$83,$I$2,TE!$Y$47:'TE'!$Y$83),IF($D$2&lt;&gt;"Não se aplica",SUMIF(TE!$D$47:'TE'!$D$83,$I$2,TE!$Y$47:'TE'!$Y$83),IF($C$2&lt;&gt;"Não se aplica",SUMIF(TE!$C$47:'TE'!$C$83,$I$2,TE!$Y$47:'TE'!$Y$83),IF($B$2&lt;&gt;"Não se aplica",SUMIF(TE!$B$47:'TE'!$B$83,$I$2,TE!$Y$47:'TE'!$Y$83),SUMIF(TE!$A$47:'TE'!$A$83,$I$2,TE!$Y$47:'TE'!$Y$83)))))))</f>
        <v>0</v>
      </c>
      <c r="E8" s="28">
        <f>IF($G$2&lt;&gt;"Não se aplica",SUMIF(TE!$G$47:'TE'!$G$83,$I$2,TE!$Z$47:'TE'!$Z$83),IF($F$2&lt;&gt;"Não se aplica",SUMIF(TE!$F$47:'TE'!$F$83,$I$2,TE!$Z$47:'TE'!$Z$83),IF($E$2&lt;&gt;"Não se aplica",SUMIF(TE!$E$47:'TE'!$E$83,$I$2,TE!$Z$47:'TE'!$Z$83),IF($D$2&lt;&gt;"Não se aplica",SUMIF(TE!$D$47:'TE'!$D$83,$I$2,TE!$Z$47:'TE'!$Z$83),IF($C$2&lt;&gt;"Não se aplica",SUMIF(TE!$C$47:'TE'!$C$83,$I$2,TE!$Z$47:'TE'!$Z$83),IF($B$2&lt;&gt;"Não se aplica",SUMIF(TE!$B$47:'TE'!$B$83,$I$2,TE!$Z$47:'TE'!$Z$83),SUMIF(TE!$A$47:'TE'!$A$83,$I$2,TE!$Z$47:'TE'!$Z$83)))))))</f>
        <v>0</v>
      </c>
      <c r="F8" s="28">
        <f>IF($G$2&lt;&gt;"Não se aplica",SUMIF(TE!$G$47:'TE'!$G$83,$I$2,TE!$AA$47:'TE'!$AA$83),IF($F$2&lt;&gt;"Não se aplica",SUMIF(TE!$F$47:'TE'!$F$83,$I$2,TE!$AA$47:'TE'!$AA$83),IF($E$2&lt;&gt;"Não se aplica",SUMIF(TE!$E$47:'TE'!$E$83,$I$2,TE!$AA$47:'TE'!$AA$83),IF($D$2&lt;&gt;"Não se aplica",SUMIF(TE!$D$47:'TE'!$D$83,$I$2,TE!$AA$47:'TE'!$AA$83),IF($C$2&lt;&gt;"Não se aplica",SUMIF(TE!$C$47:'TE'!$C$83,$I$2,TE!$AA$47:'TE'!$AA$83),IF($B$2&lt;&gt;"Não se aplica",SUMIF(TE!$B$47:'TE'!$B$83,$I$2,TE!$AA$47:'TE'!$AA$83),SUMIF(TE!$A$47:'TE'!$A$83,$I$2,TE!$AA$47:'TE'!$AA$83)))))))</f>
        <v>11594071.87375332</v>
      </c>
      <c r="G8" s="28">
        <f>IF($G$2&lt;&gt;"Não se aplica",SUMIF(TE!$G$47:'TE'!$G$83,$I$2,TE!$AB$47:'TE'!$AB$83),IF($F$2&lt;&gt;"Não se aplica",SUMIF(TE!$F$47:'TE'!$F$83,$I$2,TE!$AB$47:'TE'!$AB$83),IF($E$2&lt;&gt;"Não se aplica",SUMIF(TE!$E$47:'TE'!$E$83,$I$2,TE!$AB$47:'TE'!$AB$83),IF($D$2&lt;&gt;"Não se aplica",SUMIF(TE!$D$47:'TE'!$D$83,$I$2,TE!$AB$47:'TE'!$AB$83),IF($C$2&lt;&gt;"Não se aplica",SUMIF(TE!$C$47:'TE'!$C$83,$I$2,TE!$AB$47:'TE'!$AB$83),IF($B$2&lt;&gt;"Não se aplica",SUMIF(TE!$B$47:'TE'!$B$83,$I$2,TE!$AB$47:'TE'!$AB$83),SUMIF(TE!$A$47:'TE'!$A$83,$I$2,TE!$AB$47:'TE'!$AB$83)))))))</f>
        <v>0</v>
      </c>
      <c r="H8" s="28">
        <f>IF($G$2&lt;&gt;"Não se aplica",SUMIF(TE!$G$47:'TE'!$G$83,$I$2,TE!$AC$47:'TE'!$AC$83),IF($F$2&lt;&gt;"Não se aplica",SUMIF(TE!$F$47:'TE'!$F$83,$I$2,TE!$AC$47:'TE'!$AC$83),IF($E$2&lt;&gt;"Não se aplica",SUMIF(TE!$E$47:'TE'!$E$83,$I$2,TE!$AC$47:'TE'!$AC$83),IF($D$2&lt;&gt;"Não se aplica",SUMIF(TE!$D$47:'TE'!$D$83,$I$2,TE!$AC$47:'TE'!$AC$83),IF($C$2&lt;&gt;"Não se aplica",SUMIF(TE!$C$47:'TE'!$C$83,$I$2,TE!$AC$47:'TE'!$AC$83),IF($B$2&lt;&gt;"Não se aplica",SUMIF(TE!$B$47:'TE'!$B$83,$I$2,TE!$AC$47:'TE'!$AC$83),SUMIF(TE!$A$47:'TE'!$A$83,$I$2,TE!$AC$47:'TE'!$AC$83)))))))</f>
        <v>0</v>
      </c>
      <c r="I8" s="28">
        <f>IF($G$2&lt;&gt;"Não se aplica",SUMIF(TE!$G$47:'TE'!$G$83,$I$2,TE!$AD$47:'TE'!$AD$83),IF($F$2&lt;&gt;"Não se aplica",SUMIF(TE!$F$47:'TE'!$F$83,$I$2,TE!$AD$47:'TE'!$AD$83),IF($E$2&lt;&gt;"Não se aplica",SUMIF(TE!$E$47:'TE'!$E$83,$I$2,TE!$AD$47:'TE'!$AD$83),IF($D$2&lt;&gt;"Não se aplica",SUMIF(TE!$D$47:'TE'!$D$83,$I$2,TE!$AD$47:'TE'!$AD$83),IF($C$2&lt;&gt;"Não se aplica",SUMIF(TE!$C$47:'TE'!$C$83,$I$2,TE!$AD$47:'TE'!$AD$83),IF($B$2&lt;&gt;"Não se aplica",SUMIF(TE!$B$47:'TE'!$B$83,$I$2,TE!$AD$47:'TE'!$AD$83),SUMIF(TE!$A$47:'TE'!$A$83,$I$2,TE!$AD$47:'TE'!$AD$83)))))))</f>
        <v>0</v>
      </c>
      <c r="J8" s="28">
        <f>IF($G$2&lt;&gt;"Não se aplica",SUMIF(TE!$G$47:'TE'!$G$83,$I$2,TE!$AE$47:'TE'!$AE$83),IF($F$2&lt;&gt;"Não se aplica",SUMIF(TE!$F$47:'TE'!$F$83,$I$2,TE!$AE$47:'TE'!$AE$83),IF($E$2&lt;&gt;"Não se aplica",SUMIF(TE!$E$47:'TE'!$E$83,$I$2,TE!$AE$47:'TE'!$AE$83),IF($D$2&lt;&gt;"Não se aplica",SUMIF(TE!$D$47:'TE'!$D$83,$I$2,TE!$AE$47:'TE'!$AE$83),IF($C$2&lt;&gt;"Não se aplica",SUMIF(TE!$C$47:'TE'!$C$83,$I$2,TE!$AE$47:'TE'!$AE$83),IF($B$2&lt;&gt;"Não se aplica",SUMIF(TE!$B$47:'TE'!$B$83,$I$2,TE!$AE$47:'TE'!$AE$83),SUMIF(TE!$A$47:'TE'!$A$83,$I$2,TE!$AE$47:'TE'!$AE$83)))))))</f>
        <v>86771.52642251832</v>
      </c>
      <c r="K8" s="28">
        <f>IF($G$2&lt;&gt;"Não se aplica",SUMIF(TE!$G$47:'TE'!$G$83,$I$2,TE!$AF$47:'TE'!$AF$83),IF($F$2&lt;&gt;"Não se aplica",SUMIF(TE!$F$47:'TE'!$F$83,$I$2,TE!$AF$47:'TE'!$AF$83),IF($E$2&lt;&gt;"Não se aplica",SUMIF(TE!$E$47:'TE'!$E$83,$I$2,TE!$AF$47:'TE'!$AF$83),IF($D$2&lt;&gt;"Não se aplica",SUMIF(TE!$D$47:'TE'!$D$83,$I$2,TE!$AF$47:'TE'!$AF$83),IF($C$2&lt;&gt;"Não se aplica",SUMIF(TE!$C$47:'TE'!$C$83,$I$2,TE!$AF$47:'TE'!$AF$83),IF($B$2&lt;&gt;"Não se aplica",SUMIF(TE!$B$47:'TE'!$B$83,$I$2,TE!$AF$47:'TE'!$AF$83),SUMIF(TE!$A$47:'TE'!$A$83,$I$2,TE!$AF$47:'TE'!$AF$83)))))))</f>
        <v>0</v>
      </c>
      <c r="L8" s="28">
        <f t="shared" si="0"/>
        <v>11850796.335645497</v>
      </c>
      <c r="AD8" s="17" t="s">
        <v>93</v>
      </c>
    </row>
    <row r="9" spans="1:33" x14ac:dyDescent="0.2">
      <c r="A9" s="17" t="s">
        <v>1224</v>
      </c>
      <c r="B9" s="28">
        <f>IF($G$2&lt;&gt;"Não se aplica",SUMIF(TE!$G$47:'TE'!$G$83,$I$2,TE!$L$47:'TE'!$L$83),IF($F$2&lt;&gt;"Não se aplica",SUMIF(TE!$F$47:'TE'!$F$83,$I$2,TE!$L$47:'TE'!$L$83),IF($E$2&lt;&gt;"Não se aplica",SUMIF(TE!$E$47:'TE'!$E$83,$I$2,TE!$L$47:'TE'!$L$83),IF($D$2&lt;&gt;"Não se aplica",SUMIF(TE!$D$47:'TE'!$D$83,$I$2,TE!$L$47:'TE'!$L$83),IF($C$2&lt;&gt;"Não se aplica",SUMIF(TE!$C$47:'TE'!$C$83,$I$2,TE!$L$47:'TE'!$L$83),IF($B$2&lt;&gt;"Não se aplica",SUMIF(TE!$B$47:'TE'!$B$83,$I$2,TE!$L$47:'TE'!$L$83),SUMIF(TE!$A$47:'TE'!$A$83,$I$2,TE!$L$47:'TE'!$L$83)))))))</f>
        <v>0</v>
      </c>
      <c r="C9" s="28">
        <f>IF($G$2&lt;&gt;"Não se aplica",SUMIF(TE!$G$47:'TE'!$G$83,$I$2,TE!$M$47:'TE'!$M$83),IF($F$2&lt;&gt;"Não se aplica",SUMIF(TE!$F$47:'TE'!$F$83,$I$2,TE!$M$47:'TE'!$M$83),IF($E$2&lt;&gt;"Não se aplica",SUMIF(TE!$E$47:'TE'!$E$83,$I$2,TE!$M$47:'TE'!$M$83),IF($D$2&lt;&gt;"Não se aplica",SUMIF(TE!$D$47:'TE'!$D$83,$I$2,TE!$M$47:'TE'!$M$83),IF($C$2&lt;&gt;"Não se aplica",SUMIF(TE!$C$47:'TE'!$C$83,$I$2,TE!$M$47:'TE'!$M$83),IF($B$2&lt;&gt;"Não se aplica",SUMIF(TE!$B$47:'TE'!$B$83,$I$2,TE!$M$47:'TE'!$M$83),SUMIF(TE!$A$47:'TE'!$A$83,$I$2,TE!$M$47:'TE'!$M$83)))))))</f>
        <v>617609.53209903045</v>
      </c>
      <c r="D9" s="28">
        <f>IF($G$2&lt;&gt;"Não se aplica",SUMIF(TE!$G$47:'TE'!$G$83,$I$2,TE!$N$47:'TE'!$N$83),IF($F$2&lt;&gt;"Não se aplica",SUMIF(TE!$F$47:'TE'!$F$83,$I$2,TE!$N$47:'TE'!$N$83),IF($E$2&lt;&gt;"Não se aplica",SUMIF(TE!$E$47:'TE'!$E$83,$I$2,TE!$N$47:'TE'!$N$83),IF($D$2&lt;&gt;"Não se aplica",SUMIF(TE!$D$47:'TE'!$D$83,$I$2,TE!$N$47:'TE'!$N$83),IF($C$2&lt;&gt;"Não se aplica",SUMIF(TE!$C$47:'TE'!$C$83,$I$2,TE!$N$47:'TE'!$N$83),IF($B$2&lt;&gt;"Não se aplica",SUMIF(TE!$B$47:'TE'!$B$83,$I$2,TE!$N$47:'TE'!$N$83),SUMIF(TE!$A$47:'TE'!$A$83,$I$2,TE!$N$47:'TE'!$N$83)))))))</f>
        <v>0</v>
      </c>
      <c r="E9" s="28">
        <f>IF($G$2&lt;&gt;"Não se aplica",SUMIF(TE!$G$47:'TE'!$G$83,$I$2,TE!$O$47:'TE'!$O$83),IF($F$2&lt;&gt;"Não se aplica",SUMIF(TE!$F$47:'TE'!$F$83,$I$2,TE!$O$47:'TE'!$O$83),IF($E$2&lt;&gt;"Não se aplica",SUMIF(TE!$E$47:'TE'!$E$83,$I$2,TE!$O$47:'TE'!$O$83),IF($D$2&lt;&gt;"Não se aplica",SUMIF(TE!$D$47:'TE'!$D$83,$I$2,TE!$O$47:'TE'!$O$83),IF($C$2&lt;&gt;"Não se aplica",SUMIF(TE!$C$47:'TE'!$C$83,$I$2,TE!$O$47:'TE'!$O$83),IF($B$2&lt;&gt;"Não se aplica",SUMIF(TE!$B$47:'TE'!$B$83,$I$2,TE!$O$47:'TE'!$O$83),SUMIF(TE!$A$47:'TE'!$A$83,$I$2,TE!$O$47:'TE'!$O$83)))))))</f>
        <v>0</v>
      </c>
      <c r="F9" s="28">
        <f>IF($G$2&lt;&gt;"Não se aplica",SUMIF(TE!$G$47:'TE'!$G$83,$I$2,TE!$P$47:'TE'!$P$83),IF($F$2&lt;&gt;"Não se aplica",SUMIF(TE!$F$47:'TE'!$F$83,$I$2,TE!$P$47:'TE'!$P$83),IF($E$2&lt;&gt;"Não se aplica",SUMIF(TE!$E$47:'TE'!$E$83,$I$2,TE!$P$47:'TE'!$P$83),IF($D$2&lt;&gt;"Não se aplica",SUMIF(TE!$D$47:'TE'!$D$83,$I$2,TE!$P$47:'TE'!$P$83),IF($C$2&lt;&gt;"Não se aplica",SUMIF(TE!$C$47:'TE'!$C$83,$I$2,TE!$P$47:'TE'!$P$83),IF($B$2&lt;&gt;"Não se aplica",SUMIF(TE!$B$47:'TE'!$B$83,$I$2,TE!$P$47:'TE'!$P$83),SUMIF(TE!$A$47:'TE'!$A$83,$I$2,TE!$P$47:'TE'!$P$83)))))))</f>
        <v>8796040.1716793831</v>
      </c>
      <c r="G9" s="28">
        <f>IF($G$2&lt;&gt;"Não se aplica",SUMIF(TE!$G$47:'TE'!$G$83,$I$2,TE!$Q$47:'TE'!$Q$83),IF($F$2&lt;&gt;"Não se aplica",SUMIF(TE!$F$47:'TE'!$F$83,$I$2,TE!$Q$47:'TE'!$Q$83),IF($E$2&lt;&gt;"Não se aplica",SUMIF(TE!$E$47:'TE'!$E$83,$I$2,TE!$Q$47:'TE'!$Q$83),IF($D$2&lt;&gt;"Não se aplica",SUMIF(TE!$D$47:'TE'!$D$83,$I$2,TE!$Q$47:'TE'!$Q$83),IF($C$2&lt;&gt;"Não se aplica",SUMIF(TE!$C$47:'TE'!$C$83,$I$2,TE!$Q$47:'TE'!$Q$83),IF($B$2&lt;&gt;"Não se aplica",SUMIF(TE!$B$47:'TE'!$B$83,$I$2,TE!$Q$47:'TE'!$Q$83),SUMIF(TE!$A$47:'TE'!$A$83,$I$2,TE!$Q$47:'TE'!$Q$83)))))))</f>
        <v>0</v>
      </c>
      <c r="H9" s="28">
        <f>IF($G$2&lt;&gt;"Não se aplica",SUMIF(TE!$G$47:'TE'!$G$83,$I$2,TE!$R$47:'TE'!$R$83),IF($F$2&lt;&gt;"Não se aplica",SUMIF(TE!$F$47:'TE'!$F$83,$I$2,TE!$R$47:'TE'!$R$83),IF($E$2&lt;&gt;"Não se aplica",SUMIF(TE!$E$47:'TE'!$E$83,$I$2,TE!$R$47:'TE'!$R$83),IF($D$2&lt;&gt;"Não se aplica",SUMIF(TE!$D$47:'TE'!$D$83,$I$2,TE!$R$47:'TE'!$R$83),IF($C$2&lt;&gt;"Não se aplica",SUMIF(TE!$C$47:'TE'!$C$83,$I$2,TE!$R$47:'TE'!$R$83),IF($B$2&lt;&gt;"Não se aplica",SUMIF(TE!$B$47:'TE'!$B$83,$I$2,TE!$R$47:'TE'!$R$83),SUMIF(TE!$A$47:'TE'!$A$83,$I$2,TE!$R$47:'TE'!$R$83)))))))</f>
        <v>0</v>
      </c>
      <c r="I9" s="28">
        <f>IF($G$2&lt;&gt;"Não se aplica",SUMIF(TE!$G$47:'TE'!$G$83,$I$2,TE!$S$47:'TE'!$S$83),IF($F$2&lt;&gt;"Não se aplica",SUMIF(TE!$F$47:'TE'!$F$83,$I$2,TE!$S$47:'TE'!$S$83),IF($E$2&lt;&gt;"Não se aplica",SUMIF(TE!$E$47:'TE'!$E$83,$I$2,TE!$S$47:'TE'!$S$83),IF($D$2&lt;&gt;"Não se aplica",SUMIF(TE!$D$47:'TE'!$D$83,$I$2,TE!$S$47:'TE'!$S$83),IF($C$2&lt;&gt;"Não se aplica",SUMIF(TE!$C$47:'TE'!$C$83,$I$2,TE!$S$47:'TE'!$S$83),IF($B$2&lt;&gt;"Não se aplica",SUMIF(TE!$B$47:'TE'!$B$83,$I$2,TE!$S$47:'TE'!$S$83),SUMIF(TE!$A$47:'TE'!$A$83,$I$2,TE!$S$47:'TE'!$S$83)))))))</f>
        <v>0</v>
      </c>
      <c r="J9" s="28">
        <f>IF($G$2&lt;&gt;"Não se aplica",SUMIF(TE!$G$47:'TE'!$G$83,$I$2,TE!$T$47:'TE'!$T$83),IF($F$2&lt;&gt;"Não se aplica",SUMIF(TE!$F$47:'TE'!$F$83,$I$2,TE!$T$47:'TE'!$T$83),IF($E$2&lt;&gt;"Não se aplica",SUMIF(TE!$E$47:'TE'!$E$83,$I$2,TE!$T$47:'TE'!$T$83),IF($D$2&lt;&gt;"Não se aplica",SUMIF(TE!$D$47:'TE'!$D$83,$I$2,TE!$T$47:'TE'!$T$83),IF($C$2&lt;&gt;"Não se aplica",SUMIF(TE!$C$47:'TE'!$C$83,$I$2,TE!$T$47:'TE'!$T$83),IF($B$2&lt;&gt;"Não se aplica",SUMIF(TE!$B$47:'TE'!$B$83,$I$2,TE!$T$47:'TE'!$T$83),SUMIF(TE!$A$47:'TE'!$A$83,$I$2,TE!$T$47:'TE'!$T$83)))))))</f>
        <v>0</v>
      </c>
      <c r="K9" s="28">
        <f>IF($G$2&lt;&gt;"Não se aplica",SUMIF(TE!$G$47:'TE'!$G$83,$I$2,TE!$U$47:'TE'!$U$83),IF($F$2&lt;&gt;"Não se aplica",SUMIF(TE!$F$47:'TE'!$F$83,$I$2,TE!$U$47:'TE'!$U$83),IF($E$2&lt;&gt;"Não se aplica",SUMIF(TE!$E$47:'TE'!$E$83,$I$2,TE!$U$47:'TE'!$U$83),IF($D$2&lt;&gt;"Não se aplica",SUMIF(TE!$D$47:'TE'!$D$83,$I$2,TE!$U$47:'TE'!$U$83),IF($C$2&lt;&gt;"Não se aplica",SUMIF(TE!$C$47:'TE'!$C$83,$I$2,TE!$U$47:'TE'!$U$83),IF($B$2&lt;&gt;"Não se aplica",SUMIF(TE!$B$47:'TE'!$B$83,$I$2,TE!$U$47:'TE'!$U$83),SUMIF(TE!$A$47:'TE'!$A$83,$I$2,TE!$U$47:'TE'!$U$83)))))))</f>
        <v>67369.091726216328</v>
      </c>
      <c r="L9" s="28">
        <f t="shared" si="0"/>
        <v>9481018.7955046296</v>
      </c>
      <c r="AD9" s="17" t="s">
        <v>48</v>
      </c>
    </row>
    <row r="10" spans="1:33" x14ac:dyDescent="0.2">
      <c r="A10" s="17" t="s">
        <v>1221</v>
      </c>
      <c r="B10" s="28">
        <f>SUMIF(TE!$A$47:'TE'!$A$83,$A$2,TE!$W$47:'TE'!$W$83)</f>
        <v>0</v>
      </c>
      <c r="C10" s="28">
        <f>SUMIF(TE!$A$47:'TE'!$A$83,$A$2,TE!$X$47:'TE'!$X$83)</f>
        <v>169952.93546965666</v>
      </c>
      <c r="D10" s="28">
        <f>SUMIF(TE!$A$47:'TE'!$A$83,$A$2,TE!$Y$47:'TE'!$Y$83)</f>
        <v>0</v>
      </c>
      <c r="E10" s="28">
        <f>SUMIF(TE!$A$47:'TE'!$A$83,$A$2,TE!$Z$47:'TE'!$Z$83)</f>
        <v>0</v>
      </c>
      <c r="F10" s="28">
        <f>SUMIF(TE!$A$47:'TE'!$A$83,$A$2,TE!$AA$47:'TE'!$AA$83)</f>
        <v>11594071.87375332</v>
      </c>
      <c r="G10" s="28">
        <f>SUMIF(TE!$A$47:'TE'!$A$83,$A$2,TE!$AB$47:'TE'!$AB$83)</f>
        <v>0</v>
      </c>
      <c r="H10" s="28">
        <f>SUMIF(TE!$A$47:'TE'!$A$83,$A$2,TE!$AC$47:'TE'!$AC$83)</f>
        <v>0</v>
      </c>
      <c r="I10" s="28">
        <f>SUMIF(TE!$A$47:'TE'!$A$83,$A$2,TE!$AD$47:'TE'!$AD$83)</f>
        <v>0</v>
      </c>
      <c r="J10" s="28">
        <f>SUMIF(TE!$A$47:'TE'!$A$83,$A$2,TE!$AE$47:'TE'!$AE$83)</f>
        <v>86771.52642251832</v>
      </c>
      <c r="K10" s="28">
        <f>SUMIF(TE!$A$47:'TE'!$A$83,$A$2,TE!$AF$47:'TE'!$AF$83)</f>
        <v>0</v>
      </c>
      <c r="L10" s="28">
        <f t="shared" si="0"/>
        <v>11850796.335645497</v>
      </c>
      <c r="AD10" s="17" t="s">
        <v>49</v>
      </c>
    </row>
    <row r="11" spans="1:33" x14ac:dyDescent="0.2">
      <c r="A11" s="17" t="s">
        <v>1222</v>
      </c>
      <c r="B11" s="28">
        <f>SUMIF(TE!$A$47:'TE'!$A$83,$A$2,TE!$L$47:'TE'!$L$83)</f>
        <v>0</v>
      </c>
      <c r="C11" s="28">
        <f>SUMIF(TE!$A$47:'TE'!$A$83,$A$2,TE!$M$47:'TE'!$M$83)</f>
        <v>617609.53209903045</v>
      </c>
      <c r="D11" s="28">
        <f>SUMIF(TE!$A$47:'TE'!$A$83,$A$2,TE!$N$47:'TE'!$N$83)</f>
        <v>0</v>
      </c>
      <c r="E11" s="28">
        <f>SUMIF(TE!$A$47:'TE'!$A$83,$A$2,TE!$O$47:'TE'!$O$83)</f>
        <v>0</v>
      </c>
      <c r="F11" s="28">
        <f>SUMIF(TE!$A$47:'TE'!$A$83,$A$2,TE!$P$47:'TE'!$P$83)</f>
        <v>8796040.1716793831</v>
      </c>
      <c r="G11" s="28">
        <f>SUMIF(TE!$A$47:'TE'!$A$83,$A$2,TE!$Q$47:'TE'!$Q$83)</f>
        <v>0</v>
      </c>
      <c r="H11" s="28">
        <f>SUMIF(TE!$A$47:'TE'!$A$83,$A$2,TE!$R$47:'TE'!$R$83)</f>
        <v>0</v>
      </c>
      <c r="I11" s="28">
        <f>SUMIF(TE!$A$47:'TE'!$A$83,$A$2,TE!$S$47:'TE'!$S$83)</f>
        <v>0</v>
      </c>
      <c r="J11" s="28">
        <f>SUMIF(TE!$A$47:'TE'!$A$83,$A$2,TE!$T$47:'TE'!$T$83)</f>
        <v>0</v>
      </c>
      <c r="K11" s="28">
        <f>SUMIF(TE!$A$47:'TE'!$A$83,$A$2,TE!$U$47:'TE'!$U$83)</f>
        <v>67369.091726216328</v>
      </c>
      <c r="L11" s="28">
        <f t="shared" si="0"/>
        <v>9481018.7955046296</v>
      </c>
    </row>
    <row r="13" spans="1:33" x14ac:dyDescent="0.2">
      <c r="A13" s="17" t="s">
        <v>1226</v>
      </c>
      <c r="B13" s="39">
        <f t="shared" ref="B13:L13" si="1">IF($L$6&lt;&gt;0,(B$7-B$6)/$L$6,0)</f>
        <v>0</v>
      </c>
      <c r="C13" s="39">
        <f t="shared" si="1"/>
        <v>3.8701116191879659E-2</v>
      </c>
      <c r="D13" s="39">
        <f t="shared" si="1"/>
        <v>0</v>
      </c>
      <c r="E13" s="39">
        <f t="shared" si="1"/>
        <v>0</v>
      </c>
      <c r="F13" s="39">
        <f t="shared" si="1"/>
        <v>-0.22290644273775931</v>
      </c>
      <c r="G13" s="39">
        <f t="shared" si="1"/>
        <v>0</v>
      </c>
      <c r="H13" s="39">
        <f t="shared" si="1"/>
        <v>0</v>
      </c>
      <c r="I13" s="39">
        <f t="shared" si="1"/>
        <v>0</v>
      </c>
      <c r="J13" s="39">
        <f t="shared" si="1"/>
        <v>-7.3219996331826314E-3</v>
      </c>
      <c r="K13" s="39">
        <f t="shared" si="1"/>
        <v>5.7858611096311286E-3</v>
      </c>
      <c r="L13" s="39">
        <f t="shared" si="1"/>
        <v>-0.18574146506943115</v>
      </c>
    </row>
    <row r="14" spans="1:33" x14ac:dyDescent="0.2">
      <c r="A14" s="17" t="s">
        <v>1227</v>
      </c>
      <c r="B14" s="39">
        <f t="shared" ref="B14:L14" si="2">IF($L$10&lt;&gt;0,(B$9-B$8)/$L$10,0)</f>
        <v>0</v>
      </c>
      <c r="C14" s="39">
        <f t="shared" si="2"/>
        <v>3.7774389496753644E-2</v>
      </c>
      <c r="D14" s="39">
        <f t="shared" si="2"/>
        <v>0</v>
      </c>
      <c r="E14" s="39">
        <f t="shared" si="2"/>
        <v>0</v>
      </c>
      <c r="F14" s="39">
        <f t="shared" si="2"/>
        <v>-0.23610495217590222</v>
      </c>
      <c r="G14" s="39">
        <f t="shared" si="2"/>
        <v>0</v>
      </c>
      <c r="H14" s="39">
        <f t="shared" si="2"/>
        <v>0</v>
      </c>
      <c r="I14" s="39">
        <f t="shared" si="2"/>
        <v>0</v>
      </c>
      <c r="J14" s="39">
        <f t="shared" si="2"/>
        <v>-7.3219996331826244E-3</v>
      </c>
      <c r="K14" s="39">
        <f t="shared" si="2"/>
        <v>5.6847733956561005E-3</v>
      </c>
      <c r="L14" s="39">
        <f t="shared" si="2"/>
        <v>-0.19996778891667524</v>
      </c>
    </row>
    <row r="15" spans="1:33" x14ac:dyDescent="0.2">
      <c r="A15" s="17" t="s">
        <v>1228</v>
      </c>
      <c r="B15" s="39">
        <f t="shared" ref="B15:L15" si="3">IF($L$8&lt;&gt;0,(B$9-B$8)/$L$8,0)</f>
        <v>0</v>
      </c>
      <c r="C15" s="39">
        <f t="shared" si="3"/>
        <v>3.7774389496753644E-2</v>
      </c>
      <c r="D15" s="39">
        <f t="shared" si="3"/>
        <v>0</v>
      </c>
      <c r="E15" s="39">
        <f t="shared" si="3"/>
        <v>0</v>
      </c>
      <c r="F15" s="39">
        <f t="shared" si="3"/>
        <v>-0.23610495217590222</v>
      </c>
      <c r="G15" s="39">
        <f t="shared" si="3"/>
        <v>0</v>
      </c>
      <c r="H15" s="39">
        <f t="shared" si="3"/>
        <v>0</v>
      </c>
      <c r="I15" s="39">
        <f t="shared" si="3"/>
        <v>0</v>
      </c>
      <c r="J15" s="39">
        <f t="shared" si="3"/>
        <v>-7.3219996331826244E-3</v>
      </c>
      <c r="K15" s="39">
        <f t="shared" si="3"/>
        <v>5.6847733956561005E-3</v>
      </c>
      <c r="L15" s="39">
        <f t="shared" si="3"/>
        <v>-0.19996778891667524</v>
      </c>
    </row>
  </sheetData>
  <dataValidations count="4">
    <dataValidation type="list" allowBlank="1" showInputMessage="1" showErrorMessage="1" sqref="A2 G2" xr:uid="{32DC10B3-609C-4D7E-B3A9-1AF9BAD8F589}">
      <formula1>AA1:AA5</formula1>
    </dataValidation>
    <dataValidation type="list" allowBlank="1" showInputMessage="1" showErrorMessage="1" sqref="B2 C2" xr:uid="{05148F93-0AD4-4F94-A6BD-3BABAC842772}">
      <formula1>AB1:AB4</formula1>
    </dataValidation>
    <dataValidation type="list" allowBlank="1" showInputMessage="1" showErrorMessage="1" sqref="D2" xr:uid="{93AC2D96-DD14-4BC9-95C9-EB8A047FEF06}">
      <formula1>AD1:AD10</formula1>
    </dataValidation>
    <dataValidation type="list" allowBlank="1" showInputMessage="1" showErrorMessage="1" sqref="E2 F2" xr:uid="{1B6B84DD-CF58-4165-83A1-D76BB477D39C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8DDA5-6171-4F5A-8C1F-C26FAE754EB8}">
  <dimension ref="B1:U15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76" t="s">
        <v>840</v>
      </c>
      <c r="C1" s="76" t="s">
        <v>841</v>
      </c>
      <c r="D1" s="76" t="s">
        <v>842</v>
      </c>
      <c r="E1" s="76" t="s">
        <v>2</v>
      </c>
      <c r="F1" s="76" t="s">
        <v>843</v>
      </c>
      <c r="G1" s="76" t="s">
        <v>753</v>
      </c>
      <c r="H1" s="76" t="s">
        <v>3</v>
      </c>
      <c r="I1" s="76" t="s">
        <v>844</v>
      </c>
      <c r="J1" s="76" t="s">
        <v>5</v>
      </c>
      <c r="K1" s="76" t="s">
        <v>1</v>
      </c>
      <c r="L1" s="76" t="s">
        <v>845</v>
      </c>
      <c r="M1" s="76" t="s">
        <v>846</v>
      </c>
      <c r="N1" s="76" t="s">
        <v>847</v>
      </c>
      <c r="O1" s="76" t="s">
        <v>848</v>
      </c>
      <c r="P1" s="76" t="s">
        <v>849</v>
      </c>
      <c r="Q1" s="76" t="s">
        <v>850</v>
      </c>
      <c r="R1" s="76" t="s">
        <v>851</v>
      </c>
      <c r="S1" s="76" t="s">
        <v>852</v>
      </c>
      <c r="T1" s="76" t="s">
        <v>853</v>
      </c>
      <c r="U1" s="76" t="s">
        <v>854</v>
      </c>
    </row>
    <row r="2" spans="2:21" x14ac:dyDescent="0.25">
      <c r="B2" s="75" t="s">
        <v>824</v>
      </c>
      <c r="C2" s="75">
        <v>5009</v>
      </c>
      <c r="D2" s="75">
        <v>7467</v>
      </c>
      <c r="E2" s="75" t="s">
        <v>23</v>
      </c>
      <c r="F2" s="75">
        <v>1</v>
      </c>
      <c r="G2" s="75" t="s">
        <v>825</v>
      </c>
      <c r="H2" s="75" t="s">
        <v>44</v>
      </c>
      <c r="I2" s="75" t="s">
        <v>25</v>
      </c>
      <c r="J2" s="75" t="s">
        <v>44</v>
      </c>
      <c r="K2" s="75" t="s">
        <v>43</v>
      </c>
      <c r="L2" s="75">
        <v>0.3</v>
      </c>
      <c r="M2" s="75">
        <v>0.24</v>
      </c>
      <c r="N2" s="75">
        <v>0.18</v>
      </c>
      <c r="O2" s="75">
        <v>0.12</v>
      </c>
      <c r="P2" s="75">
        <v>0.06</v>
      </c>
      <c r="Q2" s="75">
        <v>0</v>
      </c>
      <c r="R2" s="75"/>
      <c r="S2" s="75"/>
      <c r="T2" s="75"/>
      <c r="U2" s="75">
        <v>3</v>
      </c>
    </row>
    <row r="3" spans="2:21" x14ac:dyDescent="0.25">
      <c r="B3" s="75" t="s">
        <v>826</v>
      </c>
      <c r="C3" s="75">
        <v>7160</v>
      </c>
      <c r="D3" s="75">
        <v>7467</v>
      </c>
      <c r="E3" s="75" t="s">
        <v>41</v>
      </c>
      <c r="F3" s="75">
        <v>1</v>
      </c>
      <c r="G3" s="75" t="s">
        <v>825</v>
      </c>
      <c r="H3" s="75" t="s">
        <v>50</v>
      </c>
      <c r="I3" s="75" t="s">
        <v>51</v>
      </c>
      <c r="J3" s="75" t="s">
        <v>827</v>
      </c>
      <c r="K3" s="75" t="s">
        <v>33</v>
      </c>
      <c r="L3" s="75">
        <v>0.15</v>
      </c>
      <c r="M3" s="75">
        <v>0.12</v>
      </c>
      <c r="N3" s="75">
        <v>0.09</v>
      </c>
      <c r="O3" s="75">
        <v>0.06</v>
      </c>
      <c r="P3" s="75">
        <v>0.03</v>
      </c>
      <c r="Q3" s="75">
        <v>0</v>
      </c>
      <c r="R3" s="75"/>
      <c r="S3" s="75"/>
      <c r="T3" s="75"/>
      <c r="U3" s="75">
        <v>3</v>
      </c>
    </row>
    <row r="4" spans="2:21" x14ac:dyDescent="0.25">
      <c r="B4" s="75" t="s">
        <v>828</v>
      </c>
      <c r="C4" s="75">
        <v>7161</v>
      </c>
      <c r="D4" s="75">
        <v>7467</v>
      </c>
      <c r="E4" s="75" t="s">
        <v>34</v>
      </c>
      <c r="F4" s="75">
        <v>1</v>
      </c>
      <c r="G4" s="75" t="s">
        <v>825</v>
      </c>
      <c r="H4" s="75" t="s">
        <v>50</v>
      </c>
      <c r="I4" s="75" t="s">
        <v>51</v>
      </c>
      <c r="J4" s="75" t="s">
        <v>827</v>
      </c>
      <c r="K4" s="75" t="s">
        <v>33</v>
      </c>
      <c r="L4" s="75">
        <v>0.15</v>
      </c>
      <c r="M4" s="75">
        <v>0.12</v>
      </c>
      <c r="N4" s="75">
        <v>0.09</v>
      </c>
      <c r="O4" s="75">
        <v>0.06</v>
      </c>
      <c r="P4" s="75">
        <v>0.03</v>
      </c>
      <c r="Q4" s="75">
        <v>0</v>
      </c>
      <c r="R4" s="75"/>
      <c r="S4" s="75"/>
      <c r="T4" s="75"/>
      <c r="U4" s="75">
        <v>3</v>
      </c>
    </row>
    <row r="5" spans="2:21" x14ac:dyDescent="0.25">
      <c r="B5" s="75" t="s">
        <v>829</v>
      </c>
      <c r="C5" s="75">
        <v>7162</v>
      </c>
      <c r="D5" s="75">
        <v>7467</v>
      </c>
      <c r="E5" s="75" t="s">
        <v>23</v>
      </c>
      <c r="F5" s="75">
        <v>1</v>
      </c>
      <c r="G5" s="75" t="s">
        <v>825</v>
      </c>
      <c r="H5" s="75" t="s">
        <v>50</v>
      </c>
      <c r="I5" s="75" t="s">
        <v>51</v>
      </c>
      <c r="J5" s="75" t="s">
        <v>827</v>
      </c>
      <c r="K5" s="75" t="s">
        <v>33</v>
      </c>
      <c r="L5" s="75">
        <v>0.15</v>
      </c>
      <c r="M5" s="75">
        <v>0.12</v>
      </c>
      <c r="N5" s="75">
        <v>0.09</v>
      </c>
      <c r="O5" s="75">
        <v>0.06</v>
      </c>
      <c r="P5" s="75">
        <v>0.03</v>
      </c>
      <c r="Q5" s="75">
        <v>0</v>
      </c>
      <c r="R5" s="75"/>
      <c r="S5" s="75"/>
      <c r="T5" s="75"/>
      <c r="U5" s="75">
        <v>3</v>
      </c>
    </row>
    <row r="6" spans="2:21" x14ac:dyDescent="0.25">
      <c r="B6" s="75" t="s">
        <v>830</v>
      </c>
      <c r="C6" s="75">
        <v>7163</v>
      </c>
      <c r="D6" s="75">
        <v>7467</v>
      </c>
      <c r="E6" s="75" t="s">
        <v>23</v>
      </c>
      <c r="F6" s="75">
        <v>1</v>
      </c>
      <c r="G6" s="75" t="s">
        <v>825</v>
      </c>
      <c r="H6" s="75" t="s">
        <v>50</v>
      </c>
      <c r="I6" s="75" t="s">
        <v>51</v>
      </c>
      <c r="J6" s="75" t="s">
        <v>827</v>
      </c>
      <c r="K6" s="75" t="s">
        <v>39</v>
      </c>
      <c r="L6" s="75">
        <v>0.15</v>
      </c>
      <c r="M6" s="75">
        <v>0.12</v>
      </c>
      <c r="N6" s="75">
        <v>0.09</v>
      </c>
      <c r="O6" s="75">
        <v>0.06</v>
      </c>
      <c r="P6" s="75">
        <v>0.03</v>
      </c>
      <c r="Q6" s="75">
        <v>0</v>
      </c>
      <c r="R6" s="75"/>
      <c r="S6" s="75"/>
      <c r="T6" s="75"/>
      <c r="U6" s="75">
        <v>3</v>
      </c>
    </row>
    <row r="7" spans="2:21" x14ac:dyDescent="0.25">
      <c r="B7" s="75" t="s">
        <v>831</v>
      </c>
      <c r="C7" s="75">
        <v>7164</v>
      </c>
      <c r="D7" s="75">
        <v>7467</v>
      </c>
      <c r="E7" s="75" t="s">
        <v>37</v>
      </c>
      <c r="F7" s="75">
        <v>1</v>
      </c>
      <c r="G7" s="75" t="s">
        <v>825</v>
      </c>
      <c r="H7" s="75" t="s">
        <v>50</v>
      </c>
      <c r="I7" s="75" t="s">
        <v>51</v>
      </c>
      <c r="J7" s="75" t="s">
        <v>827</v>
      </c>
      <c r="K7" s="75" t="s">
        <v>39</v>
      </c>
      <c r="L7" s="75">
        <v>0.15</v>
      </c>
      <c r="M7" s="75">
        <v>0.12</v>
      </c>
      <c r="N7" s="75">
        <v>0.09</v>
      </c>
      <c r="O7" s="75">
        <v>0.06</v>
      </c>
      <c r="P7" s="75">
        <v>0.03</v>
      </c>
      <c r="Q7" s="75">
        <v>0</v>
      </c>
      <c r="R7" s="75"/>
      <c r="S7" s="75"/>
      <c r="T7" s="75"/>
      <c r="U7" s="75">
        <v>3</v>
      </c>
    </row>
    <row r="8" spans="2:21" x14ac:dyDescent="0.25">
      <c r="B8" s="75" t="s">
        <v>832</v>
      </c>
      <c r="C8" s="75">
        <v>7165</v>
      </c>
      <c r="D8" s="75">
        <v>7467</v>
      </c>
      <c r="E8" s="75" t="s">
        <v>23</v>
      </c>
      <c r="F8" s="75">
        <v>1</v>
      </c>
      <c r="G8" s="75" t="s">
        <v>825</v>
      </c>
      <c r="H8" s="75" t="s">
        <v>44</v>
      </c>
      <c r="I8" s="75" t="s">
        <v>92</v>
      </c>
      <c r="J8" s="75" t="s">
        <v>827</v>
      </c>
      <c r="K8" s="75" t="s">
        <v>43</v>
      </c>
      <c r="L8" s="75">
        <v>0.3</v>
      </c>
      <c r="M8" s="75">
        <v>0.24</v>
      </c>
      <c r="N8" s="75">
        <v>0.18</v>
      </c>
      <c r="O8" s="75">
        <v>0.12</v>
      </c>
      <c r="P8" s="75">
        <v>0.06</v>
      </c>
      <c r="Q8" s="75">
        <v>0</v>
      </c>
      <c r="R8" s="75"/>
      <c r="S8" s="75"/>
      <c r="T8" s="75"/>
      <c r="U8" s="75">
        <v>3</v>
      </c>
    </row>
    <row r="9" spans="2:21" x14ac:dyDescent="0.25">
      <c r="B9" s="75" t="s">
        <v>833</v>
      </c>
      <c r="C9" s="75">
        <v>7166</v>
      </c>
      <c r="D9" s="75">
        <v>7467</v>
      </c>
      <c r="E9" s="75" t="s">
        <v>37</v>
      </c>
      <c r="F9" s="75">
        <v>1</v>
      </c>
      <c r="G9" s="75" t="s">
        <v>825</v>
      </c>
      <c r="H9" s="75" t="s">
        <v>44</v>
      </c>
      <c r="I9" s="75" t="s">
        <v>92</v>
      </c>
      <c r="J9" s="75" t="s">
        <v>827</v>
      </c>
      <c r="K9" s="75" t="s">
        <v>43</v>
      </c>
      <c r="L9" s="75">
        <v>0.3</v>
      </c>
      <c r="M9" s="75">
        <v>0.24</v>
      </c>
      <c r="N9" s="75">
        <v>0.18</v>
      </c>
      <c r="O9" s="75">
        <v>0.12</v>
      </c>
      <c r="P9" s="75">
        <v>0.06</v>
      </c>
      <c r="Q9" s="75">
        <v>0</v>
      </c>
      <c r="R9" s="75"/>
      <c r="S9" s="75"/>
      <c r="T9" s="75"/>
      <c r="U9" s="75">
        <v>3</v>
      </c>
    </row>
    <row r="10" spans="2:21" x14ac:dyDescent="0.25">
      <c r="B10" s="75" t="s">
        <v>834</v>
      </c>
      <c r="C10" s="75">
        <v>7167</v>
      </c>
      <c r="D10" s="75">
        <v>7467</v>
      </c>
      <c r="E10" s="75" t="s">
        <v>41</v>
      </c>
      <c r="F10" s="75">
        <v>1</v>
      </c>
      <c r="G10" s="75" t="s">
        <v>825</v>
      </c>
      <c r="H10" s="75" t="s">
        <v>44</v>
      </c>
      <c r="I10" s="75" t="s">
        <v>25</v>
      </c>
      <c r="J10" s="75" t="s">
        <v>835</v>
      </c>
      <c r="K10" s="75" t="s">
        <v>33</v>
      </c>
      <c r="L10" s="75">
        <v>0.1</v>
      </c>
      <c r="M10" s="75">
        <v>0.08</v>
      </c>
      <c r="N10" s="75">
        <v>0.06</v>
      </c>
      <c r="O10" s="75">
        <v>0.04</v>
      </c>
      <c r="P10" s="75">
        <v>0.02</v>
      </c>
      <c r="Q10" s="75">
        <v>0</v>
      </c>
      <c r="R10" s="75"/>
      <c r="S10" s="75"/>
      <c r="T10" s="75"/>
      <c r="U10" s="75">
        <v>3</v>
      </c>
    </row>
    <row r="11" spans="2:21" x14ac:dyDescent="0.25">
      <c r="B11" s="75" t="s">
        <v>836</v>
      </c>
      <c r="C11" s="75">
        <v>7168</v>
      </c>
      <c r="D11" s="75">
        <v>7467</v>
      </c>
      <c r="E11" s="75" t="s">
        <v>34</v>
      </c>
      <c r="F11" s="75">
        <v>1</v>
      </c>
      <c r="G11" s="75" t="s">
        <v>825</v>
      </c>
      <c r="H11" s="75" t="s">
        <v>44</v>
      </c>
      <c r="I11" s="75" t="s">
        <v>25</v>
      </c>
      <c r="J11" s="75" t="s">
        <v>835</v>
      </c>
      <c r="K11" s="75" t="s">
        <v>33</v>
      </c>
      <c r="L11" s="75">
        <v>0.1</v>
      </c>
      <c r="M11" s="75">
        <v>0.08</v>
      </c>
      <c r="N11" s="75">
        <v>0.06</v>
      </c>
      <c r="O11" s="75">
        <v>0.04</v>
      </c>
      <c r="P11" s="75">
        <v>0.02</v>
      </c>
      <c r="Q11" s="75">
        <v>0</v>
      </c>
      <c r="R11" s="75"/>
      <c r="S11" s="75"/>
      <c r="T11" s="75"/>
      <c r="U11" s="75">
        <v>3</v>
      </c>
    </row>
    <row r="12" spans="2:21" x14ac:dyDescent="0.25">
      <c r="B12" s="75" t="s">
        <v>837</v>
      </c>
      <c r="C12" s="75">
        <v>7169</v>
      </c>
      <c r="D12" s="75">
        <v>7467</v>
      </c>
      <c r="E12" s="75" t="s">
        <v>23</v>
      </c>
      <c r="F12" s="75">
        <v>1</v>
      </c>
      <c r="G12" s="75" t="s">
        <v>825</v>
      </c>
      <c r="H12" s="75" t="s">
        <v>44</v>
      </c>
      <c r="I12" s="75" t="s">
        <v>25</v>
      </c>
      <c r="J12" s="75" t="s">
        <v>835</v>
      </c>
      <c r="K12" s="75" t="s">
        <v>33</v>
      </c>
      <c r="L12" s="75">
        <v>0.1</v>
      </c>
      <c r="M12" s="75">
        <v>0.08</v>
      </c>
      <c r="N12" s="75">
        <v>0.06</v>
      </c>
      <c r="O12" s="75">
        <v>0.04</v>
      </c>
      <c r="P12" s="75">
        <v>0.02</v>
      </c>
      <c r="Q12" s="75">
        <v>0</v>
      </c>
      <c r="R12" s="75"/>
      <c r="S12" s="75"/>
      <c r="T12" s="75"/>
      <c r="U12" s="75">
        <v>3</v>
      </c>
    </row>
    <row r="13" spans="2:21" x14ac:dyDescent="0.25">
      <c r="B13" s="75" t="s">
        <v>824</v>
      </c>
      <c r="C13" s="75">
        <v>7170</v>
      </c>
      <c r="D13" s="75">
        <v>7467</v>
      </c>
      <c r="E13" s="75" t="s">
        <v>23</v>
      </c>
      <c r="F13" s="75">
        <v>1</v>
      </c>
      <c r="G13" s="75" t="s">
        <v>825</v>
      </c>
      <c r="H13" s="75" t="s">
        <v>44</v>
      </c>
      <c r="I13" s="75" t="s">
        <v>25</v>
      </c>
      <c r="J13" s="75" t="s">
        <v>44</v>
      </c>
      <c r="K13" s="75" t="s">
        <v>43</v>
      </c>
      <c r="L13" s="75">
        <v>0.3</v>
      </c>
      <c r="M13" s="75">
        <v>0.24</v>
      </c>
      <c r="N13" s="75">
        <v>0.18</v>
      </c>
      <c r="O13" s="75">
        <v>0.12</v>
      </c>
      <c r="P13" s="75">
        <v>0.06</v>
      </c>
      <c r="Q13" s="75">
        <v>0</v>
      </c>
      <c r="R13" s="75"/>
      <c r="S13" s="75"/>
      <c r="T13" s="75"/>
      <c r="U13" s="75">
        <v>3</v>
      </c>
    </row>
    <row r="14" spans="2:21" x14ac:dyDescent="0.25">
      <c r="B14" s="75" t="s">
        <v>838</v>
      </c>
      <c r="C14" s="75">
        <v>7171</v>
      </c>
      <c r="D14" s="75">
        <v>7467</v>
      </c>
      <c r="E14" s="75" t="s">
        <v>23</v>
      </c>
      <c r="F14" s="75">
        <v>1</v>
      </c>
      <c r="G14" s="75" t="s">
        <v>825</v>
      </c>
      <c r="H14" s="75" t="s">
        <v>44</v>
      </c>
      <c r="I14" s="75" t="s">
        <v>93</v>
      </c>
      <c r="J14" s="75" t="s">
        <v>827</v>
      </c>
      <c r="K14" s="75" t="s">
        <v>43</v>
      </c>
      <c r="L14" s="75">
        <v>0.4</v>
      </c>
      <c r="M14" s="75">
        <v>0.32</v>
      </c>
      <c r="N14" s="75">
        <v>0.24</v>
      </c>
      <c r="O14" s="75">
        <v>0.16</v>
      </c>
      <c r="P14" s="75">
        <v>0.08</v>
      </c>
      <c r="Q14" s="75">
        <v>0</v>
      </c>
      <c r="R14" s="75"/>
      <c r="S14" s="75"/>
      <c r="T14" s="75"/>
      <c r="U14" s="75">
        <v>3</v>
      </c>
    </row>
    <row r="15" spans="2:21" x14ac:dyDescent="0.25">
      <c r="B15" s="75" t="s">
        <v>839</v>
      </c>
      <c r="C15" s="75">
        <v>7172</v>
      </c>
      <c r="D15" s="75">
        <v>7467</v>
      </c>
      <c r="E15" s="75" t="s">
        <v>37</v>
      </c>
      <c r="F15" s="75">
        <v>1</v>
      </c>
      <c r="G15" s="75" t="s">
        <v>825</v>
      </c>
      <c r="H15" s="75" t="s">
        <v>44</v>
      </c>
      <c r="I15" s="75" t="s">
        <v>93</v>
      </c>
      <c r="J15" s="75" t="s">
        <v>827</v>
      </c>
      <c r="K15" s="75" t="s">
        <v>43</v>
      </c>
      <c r="L15" s="75">
        <v>0.4</v>
      </c>
      <c r="M15" s="75">
        <v>0.32</v>
      </c>
      <c r="N15" s="75">
        <v>0.24</v>
      </c>
      <c r="O15" s="75">
        <v>0.16</v>
      </c>
      <c r="P15" s="75">
        <v>0.08</v>
      </c>
      <c r="Q15" s="75">
        <v>0</v>
      </c>
      <c r="R15" s="75"/>
      <c r="S15" s="75"/>
      <c r="T15" s="75"/>
      <c r="U15" s="75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17E13-5C8A-488D-B109-FA669B4144E5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7" bestFit="1" customWidth="1"/>
    <col min="2" max="2" width="18.42578125" style="17" customWidth="1"/>
    <col min="3" max="12" width="11" style="17" customWidth="1"/>
    <col min="13" max="16384" width="9.140625" style="17"/>
  </cols>
  <sheetData>
    <row r="1" spans="1:12" ht="12" thickBot="1" x14ac:dyDescent="0.25">
      <c r="A1" s="102" t="s">
        <v>1249</v>
      </c>
      <c r="B1" s="102" t="s">
        <v>22</v>
      </c>
      <c r="C1" s="102" t="s">
        <v>1248</v>
      </c>
      <c r="D1" s="102" t="s">
        <v>1247</v>
      </c>
      <c r="E1" s="102" t="s">
        <v>39</v>
      </c>
      <c r="F1" s="102" t="s">
        <v>1246</v>
      </c>
      <c r="G1" s="102" t="s">
        <v>1245</v>
      </c>
      <c r="H1" s="102" t="s">
        <v>746</v>
      </c>
      <c r="I1" s="102" t="s">
        <v>33</v>
      </c>
      <c r="J1" s="102" t="s">
        <v>745</v>
      </c>
      <c r="K1" s="102" t="s">
        <v>744</v>
      </c>
      <c r="L1" s="102" t="s">
        <v>743</v>
      </c>
    </row>
    <row r="2" spans="1:12" x14ac:dyDescent="0.2">
      <c r="A2" s="98" t="s">
        <v>1244</v>
      </c>
      <c r="B2" s="104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515.46174176837394</v>
      </c>
      <c r="C2" s="104">
        <f t="shared" si="0"/>
        <v>484.67088551229858</v>
      </c>
      <c r="D2" s="104">
        <f t="shared" si="0"/>
        <v>474.40726676027344</v>
      </c>
      <c r="E2" s="104">
        <f t="shared" si="0"/>
        <v>515.46174176837394</v>
      </c>
      <c r="F2" s="104">
        <f t="shared" si="0"/>
        <v>283.3899177642499</v>
      </c>
      <c r="G2" s="104">
        <f t="shared" si="0"/>
        <v>309.61916568609189</v>
      </c>
      <c r="H2" s="104">
        <f t="shared" si="0"/>
        <v>0</v>
      </c>
      <c r="I2" s="104">
        <f t="shared" si="0"/>
        <v>577.9456468053155</v>
      </c>
      <c r="J2" s="104">
        <f t="shared" si="0"/>
        <v>0</v>
      </c>
      <c r="K2" s="104">
        <f t="shared" si="0"/>
        <v>0</v>
      </c>
      <c r="L2" s="104">
        <f t="shared" si="0"/>
        <v>0</v>
      </c>
    </row>
    <row r="3" spans="1:12" ht="12" thickBot="1" x14ac:dyDescent="0.25">
      <c r="A3" s="96" t="s">
        <v>1243</v>
      </c>
      <c r="B3" s="103">
        <v>9.0399999999999991</v>
      </c>
      <c r="C3" s="103">
        <v>8.5</v>
      </c>
      <c r="D3" s="103">
        <v>8.32</v>
      </c>
      <c r="E3" s="103">
        <v>9.0399999999999991</v>
      </c>
      <c r="F3" s="103">
        <v>4.97</v>
      </c>
      <c r="G3" s="103">
        <v>5.43</v>
      </c>
      <c r="H3" s="103">
        <v>0</v>
      </c>
      <c r="I3" s="103">
        <f>'TUSD BE'!$AC$6</f>
        <v>10.135822358408456</v>
      </c>
      <c r="J3" s="103">
        <v>0</v>
      </c>
      <c r="K3" s="103">
        <v>0</v>
      </c>
      <c r="L3" s="103">
        <v>0</v>
      </c>
    </row>
    <row r="5" spans="1:12" ht="12" thickBot="1" x14ac:dyDescent="0.25">
      <c r="A5" s="102" t="s">
        <v>1242</v>
      </c>
      <c r="B5" s="102" t="s">
        <v>1241</v>
      </c>
    </row>
    <row r="6" spans="1:12" x14ac:dyDescent="0.2">
      <c r="A6" s="98" t="s">
        <v>1240</v>
      </c>
      <c r="B6" s="101">
        <v>9.9699999999999997E-2</v>
      </c>
    </row>
    <row r="7" spans="1:12" x14ac:dyDescent="0.2">
      <c r="A7" s="100" t="s">
        <v>1239</v>
      </c>
      <c r="B7" s="99">
        <v>0</v>
      </c>
    </row>
    <row r="8" spans="1:12" x14ac:dyDescent="0.2">
      <c r="A8" s="98" t="s">
        <v>1238</v>
      </c>
      <c r="B8" s="97">
        <v>20864680.390000001</v>
      </c>
    </row>
    <row r="9" spans="1:12" x14ac:dyDescent="0.2">
      <c r="A9" s="100" t="s">
        <v>1237</v>
      </c>
      <c r="B9" s="99">
        <v>0.04</v>
      </c>
    </row>
    <row r="10" spans="1:12" x14ac:dyDescent="0.2">
      <c r="A10" s="98" t="s">
        <v>1236</v>
      </c>
      <c r="B10" s="97">
        <v>9967562.0568217449</v>
      </c>
    </row>
    <row r="11" spans="1:12" ht="12" thickBot="1" x14ac:dyDescent="0.25">
      <c r="A11" s="96" t="s">
        <v>1235</v>
      </c>
      <c r="B11" s="95">
        <f>(1+$B$6)^(1/IF($B$9&lt;&gt;0,$B$9,1))*$B$6/IF((1+$B$6)^(1/IF($B$9&lt;&gt;0,$B$9,1))-1&lt;&gt;0,(1+$B$6)^(1/IF($B$9&lt;&gt;0,$B$9,1))-1,1)</f>
        <v>0.10991403975195672</v>
      </c>
    </row>
    <row r="18" spans="2:2" x14ac:dyDescent="0.2">
      <c r="B18" s="9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26DB8-6B35-4EF7-B7F5-202266025600}">
  <dimension ref="B1:AQ49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9.85546875" bestFit="1" customWidth="1"/>
    <col min="36" max="36" width="12.5703125" bestFit="1" customWidth="1"/>
    <col min="37" max="37" width="12.28515625" bestFit="1" customWidth="1"/>
    <col min="38" max="38" width="14.140625" bestFit="1" customWidth="1"/>
    <col min="39" max="39" width="25.28515625" bestFit="1" customWidth="1"/>
    <col min="40" max="40" width="17.85546875" bestFit="1" customWidth="1"/>
    <col min="41" max="41" width="13.42578125" bestFit="1" customWidth="1"/>
    <col min="42" max="42" width="13.28515625" bestFit="1" customWidth="1"/>
    <col min="43" max="43" width="12.5703125" bestFit="1" customWidth="1"/>
  </cols>
  <sheetData>
    <row r="1" spans="2:43" ht="12" customHeight="1" x14ac:dyDescent="0.25">
      <c r="L1" s="150" t="s">
        <v>1286</v>
      </c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1"/>
      <c r="AH1" s="150" t="s">
        <v>1287</v>
      </c>
      <c r="AI1" s="150"/>
      <c r="AJ1" s="150"/>
      <c r="AK1" s="150"/>
      <c r="AL1" s="150"/>
      <c r="AM1" s="150"/>
      <c r="AN1" s="150"/>
      <c r="AO1" s="150"/>
      <c r="AP1" s="150"/>
      <c r="AQ1" s="150"/>
    </row>
    <row r="2" spans="2:43" ht="12" customHeight="1" x14ac:dyDescent="0.25">
      <c r="L2" s="152" t="s">
        <v>618</v>
      </c>
      <c r="M2" s="152"/>
      <c r="N2" s="152"/>
      <c r="O2" s="152"/>
      <c r="P2" s="152"/>
      <c r="Q2" s="152"/>
      <c r="R2" s="152"/>
      <c r="S2" s="153"/>
      <c r="T2" s="152" t="s">
        <v>627</v>
      </c>
      <c r="U2" s="152"/>
      <c r="V2" s="152"/>
      <c r="W2" s="152"/>
      <c r="X2" s="152"/>
      <c r="Y2" s="152"/>
      <c r="Z2" s="153"/>
      <c r="AA2" s="114" t="s">
        <v>635</v>
      </c>
      <c r="AB2" s="152" t="s">
        <v>25</v>
      </c>
      <c r="AC2" s="153"/>
      <c r="AD2" s="152" t="s">
        <v>1285</v>
      </c>
      <c r="AE2" s="152"/>
      <c r="AF2" s="152"/>
      <c r="AG2" s="153"/>
      <c r="AH2" s="152" t="s">
        <v>618</v>
      </c>
      <c r="AI2" s="152"/>
      <c r="AJ2" s="152"/>
      <c r="AK2" s="153"/>
      <c r="AL2" s="114" t="s">
        <v>648</v>
      </c>
      <c r="AM2" s="152" t="s">
        <v>627</v>
      </c>
      <c r="AN2" s="152"/>
      <c r="AO2" s="152"/>
      <c r="AP2" s="153"/>
      <c r="AQ2" s="115" t="s">
        <v>1285</v>
      </c>
    </row>
    <row r="3" spans="2:43" ht="12" customHeight="1" x14ac:dyDescent="0.25">
      <c r="B3" s="105" t="s">
        <v>66</v>
      </c>
      <c r="C3" s="106" t="s">
        <v>67</v>
      </c>
      <c r="D3" s="106" t="s">
        <v>68</v>
      </c>
      <c r="E3" s="106" t="s">
        <v>69</v>
      </c>
      <c r="F3" s="106" t="s">
        <v>70</v>
      </c>
      <c r="G3" s="106" t="s">
        <v>72</v>
      </c>
      <c r="H3" s="106" t="s">
        <v>73</v>
      </c>
      <c r="I3" s="106" t="s">
        <v>885</v>
      </c>
      <c r="J3" s="106" t="s">
        <v>1250</v>
      </c>
      <c r="K3" s="106" t="s">
        <v>1251</v>
      </c>
      <c r="L3" s="106" t="s">
        <v>1252</v>
      </c>
      <c r="M3" s="106" t="s">
        <v>1253</v>
      </c>
      <c r="N3" s="106" t="s">
        <v>1254</v>
      </c>
      <c r="O3" s="106" t="s">
        <v>1255</v>
      </c>
      <c r="P3" s="106" t="s">
        <v>1256</v>
      </c>
      <c r="Q3" s="106" t="s">
        <v>1257</v>
      </c>
      <c r="R3" s="106" t="s">
        <v>1258</v>
      </c>
      <c r="S3" s="106" t="s">
        <v>1259</v>
      </c>
      <c r="T3" s="106" t="s">
        <v>1260</v>
      </c>
      <c r="U3" s="106" t="s">
        <v>1261</v>
      </c>
      <c r="V3" s="106" t="s">
        <v>1262</v>
      </c>
      <c r="W3" s="106" t="s">
        <v>1263</v>
      </c>
      <c r="X3" s="106" t="s">
        <v>1264</v>
      </c>
      <c r="Y3" s="106" t="s">
        <v>1265</v>
      </c>
      <c r="Z3" s="106" t="s">
        <v>1266</v>
      </c>
      <c r="AA3" s="106" t="s">
        <v>1267</v>
      </c>
      <c r="AB3" s="106" t="s">
        <v>1268</v>
      </c>
      <c r="AC3" s="106" t="s">
        <v>1269</v>
      </c>
      <c r="AD3" s="106" t="s">
        <v>1270</v>
      </c>
      <c r="AE3" s="106" t="s">
        <v>1271</v>
      </c>
      <c r="AF3" s="106" t="s">
        <v>1272</v>
      </c>
      <c r="AG3" s="106" t="s">
        <v>1273</v>
      </c>
      <c r="AH3" s="106" t="s">
        <v>1274</v>
      </c>
      <c r="AI3" s="106" t="s">
        <v>1275</v>
      </c>
      <c r="AJ3" s="106" t="s">
        <v>1276</v>
      </c>
      <c r="AK3" s="106" t="s">
        <v>1277</v>
      </c>
      <c r="AL3" s="106" t="s">
        <v>1278</v>
      </c>
      <c r="AM3" s="106" t="s">
        <v>1279</v>
      </c>
      <c r="AN3" s="106" t="s">
        <v>1280</v>
      </c>
      <c r="AO3" s="106" t="s">
        <v>1281</v>
      </c>
      <c r="AP3" s="106" t="s">
        <v>1282</v>
      </c>
      <c r="AQ3" s="107" t="s">
        <v>1283</v>
      </c>
    </row>
    <row r="4" spans="2:43" ht="12" customHeight="1" x14ac:dyDescent="0.25">
      <c r="B4" s="108" t="s">
        <v>33</v>
      </c>
      <c r="C4" s="109" t="s">
        <v>41</v>
      </c>
      <c r="D4" s="109" t="s">
        <v>25</v>
      </c>
      <c r="E4" s="109" t="s">
        <v>25</v>
      </c>
      <c r="F4" s="109" t="s">
        <v>83</v>
      </c>
      <c r="G4" s="109" t="s">
        <v>35</v>
      </c>
      <c r="H4" s="109" t="s">
        <v>76</v>
      </c>
      <c r="I4" s="109" t="s">
        <v>25</v>
      </c>
      <c r="J4" s="109">
        <v>8.26</v>
      </c>
      <c r="K4" s="109">
        <v>0</v>
      </c>
      <c r="L4" s="109">
        <v>0</v>
      </c>
      <c r="M4" s="109">
        <v>0.49814410358433697</v>
      </c>
      <c r="N4" s="109">
        <v>0</v>
      </c>
      <c r="O4" s="109">
        <v>0</v>
      </c>
      <c r="P4" s="109">
        <v>0</v>
      </c>
      <c r="Q4" s="109">
        <v>0</v>
      </c>
      <c r="R4" s="109">
        <v>0</v>
      </c>
      <c r="S4" s="109">
        <v>0</v>
      </c>
      <c r="T4" s="109">
        <v>0</v>
      </c>
      <c r="U4" s="109">
        <v>0</v>
      </c>
      <c r="V4" s="109">
        <v>0</v>
      </c>
      <c r="W4" s="109">
        <v>0</v>
      </c>
      <c r="X4" s="109">
        <v>0</v>
      </c>
      <c r="Y4" s="109">
        <v>0</v>
      </c>
      <c r="Z4" s="109">
        <v>0</v>
      </c>
      <c r="AA4" s="109">
        <v>0</v>
      </c>
      <c r="AB4" s="109">
        <v>0</v>
      </c>
      <c r="AC4" s="109">
        <v>0</v>
      </c>
      <c r="AD4" s="109">
        <v>7.70636747872474</v>
      </c>
      <c r="AE4" s="109">
        <v>5.9023261310437398E-2</v>
      </c>
      <c r="AF4" s="109">
        <v>0</v>
      </c>
      <c r="AG4" s="109">
        <v>0</v>
      </c>
      <c r="AH4" s="109">
        <v>0</v>
      </c>
      <c r="AI4" s="109">
        <v>0</v>
      </c>
      <c r="AJ4" s="109">
        <v>0</v>
      </c>
      <c r="AK4" s="109">
        <v>0</v>
      </c>
      <c r="AL4" s="109">
        <v>0</v>
      </c>
      <c r="AM4" s="109">
        <v>0</v>
      </c>
      <c r="AN4" s="109">
        <v>0</v>
      </c>
      <c r="AO4" s="109">
        <v>0</v>
      </c>
      <c r="AP4" s="109">
        <v>0</v>
      </c>
      <c r="AQ4" s="110">
        <v>0</v>
      </c>
    </row>
    <row r="5" spans="2:43" ht="12" customHeight="1" x14ac:dyDescent="0.25">
      <c r="B5" s="108" t="s">
        <v>33</v>
      </c>
      <c r="C5" s="109" t="s">
        <v>41</v>
      </c>
      <c r="D5" s="109" t="s">
        <v>25</v>
      </c>
      <c r="E5" s="109" t="s">
        <v>25</v>
      </c>
      <c r="F5" s="109" t="s">
        <v>83</v>
      </c>
      <c r="G5" s="109" t="s">
        <v>35</v>
      </c>
      <c r="H5" s="109" t="s">
        <v>79</v>
      </c>
      <c r="I5" s="109" t="s">
        <v>25</v>
      </c>
      <c r="J5" s="109">
        <v>36.43</v>
      </c>
      <c r="K5" s="109">
        <v>0</v>
      </c>
      <c r="L5" s="109">
        <v>0</v>
      </c>
      <c r="M5" s="109">
        <v>0</v>
      </c>
      <c r="N5" s="109">
        <v>0</v>
      </c>
      <c r="O5" s="109">
        <v>0</v>
      </c>
      <c r="P5" s="109">
        <v>0</v>
      </c>
      <c r="Q5" s="109">
        <v>0</v>
      </c>
      <c r="R5" s="109">
        <v>0</v>
      </c>
      <c r="S5" s="109">
        <v>0</v>
      </c>
      <c r="T5" s="109">
        <v>3.18457856292149</v>
      </c>
      <c r="U5" s="109">
        <v>2.50416460455342</v>
      </c>
      <c r="V5" s="109">
        <v>0</v>
      </c>
      <c r="W5" s="109">
        <v>0</v>
      </c>
      <c r="X5" s="109">
        <v>4.56846183973596</v>
      </c>
      <c r="Y5" s="109">
        <v>0</v>
      </c>
      <c r="Z5" s="109">
        <v>0</v>
      </c>
      <c r="AA5" s="109">
        <v>26.170081991914699</v>
      </c>
      <c r="AB5" s="109">
        <v>0</v>
      </c>
      <c r="AC5" s="109">
        <v>0</v>
      </c>
      <c r="AD5" s="109">
        <v>0</v>
      </c>
      <c r="AE5" s="109">
        <v>0</v>
      </c>
      <c r="AF5" s="109">
        <v>0</v>
      </c>
      <c r="AG5" s="109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10">
        <v>0</v>
      </c>
    </row>
    <row r="6" spans="2:43" ht="12" customHeight="1" x14ac:dyDescent="0.25">
      <c r="B6" s="108" t="s">
        <v>33</v>
      </c>
      <c r="C6" s="109" t="s">
        <v>41</v>
      </c>
      <c r="D6" s="109" t="s">
        <v>25</v>
      </c>
      <c r="E6" s="109" t="s">
        <v>25</v>
      </c>
      <c r="F6" s="109" t="s">
        <v>83</v>
      </c>
      <c r="G6" s="109" t="s">
        <v>36</v>
      </c>
      <c r="H6" s="109" t="s">
        <v>76</v>
      </c>
      <c r="I6" s="109" t="s">
        <v>25</v>
      </c>
      <c r="J6" s="109">
        <v>8.26</v>
      </c>
      <c r="K6" s="109">
        <v>0</v>
      </c>
      <c r="L6" s="109">
        <v>0</v>
      </c>
      <c r="M6" s="109">
        <v>0.49814410358433697</v>
      </c>
      <c r="N6" s="109">
        <v>0</v>
      </c>
      <c r="O6" s="109">
        <v>0</v>
      </c>
      <c r="P6" s="109">
        <v>0</v>
      </c>
      <c r="Q6" s="109">
        <v>0</v>
      </c>
      <c r="R6" s="109">
        <v>0</v>
      </c>
      <c r="S6" s="109">
        <v>0</v>
      </c>
      <c r="T6" s="109">
        <v>0</v>
      </c>
      <c r="U6" s="109">
        <v>0</v>
      </c>
      <c r="V6" s="109">
        <v>0</v>
      </c>
      <c r="W6" s="109">
        <v>0</v>
      </c>
      <c r="X6" s="109">
        <v>0</v>
      </c>
      <c r="Y6" s="109">
        <v>0</v>
      </c>
      <c r="Z6" s="109">
        <v>0</v>
      </c>
      <c r="AA6" s="109">
        <v>0</v>
      </c>
      <c r="AB6" s="109">
        <v>0</v>
      </c>
      <c r="AC6" s="109">
        <v>0</v>
      </c>
      <c r="AD6" s="109">
        <v>7.70636747872474</v>
      </c>
      <c r="AE6" s="109">
        <v>5.9023261310437398E-2</v>
      </c>
      <c r="AF6" s="109">
        <v>0</v>
      </c>
      <c r="AG6" s="109">
        <v>0</v>
      </c>
      <c r="AH6" s="109">
        <v>0</v>
      </c>
      <c r="AI6" s="109">
        <v>0</v>
      </c>
      <c r="AJ6" s="109">
        <v>0</v>
      </c>
      <c r="AK6" s="109">
        <v>0</v>
      </c>
      <c r="AL6" s="109">
        <v>0</v>
      </c>
      <c r="AM6" s="109">
        <v>0</v>
      </c>
      <c r="AN6" s="109">
        <v>0</v>
      </c>
      <c r="AO6" s="109">
        <v>0</v>
      </c>
      <c r="AP6" s="109">
        <v>0</v>
      </c>
      <c r="AQ6" s="110">
        <v>0</v>
      </c>
    </row>
    <row r="7" spans="2:43" ht="12" customHeight="1" x14ac:dyDescent="0.25">
      <c r="B7" s="108" t="s">
        <v>33</v>
      </c>
      <c r="C7" s="109" t="s">
        <v>41</v>
      </c>
      <c r="D7" s="109" t="s">
        <v>25</v>
      </c>
      <c r="E7" s="109" t="s">
        <v>25</v>
      </c>
      <c r="F7" s="109" t="s">
        <v>83</v>
      </c>
      <c r="G7" s="109" t="s">
        <v>36</v>
      </c>
      <c r="H7" s="109" t="s">
        <v>79</v>
      </c>
      <c r="I7" s="109" t="s">
        <v>25</v>
      </c>
      <c r="J7" s="109">
        <v>16.68</v>
      </c>
      <c r="K7" s="109">
        <v>0</v>
      </c>
      <c r="L7" s="109">
        <v>0</v>
      </c>
      <c r="M7" s="109">
        <v>0</v>
      </c>
      <c r="N7" s="109">
        <v>0</v>
      </c>
      <c r="O7" s="109">
        <v>0</v>
      </c>
      <c r="P7" s="109">
        <v>0</v>
      </c>
      <c r="Q7" s="109">
        <v>0</v>
      </c>
      <c r="R7" s="109">
        <v>0</v>
      </c>
      <c r="S7" s="109">
        <v>0</v>
      </c>
      <c r="T7" s="109">
        <v>3.13789478283018</v>
      </c>
      <c r="U7" s="109">
        <v>2.4917517801161502</v>
      </c>
      <c r="V7" s="109">
        <v>0</v>
      </c>
      <c r="W7" s="109">
        <v>0</v>
      </c>
      <c r="X7" s="109">
        <v>4.5013534550810999</v>
      </c>
      <c r="Y7" s="109">
        <v>0</v>
      </c>
      <c r="Z7" s="109">
        <v>0</v>
      </c>
      <c r="AA7" s="109">
        <v>6.5490419111422202</v>
      </c>
      <c r="AB7" s="109">
        <v>0</v>
      </c>
      <c r="AC7" s="109">
        <v>0</v>
      </c>
      <c r="AD7" s="109">
        <v>0</v>
      </c>
      <c r="AE7" s="109">
        <v>0</v>
      </c>
      <c r="AF7" s="109">
        <v>0</v>
      </c>
      <c r="AG7" s="109">
        <v>0</v>
      </c>
      <c r="AH7" s="109">
        <v>0</v>
      </c>
      <c r="AI7" s="109">
        <v>0</v>
      </c>
      <c r="AJ7" s="109">
        <v>0</v>
      </c>
      <c r="AK7" s="109">
        <v>0</v>
      </c>
      <c r="AL7" s="109">
        <v>0</v>
      </c>
      <c r="AM7" s="109">
        <v>0</v>
      </c>
      <c r="AN7" s="109">
        <v>0</v>
      </c>
      <c r="AO7" s="109">
        <v>0</v>
      </c>
      <c r="AP7" s="109">
        <v>0</v>
      </c>
      <c r="AQ7" s="110">
        <v>0</v>
      </c>
    </row>
    <row r="8" spans="2:43" ht="12" customHeight="1" x14ac:dyDescent="0.25">
      <c r="B8" s="108" t="s">
        <v>33</v>
      </c>
      <c r="C8" s="109" t="s">
        <v>41</v>
      </c>
      <c r="D8" s="109" t="s">
        <v>25</v>
      </c>
      <c r="E8" s="109" t="s">
        <v>25</v>
      </c>
      <c r="F8" s="109" t="s">
        <v>25</v>
      </c>
      <c r="G8" s="109" t="s">
        <v>35</v>
      </c>
      <c r="H8" s="109" t="s">
        <v>76</v>
      </c>
      <c r="I8" s="109" t="s">
        <v>25</v>
      </c>
      <c r="J8" s="109">
        <v>100.35</v>
      </c>
      <c r="K8" s="109">
        <v>210.64</v>
      </c>
      <c r="L8" s="109">
        <v>0</v>
      </c>
      <c r="M8" s="109">
        <v>0.49814410358433697</v>
      </c>
      <c r="N8" s="109">
        <v>0</v>
      </c>
      <c r="O8" s="109">
        <v>0</v>
      </c>
      <c r="P8" s="109">
        <v>0</v>
      </c>
      <c r="Q8" s="109">
        <v>77.501363715248502</v>
      </c>
      <c r="R8" s="109">
        <v>14.5815645497077</v>
      </c>
      <c r="S8" s="109">
        <v>0</v>
      </c>
      <c r="T8" s="109">
        <v>0</v>
      </c>
      <c r="U8" s="109">
        <v>0</v>
      </c>
      <c r="V8" s="109">
        <v>0</v>
      </c>
      <c r="W8" s="109">
        <v>0</v>
      </c>
      <c r="X8" s="109">
        <v>0</v>
      </c>
      <c r="Y8" s="109">
        <v>0</v>
      </c>
      <c r="Z8" s="109">
        <v>0</v>
      </c>
      <c r="AA8" s="109">
        <v>0</v>
      </c>
      <c r="AB8" s="109">
        <v>0</v>
      </c>
      <c r="AC8" s="109">
        <v>0</v>
      </c>
      <c r="AD8" s="109">
        <v>7.70636747872474</v>
      </c>
      <c r="AE8" s="109">
        <v>5.9023261310437398E-2</v>
      </c>
      <c r="AF8" s="109">
        <v>0</v>
      </c>
      <c r="AG8" s="109">
        <v>0</v>
      </c>
      <c r="AH8" s="109">
        <v>0</v>
      </c>
      <c r="AI8" s="109">
        <v>0</v>
      </c>
      <c r="AJ8" s="109">
        <v>13.7217033583046</v>
      </c>
      <c r="AK8" s="109">
        <v>0</v>
      </c>
      <c r="AL8" s="109">
        <v>195.425503802235</v>
      </c>
      <c r="AM8" s="109">
        <v>0</v>
      </c>
      <c r="AN8" s="109">
        <v>0</v>
      </c>
      <c r="AO8" s="109">
        <v>0</v>
      </c>
      <c r="AP8" s="109">
        <v>0</v>
      </c>
      <c r="AQ8" s="110">
        <v>1.49676882259863</v>
      </c>
    </row>
    <row r="9" spans="2:43" ht="12" customHeight="1" x14ac:dyDescent="0.25">
      <c r="B9" s="108" t="s">
        <v>33</v>
      </c>
      <c r="C9" s="109" t="s">
        <v>41</v>
      </c>
      <c r="D9" s="109" t="s">
        <v>25</v>
      </c>
      <c r="E9" s="109" t="s">
        <v>25</v>
      </c>
      <c r="F9" s="109" t="s">
        <v>25</v>
      </c>
      <c r="G9" s="109" t="s">
        <v>35</v>
      </c>
      <c r="H9" s="109" t="s">
        <v>79</v>
      </c>
      <c r="I9" s="109" t="s">
        <v>25</v>
      </c>
      <c r="J9" s="109">
        <v>36.43</v>
      </c>
      <c r="K9" s="109">
        <v>0</v>
      </c>
      <c r="L9" s="109">
        <v>0</v>
      </c>
      <c r="M9" s="109">
        <v>0</v>
      </c>
      <c r="N9" s="109">
        <v>0</v>
      </c>
      <c r="O9" s="109">
        <v>0</v>
      </c>
      <c r="P9" s="109">
        <v>0</v>
      </c>
      <c r="Q9" s="109">
        <v>0</v>
      </c>
      <c r="R9" s="109">
        <v>0</v>
      </c>
      <c r="S9" s="109">
        <v>0</v>
      </c>
      <c r="T9" s="109">
        <v>3.18457856292149</v>
      </c>
      <c r="U9" s="109">
        <v>2.50416460455342</v>
      </c>
      <c r="V9" s="109">
        <v>0</v>
      </c>
      <c r="W9" s="109">
        <v>0</v>
      </c>
      <c r="X9" s="109">
        <v>4.56846183973596</v>
      </c>
      <c r="Y9" s="109">
        <v>0</v>
      </c>
      <c r="Z9" s="109">
        <v>0</v>
      </c>
      <c r="AA9" s="109">
        <v>26.170081991914699</v>
      </c>
      <c r="AB9" s="109">
        <v>0</v>
      </c>
      <c r="AC9" s="109">
        <v>0</v>
      </c>
      <c r="AD9" s="109">
        <v>0</v>
      </c>
      <c r="AE9" s="109">
        <v>0</v>
      </c>
      <c r="AF9" s="109">
        <v>0</v>
      </c>
      <c r="AG9" s="109">
        <v>0</v>
      </c>
      <c r="AH9" s="109">
        <v>0</v>
      </c>
      <c r="AI9" s="109">
        <v>0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10">
        <v>0</v>
      </c>
    </row>
    <row r="10" spans="2:43" ht="12" customHeight="1" x14ac:dyDescent="0.25">
      <c r="B10" s="108" t="s">
        <v>33</v>
      </c>
      <c r="C10" s="109" t="s">
        <v>41</v>
      </c>
      <c r="D10" s="109" t="s">
        <v>25</v>
      </c>
      <c r="E10" s="109" t="s">
        <v>25</v>
      </c>
      <c r="F10" s="109" t="s">
        <v>25</v>
      </c>
      <c r="G10" s="109" t="s">
        <v>36</v>
      </c>
      <c r="H10" s="109" t="s">
        <v>76</v>
      </c>
      <c r="I10" s="109" t="s">
        <v>25</v>
      </c>
      <c r="J10" s="109">
        <v>100.35</v>
      </c>
      <c r="K10" s="109">
        <v>210.64</v>
      </c>
      <c r="L10" s="109">
        <v>0</v>
      </c>
      <c r="M10" s="109">
        <v>0.49814410358433697</v>
      </c>
      <c r="N10" s="109">
        <v>0</v>
      </c>
      <c r="O10" s="109">
        <v>0</v>
      </c>
      <c r="P10" s="109">
        <v>0</v>
      </c>
      <c r="Q10" s="109">
        <v>77.501363715248502</v>
      </c>
      <c r="R10" s="109">
        <v>14.5815645497077</v>
      </c>
      <c r="S10" s="109">
        <v>0</v>
      </c>
      <c r="T10" s="109">
        <v>0</v>
      </c>
      <c r="U10" s="109">
        <v>0</v>
      </c>
      <c r="V10" s="109">
        <v>0</v>
      </c>
      <c r="W10" s="109">
        <v>0</v>
      </c>
      <c r="X10" s="109">
        <v>0</v>
      </c>
      <c r="Y10" s="109">
        <v>0</v>
      </c>
      <c r="Z10" s="109">
        <v>0</v>
      </c>
      <c r="AA10" s="109">
        <v>0</v>
      </c>
      <c r="AB10" s="109">
        <v>0</v>
      </c>
      <c r="AC10" s="109">
        <v>0</v>
      </c>
      <c r="AD10" s="109">
        <v>7.70636747872474</v>
      </c>
      <c r="AE10" s="109">
        <v>5.9023261310437398E-2</v>
      </c>
      <c r="AF10" s="109">
        <v>0</v>
      </c>
      <c r="AG10" s="109">
        <v>0</v>
      </c>
      <c r="AH10" s="109">
        <v>0</v>
      </c>
      <c r="AI10" s="109">
        <v>0</v>
      </c>
      <c r="AJ10" s="109">
        <v>13.7217033583046</v>
      </c>
      <c r="AK10" s="109">
        <v>0</v>
      </c>
      <c r="AL10" s="109">
        <v>195.425503802235</v>
      </c>
      <c r="AM10" s="109">
        <v>0</v>
      </c>
      <c r="AN10" s="109">
        <v>0</v>
      </c>
      <c r="AO10" s="109">
        <v>0</v>
      </c>
      <c r="AP10" s="109">
        <v>0</v>
      </c>
      <c r="AQ10" s="110">
        <v>1.49676882259863</v>
      </c>
    </row>
    <row r="11" spans="2:43" ht="12" customHeight="1" x14ac:dyDescent="0.25">
      <c r="B11" s="108" t="s">
        <v>33</v>
      </c>
      <c r="C11" s="109" t="s">
        <v>41</v>
      </c>
      <c r="D11" s="109" t="s">
        <v>25</v>
      </c>
      <c r="E11" s="109" t="s">
        <v>25</v>
      </c>
      <c r="F11" s="109" t="s">
        <v>25</v>
      </c>
      <c r="G11" s="109" t="s">
        <v>36</v>
      </c>
      <c r="H11" s="109" t="s">
        <v>79</v>
      </c>
      <c r="I11" s="109" t="s">
        <v>25</v>
      </c>
      <c r="J11" s="109">
        <v>16.68</v>
      </c>
      <c r="K11" s="109">
        <v>0</v>
      </c>
      <c r="L11" s="109">
        <v>0</v>
      </c>
      <c r="M11" s="109">
        <v>0</v>
      </c>
      <c r="N11" s="109">
        <v>0</v>
      </c>
      <c r="O11" s="109">
        <v>0</v>
      </c>
      <c r="P11" s="109">
        <v>0</v>
      </c>
      <c r="Q11" s="109">
        <v>0</v>
      </c>
      <c r="R11" s="109">
        <v>0</v>
      </c>
      <c r="S11" s="109">
        <v>0</v>
      </c>
      <c r="T11" s="109">
        <v>3.13789478283018</v>
      </c>
      <c r="U11" s="109">
        <v>2.4917517801161502</v>
      </c>
      <c r="V11" s="109">
        <v>0</v>
      </c>
      <c r="W11" s="109">
        <v>0</v>
      </c>
      <c r="X11" s="109">
        <v>4.5013534550810999</v>
      </c>
      <c r="Y11" s="109">
        <v>0</v>
      </c>
      <c r="Z11" s="109">
        <v>0</v>
      </c>
      <c r="AA11" s="109">
        <v>6.5490419111422202</v>
      </c>
      <c r="AB11" s="109">
        <v>0</v>
      </c>
      <c r="AC11" s="109">
        <v>0</v>
      </c>
      <c r="AD11" s="109">
        <v>0</v>
      </c>
      <c r="AE11" s="109">
        <v>0</v>
      </c>
      <c r="AF11" s="109">
        <v>0</v>
      </c>
      <c r="AG11" s="109">
        <v>0</v>
      </c>
      <c r="AH11" s="109">
        <v>0</v>
      </c>
      <c r="AI11" s="109">
        <v>0</v>
      </c>
      <c r="AJ11" s="109">
        <v>0</v>
      </c>
      <c r="AK11" s="109">
        <v>0</v>
      </c>
      <c r="AL11" s="109">
        <v>0</v>
      </c>
      <c r="AM11" s="109">
        <v>0</v>
      </c>
      <c r="AN11" s="109">
        <v>0</v>
      </c>
      <c r="AO11" s="109">
        <v>0</v>
      </c>
      <c r="AP11" s="109">
        <v>0</v>
      </c>
      <c r="AQ11" s="110">
        <v>0</v>
      </c>
    </row>
    <row r="12" spans="2:43" ht="12" customHeight="1" x14ac:dyDescent="0.25">
      <c r="B12" s="108" t="s">
        <v>33</v>
      </c>
      <c r="C12" s="109" t="s">
        <v>84</v>
      </c>
      <c r="D12" s="109" t="s">
        <v>25</v>
      </c>
      <c r="E12" s="109" t="s">
        <v>25</v>
      </c>
      <c r="F12" s="109" t="s">
        <v>25</v>
      </c>
      <c r="G12" s="109" t="s">
        <v>25</v>
      </c>
      <c r="H12" s="109" t="s">
        <v>79</v>
      </c>
      <c r="I12" s="109" t="s">
        <v>25</v>
      </c>
      <c r="J12" s="109">
        <v>3.38</v>
      </c>
      <c r="K12" s="109">
        <v>0</v>
      </c>
      <c r="L12" s="109">
        <v>0</v>
      </c>
      <c r="M12" s="109">
        <v>0</v>
      </c>
      <c r="N12" s="109">
        <v>0</v>
      </c>
      <c r="O12" s="109">
        <v>0</v>
      </c>
      <c r="P12" s="109">
        <v>0</v>
      </c>
      <c r="Q12" s="109">
        <v>0</v>
      </c>
      <c r="R12" s="109">
        <v>0</v>
      </c>
      <c r="S12" s="109">
        <v>0</v>
      </c>
      <c r="T12" s="109">
        <v>0</v>
      </c>
      <c r="U12" s="109">
        <v>0</v>
      </c>
      <c r="V12" s="109">
        <v>0</v>
      </c>
      <c r="W12" s="109">
        <v>0</v>
      </c>
      <c r="X12" s="109">
        <v>0</v>
      </c>
      <c r="Y12" s="109">
        <v>0</v>
      </c>
      <c r="Z12" s="109">
        <v>0</v>
      </c>
      <c r="AA12" s="109">
        <v>3.3831254474664898</v>
      </c>
      <c r="AB12" s="109">
        <v>0</v>
      </c>
      <c r="AC12" s="109">
        <v>0</v>
      </c>
      <c r="AD12" s="109">
        <v>0</v>
      </c>
      <c r="AE12" s="109">
        <v>0</v>
      </c>
      <c r="AF12" s="109">
        <v>0</v>
      </c>
      <c r="AG12" s="109">
        <v>0</v>
      </c>
      <c r="AH12" s="109">
        <v>0</v>
      </c>
      <c r="AI12" s="109">
        <v>0</v>
      </c>
      <c r="AJ12" s="109">
        <v>0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10">
        <v>0</v>
      </c>
    </row>
    <row r="13" spans="2:43" ht="12" customHeight="1" x14ac:dyDescent="0.25">
      <c r="B13" s="108" t="s">
        <v>33</v>
      </c>
      <c r="C13" s="109" t="s">
        <v>34</v>
      </c>
      <c r="D13" s="109" t="s">
        <v>25</v>
      </c>
      <c r="E13" s="109" t="s">
        <v>25</v>
      </c>
      <c r="F13" s="109" t="s">
        <v>83</v>
      </c>
      <c r="G13" s="109" t="s">
        <v>35</v>
      </c>
      <c r="H13" s="109" t="s">
        <v>76</v>
      </c>
      <c r="I13" s="109" t="s">
        <v>25</v>
      </c>
      <c r="J13" s="109">
        <v>884.34</v>
      </c>
      <c r="K13" s="109">
        <v>0</v>
      </c>
      <c r="L13" s="109">
        <v>0</v>
      </c>
      <c r="M13" s="109">
        <v>0.49814410358433697</v>
      </c>
      <c r="N13" s="109">
        <v>0</v>
      </c>
      <c r="O13" s="109">
        <v>0</v>
      </c>
      <c r="P13" s="109">
        <v>0</v>
      </c>
      <c r="Q13" s="109">
        <v>0</v>
      </c>
      <c r="R13" s="109">
        <v>0</v>
      </c>
      <c r="S13" s="109">
        <v>0</v>
      </c>
      <c r="T13" s="109">
        <v>76.589009990115798</v>
      </c>
      <c r="U13" s="109">
        <v>60.226813782767998</v>
      </c>
      <c r="V13" s="109">
        <v>0</v>
      </c>
      <c r="W13" s="109">
        <v>0</v>
      </c>
      <c r="X13" s="109">
        <v>109.870987893963</v>
      </c>
      <c r="Y13" s="109">
        <v>0</v>
      </c>
      <c r="Z13" s="109">
        <v>0</v>
      </c>
      <c r="AA13" s="109">
        <v>629.389777512823</v>
      </c>
      <c r="AB13" s="109">
        <v>0</v>
      </c>
      <c r="AC13" s="109">
        <v>0</v>
      </c>
      <c r="AD13" s="109">
        <v>7.70636747872474</v>
      </c>
      <c r="AE13" s="109">
        <v>5.9023261310437398E-2</v>
      </c>
      <c r="AF13" s="109">
        <v>0</v>
      </c>
      <c r="AG13" s="109">
        <v>0</v>
      </c>
      <c r="AH13" s="109">
        <v>0</v>
      </c>
      <c r="AI13" s="109">
        <v>0</v>
      </c>
      <c r="AJ13" s="109">
        <v>0</v>
      </c>
      <c r="AK13" s="109">
        <v>0</v>
      </c>
      <c r="AL13" s="109">
        <v>0</v>
      </c>
      <c r="AM13" s="109">
        <v>0</v>
      </c>
      <c r="AN13" s="109">
        <v>0</v>
      </c>
      <c r="AO13" s="109">
        <v>0</v>
      </c>
      <c r="AP13" s="109">
        <v>0</v>
      </c>
      <c r="AQ13" s="110">
        <v>0</v>
      </c>
    </row>
    <row r="14" spans="2:43" ht="12" customHeight="1" x14ac:dyDescent="0.25">
      <c r="B14" s="108" t="s">
        <v>33</v>
      </c>
      <c r="C14" s="109" t="s">
        <v>34</v>
      </c>
      <c r="D14" s="109" t="s">
        <v>25</v>
      </c>
      <c r="E14" s="109" t="s">
        <v>25</v>
      </c>
      <c r="F14" s="109" t="s">
        <v>83</v>
      </c>
      <c r="G14" s="109" t="s">
        <v>25</v>
      </c>
      <c r="H14" s="109" t="s">
        <v>79</v>
      </c>
      <c r="I14" s="109" t="s">
        <v>25</v>
      </c>
      <c r="J14" s="109">
        <v>16.68</v>
      </c>
      <c r="K14" s="109">
        <v>0</v>
      </c>
      <c r="L14" s="109">
        <v>0</v>
      </c>
      <c r="M14" s="109">
        <v>0</v>
      </c>
      <c r="N14" s="109">
        <v>0</v>
      </c>
      <c r="O14" s="109">
        <v>0</v>
      </c>
      <c r="P14" s="109">
        <v>0</v>
      </c>
      <c r="Q14" s="109">
        <v>0</v>
      </c>
      <c r="R14" s="109">
        <v>0</v>
      </c>
      <c r="S14" s="109">
        <v>0</v>
      </c>
      <c r="T14" s="109">
        <v>3.13789478283018</v>
      </c>
      <c r="U14" s="109">
        <v>2.4917517801161502</v>
      </c>
      <c r="V14" s="109">
        <v>0</v>
      </c>
      <c r="W14" s="109">
        <v>0</v>
      </c>
      <c r="X14" s="109">
        <v>4.5013534550810999</v>
      </c>
      <c r="Y14" s="109">
        <v>0</v>
      </c>
      <c r="Z14" s="109">
        <v>0</v>
      </c>
      <c r="AA14" s="109">
        <v>6.5490419111422202</v>
      </c>
      <c r="AB14" s="109">
        <v>0</v>
      </c>
      <c r="AC14" s="109">
        <v>0</v>
      </c>
      <c r="AD14" s="109">
        <v>0</v>
      </c>
      <c r="AE14" s="109">
        <v>0</v>
      </c>
      <c r="AF14" s="109">
        <v>0</v>
      </c>
      <c r="AG14" s="109">
        <v>0</v>
      </c>
      <c r="AH14" s="109">
        <v>0</v>
      </c>
      <c r="AI14" s="109">
        <v>0</v>
      </c>
      <c r="AJ14" s="109">
        <v>0</v>
      </c>
      <c r="AK14" s="109">
        <v>0</v>
      </c>
      <c r="AL14" s="109">
        <v>0</v>
      </c>
      <c r="AM14" s="109">
        <v>0</v>
      </c>
      <c r="AN14" s="109">
        <v>0</v>
      </c>
      <c r="AO14" s="109">
        <v>0</v>
      </c>
      <c r="AP14" s="109">
        <v>0</v>
      </c>
      <c r="AQ14" s="110">
        <v>0</v>
      </c>
    </row>
    <row r="15" spans="2:43" ht="12" customHeight="1" x14ac:dyDescent="0.25">
      <c r="B15" s="108" t="s">
        <v>33</v>
      </c>
      <c r="C15" s="109" t="s">
        <v>34</v>
      </c>
      <c r="D15" s="109" t="s">
        <v>25</v>
      </c>
      <c r="E15" s="109" t="s">
        <v>25</v>
      </c>
      <c r="F15" s="109" t="s">
        <v>83</v>
      </c>
      <c r="G15" s="109" t="s">
        <v>36</v>
      </c>
      <c r="H15" s="109" t="s">
        <v>76</v>
      </c>
      <c r="I15" s="109" t="s">
        <v>25</v>
      </c>
      <c r="J15" s="109">
        <v>8.26</v>
      </c>
      <c r="K15" s="109">
        <v>0</v>
      </c>
      <c r="L15" s="109">
        <v>0</v>
      </c>
      <c r="M15" s="109">
        <v>0.49814410358433697</v>
      </c>
      <c r="N15" s="109">
        <v>0</v>
      </c>
      <c r="O15" s="109">
        <v>0</v>
      </c>
      <c r="P15" s="109">
        <v>0</v>
      </c>
      <c r="Q15" s="109">
        <v>0</v>
      </c>
      <c r="R15" s="109">
        <v>0</v>
      </c>
      <c r="S15" s="109">
        <v>0</v>
      </c>
      <c r="T15" s="109">
        <v>0</v>
      </c>
      <c r="U15" s="109">
        <v>0</v>
      </c>
      <c r="V15" s="109">
        <v>0</v>
      </c>
      <c r="W15" s="109">
        <v>0</v>
      </c>
      <c r="X15" s="109">
        <v>0</v>
      </c>
      <c r="Y15" s="109">
        <v>0</v>
      </c>
      <c r="Z15" s="109">
        <v>0</v>
      </c>
      <c r="AA15" s="109">
        <v>0</v>
      </c>
      <c r="AB15" s="109">
        <v>0</v>
      </c>
      <c r="AC15" s="109">
        <v>0</v>
      </c>
      <c r="AD15" s="109">
        <v>7.70636747872474</v>
      </c>
      <c r="AE15" s="109">
        <v>5.9023261310437398E-2</v>
      </c>
      <c r="AF15" s="109">
        <v>0</v>
      </c>
      <c r="AG15" s="109">
        <v>0</v>
      </c>
      <c r="AH15" s="109">
        <v>0</v>
      </c>
      <c r="AI15" s="109">
        <v>0</v>
      </c>
      <c r="AJ15" s="109">
        <v>0</v>
      </c>
      <c r="AK15" s="109">
        <v>0</v>
      </c>
      <c r="AL15" s="109">
        <v>0</v>
      </c>
      <c r="AM15" s="109">
        <v>0</v>
      </c>
      <c r="AN15" s="109">
        <v>0</v>
      </c>
      <c r="AO15" s="109">
        <v>0</v>
      </c>
      <c r="AP15" s="109">
        <v>0</v>
      </c>
      <c r="AQ15" s="110">
        <v>0</v>
      </c>
    </row>
    <row r="16" spans="2:43" ht="12" customHeight="1" x14ac:dyDescent="0.25">
      <c r="B16" s="108" t="s">
        <v>33</v>
      </c>
      <c r="C16" s="109" t="s">
        <v>34</v>
      </c>
      <c r="D16" s="109" t="s">
        <v>25</v>
      </c>
      <c r="E16" s="109" t="s">
        <v>25</v>
      </c>
      <c r="F16" s="109" t="s">
        <v>25</v>
      </c>
      <c r="G16" s="109" t="s">
        <v>35</v>
      </c>
      <c r="H16" s="109" t="s">
        <v>76</v>
      </c>
      <c r="I16" s="109" t="s">
        <v>25</v>
      </c>
      <c r="J16" s="109">
        <v>976.42</v>
      </c>
      <c r="K16" s="109">
        <v>210.64</v>
      </c>
      <c r="L16" s="109">
        <v>0</v>
      </c>
      <c r="M16" s="109">
        <v>0.49814410358433697</v>
      </c>
      <c r="N16" s="109">
        <v>0</v>
      </c>
      <c r="O16" s="109">
        <v>0</v>
      </c>
      <c r="P16" s="109">
        <v>0</v>
      </c>
      <c r="Q16" s="109">
        <v>77.501363715248502</v>
      </c>
      <c r="R16" s="109">
        <v>14.5815645497077</v>
      </c>
      <c r="S16" s="109">
        <v>0</v>
      </c>
      <c r="T16" s="109">
        <v>76.589009990115798</v>
      </c>
      <c r="U16" s="109">
        <v>60.226813782767998</v>
      </c>
      <c r="V16" s="109">
        <v>0</v>
      </c>
      <c r="W16" s="109">
        <v>0</v>
      </c>
      <c r="X16" s="109">
        <v>109.870987893963</v>
      </c>
      <c r="Y16" s="109">
        <v>0</v>
      </c>
      <c r="Z16" s="109">
        <v>0</v>
      </c>
      <c r="AA16" s="109">
        <v>629.389777512823</v>
      </c>
      <c r="AB16" s="109">
        <v>0</v>
      </c>
      <c r="AC16" s="109">
        <v>0</v>
      </c>
      <c r="AD16" s="109">
        <v>7.70636747872474</v>
      </c>
      <c r="AE16" s="109">
        <v>5.9023261310437398E-2</v>
      </c>
      <c r="AF16" s="109">
        <v>0</v>
      </c>
      <c r="AG16" s="109">
        <v>0</v>
      </c>
      <c r="AH16" s="109">
        <v>0</v>
      </c>
      <c r="AI16" s="109">
        <v>0</v>
      </c>
      <c r="AJ16" s="109">
        <v>13.7217033583046</v>
      </c>
      <c r="AK16" s="109">
        <v>0</v>
      </c>
      <c r="AL16" s="109">
        <v>195.425503802235</v>
      </c>
      <c r="AM16" s="109">
        <v>0</v>
      </c>
      <c r="AN16" s="109">
        <v>0</v>
      </c>
      <c r="AO16" s="109">
        <v>0</v>
      </c>
      <c r="AP16" s="109">
        <v>0</v>
      </c>
      <c r="AQ16" s="110">
        <v>1.49676882259863</v>
      </c>
    </row>
    <row r="17" spans="2:43" ht="12" customHeight="1" x14ac:dyDescent="0.25">
      <c r="B17" s="108" t="s">
        <v>33</v>
      </c>
      <c r="C17" s="109" t="s">
        <v>34</v>
      </c>
      <c r="D17" s="109" t="s">
        <v>25</v>
      </c>
      <c r="E17" s="109" t="s">
        <v>25</v>
      </c>
      <c r="F17" s="109" t="s">
        <v>25</v>
      </c>
      <c r="G17" s="109" t="s">
        <v>25</v>
      </c>
      <c r="H17" s="109" t="s">
        <v>79</v>
      </c>
      <c r="I17" s="109" t="s">
        <v>25</v>
      </c>
      <c r="J17" s="109">
        <v>16.68</v>
      </c>
      <c r="K17" s="109">
        <v>0</v>
      </c>
      <c r="L17" s="109">
        <v>0</v>
      </c>
      <c r="M17" s="109">
        <v>0</v>
      </c>
      <c r="N17" s="109">
        <v>0</v>
      </c>
      <c r="O17" s="109">
        <v>0</v>
      </c>
      <c r="P17" s="109">
        <v>0</v>
      </c>
      <c r="Q17" s="109">
        <v>0</v>
      </c>
      <c r="R17" s="109">
        <v>0</v>
      </c>
      <c r="S17" s="109">
        <v>0</v>
      </c>
      <c r="T17" s="109">
        <v>3.13789478283018</v>
      </c>
      <c r="U17" s="109">
        <v>2.4917517801161502</v>
      </c>
      <c r="V17" s="109">
        <v>0</v>
      </c>
      <c r="W17" s="109">
        <v>0</v>
      </c>
      <c r="X17" s="109">
        <v>4.5013534550810999</v>
      </c>
      <c r="Y17" s="109">
        <v>0</v>
      </c>
      <c r="Z17" s="109">
        <v>0</v>
      </c>
      <c r="AA17" s="109">
        <v>6.5490419111422202</v>
      </c>
      <c r="AB17" s="109">
        <v>0</v>
      </c>
      <c r="AC17" s="109">
        <v>0</v>
      </c>
      <c r="AD17" s="109">
        <v>0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0</v>
      </c>
      <c r="AO17" s="109">
        <v>0</v>
      </c>
      <c r="AP17" s="109">
        <v>0</v>
      </c>
      <c r="AQ17" s="110">
        <v>0</v>
      </c>
    </row>
    <row r="18" spans="2:43" ht="12" customHeight="1" x14ac:dyDescent="0.25">
      <c r="B18" s="108" t="s">
        <v>33</v>
      </c>
      <c r="C18" s="109" t="s">
        <v>34</v>
      </c>
      <c r="D18" s="109" t="s">
        <v>25</v>
      </c>
      <c r="E18" s="109" t="s">
        <v>25</v>
      </c>
      <c r="F18" s="109" t="s">
        <v>25</v>
      </c>
      <c r="G18" s="109" t="s">
        <v>36</v>
      </c>
      <c r="H18" s="109" t="s">
        <v>76</v>
      </c>
      <c r="I18" s="109" t="s">
        <v>25</v>
      </c>
      <c r="J18" s="109">
        <v>100.35</v>
      </c>
      <c r="K18" s="109">
        <v>210.64</v>
      </c>
      <c r="L18" s="109">
        <v>0</v>
      </c>
      <c r="M18" s="109">
        <v>0.49814410358433697</v>
      </c>
      <c r="N18" s="109">
        <v>0</v>
      </c>
      <c r="O18" s="109">
        <v>0</v>
      </c>
      <c r="P18" s="109">
        <v>0</v>
      </c>
      <c r="Q18" s="109">
        <v>77.501363715248502</v>
      </c>
      <c r="R18" s="109">
        <v>14.5815645497077</v>
      </c>
      <c r="S18" s="109">
        <v>0</v>
      </c>
      <c r="T18" s="109">
        <v>0</v>
      </c>
      <c r="U18" s="109">
        <v>0</v>
      </c>
      <c r="V18" s="109">
        <v>0</v>
      </c>
      <c r="W18" s="109">
        <v>0</v>
      </c>
      <c r="X18" s="109">
        <v>0</v>
      </c>
      <c r="Y18" s="109">
        <v>0</v>
      </c>
      <c r="Z18" s="109">
        <v>0</v>
      </c>
      <c r="AA18" s="109">
        <v>0</v>
      </c>
      <c r="AB18" s="109">
        <v>0</v>
      </c>
      <c r="AC18" s="109">
        <v>0</v>
      </c>
      <c r="AD18" s="109">
        <v>7.70636747872474</v>
      </c>
      <c r="AE18" s="109">
        <v>5.9023261310437398E-2</v>
      </c>
      <c r="AF18" s="109">
        <v>0</v>
      </c>
      <c r="AG18" s="109">
        <v>0</v>
      </c>
      <c r="AH18" s="109">
        <v>0</v>
      </c>
      <c r="AI18" s="109">
        <v>0</v>
      </c>
      <c r="AJ18" s="109">
        <v>13.7217033583046</v>
      </c>
      <c r="AK18" s="109">
        <v>0</v>
      </c>
      <c r="AL18" s="109">
        <v>195.425503802235</v>
      </c>
      <c r="AM18" s="109">
        <v>0</v>
      </c>
      <c r="AN18" s="109">
        <v>0</v>
      </c>
      <c r="AO18" s="109">
        <v>0</v>
      </c>
      <c r="AP18" s="109">
        <v>0</v>
      </c>
      <c r="AQ18" s="110">
        <v>1.49676882259863</v>
      </c>
    </row>
    <row r="19" spans="2:43" ht="12" customHeight="1" x14ac:dyDescent="0.25">
      <c r="B19" s="108" t="s">
        <v>85</v>
      </c>
      <c r="C19" s="109" t="s">
        <v>84</v>
      </c>
      <c r="D19" s="109" t="s">
        <v>25</v>
      </c>
      <c r="E19" s="109" t="s">
        <v>25</v>
      </c>
      <c r="F19" s="109" t="s">
        <v>86</v>
      </c>
      <c r="G19" s="109" t="s">
        <v>25</v>
      </c>
      <c r="H19" s="109" t="s">
        <v>79</v>
      </c>
      <c r="I19" s="109" t="s">
        <v>25</v>
      </c>
      <c r="J19" s="109">
        <v>3.7800000000000002</v>
      </c>
      <c r="K19" s="109">
        <v>0</v>
      </c>
      <c r="L19" s="109">
        <v>0</v>
      </c>
      <c r="M19" s="109">
        <v>0</v>
      </c>
      <c r="N19" s="109">
        <v>0</v>
      </c>
      <c r="O19" s="109">
        <v>0</v>
      </c>
      <c r="P19" s="109">
        <v>0</v>
      </c>
      <c r="Q19" s="109">
        <v>0</v>
      </c>
      <c r="R19" s="109">
        <v>0</v>
      </c>
      <c r="S19" s="109">
        <v>0</v>
      </c>
      <c r="T19" s="109">
        <v>0</v>
      </c>
      <c r="U19" s="109">
        <v>0</v>
      </c>
      <c r="V19" s="109">
        <v>0</v>
      </c>
      <c r="W19" s="109">
        <v>0</v>
      </c>
      <c r="X19" s="109">
        <v>0</v>
      </c>
      <c r="Y19" s="109">
        <v>0</v>
      </c>
      <c r="Z19" s="109">
        <v>0</v>
      </c>
      <c r="AA19" s="109">
        <v>3.7783781957109399</v>
      </c>
      <c r="AB19" s="109">
        <v>0</v>
      </c>
      <c r="AC19" s="109">
        <v>0</v>
      </c>
      <c r="AD19" s="109">
        <v>0</v>
      </c>
      <c r="AE19" s="109">
        <v>0</v>
      </c>
      <c r="AF19" s="109">
        <v>0</v>
      </c>
      <c r="AG19" s="109">
        <v>0</v>
      </c>
      <c r="AH19" s="109">
        <v>0</v>
      </c>
      <c r="AI19" s="109">
        <v>0</v>
      </c>
      <c r="AJ19" s="109">
        <v>0</v>
      </c>
      <c r="AK19" s="109">
        <v>0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10">
        <v>0</v>
      </c>
    </row>
    <row r="20" spans="2:43" ht="12" customHeight="1" x14ac:dyDescent="0.25">
      <c r="B20" s="108" t="s">
        <v>85</v>
      </c>
      <c r="C20" s="109" t="s">
        <v>84</v>
      </c>
      <c r="D20" s="109" t="s">
        <v>25</v>
      </c>
      <c r="E20" s="109" t="s">
        <v>25</v>
      </c>
      <c r="F20" s="109" t="s">
        <v>87</v>
      </c>
      <c r="G20" s="109" t="s">
        <v>25</v>
      </c>
      <c r="H20" s="109" t="s">
        <v>79</v>
      </c>
      <c r="I20" s="109" t="s">
        <v>25</v>
      </c>
      <c r="J20" s="109">
        <v>7.6899999999999995</v>
      </c>
      <c r="K20" s="109">
        <v>0</v>
      </c>
      <c r="L20" s="109">
        <v>0</v>
      </c>
      <c r="M20" s="109">
        <v>0</v>
      </c>
      <c r="N20" s="109">
        <v>0</v>
      </c>
      <c r="O20" s="109">
        <v>0</v>
      </c>
      <c r="P20" s="109">
        <v>0</v>
      </c>
      <c r="Q20" s="109">
        <v>0</v>
      </c>
      <c r="R20" s="109">
        <v>0</v>
      </c>
      <c r="S20" s="109">
        <v>0</v>
      </c>
      <c r="T20" s="109">
        <v>0</v>
      </c>
      <c r="U20" s="109">
        <v>0</v>
      </c>
      <c r="V20" s="109">
        <v>0</v>
      </c>
      <c r="W20" s="109">
        <v>0</v>
      </c>
      <c r="X20" s="109">
        <v>0</v>
      </c>
      <c r="Y20" s="109">
        <v>0</v>
      </c>
      <c r="Z20" s="109">
        <v>0</v>
      </c>
      <c r="AA20" s="109">
        <v>7.6862294054405904</v>
      </c>
      <c r="AB20" s="109">
        <v>0</v>
      </c>
      <c r="AC20" s="109">
        <v>0</v>
      </c>
      <c r="AD20" s="109">
        <v>0</v>
      </c>
      <c r="AE20" s="109">
        <v>0</v>
      </c>
      <c r="AF20" s="109">
        <v>0</v>
      </c>
      <c r="AG20" s="109">
        <v>0</v>
      </c>
      <c r="AH20" s="109">
        <v>0</v>
      </c>
      <c r="AI20" s="109">
        <v>0</v>
      </c>
      <c r="AJ20" s="109">
        <v>0</v>
      </c>
      <c r="AK20" s="109">
        <v>0</v>
      </c>
      <c r="AL20" s="109">
        <v>0</v>
      </c>
      <c r="AM20" s="109">
        <v>0</v>
      </c>
      <c r="AN20" s="109">
        <v>0</v>
      </c>
      <c r="AO20" s="109">
        <v>0</v>
      </c>
      <c r="AP20" s="109">
        <v>0</v>
      </c>
      <c r="AQ20" s="110">
        <v>0</v>
      </c>
    </row>
    <row r="21" spans="2:43" ht="12" customHeight="1" x14ac:dyDescent="0.25">
      <c r="B21" s="108" t="s">
        <v>22</v>
      </c>
      <c r="C21" s="109" t="s">
        <v>37</v>
      </c>
      <c r="D21" s="109" t="s">
        <v>24</v>
      </c>
      <c r="E21" s="109" t="s">
        <v>24</v>
      </c>
      <c r="F21" s="109" t="s">
        <v>25</v>
      </c>
      <c r="G21" s="109" t="s">
        <v>35</v>
      </c>
      <c r="H21" s="109" t="s">
        <v>76</v>
      </c>
      <c r="I21" s="109" t="s">
        <v>25</v>
      </c>
      <c r="J21" s="109">
        <v>611.86</v>
      </c>
      <c r="K21" s="109">
        <v>210.64</v>
      </c>
      <c r="L21" s="109">
        <v>0</v>
      </c>
      <c r="M21" s="109">
        <v>1.1765423397400201</v>
      </c>
      <c r="N21" s="109">
        <v>0</v>
      </c>
      <c r="O21" s="109">
        <v>0</v>
      </c>
      <c r="P21" s="109">
        <v>0</v>
      </c>
      <c r="Q21" s="109">
        <v>92.263528232438702</v>
      </c>
      <c r="R21" s="109">
        <v>14.5815645497077</v>
      </c>
      <c r="S21" s="109">
        <v>0</v>
      </c>
      <c r="T21" s="109">
        <v>36.277111758894101</v>
      </c>
      <c r="U21" s="109">
        <v>28.6321081107276</v>
      </c>
      <c r="V21" s="109">
        <v>0</v>
      </c>
      <c r="W21" s="109">
        <v>0</v>
      </c>
      <c r="X21" s="109">
        <v>52.041483046364903</v>
      </c>
      <c r="Y21" s="109">
        <v>0</v>
      </c>
      <c r="Z21" s="109">
        <v>0</v>
      </c>
      <c r="AA21" s="109">
        <v>369.308105076027</v>
      </c>
      <c r="AB21" s="109">
        <v>0</v>
      </c>
      <c r="AC21" s="109">
        <v>0</v>
      </c>
      <c r="AD21" s="109">
        <v>17.446482312309598</v>
      </c>
      <c r="AE21" s="109">
        <v>0.133623044490188</v>
      </c>
      <c r="AF21" s="109">
        <v>0</v>
      </c>
      <c r="AG21" s="109">
        <v>0</v>
      </c>
      <c r="AH21" s="109">
        <v>0</v>
      </c>
      <c r="AI21" s="109">
        <v>0</v>
      </c>
      <c r="AJ21" s="109">
        <v>13.7217033583046</v>
      </c>
      <c r="AK21" s="109">
        <v>0</v>
      </c>
      <c r="AL21" s="109">
        <v>195.425503802235</v>
      </c>
      <c r="AM21" s="109">
        <v>0</v>
      </c>
      <c r="AN21" s="109">
        <v>0</v>
      </c>
      <c r="AO21" s="109">
        <v>0</v>
      </c>
      <c r="AP21" s="109">
        <v>0</v>
      </c>
      <c r="AQ21" s="110">
        <v>1.49676882259863</v>
      </c>
    </row>
    <row r="22" spans="2:43" ht="12" customHeight="1" x14ac:dyDescent="0.25">
      <c r="B22" s="108" t="s">
        <v>22</v>
      </c>
      <c r="C22" s="109" t="s">
        <v>37</v>
      </c>
      <c r="D22" s="109" t="s">
        <v>24</v>
      </c>
      <c r="E22" s="109" t="s">
        <v>24</v>
      </c>
      <c r="F22" s="109" t="s">
        <v>25</v>
      </c>
      <c r="G22" s="109" t="s">
        <v>38</v>
      </c>
      <c r="H22" s="109" t="s">
        <v>76</v>
      </c>
      <c r="I22" s="109" t="s">
        <v>25</v>
      </c>
      <c r="J22" s="109">
        <v>417.36</v>
      </c>
      <c r="K22" s="109">
        <v>210.64</v>
      </c>
      <c r="L22" s="109">
        <v>0</v>
      </c>
      <c r="M22" s="109">
        <v>1.1765423397400201</v>
      </c>
      <c r="N22" s="109">
        <v>0</v>
      </c>
      <c r="O22" s="109">
        <v>0</v>
      </c>
      <c r="P22" s="109">
        <v>0</v>
      </c>
      <c r="Q22" s="109">
        <v>92.263528232438702</v>
      </c>
      <c r="R22" s="109">
        <v>14.5815645497077</v>
      </c>
      <c r="S22" s="109">
        <v>0</v>
      </c>
      <c r="T22" s="109">
        <v>21.766448704286201</v>
      </c>
      <c r="U22" s="109">
        <v>17.179419150130101</v>
      </c>
      <c r="V22" s="109">
        <v>0</v>
      </c>
      <c r="W22" s="109">
        <v>0</v>
      </c>
      <c r="X22" s="109">
        <v>31.2250527616815</v>
      </c>
      <c r="Y22" s="109">
        <v>0</v>
      </c>
      <c r="Z22" s="109">
        <v>0</v>
      </c>
      <c r="AA22" s="109">
        <v>221.584833653331</v>
      </c>
      <c r="AB22" s="109">
        <v>0</v>
      </c>
      <c r="AC22" s="109">
        <v>0</v>
      </c>
      <c r="AD22" s="109">
        <v>17.446482312309598</v>
      </c>
      <c r="AE22" s="109">
        <v>0.133623044490188</v>
      </c>
      <c r="AF22" s="109">
        <v>0</v>
      </c>
      <c r="AG22" s="109">
        <v>0</v>
      </c>
      <c r="AH22" s="109">
        <v>0</v>
      </c>
      <c r="AI22" s="109">
        <v>0</v>
      </c>
      <c r="AJ22" s="109">
        <v>13.7217033583046</v>
      </c>
      <c r="AK22" s="109">
        <v>0</v>
      </c>
      <c r="AL22" s="109">
        <v>195.425503802235</v>
      </c>
      <c r="AM22" s="109">
        <v>0</v>
      </c>
      <c r="AN22" s="109">
        <v>0</v>
      </c>
      <c r="AO22" s="109">
        <v>0</v>
      </c>
      <c r="AP22" s="109">
        <v>0</v>
      </c>
      <c r="AQ22" s="110">
        <v>1.49676882259863</v>
      </c>
    </row>
    <row r="23" spans="2:43" ht="12" customHeight="1" x14ac:dyDescent="0.25">
      <c r="B23" s="108" t="s">
        <v>22</v>
      </c>
      <c r="C23" s="109" t="s">
        <v>37</v>
      </c>
      <c r="D23" s="109" t="s">
        <v>24</v>
      </c>
      <c r="E23" s="109" t="s">
        <v>24</v>
      </c>
      <c r="F23" s="109" t="s">
        <v>25</v>
      </c>
      <c r="G23" s="109" t="s">
        <v>36</v>
      </c>
      <c r="H23" s="109" t="s">
        <v>76</v>
      </c>
      <c r="I23" s="109" t="s">
        <v>25</v>
      </c>
      <c r="J23" s="109">
        <v>222.85</v>
      </c>
      <c r="K23" s="109">
        <v>210.64</v>
      </c>
      <c r="L23" s="109">
        <v>0</v>
      </c>
      <c r="M23" s="109">
        <v>1.1765423397400201</v>
      </c>
      <c r="N23" s="109">
        <v>0</v>
      </c>
      <c r="O23" s="109">
        <v>0</v>
      </c>
      <c r="P23" s="109">
        <v>0</v>
      </c>
      <c r="Q23" s="109">
        <v>92.263528232438702</v>
      </c>
      <c r="R23" s="109">
        <v>14.5815645497077</v>
      </c>
      <c r="S23" s="109">
        <v>0</v>
      </c>
      <c r="T23" s="109">
        <v>7.2555131762537002</v>
      </c>
      <c r="U23" s="109">
        <v>5.7263795447745496</v>
      </c>
      <c r="V23" s="109">
        <v>0</v>
      </c>
      <c r="W23" s="109">
        <v>0</v>
      </c>
      <c r="X23" s="109">
        <v>10.4083169760058</v>
      </c>
      <c r="Y23" s="109">
        <v>0</v>
      </c>
      <c r="Z23" s="109">
        <v>0</v>
      </c>
      <c r="AA23" s="109">
        <v>73.861635711347702</v>
      </c>
      <c r="AB23" s="109">
        <v>0</v>
      </c>
      <c r="AC23" s="109">
        <v>0</v>
      </c>
      <c r="AD23" s="109">
        <v>17.446482312309598</v>
      </c>
      <c r="AE23" s="109">
        <v>0.133623044490188</v>
      </c>
      <c r="AF23" s="109">
        <v>0</v>
      </c>
      <c r="AG23" s="109">
        <v>0</v>
      </c>
      <c r="AH23" s="109">
        <v>0</v>
      </c>
      <c r="AI23" s="109">
        <v>0</v>
      </c>
      <c r="AJ23" s="109">
        <v>13.7217033583046</v>
      </c>
      <c r="AK23" s="109">
        <v>0</v>
      </c>
      <c r="AL23" s="109">
        <v>195.425503802235</v>
      </c>
      <c r="AM23" s="109">
        <v>0</v>
      </c>
      <c r="AN23" s="109">
        <v>0</v>
      </c>
      <c r="AO23" s="109">
        <v>0</v>
      </c>
      <c r="AP23" s="109">
        <v>0</v>
      </c>
      <c r="AQ23" s="110">
        <v>1.49676882259863</v>
      </c>
    </row>
    <row r="24" spans="2:43" ht="12" customHeight="1" x14ac:dyDescent="0.25">
      <c r="B24" s="108" t="s">
        <v>22</v>
      </c>
      <c r="C24" s="109" t="s">
        <v>23</v>
      </c>
      <c r="D24" s="109" t="s">
        <v>24</v>
      </c>
      <c r="E24" s="109" t="s">
        <v>1284</v>
      </c>
      <c r="F24" s="109" t="s">
        <v>25</v>
      </c>
      <c r="G24" s="109" t="s">
        <v>25</v>
      </c>
      <c r="H24" s="109" t="s">
        <v>76</v>
      </c>
      <c r="I24" s="109" t="s">
        <v>25</v>
      </c>
      <c r="J24" s="109">
        <v>213.26</v>
      </c>
      <c r="K24" s="109">
        <v>210.64</v>
      </c>
      <c r="L24" s="109">
        <v>0</v>
      </c>
      <c r="M24" s="109">
        <v>1.1765423397400201</v>
      </c>
      <c r="N24" s="109">
        <v>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109">
        <v>14.510935528032499</v>
      </c>
      <c r="U24" s="109">
        <v>11.452969476404</v>
      </c>
      <c r="V24" s="109">
        <v>0</v>
      </c>
      <c r="W24" s="109">
        <v>0</v>
      </c>
      <c r="X24" s="109">
        <v>20.8166339520116</v>
      </c>
      <c r="Y24" s="109">
        <v>0</v>
      </c>
      <c r="Z24" s="109">
        <v>0</v>
      </c>
      <c r="AA24" s="109">
        <v>147.72312446127199</v>
      </c>
      <c r="AB24" s="109">
        <v>0</v>
      </c>
      <c r="AC24" s="109">
        <v>0</v>
      </c>
      <c r="AD24" s="109">
        <v>17.446482312309598</v>
      </c>
      <c r="AE24" s="109">
        <v>0.133623044490188</v>
      </c>
      <c r="AF24" s="109">
        <v>0</v>
      </c>
      <c r="AG24" s="109">
        <v>0</v>
      </c>
      <c r="AH24" s="109">
        <v>0</v>
      </c>
      <c r="AI24" s="109">
        <v>0</v>
      </c>
      <c r="AJ24" s="109">
        <v>13.7217033583046</v>
      </c>
      <c r="AK24" s="109">
        <v>0</v>
      </c>
      <c r="AL24" s="109">
        <v>195.425503802235</v>
      </c>
      <c r="AM24" s="109">
        <v>0</v>
      </c>
      <c r="AN24" s="109">
        <v>0</v>
      </c>
      <c r="AO24" s="109">
        <v>0</v>
      </c>
      <c r="AP24" s="109">
        <v>0</v>
      </c>
      <c r="AQ24" s="110">
        <v>1.49676882259863</v>
      </c>
    </row>
    <row r="25" spans="2:43" ht="12" customHeight="1" x14ac:dyDescent="0.25">
      <c r="B25" s="108" t="s">
        <v>22</v>
      </c>
      <c r="C25" s="109" t="s">
        <v>23</v>
      </c>
      <c r="D25" s="109" t="s">
        <v>24</v>
      </c>
      <c r="E25" s="109" t="s">
        <v>24</v>
      </c>
      <c r="F25" s="109" t="s">
        <v>25</v>
      </c>
      <c r="G25" s="109" t="s">
        <v>25</v>
      </c>
      <c r="H25" s="109" t="s">
        <v>76</v>
      </c>
      <c r="I25" s="109" t="s">
        <v>25</v>
      </c>
      <c r="J25" s="109">
        <v>320.11</v>
      </c>
      <c r="K25" s="109">
        <v>210.64</v>
      </c>
      <c r="L25" s="109">
        <v>0</v>
      </c>
      <c r="M25" s="109">
        <v>1.1765423397400201</v>
      </c>
      <c r="N25" s="109">
        <v>0</v>
      </c>
      <c r="O25" s="109">
        <v>0</v>
      </c>
      <c r="P25" s="109">
        <v>0</v>
      </c>
      <c r="Q25" s="109">
        <v>92.263528232438702</v>
      </c>
      <c r="R25" s="109">
        <v>14.5815645497077</v>
      </c>
      <c r="S25" s="109">
        <v>0</v>
      </c>
      <c r="T25" s="109">
        <v>14.510935528032499</v>
      </c>
      <c r="U25" s="109">
        <v>11.452969476404</v>
      </c>
      <c r="V25" s="109">
        <v>0</v>
      </c>
      <c r="W25" s="109">
        <v>0</v>
      </c>
      <c r="X25" s="109">
        <v>20.8166339520116</v>
      </c>
      <c r="Y25" s="109">
        <v>0</v>
      </c>
      <c r="Z25" s="109">
        <v>0</v>
      </c>
      <c r="AA25" s="109">
        <v>147.72312446127199</v>
      </c>
      <c r="AB25" s="109">
        <v>0</v>
      </c>
      <c r="AC25" s="109">
        <v>0</v>
      </c>
      <c r="AD25" s="109">
        <v>17.446482312309598</v>
      </c>
      <c r="AE25" s="109">
        <v>0.133623044490188</v>
      </c>
      <c r="AF25" s="109">
        <v>0</v>
      </c>
      <c r="AG25" s="109">
        <v>0</v>
      </c>
      <c r="AH25" s="109">
        <v>0</v>
      </c>
      <c r="AI25" s="109">
        <v>0</v>
      </c>
      <c r="AJ25" s="109">
        <v>13.7217033583046</v>
      </c>
      <c r="AK25" s="109">
        <v>0</v>
      </c>
      <c r="AL25" s="109">
        <v>195.425503802235</v>
      </c>
      <c r="AM25" s="109">
        <v>0</v>
      </c>
      <c r="AN25" s="109">
        <v>0</v>
      </c>
      <c r="AO25" s="109">
        <v>0</v>
      </c>
      <c r="AP25" s="109">
        <v>0</v>
      </c>
      <c r="AQ25" s="110">
        <v>1.49676882259863</v>
      </c>
    </row>
    <row r="26" spans="2:43" ht="12" customHeight="1" x14ac:dyDescent="0.25">
      <c r="B26" s="108" t="s">
        <v>22</v>
      </c>
      <c r="C26" s="109" t="s">
        <v>91</v>
      </c>
      <c r="D26" s="109" t="s">
        <v>24</v>
      </c>
      <c r="E26" s="109" t="s">
        <v>1284</v>
      </c>
      <c r="F26" s="109" t="s">
        <v>25</v>
      </c>
      <c r="G26" s="109" t="s">
        <v>25</v>
      </c>
      <c r="H26" s="109" t="s">
        <v>76</v>
      </c>
      <c r="I26" s="109" t="s">
        <v>25</v>
      </c>
      <c r="J26" s="109">
        <v>213.26</v>
      </c>
      <c r="K26" s="109">
        <v>210.64</v>
      </c>
      <c r="L26" s="109">
        <v>0</v>
      </c>
      <c r="M26" s="109">
        <v>1.1765423397400201</v>
      </c>
      <c r="N26" s="109">
        <v>0</v>
      </c>
      <c r="O26" s="109">
        <v>0</v>
      </c>
      <c r="P26" s="109">
        <v>0</v>
      </c>
      <c r="Q26" s="109">
        <v>0</v>
      </c>
      <c r="R26" s="109">
        <v>0</v>
      </c>
      <c r="S26" s="109">
        <v>0</v>
      </c>
      <c r="T26" s="109">
        <v>14.510935528032499</v>
      </c>
      <c r="U26" s="109">
        <v>11.452969476404</v>
      </c>
      <c r="V26" s="109">
        <v>0</v>
      </c>
      <c r="W26" s="109">
        <v>0</v>
      </c>
      <c r="X26" s="109">
        <v>20.8166339520116</v>
      </c>
      <c r="Y26" s="109">
        <v>0</v>
      </c>
      <c r="Z26" s="109">
        <v>0</v>
      </c>
      <c r="AA26" s="109">
        <v>147.72312446127199</v>
      </c>
      <c r="AB26" s="109">
        <v>0</v>
      </c>
      <c r="AC26" s="109">
        <v>0</v>
      </c>
      <c r="AD26" s="109">
        <v>17.446482312309598</v>
      </c>
      <c r="AE26" s="109">
        <v>0.133623044490188</v>
      </c>
      <c r="AF26" s="109">
        <v>0</v>
      </c>
      <c r="AG26" s="109">
        <v>0</v>
      </c>
      <c r="AH26" s="109">
        <v>0</v>
      </c>
      <c r="AI26" s="109">
        <v>0</v>
      </c>
      <c r="AJ26" s="109">
        <v>13.7217033583046</v>
      </c>
      <c r="AK26" s="109">
        <v>0</v>
      </c>
      <c r="AL26" s="109">
        <v>195.425503802235</v>
      </c>
      <c r="AM26" s="109">
        <v>0</v>
      </c>
      <c r="AN26" s="109">
        <v>0</v>
      </c>
      <c r="AO26" s="109">
        <v>0</v>
      </c>
      <c r="AP26" s="109">
        <v>0</v>
      </c>
      <c r="AQ26" s="110">
        <v>1.49676882259863</v>
      </c>
    </row>
    <row r="27" spans="2:43" ht="12" customHeight="1" x14ac:dyDescent="0.25">
      <c r="B27" s="108" t="s">
        <v>22</v>
      </c>
      <c r="C27" s="109" t="s">
        <v>91</v>
      </c>
      <c r="D27" s="109" t="s">
        <v>24</v>
      </c>
      <c r="E27" s="109" t="s">
        <v>24</v>
      </c>
      <c r="F27" s="109" t="s">
        <v>25</v>
      </c>
      <c r="G27" s="109" t="s">
        <v>25</v>
      </c>
      <c r="H27" s="109" t="s">
        <v>76</v>
      </c>
      <c r="I27" s="109" t="s">
        <v>25</v>
      </c>
      <c r="J27" s="109">
        <v>320.11</v>
      </c>
      <c r="K27" s="109">
        <v>210.64</v>
      </c>
      <c r="L27" s="109">
        <v>0</v>
      </c>
      <c r="M27" s="109">
        <v>1.1765423397400201</v>
      </c>
      <c r="N27" s="109">
        <v>0</v>
      </c>
      <c r="O27" s="109">
        <v>0</v>
      </c>
      <c r="P27" s="109">
        <v>0</v>
      </c>
      <c r="Q27" s="109">
        <v>92.263528232438702</v>
      </c>
      <c r="R27" s="109">
        <v>14.5815645497077</v>
      </c>
      <c r="S27" s="109">
        <v>0</v>
      </c>
      <c r="T27" s="109">
        <v>14.510935528032499</v>
      </c>
      <c r="U27" s="109">
        <v>11.452969476404</v>
      </c>
      <c r="V27" s="109">
        <v>0</v>
      </c>
      <c r="W27" s="109">
        <v>0</v>
      </c>
      <c r="X27" s="109">
        <v>20.8166339520116</v>
      </c>
      <c r="Y27" s="109">
        <v>0</v>
      </c>
      <c r="Z27" s="109">
        <v>0</v>
      </c>
      <c r="AA27" s="109">
        <v>147.72312446127199</v>
      </c>
      <c r="AB27" s="109">
        <v>0</v>
      </c>
      <c r="AC27" s="109">
        <v>0</v>
      </c>
      <c r="AD27" s="109">
        <v>17.446482312309598</v>
      </c>
      <c r="AE27" s="109">
        <v>0.133623044490188</v>
      </c>
      <c r="AF27" s="109">
        <v>0</v>
      </c>
      <c r="AG27" s="109">
        <v>0</v>
      </c>
      <c r="AH27" s="109">
        <v>0</v>
      </c>
      <c r="AI27" s="109">
        <v>0</v>
      </c>
      <c r="AJ27" s="109">
        <v>13.7217033583046</v>
      </c>
      <c r="AK27" s="109">
        <v>0</v>
      </c>
      <c r="AL27" s="109">
        <v>195.425503802235</v>
      </c>
      <c r="AM27" s="109">
        <v>0</v>
      </c>
      <c r="AN27" s="109">
        <v>0</v>
      </c>
      <c r="AO27" s="109">
        <v>0</v>
      </c>
      <c r="AP27" s="109">
        <v>0</v>
      </c>
      <c r="AQ27" s="110">
        <v>1.49676882259863</v>
      </c>
    </row>
    <row r="28" spans="2:43" ht="12" customHeight="1" x14ac:dyDescent="0.25">
      <c r="B28" s="108" t="s">
        <v>43</v>
      </c>
      <c r="C28" s="109" t="s">
        <v>37</v>
      </c>
      <c r="D28" s="109" t="s">
        <v>44</v>
      </c>
      <c r="E28" s="109" t="s">
        <v>92</v>
      </c>
      <c r="F28" s="109" t="s">
        <v>25</v>
      </c>
      <c r="G28" s="109" t="s">
        <v>35</v>
      </c>
      <c r="H28" s="109" t="s">
        <v>76</v>
      </c>
      <c r="I28" s="109" t="s">
        <v>25</v>
      </c>
      <c r="J28" s="109">
        <v>620.86</v>
      </c>
      <c r="K28" s="109">
        <v>198.01</v>
      </c>
      <c r="L28" s="109">
        <v>0</v>
      </c>
      <c r="M28" s="109">
        <v>1.10594979935562</v>
      </c>
      <c r="N28" s="109">
        <v>0</v>
      </c>
      <c r="O28" s="109">
        <v>0</v>
      </c>
      <c r="P28" s="109">
        <v>0</v>
      </c>
      <c r="Q28" s="109">
        <v>86.727716538492402</v>
      </c>
      <c r="R28" s="109">
        <v>13.706670676725199</v>
      </c>
      <c r="S28" s="109">
        <v>0</v>
      </c>
      <c r="T28" s="109">
        <v>37.510704308709201</v>
      </c>
      <c r="U28" s="109">
        <v>29.6058107343788</v>
      </c>
      <c r="V28" s="109">
        <v>0</v>
      </c>
      <c r="W28" s="109">
        <v>0</v>
      </c>
      <c r="X28" s="109">
        <v>53.8110466277721</v>
      </c>
      <c r="Y28" s="109">
        <v>0</v>
      </c>
      <c r="Z28" s="109">
        <v>0</v>
      </c>
      <c r="AA28" s="109">
        <v>381.86458755579901</v>
      </c>
      <c r="AB28" s="109">
        <v>0</v>
      </c>
      <c r="AC28" s="109">
        <v>0</v>
      </c>
      <c r="AD28" s="109">
        <v>16.399693373571001</v>
      </c>
      <c r="AE28" s="109">
        <v>0.12560566182077701</v>
      </c>
      <c r="AF28" s="109">
        <v>0</v>
      </c>
      <c r="AG28" s="109">
        <v>0</v>
      </c>
      <c r="AH28" s="109">
        <v>0</v>
      </c>
      <c r="AI28" s="109">
        <v>0</v>
      </c>
      <c r="AJ28" s="109">
        <v>12.898401156806401</v>
      </c>
      <c r="AK28" s="109">
        <v>0</v>
      </c>
      <c r="AL28" s="109">
        <v>183.69997357410099</v>
      </c>
      <c r="AM28" s="109">
        <v>0</v>
      </c>
      <c r="AN28" s="109">
        <v>0</v>
      </c>
      <c r="AO28" s="109">
        <v>0</v>
      </c>
      <c r="AP28" s="109">
        <v>0</v>
      </c>
      <c r="AQ28" s="110">
        <v>1.4069626932427099</v>
      </c>
    </row>
    <row r="29" spans="2:43" ht="12" customHeight="1" x14ac:dyDescent="0.25">
      <c r="B29" s="108" t="s">
        <v>43</v>
      </c>
      <c r="C29" s="109" t="s">
        <v>37</v>
      </c>
      <c r="D29" s="109" t="s">
        <v>44</v>
      </c>
      <c r="E29" s="109" t="s">
        <v>92</v>
      </c>
      <c r="F29" s="109" t="s">
        <v>25</v>
      </c>
      <c r="G29" s="109" t="s">
        <v>38</v>
      </c>
      <c r="H29" s="109" t="s">
        <v>76</v>
      </c>
      <c r="I29" s="109" t="s">
        <v>25</v>
      </c>
      <c r="J29" s="109">
        <v>419.74</v>
      </c>
      <c r="K29" s="109">
        <v>198.01</v>
      </c>
      <c r="L29" s="109">
        <v>0</v>
      </c>
      <c r="M29" s="109">
        <v>1.10594979935562</v>
      </c>
      <c r="N29" s="109">
        <v>0</v>
      </c>
      <c r="O29" s="109">
        <v>0</v>
      </c>
      <c r="P29" s="109">
        <v>0</v>
      </c>
      <c r="Q29" s="109">
        <v>86.727716538492402</v>
      </c>
      <c r="R29" s="109">
        <v>13.706670676725199</v>
      </c>
      <c r="S29" s="109">
        <v>0</v>
      </c>
      <c r="T29" s="109">
        <v>22.506473810229402</v>
      </c>
      <c r="U29" s="109">
        <v>17.763394150926999</v>
      </c>
      <c r="V29" s="109">
        <v>0</v>
      </c>
      <c r="W29" s="109">
        <v>0</v>
      </c>
      <c r="X29" s="109">
        <v>32.286627976663297</v>
      </c>
      <c r="Y29" s="109">
        <v>0</v>
      </c>
      <c r="Z29" s="109">
        <v>0</v>
      </c>
      <c r="AA29" s="109">
        <v>229.118711090358</v>
      </c>
      <c r="AB29" s="109">
        <v>0</v>
      </c>
      <c r="AC29" s="109">
        <v>0</v>
      </c>
      <c r="AD29" s="109">
        <v>16.399693373571001</v>
      </c>
      <c r="AE29" s="109">
        <v>0.12560566182077701</v>
      </c>
      <c r="AF29" s="109">
        <v>0</v>
      </c>
      <c r="AG29" s="109">
        <v>0</v>
      </c>
      <c r="AH29" s="109">
        <v>0</v>
      </c>
      <c r="AI29" s="109">
        <v>0</v>
      </c>
      <c r="AJ29" s="109">
        <v>12.898401156806401</v>
      </c>
      <c r="AK29" s="109">
        <v>0</v>
      </c>
      <c r="AL29" s="109">
        <v>183.69997357410099</v>
      </c>
      <c r="AM29" s="109">
        <v>0</v>
      </c>
      <c r="AN29" s="109">
        <v>0</v>
      </c>
      <c r="AO29" s="109">
        <v>0</v>
      </c>
      <c r="AP29" s="109">
        <v>0</v>
      </c>
      <c r="AQ29" s="110">
        <v>1.4069626932427099</v>
      </c>
    </row>
    <row r="30" spans="2:43" ht="12" customHeight="1" x14ac:dyDescent="0.25">
      <c r="B30" s="108" t="s">
        <v>43</v>
      </c>
      <c r="C30" s="109" t="s">
        <v>37</v>
      </c>
      <c r="D30" s="109" t="s">
        <v>44</v>
      </c>
      <c r="E30" s="109" t="s">
        <v>92</v>
      </c>
      <c r="F30" s="109" t="s">
        <v>25</v>
      </c>
      <c r="G30" s="109" t="s">
        <v>36</v>
      </c>
      <c r="H30" s="109" t="s">
        <v>76</v>
      </c>
      <c r="I30" s="109" t="s">
        <v>25</v>
      </c>
      <c r="J30" s="109">
        <v>218.62</v>
      </c>
      <c r="K30" s="109">
        <v>198.01</v>
      </c>
      <c r="L30" s="109">
        <v>0</v>
      </c>
      <c r="M30" s="109">
        <v>1.10594979935562</v>
      </c>
      <c r="N30" s="109">
        <v>0</v>
      </c>
      <c r="O30" s="109">
        <v>0</v>
      </c>
      <c r="P30" s="109">
        <v>0</v>
      </c>
      <c r="Q30" s="109">
        <v>86.727716538492402</v>
      </c>
      <c r="R30" s="109">
        <v>13.706670676725199</v>
      </c>
      <c r="S30" s="109">
        <v>0</v>
      </c>
      <c r="T30" s="109">
        <v>7.5021579367431297</v>
      </c>
      <c r="U30" s="109">
        <v>5.9211094099041404</v>
      </c>
      <c r="V30" s="109">
        <v>0</v>
      </c>
      <c r="W30" s="109">
        <v>0</v>
      </c>
      <c r="X30" s="109">
        <v>10.7622093255544</v>
      </c>
      <c r="Y30" s="109">
        <v>0</v>
      </c>
      <c r="Z30" s="109">
        <v>0</v>
      </c>
      <c r="AA30" s="109">
        <v>76.372903696785997</v>
      </c>
      <c r="AB30" s="109">
        <v>0</v>
      </c>
      <c r="AC30" s="109">
        <v>0</v>
      </c>
      <c r="AD30" s="109">
        <v>16.399693373571001</v>
      </c>
      <c r="AE30" s="109">
        <v>0.12560566182077701</v>
      </c>
      <c r="AF30" s="109">
        <v>0</v>
      </c>
      <c r="AG30" s="109">
        <v>0</v>
      </c>
      <c r="AH30" s="109">
        <v>0</v>
      </c>
      <c r="AI30" s="109">
        <v>0</v>
      </c>
      <c r="AJ30" s="109">
        <v>12.898401156806401</v>
      </c>
      <c r="AK30" s="109">
        <v>0</v>
      </c>
      <c r="AL30" s="109">
        <v>183.69997357410099</v>
      </c>
      <c r="AM30" s="109">
        <v>0</v>
      </c>
      <c r="AN30" s="109">
        <v>0</v>
      </c>
      <c r="AO30" s="109">
        <v>0</v>
      </c>
      <c r="AP30" s="109">
        <v>0</v>
      </c>
      <c r="AQ30" s="110">
        <v>1.4069626932427099</v>
      </c>
    </row>
    <row r="31" spans="2:43" ht="12" customHeight="1" x14ac:dyDescent="0.25">
      <c r="B31" s="108" t="s">
        <v>43</v>
      </c>
      <c r="C31" s="109" t="s">
        <v>37</v>
      </c>
      <c r="D31" s="109" t="s">
        <v>44</v>
      </c>
      <c r="E31" s="109" t="s">
        <v>25</v>
      </c>
      <c r="F31" s="109" t="s">
        <v>25</v>
      </c>
      <c r="G31" s="109" t="s">
        <v>35</v>
      </c>
      <c r="H31" s="109" t="s">
        <v>76</v>
      </c>
      <c r="I31" s="109" t="s">
        <v>25</v>
      </c>
      <c r="J31" s="109">
        <v>620.86</v>
      </c>
      <c r="K31" s="109">
        <v>198.01</v>
      </c>
      <c r="L31" s="109">
        <v>0</v>
      </c>
      <c r="M31" s="109">
        <v>1.10594979935562</v>
      </c>
      <c r="N31" s="109">
        <v>0</v>
      </c>
      <c r="O31" s="109">
        <v>0</v>
      </c>
      <c r="P31" s="109">
        <v>0</v>
      </c>
      <c r="Q31" s="109">
        <v>86.727716538492402</v>
      </c>
      <c r="R31" s="109">
        <v>13.706670676725199</v>
      </c>
      <c r="S31" s="109">
        <v>0</v>
      </c>
      <c r="T31" s="109">
        <v>37.510704308709201</v>
      </c>
      <c r="U31" s="109">
        <v>29.6058107343788</v>
      </c>
      <c r="V31" s="109">
        <v>0</v>
      </c>
      <c r="W31" s="109">
        <v>0</v>
      </c>
      <c r="X31" s="109">
        <v>53.8110466277721</v>
      </c>
      <c r="Y31" s="109">
        <v>0</v>
      </c>
      <c r="Z31" s="109">
        <v>0</v>
      </c>
      <c r="AA31" s="109">
        <v>381.86458755579901</v>
      </c>
      <c r="AB31" s="109">
        <v>0</v>
      </c>
      <c r="AC31" s="109">
        <v>0</v>
      </c>
      <c r="AD31" s="109">
        <v>16.399693373571001</v>
      </c>
      <c r="AE31" s="109">
        <v>0.12560566182077701</v>
      </c>
      <c r="AF31" s="109">
        <v>0</v>
      </c>
      <c r="AG31" s="109">
        <v>0</v>
      </c>
      <c r="AH31" s="109">
        <v>0</v>
      </c>
      <c r="AI31" s="109">
        <v>0</v>
      </c>
      <c r="AJ31" s="109">
        <v>12.898401156806401</v>
      </c>
      <c r="AK31" s="109">
        <v>0</v>
      </c>
      <c r="AL31" s="109">
        <v>183.69997357410099</v>
      </c>
      <c r="AM31" s="109">
        <v>0</v>
      </c>
      <c r="AN31" s="109">
        <v>0</v>
      </c>
      <c r="AO31" s="109">
        <v>0</v>
      </c>
      <c r="AP31" s="109">
        <v>0</v>
      </c>
      <c r="AQ31" s="110">
        <v>1.4069626932427099</v>
      </c>
    </row>
    <row r="32" spans="2:43" ht="12" customHeight="1" x14ac:dyDescent="0.25">
      <c r="B32" s="108" t="s">
        <v>43</v>
      </c>
      <c r="C32" s="109" t="s">
        <v>37</v>
      </c>
      <c r="D32" s="109" t="s">
        <v>44</v>
      </c>
      <c r="E32" s="109" t="s">
        <v>25</v>
      </c>
      <c r="F32" s="109" t="s">
        <v>25</v>
      </c>
      <c r="G32" s="109" t="s">
        <v>38</v>
      </c>
      <c r="H32" s="109" t="s">
        <v>76</v>
      </c>
      <c r="I32" s="109" t="s">
        <v>25</v>
      </c>
      <c r="J32" s="109">
        <v>419.74</v>
      </c>
      <c r="K32" s="109">
        <v>198.01</v>
      </c>
      <c r="L32" s="109">
        <v>0</v>
      </c>
      <c r="M32" s="109">
        <v>1.10594979935562</v>
      </c>
      <c r="N32" s="109">
        <v>0</v>
      </c>
      <c r="O32" s="109">
        <v>0</v>
      </c>
      <c r="P32" s="109">
        <v>0</v>
      </c>
      <c r="Q32" s="109">
        <v>86.727716538492402</v>
      </c>
      <c r="R32" s="109">
        <v>13.706670676725199</v>
      </c>
      <c r="S32" s="109">
        <v>0</v>
      </c>
      <c r="T32" s="109">
        <v>22.506473810229402</v>
      </c>
      <c r="U32" s="109">
        <v>17.763394150926999</v>
      </c>
      <c r="V32" s="109">
        <v>0</v>
      </c>
      <c r="W32" s="109">
        <v>0</v>
      </c>
      <c r="X32" s="109">
        <v>32.286627976663297</v>
      </c>
      <c r="Y32" s="109">
        <v>0</v>
      </c>
      <c r="Z32" s="109">
        <v>0</v>
      </c>
      <c r="AA32" s="109">
        <v>229.118711090358</v>
      </c>
      <c r="AB32" s="109">
        <v>0</v>
      </c>
      <c r="AC32" s="109">
        <v>0</v>
      </c>
      <c r="AD32" s="109">
        <v>16.399693373571001</v>
      </c>
      <c r="AE32" s="109">
        <v>0.12560566182077701</v>
      </c>
      <c r="AF32" s="109">
        <v>0</v>
      </c>
      <c r="AG32" s="109">
        <v>0</v>
      </c>
      <c r="AH32" s="109">
        <v>0</v>
      </c>
      <c r="AI32" s="109">
        <v>0</v>
      </c>
      <c r="AJ32" s="109">
        <v>12.898401156806401</v>
      </c>
      <c r="AK32" s="109">
        <v>0</v>
      </c>
      <c r="AL32" s="109">
        <v>183.69997357410099</v>
      </c>
      <c r="AM32" s="109">
        <v>0</v>
      </c>
      <c r="AN32" s="109">
        <v>0</v>
      </c>
      <c r="AO32" s="109">
        <v>0</v>
      </c>
      <c r="AP32" s="109">
        <v>0</v>
      </c>
      <c r="AQ32" s="110">
        <v>1.4069626932427099</v>
      </c>
    </row>
    <row r="33" spans="2:43" ht="12" customHeight="1" x14ac:dyDescent="0.25">
      <c r="B33" s="108" t="s">
        <v>43</v>
      </c>
      <c r="C33" s="109" t="s">
        <v>37</v>
      </c>
      <c r="D33" s="109" t="s">
        <v>44</v>
      </c>
      <c r="E33" s="109" t="s">
        <v>25</v>
      </c>
      <c r="F33" s="109" t="s">
        <v>25</v>
      </c>
      <c r="G33" s="109" t="s">
        <v>36</v>
      </c>
      <c r="H33" s="109" t="s">
        <v>76</v>
      </c>
      <c r="I33" s="109" t="s">
        <v>25</v>
      </c>
      <c r="J33" s="109">
        <v>218.62</v>
      </c>
      <c r="K33" s="109">
        <v>198.01</v>
      </c>
      <c r="L33" s="109">
        <v>0</v>
      </c>
      <c r="M33" s="109">
        <v>1.10594979935562</v>
      </c>
      <c r="N33" s="109">
        <v>0</v>
      </c>
      <c r="O33" s="109">
        <v>0</v>
      </c>
      <c r="P33" s="109">
        <v>0</v>
      </c>
      <c r="Q33" s="109">
        <v>86.727716538492402</v>
      </c>
      <c r="R33" s="109">
        <v>13.706670676725199</v>
      </c>
      <c r="S33" s="109">
        <v>0</v>
      </c>
      <c r="T33" s="109">
        <v>7.5021579367431297</v>
      </c>
      <c r="U33" s="109">
        <v>5.9211094099041404</v>
      </c>
      <c r="V33" s="109">
        <v>0</v>
      </c>
      <c r="W33" s="109">
        <v>0</v>
      </c>
      <c r="X33" s="109">
        <v>10.7622093255544</v>
      </c>
      <c r="Y33" s="109">
        <v>0</v>
      </c>
      <c r="Z33" s="109">
        <v>0</v>
      </c>
      <c r="AA33" s="109">
        <v>76.372903696785997</v>
      </c>
      <c r="AB33" s="109">
        <v>0</v>
      </c>
      <c r="AC33" s="109">
        <v>0</v>
      </c>
      <c r="AD33" s="109">
        <v>16.399693373571001</v>
      </c>
      <c r="AE33" s="109">
        <v>0.12560566182077701</v>
      </c>
      <c r="AF33" s="109">
        <v>0</v>
      </c>
      <c r="AG33" s="109">
        <v>0</v>
      </c>
      <c r="AH33" s="109">
        <v>0</v>
      </c>
      <c r="AI33" s="109">
        <v>0</v>
      </c>
      <c r="AJ33" s="109">
        <v>12.898401156806401</v>
      </c>
      <c r="AK33" s="109">
        <v>0</v>
      </c>
      <c r="AL33" s="109">
        <v>183.69997357410099</v>
      </c>
      <c r="AM33" s="109">
        <v>0</v>
      </c>
      <c r="AN33" s="109">
        <v>0</v>
      </c>
      <c r="AO33" s="109">
        <v>0</v>
      </c>
      <c r="AP33" s="109">
        <v>0</v>
      </c>
      <c r="AQ33" s="110">
        <v>1.4069626932427099</v>
      </c>
    </row>
    <row r="34" spans="2:43" ht="12" customHeight="1" x14ac:dyDescent="0.25">
      <c r="B34" s="108" t="s">
        <v>43</v>
      </c>
      <c r="C34" s="109" t="s">
        <v>37</v>
      </c>
      <c r="D34" s="109" t="s">
        <v>44</v>
      </c>
      <c r="E34" s="109" t="s">
        <v>93</v>
      </c>
      <c r="F34" s="109" t="s">
        <v>25</v>
      </c>
      <c r="G34" s="109" t="s">
        <v>35</v>
      </c>
      <c r="H34" s="109" t="s">
        <v>76</v>
      </c>
      <c r="I34" s="109" t="s">
        <v>25</v>
      </c>
      <c r="J34" s="109">
        <v>607.65</v>
      </c>
      <c r="K34" s="109">
        <v>193.79</v>
      </c>
      <c r="L34" s="109">
        <v>0</v>
      </c>
      <c r="M34" s="109">
        <v>1.0824189525608201</v>
      </c>
      <c r="N34" s="109">
        <v>0</v>
      </c>
      <c r="O34" s="109">
        <v>0</v>
      </c>
      <c r="P34" s="109">
        <v>0</v>
      </c>
      <c r="Q34" s="109">
        <v>84.882445973843602</v>
      </c>
      <c r="R34" s="109">
        <v>13.415039385731101</v>
      </c>
      <c r="S34" s="109">
        <v>0</v>
      </c>
      <c r="T34" s="109">
        <v>36.712604217034603</v>
      </c>
      <c r="U34" s="109">
        <v>28.9758998676899</v>
      </c>
      <c r="V34" s="109">
        <v>0</v>
      </c>
      <c r="W34" s="109">
        <v>0</v>
      </c>
      <c r="X34" s="109">
        <v>52.666130742074799</v>
      </c>
      <c r="Y34" s="109">
        <v>0</v>
      </c>
      <c r="Z34" s="109">
        <v>0</v>
      </c>
      <c r="AA34" s="109">
        <v>373.73980909716499</v>
      </c>
      <c r="AB34" s="109">
        <v>0</v>
      </c>
      <c r="AC34" s="109">
        <v>0</v>
      </c>
      <c r="AD34" s="109">
        <v>16.050763727324799</v>
      </c>
      <c r="AE34" s="109">
        <v>0.122933200930973</v>
      </c>
      <c r="AF34" s="109">
        <v>0</v>
      </c>
      <c r="AG34" s="109">
        <v>0</v>
      </c>
      <c r="AH34" s="109">
        <v>0</v>
      </c>
      <c r="AI34" s="109">
        <v>0</v>
      </c>
      <c r="AJ34" s="109">
        <v>12.623967089640299</v>
      </c>
      <c r="AK34" s="109">
        <v>0</v>
      </c>
      <c r="AL34" s="109">
        <v>179.791463498056</v>
      </c>
      <c r="AM34" s="109">
        <v>0</v>
      </c>
      <c r="AN34" s="109">
        <v>0</v>
      </c>
      <c r="AO34" s="109">
        <v>0</v>
      </c>
      <c r="AP34" s="109">
        <v>0</v>
      </c>
      <c r="AQ34" s="110">
        <v>1.3770273167907401</v>
      </c>
    </row>
    <row r="35" spans="2:43" ht="12" customHeight="1" x14ac:dyDescent="0.25">
      <c r="B35" s="108" t="s">
        <v>43</v>
      </c>
      <c r="C35" s="109" t="s">
        <v>37</v>
      </c>
      <c r="D35" s="109" t="s">
        <v>44</v>
      </c>
      <c r="E35" s="109" t="s">
        <v>93</v>
      </c>
      <c r="F35" s="109" t="s">
        <v>25</v>
      </c>
      <c r="G35" s="109" t="s">
        <v>38</v>
      </c>
      <c r="H35" s="109" t="s">
        <v>76</v>
      </c>
      <c r="I35" s="109" t="s">
        <v>25</v>
      </c>
      <c r="J35" s="109">
        <v>410.81</v>
      </c>
      <c r="K35" s="109">
        <v>193.79</v>
      </c>
      <c r="L35" s="109">
        <v>0</v>
      </c>
      <c r="M35" s="109">
        <v>1.0824189525608201</v>
      </c>
      <c r="N35" s="109">
        <v>0</v>
      </c>
      <c r="O35" s="109">
        <v>0</v>
      </c>
      <c r="P35" s="109">
        <v>0</v>
      </c>
      <c r="Q35" s="109">
        <v>84.882445973843602</v>
      </c>
      <c r="R35" s="109">
        <v>13.415039385731101</v>
      </c>
      <c r="S35" s="109">
        <v>0</v>
      </c>
      <c r="T35" s="109">
        <v>22.027612665330899</v>
      </c>
      <c r="U35" s="109">
        <v>17.385449594524299</v>
      </c>
      <c r="V35" s="109">
        <v>0</v>
      </c>
      <c r="W35" s="109">
        <v>0</v>
      </c>
      <c r="X35" s="109">
        <v>31.599678445244901</v>
      </c>
      <c r="Y35" s="109">
        <v>0</v>
      </c>
      <c r="Z35" s="109">
        <v>0</v>
      </c>
      <c r="AA35" s="109">
        <v>224.243844896946</v>
      </c>
      <c r="AB35" s="109">
        <v>0</v>
      </c>
      <c r="AC35" s="109">
        <v>0</v>
      </c>
      <c r="AD35" s="109">
        <v>16.050763727324799</v>
      </c>
      <c r="AE35" s="109">
        <v>0.122933200930973</v>
      </c>
      <c r="AF35" s="109">
        <v>0</v>
      </c>
      <c r="AG35" s="109">
        <v>0</v>
      </c>
      <c r="AH35" s="109">
        <v>0</v>
      </c>
      <c r="AI35" s="109">
        <v>0</v>
      </c>
      <c r="AJ35" s="109">
        <v>12.623967089640299</v>
      </c>
      <c r="AK35" s="109">
        <v>0</v>
      </c>
      <c r="AL35" s="109">
        <v>179.791463498056</v>
      </c>
      <c r="AM35" s="109">
        <v>0</v>
      </c>
      <c r="AN35" s="109">
        <v>0</v>
      </c>
      <c r="AO35" s="109">
        <v>0</v>
      </c>
      <c r="AP35" s="109">
        <v>0</v>
      </c>
      <c r="AQ35" s="110">
        <v>1.3770273167907401</v>
      </c>
    </row>
    <row r="36" spans="2:43" ht="12" customHeight="1" x14ac:dyDescent="0.25">
      <c r="B36" s="108" t="s">
        <v>43</v>
      </c>
      <c r="C36" s="109" t="s">
        <v>37</v>
      </c>
      <c r="D36" s="109" t="s">
        <v>44</v>
      </c>
      <c r="E36" s="109" t="s">
        <v>93</v>
      </c>
      <c r="F36" s="109" t="s">
        <v>25</v>
      </c>
      <c r="G36" s="109" t="s">
        <v>36</v>
      </c>
      <c r="H36" s="109" t="s">
        <v>76</v>
      </c>
      <c r="I36" s="109" t="s">
        <v>25</v>
      </c>
      <c r="J36" s="109">
        <v>213.97</v>
      </c>
      <c r="K36" s="109">
        <v>193.79</v>
      </c>
      <c r="L36" s="109">
        <v>0</v>
      </c>
      <c r="M36" s="109">
        <v>1.0824189525608201</v>
      </c>
      <c r="N36" s="109">
        <v>0</v>
      </c>
      <c r="O36" s="109">
        <v>0</v>
      </c>
      <c r="P36" s="109">
        <v>0</v>
      </c>
      <c r="Q36" s="109">
        <v>84.882445973843602</v>
      </c>
      <c r="R36" s="109">
        <v>13.415039385731101</v>
      </c>
      <c r="S36" s="109">
        <v>0</v>
      </c>
      <c r="T36" s="109">
        <v>7.3425375551102903</v>
      </c>
      <c r="U36" s="109">
        <v>5.7951283586295901</v>
      </c>
      <c r="V36" s="109">
        <v>0</v>
      </c>
      <c r="W36" s="109">
        <v>0</v>
      </c>
      <c r="X36" s="109">
        <v>10.533226148415</v>
      </c>
      <c r="Y36" s="109">
        <v>0</v>
      </c>
      <c r="Z36" s="109">
        <v>0</v>
      </c>
      <c r="AA36" s="109">
        <v>74.747948298981996</v>
      </c>
      <c r="AB36" s="109">
        <v>0</v>
      </c>
      <c r="AC36" s="109">
        <v>0</v>
      </c>
      <c r="AD36" s="109">
        <v>16.050763727324799</v>
      </c>
      <c r="AE36" s="109">
        <v>0.122933200930973</v>
      </c>
      <c r="AF36" s="109">
        <v>0</v>
      </c>
      <c r="AG36" s="109">
        <v>0</v>
      </c>
      <c r="AH36" s="109">
        <v>0</v>
      </c>
      <c r="AI36" s="109">
        <v>0</v>
      </c>
      <c r="AJ36" s="109">
        <v>12.623967089640299</v>
      </c>
      <c r="AK36" s="109">
        <v>0</v>
      </c>
      <c r="AL36" s="109">
        <v>179.791463498056</v>
      </c>
      <c r="AM36" s="109">
        <v>0</v>
      </c>
      <c r="AN36" s="109">
        <v>0</v>
      </c>
      <c r="AO36" s="109">
        <v>0</v>
      </c>
      <c r="AP36" s="109">
        <v>0</v>
      </c>
      <c r="AQ36" s="110">
        <v>1.3770273167907401</v>
      </c>
    </row>
    <row r="37" spans="2:43" ht="12" customHeight="1" x14ac:dyDescent="0.25">
      <c r="B37" s="108" t="s">
        <v>43</v>
      </c>
      <c r="C37" s="109" t="s">
        <v>23</v>
      </c>
      <c r="D37" s="109" t="s">
        <v>44</v>
      </c>
      <c r="E37" s="109" t="s">
        <v>92</v>
      </c>
      <c r="F37" s="109" t="s">
        <v>25</v>
      </c>
      <c r="G37" s="109" t="s">
        <v>25</v>
      </c>
      <c r="H37" s="109" t="s">
        <v>76</v>
      </c>
      <c r="I37" s="109" t="s">
        <v>25</v>
      </c>
      <c r="J37" s="109">
        <v>300.89999999999998</v>
      </c>
      <c r="K37" s="109">
        <v>198.01</v>
      </c>
      <c r="L37" s="109">
        <v>0</v>
      </c>
      <c r="M37" s="109">
        <v>1.10594979935562</v>
      </c>
      <c r="N37" s="109">
        <v>0</v>
      </c>
      <c r="O37" s="109">
        <v>0</v>
      </c>
      <c r="P37" s="109">
        <v>0</v>
      </c>
      <c r="Q37" s="109">
        <v>86.727716538492402</v>
      </c>
      <c r="R37" s="109">
        <v>13.706670676725199</v>
      </c>
      <c r="S37" s="109">
        <v>0</v>
      </c>
      <c r="T37" s="109">
        <v>13.6402793963506</v>
      </c>
      <c r="U37" s="109">
        <v>10.765791307819701</v>
      </c>
      <c r="V37" s="109">
        <v>0</v>
      </c>
      <c r="W37" s="109">
        <v>0</v>
      </c>
      <c r="X37" s="109">
        <v>19.5676359148909</v>
      </c>
      <c r="Y37" s="109">
        <v>0</v>
      </c>
      <c r="Z37" s="109">
        <v>0</v>
      </c>
      <c r="AA37" s="109">
        <v>138.85973699359599</v>
      </c>
      <c r="AB37" s="109">
        <v>0</v>
      </c>
      <c r="AC37" s="109">
        <v>0</v>
      </c>
      <c r="AD37" s="109">
        <v>16.399693373571001</v>
      </c>
      <c r="AE37" s="109">
        <v>0.12560566182077701</v>
      </c>
      <c r="AF37" s="109">
        <v>0</v>
      </c>
      <c r="AG37" s="109">
        <v>0</v>
      </c>
      <c r="AH37" s="109">
        <v>0</v>
      </c>
      <c r="AI37" s="109">
        <v>0</v>
      </c>
      <c r="AJ37" s="109">
        <v>12.898401156806401</v>
      </c>
      <c r="AK37" s="109">
        <v>0</v>
      </c>
      <c r="AL37" s="109">
        <v>183.69997357410099</v>
      </c>
      <c r="AM37" s="109">
        <v>0</v>
      </c>
      <c r="AN37" s="109">
        <v>0</v>
      </c>
      <c r="AO37" s="109">
        <v>0</v>
      </c>
      <c r="AP37" s="109">
        <v>0</v>
      </c>
      <c r="AQ37" s="110">
        <v>1.4069626932427099</v>
      </c>
    </row>
    <row r="38" spans="2:43" ht="12" customHeight="1" x14ac:dyDescent="0.25">
      <c r="B38" s="108" t="s">
        <v>43</v>
      </c>
      <c r="C38" s="109" t="s">
        <v>23</v>
      </c>
      <c r="D38" s="109" t="s">
        <v>44</v>
      </c>
      <c r="E38" s="109" t="s">
        <v>25</v>
      </c>
      <c r="F38" s="109" t="s">
        <v>25</v>
      </c>
      <c r="G38" s="109" t="s">
        <v>25</v>
      </c>
      <c r="H38" s="109" t="s">
        <v>76</v>
      </c>
      <c r="I38" s="109" t="s">
        <v>25</v>
      </c>
      <c r="J38" s="109">
        <v>300.89999999999998</v>
      </c>
      <c r="K38" s="109">
        <v>198.01</v>
      </c>
      <c r="L38" s="109">
        <v>0</v>
      </c>
      <c r="M38" s="109">
        <v>1.10594979935562</v>
      </c>
      <c r="N38" s="109">
        <v>0</v>
      </c>
      <c r="O38" s="109">
        <v>0</v>
      </c>
      <c r="P38" s="109">
        <v>0</v>
      </c>
      <c r="Q38" s="109">
        <v>86.727716538492402</v>
      </c>
      <c r="R38" s="109">
        <v>13.706670676725199</v>
      </c>
      <c r="S38" s="109">
        <v>0</v>
      </c>
      <c r="T38" s="109">
        <v>13.6402793963506</v>
      </c>
      <c r="U38" s="109">
        <v>10.765791307819701</v>
      </c>
      <c r="V38" s="109">
        <v>0</v>
      </c>
      <c r="W38" s="109">
        <v>0</v>
      </c>
      <c r="X38" s="109">
        <v>19.5676359148909</v>
      </c>
      <c r="Y38" s="109">
        <v>0</v>
      </c>
      <c r="Z38" s="109">
        <v>0</v>
      </c>
      <c r="AA38" s="109">
        <v>138.85973699359599</v>
      </c>
      <c r="AB38" s="109">
        <v>0</v>
      </c>
      <c r="AC38" s="109">
        <v>0</v>
      </c>
      <c r="AD38" s="109">
        <v>16.399693373571001</v>
      </c>
      <c r="AE38" s="109">
        <v>0.12560566182077701</v>
      </c>
      <c r="AF38" s="109">
        <v>0</v>
      </c>
      <c r="AG38" s="109">
        <v>0</v>
      </c>
      <c r="AH38" s="109">
        <v>0</v>
      </c>
      <c r="AI38" s="109">
        <v>0</v>
      </c>
      <c r="AJ38" s="109">
        <v>12.898401156806401</v>
      </c>
      <c r="AK38" s="109">
        <v>0</v>
      </c>
      <c r="AL38" s="109">
        <v>183.69997357410099</v>
      </c>
      <c r="AM38" s="109">
        <v>0</v>
      </c>
      <c r="AN38" s="109">
        <v>0</v>
      </c>
      <c r="AO38" s="109">
        <v>0</v>
      </c>
      <c r="AP38" s="109">
        <v>0</v>
      </c>
      <c r="AQ38" s="110">
        <v>1.4069626932427099</v>
      </c>
    </row>
    <row r="39" spans="2:43" ht="12" customHeight="1" x14ac:dyDescent="0.25">
      <c r="B39" s="108" t="s">
        <v>43</v>
      </c>
      <c r="C39" s="109" t="s">
        <v>23</v>
      </c>
      <c r="D39" s="109" t="s">
        <v>44</v>
      </c>
      <c r="E39" s="109" t="s">
        <v>93</v>
      </c>
      <c r="F39" s="109" t="s">
        <v>25</v>
      </c>
      <c r="G39" s="109" t="s">
        <v>25</v>
      </c>
      <c r="H39" s="109" t="s">
        <v>76</v>
      </c>
      <c r="I39" s="109" t="s">
        <v>25</v>
      </c>
      <c r="J39" s="109">
        <v>294.5</v>
      </c>
      <c r="K39" s="109">
        <v>193.79</v>
      </c>
      <c r="L39" s="109">
        <v>0</v>
      </c>
      <c r="M39" s="109">
        <v>1.0824189525608201</v>
      </c>
      <c r="N39" s="109">
        <v>0</v>
      </c>
      <c r="O39" s="109">
        <v>0</v>
      </c>
      <c r="P39" s="109">
        <v>0</v>
      </c>
      <c r="Q39" s="109">
        <v>84.882445973843602</v>
      </c>
      <c r="R39" s="109">
        <v>13.415039385731101</v>
      </c>
      <c r="S39" s="109">
        <v>0</v>
      </c>
      <c r="T39" s="109">
        <v>13.3500606857899</v>
      </c>
      <c r="U39" s="109">
        <v>10.536731918291601</v>
      </c>
      <c r="V39" s="109">
        <v>0</v>
      </c>
      <c r="W39" s="109">
        <v>0</v>
      </c>
      <c r="X39" s="109">
        <v>19.151303235850701</v>
      </c>
      <c r="Y39" s="109">
        <v>0</v>
      </c>
      <c r="Z39" s="109">
        <v>0</v>
      </c>
      <c r="AA39" s="109">
        <v>135.90527450437</v>
      </c>
      <c r="AB39" s="109">
        <v>0</v>
      </c>
      <c r="AC39" s="109">
        <v>0</v>
      </c>
      <c r="AD39" s="109">
        <v>16.050763727324799</v>
      </c>
      <c r="AE39" s="109">
        <v>0.122933200930973</v>
      </c>
      <c r="AF39" s="109">
        <v>0</v>
      </c>
      <c r="AG39" s="109">
        <v>0</v>
      </c>
      <c r="AH39" s="109">
        <v>0</v>
      </c>
      <c r="AI39" s="109">
        <v>0</v>
      </c>
      <c r="AJ39" s="109">
        <v>12.623967089640299</v>
      </c>
      <c r="AK39" s="109">
        <v>0</v>
      </c>
      <c r="AL39" s="109">
        <v>179.791463498056</v>
      </c>
      <c r="AM39" s="109">
        <v>0</v>
      </c>
      <c r="AN39" s="109">
        <v>0</v>
      </c>
      <c r="AO39" s="109">
        <v>0</v>
      </c>
      <c r="AP39" s="109">
        <v>0</v>
      </c>
      <c r="AQ39" s="110">
        <v>1.3770273167907401</v>
      </c>
    </row>
    <row r="40" spans="2:43" ht="12" customHeight="1" x14ac:dyDescent="0.25">
      <c r="B40" s="108" t="s">
        <v>43</v>
      </c>
      <c r="C40" s="109" t="s">
        <v>91</v>
      </c>
      <c r="D40" s="109" t="s">
        <v>44</v>
      </c>
      <c r="E40" s="109" t="s">
        <v>92</v>
      </c>
      <c r="F40" s="109" t="s">
        <v>25</v>
      </c>
      <c r="G40" s="109" t="s">
        <v>25</v>
      </c>
      <c r="H40" s="109" t="s">
        <v>76</v>
      </c>
      <c r="I40" s="109" t="s">
        <v>25</v>
      </c>
      <c r="J40" s="109">
        <v>300.89999999999998</v>
      </c>
      <c r="K40" s="109">
        <v>198.01</v>
      </c>
      <c r="L40" s="109">
        <v>0</v>
      </c>
      <c r="M40" s="109">
        <v>1.10594979935562</v>
      </c>
      <c r="N40" s="109">
        <v>0</v>
      </c>
      <c r="O40" s="109">
        <v>0</v>
      </c>
      <c r="P40" s="109">
        <v>0</v>
      </c>
      <c r="Q40" s="109">
        <v>86.727716538492402</v>
      </c>
      <c r="R40" s="109">
        <v>13.706670676725199</v>
      </c>
      <c r="S40" s="109">
        <v>0</v>
      </c>
      <c r="T40" s="109">
        <v>13.6402793963506</v>
      </c>
      <c r="U40" s="109">
        <v>10.765791307819701</v>
      </c>
      <c r="V40" s="109">
        <v>0</v>
      </c>
      <c r="W40" s="109">
        <v>0</v>
      </c>
      <c r="X40" s="109">
        <v>19.5676359148909</v>
      </c>
      <c r="Y40" s="109">
        <v>0</v>
      </c>
      <c r="Z40" s="109">
        <v>0</v>
      </c>
      <c r="AA40" s="109">
        <v>138.85973699359599</v>
      </c>
      <c r="AB40" s="109">
        <v>0</v>
      </c>
      <c r="AC40" s="109">
        <v>0</v>
      </c>
      <c r="AD40" s="109">
        <v>16.399693373571001</v>
      </c>
      <c r="AE40" s="109">
        <v>0.12560566182077701</v>
      </c>
      <c r="AF40" s="109">
        <v>0</v>
      </c>
      <c r="AG40" s="109">
        <v>0</v>
      </c>
      <c r="AH40" s="109">
        <v>0</v>
      </c>
      <c r="AI40" s="109">
        <v>0</v>
      </c>
      <c r="AJ40" s="109">
        <v>12.898401156806401</v>
      </c>
      <c r="AK40" s="109">
        <v>0</v>
      </c>
      <c r="AL40" s="109">
        <v>183.69997357410099</v>
      </c>
      <c r="AM40" s="109">
        <v>0</v>
      </c>
      <c r="AN40" s="109">
        <v>0</v>
      </c>
      <c r="AO40" s="109">
        <v>0</v>
      </c>
      <c r="AP40" s="109">
        <v>0</v>
      </c>
      <c r="AQ40" s="110">
        <v>1.4069626932427099</v>
      </c>
    </row>
    <row r="41" spans="2:43" ht="12" customHeight="1" x14ac:dyDescent="0.25">
      <c r="B41" s="108" t="s">
        <v>43</v>
      </c>
      <c r="C41" s="109" t="s">
        <v>91</v>
      </c>
      <c r="D41" s="109" t="s">
        <v>44</v>
      </c>
      <c r="E41" s="109" t="s">
        <v>25</v>
      </c>
      <c r="F41" s="109" t="s">
        <v>25</v>
      </c>
      <c r="G41" s="109" t="s">
        <v>25</v>
      </c>
      <c r="H41" s="109" t="s">
        <v>76</v>
      </c>
      <c r="I41" s="109" t="s">
        <v>25</v>
      </c>
      <c r="J41" s="109">
        <v>300.89999999999998</v>
      </c>
      <c r="K41" s="109">
        <v>198.01</v>
      </c>
      <c r="L41" s="109">
        <v>0</v>
      </c>
      <c r="M41" s="109">
        <v>1.10594979935562</v>
      </c>
      <c r="N41" s="109">
        <v>0</v>
      </c>
      <c r="O41" s="109">
        <v>0</v>
      </c>
      <c r="P41" s="109">
        <v>0</v>
      </c>
      <c r="Q41" s="109">
        <v>86.727716538492402</v>
      </c>
      <c r="R41" s="109">
        <v>13.706670676725199</v>
      </c>
      <c r="S41" s="109">
        <v>0</v>
      </c>
      <c r="T41" s="109">
        <v>13.6402793963506</v>
      </c>
      <c r="U41" s="109">
        <v>10.765791307819701</v>
      </c>
      <c r="V41" s="109">
        <v>0</v>
      </c>
      <c r="W41" s="109">
        <v>0</v>
      </c>
      <c r="X41" s="109">
        <v>19.5676359148909</v>
      </c>
      <c r="Y41" s="109">
        <v>0</v>
      </c>
      <c r="Z41" s="109">
        <v>0</v>
      </c>
      <c r="AA41" s="109">
        <v>138.85973699359599</v>
      </c>
      <c r="AB41" s="109">
        <v>0</v>
      </c>
      <c r="AC41" s="109">
        <v>0</v>
      </c>
      <c r="AD41" s="109">
        <v>16.399693373571001</v>
      </c>
      <c r="AE41" s="109">
        <v>0.12560566182077701</v>
      </c>
      <c r="AF41" s="109">
        <v>0</v>
      </c>
      <c r="AG41" s="109">
        <v>0</v>
      </c>
      <c r="AH41" s="109">
        <v>0</v>
      </c>
      <c r="AI41" s="109">
        <v>0</v>
      </c>
      <c r="AJ41" s="109">
        <v>12.898401156806401</v>
      </c>
      <c r="AK41" s="109">
        <v>0</v>
      </c>
      <c r="AL41" s="109">
        <v>183.69997357410099</v>
      </c>
      <c r="AM41" s="109">
        <v>0</v>
      </c>
      <c r="AN41" s="109">
        <v>0</v>
      </c>
      <c r="AO41" s="109">
        <v>0</v>
      </c>
      <c r="AP41" s="109">
        <v>0</v>
      </c>
      <c r="AQ41" s="110">
        <v>1.4069626932427099</v>
      </c>
    </row>
    <row r="42" spans="2:43" ht="12" customHeight="1" x14ac:dyDescent="0.25">
      <c r="B42" s="108" t="s">
        <v>43</v>
      </c>
      <c r="C42" s="109" t="s">
        <v>91</v>
      </c>
      <c r="D42" s="109" t="s">
        <v>44</v>
      </c>
      <c r="E42" s="109" t="s">
        <v>93</v>
      </c>
      <c r="F42" s="109" t="s">
        <v>25</v>
      </c>
      <c r="G42" s="109" t="s">
        <v>25</v>
      </c>
      <c r="H42" s="109" t="s">
        <v>76</v>
      </c>
      <c r="I42" s="109" t="s">
        <v>25</v>
      </c>
      <c r="J42" s="109">
        <v>294.5</v>
      </c>
      <c r="K42" s="109">
        <v>193.79</v>
      </c>
      <c r="L42" s="109">
        <v>0</v>
      </c>
      <c r="M42" s="109">
        <v>1.0824189525608201</v>
      </c>
      <c r="N42" s="109">
        <v>0</v>
      </c>
      <c r="O42" s="109">
        <v>0</v>
      </c>
      <c r="P42" s="109">
        <v>0</v>
      </c>
      <c r="Q42" s="109">
        <v>84.882445973843602</v>
      </c>
      <c r="R42" s="109">
        <v>13.415039385731101</v>
      </c>
      <c r="S42" s="109">
        <v>0</v>
      </c>
      <c r="T42" s="109">
        <v>13.3500606857899</v>
      </c>
      <c r="U42" s="109">
        <v>10.536731918291601</v>
      </c>
      <c r="V42" s="109">
        <v>0</v>
      </c>
      <c r="W42" s="109">
        <v>0</v>
      </c>
      <c r="X42" s="109">
        <v>19.151303235850701</v>
      </c>
      <c r="Y42" s="109">
        <v>0</v>
      </c>
      <c r="Z42" s="109">
        <v>0</v>
      </c>
      <c r="AA42" s="109">
        <v>135.90527450437</v>
      </c>
      <c r="AB42" s="109">
        <v>0</v>
      </c>
      <c r="AC42" s="109">
        <v>0</v>
      </c>
      <c r="AD42" s="109">
        <v>16.050763727324799</v>
      </c>
      <c r="AE42" s="109">
        <v>0.122933200930973</v>
      </c>
      <c r="AF42" s="109">
        <v>0</v>
      </c>
      <c r="AG42" s="109">
        <v>0</v>
      </c>
      <c r="AH42" s="109">
        <v>0</v>
      </c>
      <c r="AI42" s="109">
        <v>0</v>
      </c>
      <c r="AJ42" s="109">
        <v>12.623967089640299</v>
      </c>
      <c r="AK42" s="109">
        <v>0</v>
      </c>
      <c r="AL42" s="109">
        <v>179.791463498056</v>
      </c>
      <c r="AM42" s="109">
        <v>0</v>
      </c>
      <c r="AN42" s="109">
        <v>0</v>
      </c>
      <c r="AO42" s="109">
        <v>0</v>
      </c>
      <c r="AP42" s="109">
        <v>0</v>
      </c>
      <c r="AQ42" s="110">
        <v>1.3770273167907401</v>
      </c>
    </row>
    <row r="43" spans="2:43" ht="12" customHeight="1" x14ac:dyDescent="0.25">
      <c r="B43" s="108" t="s">
        <v>39</v>
      </c>
      <c r="C43" s="109" t="s">
        <v>37</v>
      </c>
      <c r="D43" s="109" t="s">
        <v>25</v>
      </c>
      <c r="E43" s="109" t="s">
        <v>25</v>
      </c>
      <c r="F43" s="109" t="s">
        <v>25</v>
      </c>
      <c r="G43" s="109" t="s">
        <v>35</v>
      </c>
      <c r="H43" s="109" t="s">
        <v>76</v>
      </c>
      <c r="I43" s="109" t="s">
        <v>25</v>
      </c>
      <c r="J43" s="109">
        <v>728.56</v>
      </c>
      <c r="K43" s="109">
        <v>210.64</v>
      </c>
      <c r="L43" s="109">
        <v>0</v>
      </c>
      <c r="M43" s="109">
        <v>1.1765423397400201</v>
      </c>
      <c r="N43" s="109">
        <v>0</v>
      </c>
      <c r="O43" s="109">
        <v>0</v>
      </c>
      <c r="P43" s="109">
        <v>0</v>
      </c>
      <c r="Q43" s="109">
        <v>92.263528232438702</v>
      </c>
      <c r="R43" s="109">
        <v>14.5815645497077</v>
      </c>
      <c r="S43" s="109">
        <v>0</v>
      </c>
      <c r="T43" s="109">
        <v>44.9837275703985</v>
      </c>
      <c r="U43" s="109">
        <v>35.504044080263498</v>
      </c>
      <c r="V43" s="109">
        <v>0</v>
      </c>
      <c r="W43" s="109">
        <v>0</v>
      </c>
      <c r="X43" s="109">
        <v>64.531585617968801</v>
      </c>
      <c r="Y43" s="109">
        <v>0</v>
      </c>
      <c r="Z43" s="109">
        <v>0</v>
      </c>
      <c r="AA43" s="109">
        <v>457.94200914507502</v>
      </c>
      <c r="AB43" s="109">
        <v>0</v>
      </c>
      <c r="AC43" s="109">
        <v>0</v>
      </c>
      <c r="AD43" s="109">
        <v>17.446482312309598</v>
      </c>
      <c r="AE43" s="109">
        <v>0.133623044490188</v>
      </c>
      <c r="AF43" s="109">
        <v>0</v>
      </c>
      <c r="AG43" s="109">
        <v>0</v>
      </c>
      <c r="AH43" s="109">
        <v>0</v>
      </c>
      <c r="AI43" s="109">
        <v>0</v>
      </c>
      <c r="AJ43" s="109">
        <v>13.7217033583046</v>
      </c>
      <c r="AK43" s="109">
        <v>0</v>
      </c>
      <c r="AL43" s="109">
        <v>195.425503802235</v>
      </c>
      <c r="AM43" s="109">
        <v>0</v>
      </c>
      <c r="AN43" s="109">
        <v>0</v>
      </c>
      <c r="AO43" s="109">
        <v>0</v>
      </c>
      <c r="AP43" s="109">
        <v>0</v>
      </c>
      <c r="AQ43" s="110">
        <v>1.49676882259863</v>
      </c>
    </row>
    <row r="44" spans="2:43" ht="12" customHeight="1" x14ac:dyDescent="0.25">
      <c r="B44" s="108" t="s">
        <v>39</v>
      </c>
      <c r="C44" s="109" t="s">
        <v>37</v>
      </c>
      <c r="D44" s="109" t="s">
        <v>25</v>
      </c>
      <c r="E44" s="109" t="s">
        <v>25</v>
      </c>
      <c r="F44" s="109" t="s">
        <v>25</v>
      </c>
      <c r="G44" s="109" t="s">
        <v>38</v>
      </c>
      <c r="H44" s="109" t="s">
        <v>76</v>
      </c>
      <c r="I44" s="109" t="s">
        <v>25</v>
      </c>
      <c r="J44" s="109">
        <v>487.38</v>
      </c>
      <c r="K44" s="109">
        <v>210.64</v>
      </c>
      <c r="L44" s="109">
        <v>0</v>
      </c>
      <c r="M44" s="109">
        <v>1.1765423397400201</v>
      </c>
      <c r="N44" s="109">
        <v>0</v>
      </c>
      <c r="O44" s="109">
        <v>0</v>
      </c>
      <c r="P44" s="109">
        <v>0</v>
      </c>
      <c r="Q44" s="109">
        <v>92.263528232438702</v>
      </c>
      <c r="R44" s="109">
        <v>14.5815645497077</v>
      </c>
      <c r="S44" s="109">
        <v>0</v>
      </c>
      <c r="T44" s="109">
        <v>26.990309201818999</v>
      </c>
      <c r="U44" s="109">
        <v>21.3023002160452</v>
      </c>
      <c r="V44" s="109">
        <v>0</v>
      </c>
      <c r="W44" s="109">
        <v>0</v>
      </c>
      <c r="X44" s="109">
        <v>38.718992104246901</v>
      </c>
      <c r="Y44" s="109">
        <v>0</v>
      </c>
      <c r="Z44" s="109">
        <v>0</v>
      </c>
      <c r="AA44" s="109">
        <v>274.765102614049</v>
      </c>
      <c r="AB44" s="109">
        <v>0</v>
      </c>
      <c r="AC44" s="109">
        <v>0</v>
      </c>
      <c r="AD44" s="109">
        <v>17.446482312309598</v>
      </c>
      <c r="AE44" s="109">
        <v>0.133623044490188</v>
      </c>
      <c r="AF44" s="109">
        <v>0</v>
      </c>
      <c r="AG44" s="109">
        <v>0</v>
      </c>
      <c r="AH44" s="109">
        <v>0</v>
      </c>
      <c r="AI44" s="109">
        <v>0</v>
      </c>
      <c r="AJ44" s="109">
        <v>13.7217033583046</v>
      </c>
      <c r="AK44" s="109">
        <v>0</v>
      </c>
      <c r="AL44" s="109">
        <v>195.425503802235</v>
      </c>
      <c r="AM44" s="109">
        <v>0</v>
      </c>
      <c r="AN44" s="109">
        <v>0</v>
      </c>
      <c r="AO44" s="109">
        <v>0</v>
      </c>
      <c r="AP44" s="109">
        <v>0</v>
      </c>
      <c r="AQ44" s="110">
        <v>1.49676882259863</v>
      </c>
    </row>
    <row r="45" spans="2:43" ht="12" customHeight="1" x14ac:dyDescent="0.25">
      <c r="B45" s="108" t="s">
        <v>39</v>
      </c>
      <c r="C45" s="109" t="s">
        <v>37</v>
      </c>
      <c r="D45" s="109" t="s">
        <v>25</v>
      </c>
      <c r="E45" s="109" t="s">
        <v>25</v>
      </c>
      <c r="F45" s="109" t="s">
        <v>25</v>
      </c>
      <c r="G45" s="109" t="s">
        <v>36</v>
      </c>
      <c r="H45" s="109" t="s">
        <v>76</v>
      </c>
      <c r="I45" s="109" t="s">
        <v>25</v>
      </c>
      <c r="J45" s="109">
        <v>246.19</v>
      </c>
      <c r="K45" s="109">
        <v>210.64</v>
      </c>
      <c r="L45" s="109">
        <v>0</v>
      </c>
      <c r="M45" s="109">
        <v>1.1765423397400201</v>
      </c>
      <c r="N45" s="109">
        <v>0</v>
      </c>
      <c r="O45" s="109">
        <v>0</v>
      </c>
      <c r="P45" s="109">
        <v>0</v>
      </c>
      <c r="Q45" s="109">
        <v>92.263528232438702</v>
      </c>
      <c r="R45" s="109">
        <v>14.5815645497077</v>
      </c>
      <c r="S45" s="109">
        <v>0</v>
      </c>
      <c r="T45" s="109">
        <v>8.99670918428974</v>
      </c>
      <c r="U45" s="109">
        <v>7.10062648077849</v>
      </c>
      <c r="V45" s="109">
        <v>0</v>
      </c>
      <c r="W45" s="109">
        <v>0</v>
      </c>
      <c r="X45" s="109">
        <v>12.9063985905251</v>
      </c>
      <c r="Y45" s="109">
        <v>0</v>
      </c>
      <c r="Z45" s="109">
        <v>0</v>
      </c>
      <c r="AA45" s="109">
        <v>91.588343044445594</v>
      </c>
      <c r="AB45" s="109">
        <v>0</v>
      </c>
      <c r="AC45" s="109">
        <v>0</v>
      </c>
      <c r="AD45" s="109">
        <v>17.446482312309598</v>
      </c>
      <c r="AE45" s="109">
        <v>0.133623044490188</v>
      </c>
      <c r="AF45" s="109">
        <v>0</v>
      </c>
      <c r="AG45" s="109">
        <v>0</v>
      </c>
      <c r="AH45" s="109">
        <v>0</v>
      </c>
      <c r="AI45" s="109">
        <v>0</v>
      </c>
      <c r="AJ45" s="109">
        <v>13.7217033583046</v>
      </c>
      <c r="AK45" s="109">
        <v>0</v>
      </c>
      <c r="AL45" s="109">
        <v>195.425503802235</v>
      </c>
      <c r="AM45" s="109">
        <v>0</v>
      </c>
      <c r="AN45" s="109">
        <v>0</v>
      </c>
      <c r="AO45" s="109">
        <v>0</v>
      </c>
      <c r="AP45" s="109">
        <v>0</v>
      </c>
      <c r="AQ45" s="110">
        <v>1.49676882259863</v>
      </c>
    </row>
    <row r="46" spans="2:43" ht="12" customHeight="1" x14ac:dyDescent="0.25">
      <c r="B46" s="108" t="s">
        <v>39</v>
      </c>
      <c r="C46" s="109" t="s">
        <v>23</v>
      </c>
      <c r="D46" s="109" t="s">
        <v>25</v>
      </c>
      <c r="E46" s="109" t="s">
        <v>25</v>
      </c>
      <c r="F46" s="109" t="s">
        <v>25</v>
      </c>
      <c r="G46" s="109" t="s">
        <v>25</v>
      </c>
      <c r="H46" s="109" t="s">
        <v>76</v>
      </c>
      <c r="I46" s="109" t="s">
        <v>25</v>
      </c>
      <c r="J46" s="109">
        <v>320.11</v>
      </c>
      <c r="K46" s="109">
        <v>210.64</v>
      </c>
      <c r="L46" s="109">
        <v>0</v>
      </c>
      <c r="M46" s="109">
        <v>1.1765423397400201</v>
      </c>
      <c r="N46" s="109">
        <v>0</v>
      </c>
      <c r="O46" s="109">
        <v>0</v>
      </c>
      <c r="P46" s="109">
        <v>0</v>
      </c>
      <c r="Q46" s="109">
        <v>92.263528232438702</v>
      </c>
      <c r="R46" s="109">
        <v>14.5815645497077</v>
      </c>
      <c r="S46" s="109">
        <v>0</v>
      </c>
      <c r="T46" s="109">
        <v>14.510935528032499</v>
      </c>
      <c r="U46" s="109">
        <v>11.452969476404</v>
      </c>
      <c r="V46" s="109">
        <v>0</v>
      </c>
      <c r="W46" s="109">
        <v>0</v>
      </c>
      <c r="X46" s="109">
        <v>20.8166339520116</v>
      </c>
      <c r="Y46" s="109">
        <v>0</v>
      </c>
      <c r="Z46" s="109">
        <v>0</v>
      </c>
      <c r="AA46" s="109">
        <v>147.72312446127199</v>
      </c>
      <c r="AB46" s="109">
        <v>0</v>
      </c>
      <c r="AC46" s="109">
        <v>0</v>
      </c>
      <c r="AD46" s="109">
        <v>17.446482312309598</v>
      </c>
      <c r="AE46" s="109">
        <v>0.133623044490188</v>
      </c>
      <c r="AF46" s="109">
        <v>0</v>
      </c>
      <c r="AG46" s="109">
        <v>0</v>
      </c>
      <c r="AH46" s="109">
        <v>0</v>
      </c>
      <c r="AI46" s="109">
        <v>0</v>
      </c>
      <c r="AJ46" s="109">
        <v>13.7217033583046</v>
      </c>
      <c r="AK46" s="109">
        <v>0</v>
      </c>
      <c r="AL46" s="109">
        <v>195.425503802235</v>
      </c>
      <c r="AM46" s="109">
        <v>0</v>
      </c>
      <c r="AN46" s="109">
        <v>0</v>
      </c>
      <c r="AO46" s="109">
        <v>0</v>
      </c>
      <c r="AP46" s="109">
        <v>0</v>
      </c>
      <c r="AQ46" s="110">
        <v>1.49676882259863</v>
      </c>
    </row>
    <row r="47" spans="2:43" ht="12" customHeight="1" x14ac:dyDescent="0.25">
      <c r="B47" s="108" t="s">
        <v>39</v>
      </c>
      <c r="C47" s="109" t="s">
        <v>91</v>
      </c>
      <c r="D47" s="109" t="s">
        <v>25</v>
      </c>
      <c r="E47" s="109" t="s">
        <v>25</v>
      </c>
      <c r="F47" s="109" t="s">
        <v>25</v>
      </c>
      <c r="G47" s="109" t="s">
        <v>25</v>
      </c>
      <c r="H47" s="109" t="s">
        <v>76</v>
      </c>
      <c r="I47" s="109" t="s">
        <v>25</v>
      </c>
      <c r="J47" s="109">
        <v>320.11</v>
      </c>
      <c r="K47" s="109">
        <v>210.64</v>
      </c>
      <c r="L47" s="109">
        <v>0</v>
      </c>
      <c r="M47" s="109">
        <v>1.1765423397400201</v>
      </c>
      <c r="N47" s="109">
        <v>0</v>
      </c>
      <c r="O47" s="109">
        <v>0</v>
      </c>
      <c r="P47" s="109">
        <v>0</v>
      </c>
      <c r="Q47" s="109">
        <v>92.263528232438702</v>
      </c>
      <c r="R47" s="109">
        <v>14.5815645497077</v>
      </c>
      <c r="S47" s="109">
        <v>0</v>
      </c>
      <c r="T47" s="109">
        <v>14.510935528032499</v>
      </c>
      <c r="U47" s="109">
        <v>11.452969476404</v>
      </c>
      <c r="V47" s="109">
        <v>0</v>
      </c>
      <c r="W47" s="109">
        <v>0</v>
      </c>
      <c r="X47" s="109">
        <v>20.8166339520116</v>
      </c>
      <c r="Y47" s="109">
        <v>0</v>
      </c>
      <c r="Z47" s="109">
        <v>0</v>
      </c>
      <c r="AA47" s="109">
        <v>147.72312446127199</v>
      </c>
      <c r="AB47" s="109">
        <v>0</v>
      </c>
      <c r="AC47" s="109">
        <v>0</v>
      </c>
      <c r="AD47" s="109">
        <v>17.446482312309598</v>
      </c>
      <c r="AE47" s="109">
        <v>0.133623044490188</v>
      </c>
      <c r="AF47" s="109">
        <v>0</v>
      </c>
      <c r="AG47" s="109">
        <v>0</v>
      </c>
      <c r="AH47" s="109">
        <v>0</v>
      </c>
      <c r="AI47" s="109">
        <v>0</v>
      </c>
      <c r="AJ47" s="109">
        <v>13.7217033583046</v>
      </c>
      <c r="AK47" s="109">
        <v>0</v>
      </c>
      <c r="AL47" s="109">
        <v>195.425503802235</v>
      </c>
      <c r="AM47" s="109">
        <v>0</v>
      </c>
      <c r="AN47" s="109">
        <v>0</v>
      </c>
      <c r="AO47" s="109">
        <v>0</v>
      </c>
      <c r="AP47" s="109">
        <v>0</v>
      </c>
      <c r="AQ47" s="110">
        <v>1.49676882259863</v>
      </c>
    </row>
    <row r="48" spans="2:43" ht="12" customHeight="1" x14ac:dyDescent="0.25">
      <c r="B48" s="108" t="s">
        <v>46</v>
      </c>
      <c r="C48" s="109" t="s">
        <v>23</v>
      </c>
      <c r="D48" s="109" t="s">
        <v>47</v>
      </c>
      <c r="E48" s="109" t="s">
        <v>48</v>
      </c>
      <c r="F48" s="109" t="s">
        <v>25</v>
      </c>
      <c r="G48" s="109" t="s">
        <v>25</v>
      </c>
      <c r="H48" s="109" t="s">
        <v>76</v>
      </c>
      <c r="I48" s="109" t="s">
        <v>25</v>
      </c>
      <c r="J48" s="109">
        <v>176.06</v>
      </c>
      <c r="K48" s="109">
        <v>115.85</v>
      </c>
      <c r="L48" s="109">
        <v>0</v>
      </c>
      <c r="M48" s="109">
        <v>0.64709828685701298</v>
      </c>
      <c r="N48" s="109">
        <v>0</v>
      </c>
      <c r="O48" s="109">
        <v>0</v>
      </c>
      <c r="P48" s="109">
        <v>0</v>
      </c>
      <c r="Q48" s="109">
        <v>50.744940527841301</v>
      </c>
      <c r="R48" s="109">
        <v>8.0198605023392293</v>
      </c>
      <c r="S48" s="109">
        <v>0</v>
      </c>
      <c r="T48" s="109">
        <v>7.9810145404178803</v>
      </c>
      <c r="U48" s="109">
        <v>6.2991332120221797</v>
      </c>
      <c r="V48" s="109">
        <v>0</v>
      </c>
      <c r="W48" s="109">
        <v>0</v>
      </c>
      <c r="X48" s="109">
        <v>11.4491486736064</v>
      </c>
      <c r="Y48" s="109">
        <v>0</v>
      </c>
      <c r="Z48" s="109">
        <v>0</v>
      </c>
      <c r="AA48" s="109">
        <v>81.247718453699605</v>
      </c>
      <c r="AB48" s="109">
        <v>0</v>
      </c>
      <c r="AC48" s="109">
        <v>0</v>
      </c>
      <c r="AD48" s="109">
        <v>9.5955652717702602</v>
      </c>
      <c r="AE48" s="109">
        <v>7.3492674469603295E-2</v>
      </c>
      <c r="AF48" s="109">
        <v>0</v>
      </c>
      <c r="AG48" s="109">
        <v>0</v>
      </c>
      <c r="AH48" s="109">
        <v>0</v>
      </c>
      <c r="AI48" s="109">
        <v>0</v>
      </c>
      <c r="AJ48" s="109">
        <v>7.54693684706755</v>
      </c>
      <c r="AK48" s="109">
        <v>0</v>
      </c>
      <c r="AL48" s="109">
        <v>107.484027091229</v>
      </c>
      <c r="AM48" s="109">
        <v>0</v>
      </c>
      <c r="AN48" s="109">
        <v>0</v>
      </c>
      <c r="AO48" s="109">
        <v>0</v>
      </c>
      <c r="AP48" s="109">
        <v>0</v>
      </c>
      <c r="AQ48" s="110">
        <v>0.82322285242924598</v>
      </c>
    </row>
    <row r="49" spans="2:43" ht="12" customHeight="1" x14ac:dyDescent="0.25">
      <c r="B49" s="111" t="s">
        <v>46</v>
      </c>
      <c r="C49" s="112" t="s">
        <v>23</v>
      </c>
      <c r="D49" s="112" t="s">
        <v>47</v>
      </c>
      <c r="E49" s="112" t="s">
        <v>49</v>
      </c>
      <c r="F49" s="112" t="s">
        <v>25</v>
      </c>
      <c r="G49" s="112" t="s">
        <v>25</v>
      </c>
      <c r="H49" s="112" t="s">
        <v>76</v>
      </c>
      <c r="I49" s="112" t="s">
        <v>25</v>
      </c>
      <c r="J49" s="112">
        <v>192.06</v>
      </c>
      <c r="K49" s="112">
        <v>126.39</v>
      </c>
      <c r="L49" s="112">
        <v>0</v>
      </c>
      <c r="M49" s="112">
        <v>0.70592540384401503</v>
      </c>
      <c r="N49" s="112">
        <v>0</v>
      </c>
      <c r="O49" s="112">
        <v>0</v>
      </c>
      <c r="P49" s="112">
        <v>0</v>
      </c>
      <c r="Q49" s="112">
        <v>55.358116939463201</v>
      </c>
      <c r="R49" s="112">
        <v>8.7489387298246193</v>
      </c>
      <c r="S49" s="112">
        <v>0</v>
      </c>
      <c r="T49" s="112">
        <v>8.7065613168194993</v>
      </c>
      <c r="U49" s="112">
        <v>6.8717816858423797</v>
      </c>
      <c r="V49" s="112">
        <v>0</v>
      </c>
      <c r="W49" s="112">
        <v>0</v>
      </c>
      <c r="X49" s="112">
        <v>12.489980371207</v>
      </c>
      <c r="Y49" s="112">
        <v>0</v>
      </c>
      <c r="Z49" s="112">
        <v>0</v>
      </c>
      <c r="AA49" s="112">
        <v>88.633874676763199</v>
      </c>
      <c r="AB49" s="112">
        <v>0</v>
      </c>
      <c r="AC49" s="112">
        <v>0</v>
      </c>
      <c r="AD49" s="112">
        <v>10.4678893873857</v>
      </c>
      <c r="AE49" s="112">
        <v>8.0173826694112701E-2</v>
      </c>
      <c r="AF49" s="112">
        <v>0</v>
      </c>
      <c r="AG49" s="112">
        <v>0</v>
      </c>
      <c r="AH49" s="112">
        <v>0</v>
      </c>
      <c r="AI49" s="112">
        <v>0</v>
      </c>
      <c r="AJ49" s="112">
        <v>8.2330220149827795</v>
      </c>
      <c r="AK49" s="112">
        <v>0</v>
      </c>
      <c r="AL49" s="112">
        <v>117.255302281341</v>
      </c>
      <c r="AM49" s="112">
        <v>0</v>
      </c>
      <c r="AN49" s="112">
        <v>0</v>
      </c>
      <c r="AO49" s="112">
        <v>0</v>
      </c>
      <c r="AP49" s="112">
        <v>0</v>
      </c>
      <c r="AQ49" s="113">
        <v>0.89806129355917697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10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0F37-0883-463F-9F8E-A3B5C73393B9}">
  <dimension ref="B1:AQ49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9.85546875" bestFit="1" customWidth="1"/>
    <col min="36" max="36" width="12.5703125" bestFit="1" customWidth="1"/>
    <col min="37" max="37" width="12.28515625" bestFit="1" customWidth="1"/>
    <col min="38" max="38" width="14.140625" bestFit="1" customWidth="1"/>
    <col min="39" max="39" width="25.28515625" bestFit="1" customWidth="1"/>
    <col min="40" max="40" width="17.85546875" bestFit="1" customWidth="1"/>
    <col min="41" max="41" width="13.42578125" bestFit="1" customWidth="1"/>
    <col min="42" max="42" width="13.28515625" bestFit="1" customWidth="1"/>
    <col min="43" max="43" width="12.5703125" bestFit="1" customWidth="1"/>
  </cols>
  <sheetData>
    <row r="1" spans="2:43" ht="12" customHeight="1" x14ac:dyDescent="0.25">
      <c r="L1" s="150" t="s">
        <v>1286</v>
      </c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1"/>
      <c r="AH1" s="150" t="s">
        <v>1287</v>
      </c>
      <c r="AI1" s="150"/>
      <c r="AJ1" s="150"/>
      <c r="AK1" s="150"/>
      <c r="AL1" s="150"/>
      <c r="AM1" s="150"/>
      <c r="AN1" s="150"/>
      <c r="AO1" s="150"/>
      <c r="AP1" s="150"/>
      <c r="AQ1" s="150"/>
    </row>
    <row r="2" spans="2:43" ht="12" customHeight="1" x14ac:dyDescent="0.25">
      <c r="L2" s="152" t="s">
        <v>618</v>
      </c>
      <c r="M2" s="152"/>
      <c r="N2" s="152"/>
      <c r="O2" s="152"/>
      <c r="P2" s="152"/>
      <c r="Q2" s="152"/>
      <c r="R2" s="152"/>
      <c r="S2" s="153"/>
      <c r="T2" s="152" t="s">
        <v>627</v>
      </c>
      <c r="U2" s="152"/>
      <c r="V2" s="152"/>
      <c r="W2" s="152"/>
      <c r="X2" s="152"/>
      <c r="Y2" s="152"/>
      <c r="Z2" s="153"/>
      <c r="AA2" s="114" t="s">
        <v>635</v>
      </c>
      <c r="AB2" s="152" t="s">
        <v>25</v>
      </c>
      <c r="AC2" s="153"/>
      <c r="AD2" s="152" t="s">
        <v>1285</v>
      </c>
      <c r="AE2" s="152"/>
      <c r="AF2" s="152"/>
      <c r="AG2" s="153"/>
      <c r="AH2" s="152" t="s">
        <v>618</v>
      </c>
      <c r="AI2" s="152"/>
      <c r="AJ2" s="152"/>
      <c r="AK2" s="153"/>
      <c r="AL2" s="114" t="s">
        <v>648</v>
      </c>
      <c r="AM2" s="152" t="s">
        <v>627</v>
      </c>
      <c r="AN2" s="152"/>
      <c r="AO2" s="152"/>
      <c r="AP2" s="153"/>
      <c r="AQ2" s="115" t="s">
        <v>1285</v>
      </c>
    </row>
    <row r="3" spans="2:43" ht="12" customHeight="1" x14ac:dyDescent="0.25">
      <c r="B3" s="105" t="s">
        <v>66</v>
      </c>
      <c r="C3" s="106" t="s">
        <v>67</v>
      </c>
      <c r="D3" s="106" t="s">
        <v>68</v>
      </c>
      <c r="E3" s="106" t="s">
        <v>69</v>
      </c>
      <c r="F3" s="106" t="s">
        <v>70</v>
      </c>
      <c r="G3" s="106" t="s">
        <v>72</v>
      </c>
      <c r="H3" s="106" t="s">
        <v>73</v>
      </c>
      <c r="I3" s="106" t="s">
        <v>885</v>
      </c>
      <c r="J3" s="106" t="s">
        <v>1250</v>
      </c>
      <c r="K3" s="106" t="s">
        <v>1251</v>
      </c>
      <c r="L3" s="106" t="s">
        <v>1252</v>
      </c>
      <c r="M3" s="106" t="s">
        <v>1253</v>
      </c>
      <c r="N3" s="106" t="s">
        <v>1254</v>
      </c>
      <c r="O3" s="106" t="s">
        <v>1255</v>
      </c>
      <c r="P3" s="106" t="s">
        <v>1256</v>
      </c>
      <c r="Q3" s="106" t="s">
        <v>1257</v>
      </c>
      <c r="R3" s="106" t="s">
        <v>1258</v>
      </c>
      <c r="S3" s="106" t="s">
        <v>1259</v>
      </c>
      <c r="T3" s="106" t="s">
        <v>1260</v>
      </c>
      <c r="U3" s="106" t="s">
        <v>1261</v>
      </c>
      <c r="V3" s="106" t="s">
        <v>1262</v>
      </c>
      <c r="W3" s="106" t="s">
        <v>1263</v>
      </c>
      <c r="X3" s="106" t="s">
        <v>1264</v>
      </c>
      <c r="Y3" s="106" t="s">
        <v>1265</v>
      </c>
      <c r="Z3" s="106" t="s">
        <v>1266</v>
      </c>
      <c r="AA3" s="106" t="s">
        <v>1267</v>
      </c>
      <c r="AB3" s="106" t="s">
        <v>1268</v>
      </c>
      <c r="AC3" s="106" t="s">
        <v>1269</v>
      </c>
      <c r="AD3" s="106" t="s">
        <v>1270</v>
      </c>
      <c r="AE3" s="106" t="s">
        <v>1271</v>
      </c>
      <c r="AF3" s="106" t="s">
        <v>1272</v>
      </c>
      <c r="AG3" s="106" t="s">
        <v>1273</v>
      </c>
      <c r="AH3" s="106" t="s">
        <v>1274</v>
      </c>
      <c r="AI3" s="106" t="s">
        <v>1275</v>
      </c>
      <c r="AJ3" s="106" t="s">
        <v>1276</v>
      </c>
      <c r="AK3" s="106" t="s">
        <v>1277</v>
      </c>
      <c r="AL3" s="106" t="s">
        <v>1278</v>
      </c>
      <c r="AM3" s="106" t="s">
        <v>1279</v>
      </c>
      <c r="AN3" s="106" t="s">
        <v>1280</v>
      </c>
      <c r="AO3" s="106" t="s">
        <v>1281</v>
      </c>
      <c r="AP3" s="106" t="s">
        <v>1282</v>
      </c>
      <c r="AQ3" s="107" t="s">
        <v>1283</v>
      </c>
    </row>
    <row r="4" spans="2:43" ht="12" customHeight="1" x14ac:dyDescent="0.25">
      <c r="B4" s="108" t="s">
        <v>33</v>
      </c>
      <c r="C4" s="109" t="s">
        <v>41</v>
      </c>
      <c r="D4" s="109" t="s">
        <v>25</v>
      </c>
      <c r="E4" s="109" t="s">
        <v>25</v>
      </c>
      <c r="F4" s="109" t="s">
        <v>83</v>
      </c>
      <c r="G4" s="109" t="s">
        <v>35</v>
      </c>
      <c r="H4" s="109" t="s">
        <v>76</v>
      </c>
      <c r="I4" s="109" t="s">
        <v>25</v>
      </c>
      <c r="J4" s="109">
        <v>7.14</v>
      </c>
      <c r="K4" s="109">
        <v>0</v>
      </c>
      <c r="L4" s="109">
        <v>0</v>
      </c>
      <c r="M4" s="109">
        <v>0.48976768131919701</v>
      </c>
      <c r="N4" s="109">
        <v>0</v>
      </c>
      <c r="O4" s="109">
        <v>0</v>
      </c>
      <c r="P4" s="109">
        <v>0</v>
      </c>
      <c r="Q4" s="109">
        <v>0</v>
      </c>
      <c r="R4" s="109">
        <v>0</v>
      </c>
      <c r="S4" s="109">
        <v>0</v>
      </c>
      <c r="T4" s="109">
        <v>0</v>
      </c>
      <c r="U4" s="109">
        <v>0</v>
      </c>
      <c r="V4" s="109">
        <v>0</v>
      </c>
      <c r="W4" s="109">
        <v>0</v>
      </c>
      <c r="X4" s="109">
        <v>0</v>
      </c>
      <c r="Y4" s="109">
        <v>0</v>
      </c>
      <c r="Z4" s="109">
        <v>0</v>
      </c>
      <c r="AA4" s="109">
        <v>0</v>
      </c>
      <c r="AB4" s="109">
        <v>0</v>
      </c>
      <c r="AC4" s="109">
        <v>0</v>
      </c>
      <c r="AD4" s="109">
        <v>6.5952468500295103</v>
      </c>
      <c r="AE4" s="109">
        <v>5.05131606182566E-2</v>
      </c>
      <c r="AF4" s="109">
        <v>0</v>
      </c>
      <c r="AG4" s="109">
        <v>0</v>
      </c>
      <c r="AH4" s="109">
        <v>0</v>
      </c>
      <c r="AI4" s="109">
        <v>0</v>
      </c>
      <c r="AJ4" s="109">
        <v>0</v>
      </c>
      <c r="AK4" s="109">
        <v>0</v>
      </c>
      <c r="AL4" s="109">
        <v>0</v>
      </c>
      <c r="AM4" s="109">
        <v>0</v>
      </c>
      <c r="AN4" s="109">
        <v>0</v>
      </c>
      <c r="AO4" s="109">
        <v>0</v>
      </c>
      <c r="AP4" s="109">
        <v>0</v>
      </c>
      <c r="AQ4" s="110">
        <v>0</v>
      </c>
    </row>
    <row r="5" spans="2:43" ht="12" customHeight="1" x14ac:dyDescent="0.25">
      <c r="B5" s="108" t="s">
        <v>33</v>
      </c>
      <c r="C5" s="109" t="s">
        <v>41</v>
      </c>
      <c r="D5" s="109" t="s">
        <v>25</v>
      </c>
      <c r="E5" s="109" t="s">
        <v>25</v>
      </c>
      <c r="F5" s="109" t="s">
        <v>83</v>
      </c>
      <c r="G5" s="109" t="s">
        <v>35</v>
      </c>
      <c r="H5" s="109" t="s">
        <v>79</v>
      </c>
      <c r="I5" s="109" t="s">
        <v>25</v>
      </c>
      <c r="J5" s="109">
        <v>51.21</v>
      </c>
      <c r="K5" s="109">
        <v>0</v>
      </c>
      <c r="L5" s="109">
        <v>0</v>
      </c>
      <c r="M5" s="109">
        <v>0</v>
      </c>
      <c r="N5" s="109">
        <v>0</v>
      </c>
      <c r="O5" s="109">
        <v>0</v>
      </c>
      <c r="P5" s="109">
        <v>0</v>
      </c>
      <c r="Q5" s="109">
        <v>0</v>
      </c>
      <c r="R5" s="109">
        <v>0</v>
      </c>
      <c r="S5" s="109">
        <v>0</v>
      </c>
      <c r="T5" s="109">
        <v>3.5079466597989502</v>
      </c>
      <c r="U5" s="109">
        <v>2.7584421883664101</v>
      </c>
      <c r="V5" s="109">
        <v>0</v>
      </c>
      <c r="W5" s="109">
        <v>0</v>
      </c>
      <c r="X5" s="109">
        <v>4.4371149416478897</v>
      </c>
      <c r="Y5" s="109">
        <v>0</v>
      </c>
      <c r="Z5" s="109">
        <v>0</v>
      </c>
      <c r="AA5" s="109">
        <v>40.502917186060301</v>
      </c>
      <c r="AB5" s="109">
        <v>0</v>
      </c>
      <c r="AC5" s="109">
        <v>0</v>
      </c>
      <c r="AD5" s="109">
        <v>0</v>
      </c>
      <c r="AE5" s="109">
        <v>0</v>
      </c>
      <c r="AF5" s="109">
        <v>0</v>
      </c>
      <c r="AG5" s="109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10">
        <v>0</v>
      </c>
    </row>
    <row r="6" spans="2:43" ht="12" customHeight="1" x14ac:dyDescent="0.25">
      <c r="B6" s="108" t="s">
        <v>33</v>
      </c>
      <c r="C6" s="109" t="s">
        <v>41</v>
      </c>
      <c r="D6" s="109" t="s">
        <v>25</v>
      </c>
      <c r="E6" s="109" t="s">
        <v>25</v>
      </c>
      <c r="F6" s="109" t="s">
        <v>83</v>
      </c>
      <c r="G6" s="109" t="s">
        <v>36</v>
      </c>
      <c r="H6" s="109" t="s">
        <v>76</v>
      </c>
      <c r="I6" s="109" t="s">
        <v>25</v>
      </c>
      <c r="J6" s="109">
        <v>7.14</v>
      </c>
      <c r="K6" s="109">
        <v>0</v>
      </c>
      <c r="L6" s="109">
        <v>0</v>
      </c>
      <c r="M6" s="109">
        <v>0.48976768131919701</v>
      </c>
      <c r="N6" s="109">
        <v>0</v>
      </c>
      <c r="O6" s="109">
        <v>0</v>
      </c>
      <c r="P6" s="109">
        <v>0</v>
      </c>
      <c r="Q6" s="109">
        <v>0</v>
      </c>
      <c r="R6" s="109">
        <v>0</v>
      </c>
      <c r="S6" s="109">
        <v>0</v>
      </c>
      <c r="T6" s="109">
        <v>0</v>
      </c>
      <c r="U6" s="109">
        <v>0</v>
      </c>
      <c r="V6" s="109">
        <v>0</v>
      </c>
      <c r="W6" s="109">
        <v>0</v>
      </c>
      <c r="X6" s="109">
        <v>0</v>
      </c>
      <c r="Y6" s="109">
        <v>0</v>
      </c>
      <c r="Z6" s="109">
        <v>0</v>
      </c>
      <c r="AA6" s="109">
        <v>0</v>
      </c>
      <c r="AB6" s="109">
        <v>0</v>
      </c>
      <c r="AC6" s="109">
        <v>0</v>
      </c>
      <c r="AD6" s="109">
        <v>6.5952468500295103</v>
      </c>
      <c r="AE6" s="109">
        <v>5.05131606182566E-2</v>
      </c>
      <c r="AF6" s="109">
        <v>0</v>
      </c>
      <c r="AG6" s="109">
        <v>0</v>
      </c>
      <c r="AH6" s="109">
        <v>0</v>
      </c>
      <c r="AI6" s="109">
        <v>0</v>
      </c>
      <c r="AJ6" s="109">
        <v>0</v>
      </c>
      <c r="AK6" s="109">
        <v>0</v>
      </c>
      <c r="AL6" s="109">
        <v>0</v>
      </c>
      <c r="AM6" s="109">
        <v>0</v>
      </c>
      <c r="AN6" s="109">
        <v>0</v>
      </c>
      <c r="AO6" s="109">
        <v>0</v>
      </c>
      <c r="AP6" s="109">
        <v>0</v>
      </c>
      <c r="AQ6" s="110">
        <v>0</v>
      </c>
    </row>
    <row r="7" spans="2:43" ht="12" customHeight="1" x14ac:dyDescent="0.25">
      <c r="B7" s="108" t="s">
        <v>33</v>
      </c>
      <c r="C7" s="109" t="s">
        <v>41</v>
      </c>
      <c r="D7" s="109" t="s">
        <v>25</v>
      </c>
      <c r="E7" s="109" t="s">
        <v>25</v>
      </c>
      <c r="F7" s="109" t="s">
        <v>83</v>
      </c>
      <c r="G7" s="109" t="s">
        <v>36</v>
      </c>
      <c r="H7" s="109" t="s">
        <v>79</v>
      </c>
      <c r="I7" s="109" t="s">
        <v>25</v>
      </c>
      <c r="J7" s="109">
        <v>20.71</v>
      </c>
      <c r="K7" s="109">
        <v>0</v>
      </c>
      <c r="L7" s="109">
        <v>0</v>
      </c>
      <c r="M7" s="109">
        <v>0</v>
      </c>
      <c r="N7" s="109">
        <v>0</v>
      </c>
      <c r="O7" s="109">
        <v>0</v>
      </c>
      <c r="P7" s="109">
        <v>0</v>
      </c>
      <c r="Q7" s="109">
        <v>0</v>
      </c>
      <c r="R7" s="109">
        <v>0</v>
      </c>
      <c r="S7" s="109">
        <v>0</v>
      </c>
      <c r="T7" s="109">
        <v>3.4565225208736798</v>
      </c>
      <c r="U7" s="109">
        <v>2.7447689423895798</v>
      </c>
      <c r="V7" s="109">
        <v>0</v>
      </c>
      <c r="W7" s="109">
        <v>0</v>
      </c>
      <c r="X7" s="109">
        <v>4.3719359762307004</v>
      </c>
      <c r="Y7" s="109">
        <v>0</v>
      </c>
      <c r="Z7" s="109">
        <v>0</v>
      </c>
      <c r="AA7" s="109">
        <v>10.1358223584085</v>
      </c>
      <c r="AB7" s="109">
        <v>0</v>
      </c>
      <c r="AC7" s="109">
        <v>0</v>
      </c>
      <c r="AD7" s="109">
        <v>0</v>
      </c>
      <c r="AE7" s="109">
        <v>0</v>
      </c>
      <c r="AF7" s="109">
        <v>0</v>
      </c>
      <c r="AG7" s="109">
        <v>0</v>
      </c>
      <c r="AH7" s="109">
        <v>0</v>
      </c>
      <c r="AI7" s="109">
        <v>0</v>
      </c>
      <c r="AJ7" s="109">
        <v>0</v>
      </c>
      <c r="AK7" s="109">
        <v>0</v>
      </c>
      <c r="AL7" s="109">
        <v>0</v>
      </c>
      <c r="AM7" s="109">
        <v>0</v>
      </c>
      <c r="AN7" s="109">
        <v>0</v>
      </c>
      <c r="AO7" s="109">
        <v>0</v>
      </c>
      <c r="AP7" s="109">
        <v>0</v>
      </c>
      <c r="AQ7" s="110">
        <v>0</v>
      </c>
    </row>
    <row r="8" spans="2:43" ht="12" customHeight="1" x14ac:dyDescent="0.25">
      <c r="B8" s="108" t="s">
        <v>33</v>
      </c>
      <c r="C8" s="109" t="s">
        <v>41</v>
      </c>
      <c r="D8" s="109" t="s">
        <v>25</v>
      </c>
      <c r="E8" s="109" t="s">
        <v>25</v>
      </c>
      <c r="F8" s="109" t="s">
        <v>25</v>
      </c>
      <c r="G8" s="109" t="s">
        <v>35</v>
      </c>
      <c r="H8" s="109" t="s">
        <v>76</v>
      </c>
      <c r="I8" s="109" t="s">
        <v>25</v>
      </c>
      <c r="J8" s="109">
        <v>97.36</v>
      </c>
      <c r="K8" s="109">
        <v>181.7</v>
      </c>
      <c r="L8" s="109">
        <v>0</v>
      </c>
      <c r="M8" s="109">
        <v>0.48976768131919701</v>
      </c>
      <c r="N8" s="109">
        <v>0</v>
      </c>
      <c r="O8" s="109">
        <v>0</v>
      </c>
      <c r="P8" s="109">
        <v>0</v>
      </c>
      <c r="Q8" s="109">
        <v>75.938384058159897</v>
      </c>
      <c r="R8" s="109">
        <v>14.2823209958782</v>
      </c>
      <c r="S8" s="109">
        <v>0</v>
      </c>
      <c r="T8" s="109">
        <v>0</v>
      </c>
      <c r="U8" s="109">
        <v>0</v>
      </c>
      <c r="V8" s="109">
        <v>0</v>
      </c>
      <c r="W8" s="109">
        <v>0</v>
      </c>
      <c r="X8" s="109">
        <v>0</v>
      </c>
      <c r="Y8" s="109">
        <v>0</v>
      </c>
      <c r="Z8" s="109">
        <v>0</v>
      </c>
      <c r="AA8" s="109">
        <v>0</v>
      </c>
      <c r="AB8" s="109">
        <v>0</v>
      </c>
      <c r="AC8" s="109">
        <v>0</v>
      </c>
      <c r="AD8" s="109">
        <v>6.5952468500295103</v>
      </c>
      <c r="AE8" s="109">
        <v>5.05131606182566E-2</v>
      </c>
      <c r="AF8" s="109">
        <v>0</v>
      </c>
      <c r="AG8" s="109">
        <v>0</v>
      </c>
      <c r="AH8" s="109">
        <v>0</v>
      </c>
      <c r="AI8" s="109">
        <v>0</v>
      </c>
      <c r="AJ8" s="109">
        <v>13.173461724956599</v>
      </c>
      <c r="AK8" s="109">
        <v>0</v>
      </c>
      <c r="AL8" s="109">
        <v>167.24863457723501</v>
      </c>
      <c r="AM8" s="109">
        <v>0</v>
      </c>
      <c r="AN8" s="109">
        <v>0</v>
      </c>
      <c r="AO8" s="109">
        <v>0</v>
      </c>
      <c r="AP8" s="109">
        <v>0</v>
      </c>
      <c r="AQ8" s="110">
        <v>1.2809614763010999</v>
      </c>
    </row>
    <row r="9" spans="2:43" ht="12" customHeight="1" x14ac:dyDescent="0.25">
      <c r="B9" s="108" t="s">
        <v>33</v>
      </c>
      <c r="C9" s="109" t="s">
        <v>41</v>
      </c>
      <c r="D9" s="109" t="s">
        <v>25</v>
      </c>
      <c r="E9" s="109" t="s">
        <v>25</v>
      </c>
      <c r="F9" s="109" t="s">
        <v>25</v>
      </c>
      <c r="G9" s="109" t="s">
        <v>35</v>
      </c>
      <c r="H9" s="109" t="s">
        <v>79</v>
      </c>
      <c r="I9" s="109" t="s">
        <v>25</v>
      </c>
      <c r="J9" s="109">
        <v>51.21</v>
      </c>
      <c r="K9" s="109">
        <v>0</v>
      </c>
      <c r="L9" s="109">
        <v>0</v>
      </c>
      <c r="M9" s="109">
        <v>0</v>
      </c>
      <c r="N9" s="109">
        <v>0</v>
      </c>
      <c r="O9" s="109">
        <v>0</v>
      </c>
      <c r="P9" s="109">
        <v>0</v>
      </c>
      <c r="Q9" s="109">
        <v>0</v>
      </c>
      <c r="R9" s="109">
        <v>0</v>
      </c>
      <c r="S9" s="109">
        <v>0</v>
      </c>
      <c r="T9" s="109">
        <v>3.5079466597989502</v>
      </c>
      <c r="U9" s="109">
        <v>2.7584421883664101</v>
      </c>
      <c r="V9" s="109">
        <v>0</v>
      </c>
      <c r="W9" s="109">
        <v>0</v>
      </c>
      <c r="X9" s="109">
        <v>4.4371149416478897</v>
      </c>
      <c r="Y9" s="109">
        <v>0</v>
      </c>
      <c r="Z9" s="109">
        <v>0</v>
      </c>
      <c r="AA9" s="109">
        <v>40.502917186060301</v>
      </c>
      <c r="AB9" s="109">
        <v>0</v>
      </c>
      <c r="AC9" s="109">
        <v>0</v>
      </c>
      <c r="AD9" s="109">
        <v>0</v>
      </c>
      <c r="AE9" s="109">
        <v>0</v>
      </c>
      <c r="AF9" s="109">
        <v>0</v>
      </c>
      <c r="AG9" s="109">
        <v>0</v>
      </c>
      <c r="AH9" s="109">
        <v>0</v>
      </c>
      <c r="AI9" s="109">
        <v>0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10">
        <v>0</v>
      </c>
    </row>
    <row r="10" spans="2:43" ht="12" customHeight="1" x14ac:dyDescent="0.25">
      <c r="B10" s="108" t="s">
        <v>33</v>
      </c>
      <c r="C10" s="109" t="s">
        <v>41</v>
      </c>
      <c r="D10" s="109" t="s">
        <v>25</v>
      </c>
      <c r="E10" s="109" t="s">
        <v>25</v>
      </c>
      <c r="F10" s="109" t="s">
        <v>25</v>
      </c>
      <c r="G10" s="109" t="s">
        <v>36</v>
      </c>
      <c r="H10" s="109" t="s">
        <v>76</v>
      </c>
      <c r="I10" s="109" t="s">
        <v>25</v>
      </c>
      <c r="J10" s="109">
        <v>97.36</v>
      </c>
      <c r="K10" s="109">
        <v>181.7</v>
      </c>
      <c r="L10" s="109">
        <v>0</v>
      </c>
      <c r="M10" s="109">
        <v>0.48976768131919701</v>
      </c>
      <c r="N10" s="109">
        <v>0</v>
      </c>
      <c r="O10" s="109">
        <v>0</v>
      </c>
      <c r="P10" s="109">
        <v>0</v>
      </c>
      <c r="Q10" s="109">
        <v>75.938384058159897</v>
      </c>
      <c r="R10" s="109">
        <v>14.2823209958782</v>
      </c>
      <c r="S10" s="109">
        <v>0</v>
      </c>
      <c r="T10" s="109">
        <v>0</v>
      </c>
      <c r="U10" s="109">
        <v>0</v>
      </c>
      <c r="V10" s="109">
        <v>0</v>
      </c>
      <c r="W10" s="109">
        <v>0</v>
      </c>
      <c r="X10" s="109">
        <v>0</v>
      </c>
      <c r="Y10" s="109">
        <v>0</v>
      </c>
      <c r="Z10" s="109">
        <v>0</v>
      </c>
      <c r="AA10" s="109">
        <v>0</v>
      </c>
      <c r="AB10" s="109">
        <v>0</v>
      </c>
      <c r="AC10" s="109">
        <v>0</v>
      </c>
      <c r="AD10" s="109">
        <v>6.5952468500295103</v>
      </c>
      <c r="AE10" s="109">
        <v>5.05131606182566E-2</v>
      </c>
      <c r="AF10" s="109">
        <v>0</v>
      </c>
      <c r="AG10" s="109">
        <v>0</v>
      </c>
      <c r="AH10" s="109">
        <v>0</v>
      </c>
      <c r="AI10" s="109">
        <v>0</v>
      </c>
      <c r="AJ10" s="109">
        <v>13.173461724956599</v>
      </c>
      <c r="AK10" s="109">
        <v>0</v>
      </c>
      <c r="AL10" s="109">
        <v>167.24863457723501</v>
      </c>
      <c r="AM10" s="109">
        <v>0</v>
      </c>
      <c r="AN10" s="109">
        <v>0</v>
      </c>
      <c r="AO10" s="109">
        <v>0</v>
      </c>
      <c r="AP10" s="109">
        <v>0</v>
      </c>
      <c r="AQ10" s="110">
        <v>1.2809614763010999</v>
      </c>
    </row>
    <row r="11" spans="2:43" ht="12" customHeight="1" x14ac:dyDescent="0.25">
      <c r="B11" s="108" t="s">
        <v>33</v>
      </c>
      <c r="C11" s="109" t="s">
        <v>41</v>
      </c>
      <c r="D11" s="109" t="s">
        <v>25</v>
      </c>
      <c r="E11" s="109" t="s">
        <v>25</v>
      </c>
      <c r="F11" s="109" t="s">
        <v>25</v>
      </c>
      <c r="G11" s="109" t="s">
        <v>36</v>
      </c>
      <c r="H11" s="109" t="s">
        <v>79</v>
      </c>
      <c r="I11" s="109" t="s">
        <v>25</v>
      </c>
      <c r="J11" s="109">
        <v>20.71</v>
      </c>
      <c r="K11" s="109">
        <v>0</v>
      </c>
      <c r="L11" s="109">
        <v>0</v>
      </c>
      <c r="M11" s="109">
        <v>0</v>
      </c>
      <c r="N11" s="109">
        <v>0</v>
      </c>
      <c r="O11" s="109">
        <v>0</v>
      </c>
      <c r="P11" s="109">
        <v>0</v>
      </c>
      <c r="Q11" s="109">
        <v>0</v>
      </c>
      <c r="R11" s="109">
        <v>0</v>
      </c>
      <c r="S11" s="109">
        <v>0</v>
      </c>
      <c r="T11" s="109">
        <v>3.4565225208736798</v>
      </c>
      <c r="U11" s="109">
        <v>2.7447689423895798</v>
      </c>
      <c r="V11" s="109">
        <v>0</v>
      </c>
      <c r="W11" s="109">
        <v>0</v>
      </c>
      <c r="X11" s="109">
        <v>4.3719359762307004</v>
      </c>
      <c r="Y11" s="109">
        <v>0</v>
      </c>
      <c r="Z11" s="109">
        <v>0</v>
      </c>
      <c r="AA11" s="109">
        <v>10.1358223584085</v>
      </c>
      <c r="AB11" s="109">
        <v>0</v>
      </c>
      <c r="AC11" s="109">
        <v>0</v>
      </c>
      <c r="AD11" s="109">
        <v>0</v>
      </c>
      <c r="AE11" s="109">
        <v>0</v>
      </c>
      <c r="AF11" s="109">
        <v>0</v>
      </c>
      <c r="AG11" s="109">
        <v>0</v>
      </c>
      <c r="AH11" s="109">
        <v>0</v>
      </c>
      <c r="AI11" s="109">
        <v>0</v>
      </c>
      <c r="AJ11" s="109">
        <v>0</v>
      </c>
      <c r="AK11" s="109">
        <v>0</v>
      </c>
      <c r="AL11" s="109">
        <v>0</v>
      </c>
      <c r="AM11" s="109">
        <v>0</v>
      </c>
      <c r="AN11" s="109">
        <v>0</v>
      </c>
      <c r="AO11" s="109">
        <v>0</v>
      </c>
      <c r="AP11" s="109">
        <v>0</v>
      </c>
      <c r="AQ11" s="110">
        <v>0</v>
      </c>
    </row>
    <row r="12" spans="2:43" ht="12" customHeight="1" x14ac:dyDescent="0.25">
      <c r="B12" s="108" t="s">
        <v>33</v>
      </c>
      <c r="C12" s="109" t="s">
        <v>84</v>
      </c>
      <c r="D12" s="109" t="s">
        <v>25</v>
      </c>
      <c r="E12" s="109" t="s">
        <v>25</v>
      </c>
      <c r="F12" s="109" t="s">
        <v>25</v>
      </c>
      <c r="G12" s="109" t="s">
        <v>25</v>
      </c>
      <c r="H12" s="109" t="s">
        <v>79</v>
      </c>
      <c r="I12" s="109" t="s">
        <v>25</v>
      </c>
      <c r="J12" s="109">
        <v>5.24</v>
      </c>
      <c r="K12" s="109">
        <v>0</v>
      </c>
      <c r="L12" s="109">
        <v>0</v>
      </c>
      <c r="M12" s="109">
        <v>0</v>
      </c>
      <c r="N12" s="109">
        <v>0</v>
      </c>
      <c r="O12" s="109">
        <v>0</v>
      </c>
      <c r="P12" s="109">
        <v>0</v>
      </c>
      <c r="Q12" s="109">
        <v>0</v>
      </c>
      <c r="R12" s="109">
        <v>0</v>
      </c>
      <c r="S12" s="109">
        <v>0</v>
      </c>
      <c r="T12" s="109">
        <v>0</v>
      </c>
      <c r="U12" s="109">
        <v>0</v>
      </c>
      <c r="V12" s="109">
        <v>0</v>
      </c>
      <c r="W12" s="109">
        <v>0</v>
      </c>
      <c r="X12" s="109">
        <v>0</v>
      </c>
      <c r="Y12" s="109">
        <v>0</v>
      </c>
      <c r="Z12" s="109">
        <v>0</v>
      </c>
      <c r="AA12" s="109">
        <v>5.2359961986792101</v>
      </c>
      <c r="AB12" s="109">
        <v>0</v>
      </c>
      <c r="AC12" s="109">
        <v>0</v>
      </c>
      <c r="AD12" s="109">
        <v>0</v>
      </c>
      <c r="AE12" s="109">
        <v>0</v>
      </c>
      <c r="AF12" s="109">
        <v>0</v>
      </c>
      <c r="AG12" s="109">
        <v>0</v>
      </c>
      <c r="AH12" s="109">
        <v>0</v>
      </c>
      <c r="AI12" s="109">
        <v>0</v>
      </c>
      <c r="AJ12" s="109">
        <v>0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10">
        <v>0</v>
      </c>
    </row>
    <row r="13" spans="2:43" ht="12" customHeight="1" x14ac:dyDescent="0.25">
      <c r="B13" s="108" t="s">
        <v>33</v>
      </c>
      <c r="C13" s="109" t="s">
        <v>34</v>
      </c>
      <c r="D13" s="109" t="s">
        <v>25</v>
      </c>
      <c r="E13" s="109" t="s">
        <v>25</v>
      </c>
      <c r="F13" s="109" t="s">
        <v>83</v>
      </c>
      <c r="G13" s="109" t="s">
        <v>35</v>
      </c>
      <c r="H13" s="109" t="s">
        <v>76</v>
      </c>
      <c r="I13" s="109" t="s">
        <v>25</v>
      </c>
      <c r="J13" s="109">
        <v>1238.6500000000001</v>
      </c>
      <c r="K13" s="109">
        <v>0</v>
      </c>
      <c r="L13" s="109">
        <v>0</v>
      </c>
      <c r="M13" s="109">
        <v>0.48976768131919701</v>
      </c>
      <c r="N13" s="109">
        <v>0</v>
      </c>
      <c r="O13" s="109">
        <v>0</v>
      </c>
      <c r="P13" s="109">
        <v>0</v>
      </c>
      <c r="Q13" s="109">
        <v>0</v>
      </c>
      <c r="R13" s="109">
        <v>0</v>
      </c>
      <c r="S13" s="109">
        <v>0</v>
      </c>
      <c r="T13" s="109">
        <v>84.366002114157396</v>
      </c>
      <c r="U13" s="109">
        <v>66.342357729675797</v>
      </c>
      <c r="V13" s="109">
        <v>0</v>
      </c>
      <c r="W13" s="109">
        <v>0</v>
      </c>
      <c r="X13" s="109">
        <v>106.71210992671701</v>
      </c>
      <c r="Y13" s="109">
        <v>0</v>
      </c>
      <c r="Z13" s="109">
        <v>0</v>
      </c>
      <c r="AA13" s="109">
        <v>974.09408362689305</v>
      </c>
      <c r="AB13" s="109">
        <v>0</v>
      </c>
      <c r="AC13" s="109">
        <v>0</v>
      </c>
      <c r="AD13" s="109">
        <v>6.5952468500295103</v>
      </c>
      <c r="AE13" s="109">
        <v>5.05131606182566E-2</v>
      </c>
      <c r="AF13" s="109">
        <v>0</v>
      </c>
      <c r="AG13" s="109">
        <v>0</v>
      </c>
      <c r="AH13" s="109">
        <v>0</v>
      </c>
      <c r="AI13" s="109">
        <v>0</v>
      </c>
      <c r="AJ13" s="109">
        <v>0</v>
      </c>
      <c r="AK13" s="109">
        <v>0</v>
      </c>
      <c r="AL13" s="109">
        <v>0</v>
      </c>
      <c r="AM13" s="109">
        <v>0</v>
      </c>
      <c r="AN13" s="109">
        <v>0</v>
      </c>
      <c r="AO13" s="109">
        <v>0</v>
      </c>
      <c r="AP13" s="109">
        <v>0</v>
      </c>
      <c r="AQ13" s="110">
        <v>0</v>
      </c>
    </row>
    <row r="14" spans="2:43" ht="12" customHeight="1" x14ac:dyDescent="0.25">
      <c r="B14" s="108" t="s">
        <v>33</v>
      </c>
      <c r="C14" s="109" t="s">
        <v>34</v>
      </c>
      <c r="D14" s="109" t="s">
        <v>25</v>
      </c>
      <c r="E14" s="109" t="s">
        <v>25</v>
      </c>
      <c r="F14" s="109" t="s">
        <v>83</v>
      </c>
      <c r="G14" s="109" t="s">
        <v>25</v>
      </c>
      <c r="H14" s="109" t="s">
        <v>79</v>
      </c>
      <c r="I14" s="109" t="s">
        <v>25</v>
      </c>
      <c r="J14" s="109">
        <v>20.71</v>
      </c>
      <c r="K14" s="109">
        <v>0</v>
      </c>
      <c r="L14" s="109">
        <v>0</v>
      </c>
      <c r="M14" s="109">
        <v>0</v>
      </c>
      <c r="N14" s="109">
        <v>0</v>
      </c>
      <c r="O14" s="109">
        <v>0</v>
      </c>
      <c r="P14" s="109">
        <v>0</v>
      </c>
      <c r="Q14" s="109">
        <v>0</v>
      </c>
      <c r="R14" s="109">
        <v>0</v>
      </c>
      <c r="S14" s="109">
        <v>0</v>
      </c>
      <c r="T14" s="109">
        <v>3.4565225208736798</v>
      </c>
      <c r="U14" s="109">
        <v>2.7447689423895798</v>
      </c>
      <c r="V14" s="109">
        <v>0</v>
      </c>
      <c r="W14" s="109">
        <v>0</v>
      </c>
      <c r="X14" s="109">
        <v>4.3719359762307004</v>
      </c>
      <c r="Y14" s="109">
        <v>0</v>
      </c>
      <c r="Z14" s="109">
        <v>0</v>
      </c>
      <c r="AA14" s="109">
        <v>10.1358223584085</v>
      </c>
      <c r="AB14" s="109">
        <v>0</v>
      </c>
      <c r="AC14" s="109">
        <v>0</v>
      </c>
      <c r="AD14" s="109">
        <v>0</v>
      </c>
      <c r="AE14" s="109">
        <v>0</v>
      </c>
      <c r="AF14" s="109">
        <v>0</v>
      </c>
      <c r="AG14" s="109">
        <v>0</v>
      </c>
      <c r="AH14" s="109">
        <v>0</v>
      </c>
      <c r="AI14" s="109">
        <v>0</v>
      </c>
      <c r="AJ14" s="109">
        <v>0</v>
      </c>
      <c r="AK14" s="109">
        <v>0</v>
      </c>
      <c r="AL14" s="109">
        <v>0</v>
      </c>
      <c r="AM14" s="109">
        <v>0</v>
      </c>
      <c r="AN14" s="109">
        <v>0</v>
      </c>
      <c r="AO14" s="109">
        <v>0</v>
      </c>
      <c r="AP14" s="109">
        <v>0</v>
      </c>
      <c r="AQ14" s="110">
        <v>0</v>
      </c>
    </row>
    <row r="15" spans="2:43" ht="12" customHeight="1" x14ac:dyDescent="0.25">
      <c r="B15" s="108" t="s">
        <v>33</v>
      </c>
      <c r="C15" s="109" t="s">
        <v>34</v>
      </c>
      <c r="D15" s="109" t="s">
        <v>25</v>
      </c>
      <c r="E15" s="109" t="s">
        <v>25</v>
      </c>
      <c r="F15" s="109" t="s">
        <v>83</v>
      </c>
      <c r="G15" s="109" t="s">
        <v>36</v>
      </c>
      <c r="H15" s="109" t="s">
        <v>76</v>
      </c>
      <c r="I15" s="109" t="s">
        <v>25</v>
      </c>
      <c r="J15" s="109">
        <v>7.14</v>
      </c>
      <c r="K15" s="109">
        <v>0</v>
      </c>
      <c r="L15" s="109">
        <v>0</v>
      </c>
      <c r="M15" s="109">
        <v>0.48976768131919701</v>
      </c>
      <c r="N15" s="109">
        <v>0</v>
      </c>
      <c r="O15" s="109">
        <v>0</v>
      </c>
      <c r="P15" s="109">
        <v>0</v>
      </c>
      <c r="Q15" s="109">
        <v>0</v>
      </c>
      <c r="R15" s="109">
        <v>0</v>
      </c>
      <c r="S15" s="109">
        <v>0</v>
      </c>
      <c r="T15" s="109">
        <v>0</v>
      </c>
      <c r="U15" s="109">
        <v>0</v>
      </c>
      <c r="V15" s="109">
        <v>0</v>
      </c>
      <c r="W15" s="109">
        <v>0</v>
      </c>
      <c r="X15" s="109">
        <v>0</v>
      </c>
      <c r="Y15" s="109">
        <v>0</v>
      </c>
      <c r="Z15" s="109">
        <v>0</v>
      </c>
      <c r="AA15" s="109">
        <v>0</v>
      </c>
      <c r="AB15" s="109">
        <v>0</v>
      </c>
      <c r="AC15" s="109">
        <v>0</v>
      </c>
      <c r="AD15" s="109">
        <v>6.5952468500295103</v>
      </c>
      <c r="AE15" s="109">
        <v>5.05131606182566E-2</v>
      </c>
      <c r="AF15" s="109">
        <v>0</v>
      </c>
      <c r="AG15" s="109">
        <v>0</v>
      </c>
      <c r="AH15" s="109">
        <v>0</v>
      </c>
      <c r="AI15" s="109">
        <v>0</v>
      </c>
      <c r="AJ15" s="109">
        <v>0</v>
      </c>
      <c r="AK15" s="109">
        <v>0</v>
      </c>
      <c r="AL15" s="109">
        <v>0</v>
      </c>
      <c r="AM15" s="109">
        <v>0</v>
      </c>
      <c r="AN15" s="109">
        <v>0</v>
      </c>
      <c r="AO15" s="109">
        <v>0</v>
      </c>
      <c r="AP15" s="109">
        <v>0</v>
      </c>
      <c r="AQ15" s="110">
        <v>0</v>
      </c>
    </row>
    <row r="16" spans="2:43" ht="12" customHeight="1" x14ac:dyDescent="0.25">
      <c r="B16" s="108" t="s">
        <v>33</v>
      </c>
      <c r="C16" s="109" t="s">
        <v>34</v>
      </c>
      <c r="D16" s="109" t="s">
        <v>25</v>
      </c>
      <c r="E16" s="109" t="s">
        <v>25</v>
      </c>
      <c r="F16" s="109" t="s">
        <v>25</v>
      </c>
      <c r="G16" s="109" t="s">
        <v>35</v>
      </c>
      <c r="H16" s="109" t="s">
        <v>76</v>
      </c>
      <c r="I16" s="109" t="s">
        <v>25</v>
      </c>
      <c r="J16" s="109">
        <v>1328.87</v>
      </c>
      <c r="K16" s="109">
        <v>181.7</v>
      </c>
      <c r="L16" s="109">
        <v>0</v>
      </c>
      <c r="M16" s="109">
        <v>0.48976768131919701</v>
      </c>
      <c r="N16" s="109">
        <v>0</v>
      </c>
      <c r="O16" s="109">
        <v>0</v>
      </c>
      <c r="P16" s="109">
        <v>0</v>
      </c>
      <c r="Q16" s="109">
        <v>75.938384058159897</v>
      </c>
      <c r="R16" s="109">
        <v>14.2823209958782</v>
      </c>
      <c r="S16" s="109">
        <v>0</v>
      </c>
      <c r="T16" s="109">
        <v>84.366002114157396</v>
      </c>
      <c r="U16" s="109">
        <v>66.342357729675797</v>
      </c>
      <c r="V16" s="109">
        <v>0</v>
      </c>
      <c r="W16" s="109">
        <v>0</v>
      </c>
      <c r="X16" s="109">
        <v>106.71210992671701</v>
      </c>
      <c r="Y16" s="109">
        <v>0</v>
      </c>
      <c r="Z16" s="109">
        <v>0</v>
      </c>
      <c r="AA16" s="109">
        <v>974.09408362689305</v>
      </c>
      <c r="AB16" s="109">
        <v>0</v>
      </c>
      <c r="AC16" s="109">
        <v>0</v>
      </c>
      <c r="AD16" s="109">
        <v>6.5952468500295103</v>
      </c>
      <c r="AE16" s="109">
        <v>5.05131606182566E-2</v>
      </c>
      <c r="AF16" s="109">
        <v>0</v>
      </c>
      <c r="AG16" s="109">
        <v>0</v>
      </c>
      <c r="AH16" s="109">
        <v>0</v>
      </c>
      <c r="AI16" s="109">
        <v>0</v>
      </c>
      <c r="AJ16" s="109">
        <v>13.173461724956599</v>
      </c>
      <c r="AK16" s="109">
        <v>0</v>
      </c>
      <c r="AL16" s="109">
        <v>167.24863457723501</v>
      </c>
      <c r="AM16" s="109">
        <v>0</v>
      </c>
      <c r="AN16" s="109">
        <v>0</v>
      </c>
      <c r="AO16" s="109">
        <v>0</v>
      </c>
      <c r="AP16" s="109">
        <v>0</v>
      </c>
      <c r="AQ16" s="110">
        <v>1.2809614763010999</v>
      </c>
    </row>
    <row r="17" spans="2:43" ht="12" customHeight="1" x14ac:dyDescent="0.25">
      <c r="B17" s="108" t="s">
        <v>33</v>
      </c>
      <c r="C17" s="109" t="s">
        <v>34</v>
      </c>
      <c r="D17" s="109" t="s">
        <v>25</v>
      </c>
      <c r="E17" s="109" t="s">
        <v>25</v>
      </c>
      <c r="F17" s="109" t="s">
        <v>25</v>
      </c>
      <c r="G17" s="109" t="s">
        <v>25</v>
      </c>
      <c r="H17" s="109" t="s">
        <v>79</v>
      </c>
      <c r="I17" s="109" t="s">
        <v>25</v>
      </c>
      <c r="J17" s="109">
        <v>20.71</v>
      </c>
      <c r="K17" s="109">
        <v>0</v>
      </c>
      <c r="L17" s="109">
        <v>0</v>
      </c>
      <c r="M17" s="109">
        <v>0</v>
      </c>
      <c r="N17" s="109">
        <v>0</v>
      </c>
      <c r="O17" s="109">
        <v>0</v>
      </c>
      <c r="P17" s="109">
        <v>0</v>
      </c>
      <c r="Q17" s="109">
        <v>0</v>
      </c>
      <c r="R17" s="109">
        <v>0</v>
      </c>
      <c r="S17" s="109">
        <v>0</v>
      </c>
      <c r="T17" s="109">
        <v>3.4565225208736798</v>
      </c>
      <c r="U17" s="109">
        <v>2.7447689423895798</v>
      </c>
      <c r="V17" s="109">
        <v>0</v>
      </c>
      <c r="W17" s="109">
        <v>0</v>
      </c>
      <c r="X17" s="109">
        <v>4.3719359762307004</v>
      </c>
      <c r="Y17" s="109">
        <v>0</v>
      </c>
      <c r="Z17" s="109">
        <v>0</v>
      </c>
      <c r="AA17" s="109">
        <v>10.1358223584085</v>
      </c>
      <c r="AB17" s="109">
        <v>0</v>
      </c>
      <c r="AC17" s="109">
        <v>0</v>
      </c>
      <c r="AD17" s="109">
        <v>0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0</v>
      </c>
      <c r="AO17" s="109">
        <v>0</v>
      </c>
      <c r="AP17" s="109">
        <v>0</v>
      </c>
      <c r="AQ17" s="110">
        <v>0</v>
      </c>
    </row>
    <row r="18" spans="2:43" ht="12" customHeight="1" x14ac:dyDescent="0.25">
      <c r="B18" s="108" t="s">
        <v>33</v>
      </c>
      <c r="C18" s="109" t="s">
        <v>34</v>
      </c>
      <c r="D18" s="109" t="s">
        <v>25</v>
      </c>
      <c r="E18" s="109" t="s">
        <v>25</v>
      </c>
      <c r="F18" s="109" t="s">
        <v>25</v>
      </c>
      <c r="G18" s="109" t="s">
        <v>36</v>
      </c>
      <c r="H18" s="109" t="s">
        <v>76</v>
      </c>
      <c r="I18" s="109" t="s">
        <v>25</v>
      </c>
      <c r="J18" s="109">
        <v>97.36</v>
      </c>
      <c r="K18" s="109">
        <v>181.7</v>
      </c>
      <c r="L18" s="109">
        <v>0</v>
      </c>
      <c r="M18" s="109">
        <v>0.48976768131919701</v>
      </c>
      <c r="N18" s="109">
        <v>0</v>
      </c>
      <c r="O18" s="109">
        <v>0</v>
      </c>
      <c r="P18" s="109">
        <v>0</v>
      </c>
      <c r="Q18" s="109">
        <v>75.938384058159897</v>
      </c>
      <c r="R18" s="109">
        <v>14.2823209958782</v>
      </c>
      <c r="S18" s="109">
        <v>0</v>
      </c>
      <c r="T18" s="109">
        <v>0</v>
      </c>
      <c r="U18" s="109">
        <v>0</v>
      </c>
      <c r="V18" s="109">
        <v>0</v>
      </c>
      <c r="W18" s="109">
        <v>0</v>
      </c>
      <c r="X18" s="109">
        <v>0</v>
      </c>
      <c r="Y18" s="109">
        <v>0</v>
      </c>
      <c r="Z18" s="109">
        <v>0</v>
      </c>
      <c r="AA18" s="109">
        <v>0</v>
      </c>
      <c r="AB18" s="109">
        <v>0</v>
      </c>
      <c r="AC18" s="109">
        <v>0</v>
      </c>
      <c r="AD18" s="109">
        <v>6.5952468500295103</v>
      </c>
      <c r="AE18" s="109">
        <v>5.05131606182566E-2</v>
      </c>
      <c r="AF18" s="109">
        <v>0</v>
      </c>
      <c r="AG18" s="109">
        <v>0</v>
      </c>
      <c r="AH18" s="109">
        <v>0</v>
      </c>
      <c r="AI18" s="109">
        <v>0</v>
      </c>
      <c r="AJ18" s="109">
        <v>13.173461724956599</v>
      </c>
      <c r="AK18" s="109">
        <v>0</v>
      </c>
      <c r="AL18" s="109">
        <v>167.24863457723501</v>
      </c>
      <c r="AM18" s="109">
        <v>0</v>
      </c>
      <c r="AN18" s="109">
        <v>0</v>
      </c>
      <c r="AO18" s="109">
        <v>0</v>
      </c>
      <c r="AP18" s="109">
        <v>0</v>
      </c>
      <c r="AQ18" s="110">
        <v>1.2809614763010999</v>
      </c>
    </row>
    <row r="19" spans="2:43" ht="12" customHeight="1" x14ac:dyDescent="0.25">
      <c r="B19" s="108" t="s">
        <v>85</v>
      </c>
      <c r="C19" s="109" t="s">
        <v>84</v>
      </c>
      <c r="D19" s="109" t="s">
        <v>25</v>
      </c>
      <c r="E19" s="109" t="s">
        <v>25</v>
      </c>
      <c r="F19" s="109" t="s">
        <v>86</v>
      </c>
      <c r="G19" s="109" t="s">
        <v>25</v>
      </c>
      <c r="H19" s="109" t="s">
        <v>79</v>
      </c>
      <c r="I19" s="109" t="s">
        <v>25</v>
      </c>
      <c r="J19" s="109">
        <v>5.85</v>
      </c>
      <c r="K19" s="109">
        <v>0</v>
      </c>
      <c r="L19" s="109">
        <v>0</v>
      </c>
      <c r="M19" s="109">
        <v>0</v>
      </c>
      <c r="N19" s="109">
        <v>0</v>
      </c>
      <c r="O19" s="109">
        <v>0</v>
      </c>
      <c r="P19" s="109">
        <v>0</v>
      </c>
      <c r="Q19" s="109">
        <v>0</v>
      </c>
      <c r="R19" s="109">
        <v>0</v>
      </c>
      <c r="S19" s="109">
        <v>0</v>
      </c>
      <c r="T19" s="109">
        <v>0</v>
      </c>
      <c r="U19" s="109">
        <v>0</v>
      </c>
      <c r="V19" s="109">
        <v>0</v>
      </c>
      <c r="W19" s="109">
        <v>0</v>
      </c>
      <c r="X19" s="109">
        <v>0</v>
      </c>
      <c r="Y19" s="109">
        <v>0</v>
      </c>
      <c r="Z19" s="109">
        <v>0</v>
      </c>
      <c r="AA19" s="109">
        <v>5.8477210428984003</v>
      </c>
      <c r="AB19" s="109">
        <v>0</v>
      </c>
      <c r="AC19" s="109">
        <v>0</v>
      </c>
      <c r="AD19" s="109">
        <v>0</v>
      </c>
      <c r="AE19" s="109">
        <v>0</v>
      </c>
      <c r="AF19" s="109">
        <v>0</v>
      </c>
      <c r="AG19" s="109">
        <v>0</v>
      </c>
      <c r="AH19" s="109">
        <v>0</v>
      </c>
      <c r="AI19" s="109">
        <v>0</v>
      </c>
      <c r="AJ19" s="109">
        <v>0</v>
      </c>
      <c r="AK19" s="109">
        <v>0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10">
        <v>0</v>
      </c>
    </row>
    <row r="20" spans="2:43" ht="12" customHeight="1" x14ac:dyDescent="0.25">
      <c r="B20" s="108" t="s">
        <v>85</v>
      </c>
      <c r="C20" s="109" t="s">
        <v>84</v>
      </c>
      <c r="D20" s="109" t="s">
        <v>25</v>
      </c>
      <c r="E20" s="109" t="s">
        <v>25</v>
      </c>
      <c r="F20" s="109" t="s">
        <v>87</v>
      </c>
      <c r="G20" s="109" t="s">
        <v>25</v>
      </c>
      <c r="H20" s="109" t="s">
        <v>79</v>
      </c>
      <c r="I20" s="109" t="s">
        <v>25</v>
      </c>
      <c r="J20" s="109">
        <v>11.9</v>
      </c>
      <c r="K20" s="109">
        <v>0</v>
      </c>
      <c r="L20" s="109">
        <v>0</v>
      </c>
      <c r="M20" s="109">
        <v>0</v>
      </c>
      <c r="N20" s="109">
        <v>0</v>
      </c>
      <c r="O20" s="109">
        <v>0</v>
      </c>
      <c r="P20" s="109">
        <v>0</v>
      </c>
      <c r="Q20" s="109">
        <v>0</v>
      </c>
      <c r="R20" s="109">
        <v>0</v>
      </c>
      <c r="S20" s="109">
        <v>0</v>
      </c>
      <c r="T20" s="109">
        <v>0</v>
      </c>
      <c r="U20" s="109">
        <v>0</v>
      </c>
      <c r="V20" s="109">
        <v>0</v>
      </c>
      <c r="W20" s="109">
        <v>0</v>
      </c>
      <c r="X20" s="109">
        <v>0</v>
      </c>
      <c r="Y20" s="109">
        <v>0</v>
      </c>
      <c r="Z20" s="109">
        <v>0</v>
      </c>
      <c r="AA20" s="109">
        <v>11.895824903330601</v>
      </c>
      <c r="AB20" s="109">
        <v>0</v>
      </c>
      <c r="AC20" s="109">
        <v>0</v>
      </c>
      <c r="AD20" s="109">
        <v>0</v>
      </c>
      <c r="AE20" s="109">
        <v>0</v>
      </c>
      <c r="AF20" s="109">
        <v>0</v>
      </c>
      <c r="AG20" s="109">
        <v>0</v>
      </c>
      <c r="AH20" s="109">
        <v>0</v>
      </c>
      <c r="AI20" s="109">
        <v>0</v>
      </c>
      <c r="AJ20" s="109">
        <v>0</v>
      </c>
      <c r="AK20" s="109">
        <v>0</v>
      </c>
      <c r="AL20" s="109">
        <v>0</v>
      </c>
      <c r="AM20" s="109">
        <v>0</v>
      </c>
      <c r="AN20" s="109">
        <v>0</v>
      </c>
      <c r="AO20" s="109">
        <v>0</v>
      </c>
      <c r="AP20" s="109">
        <v>0</v>
      </c>
      <c r="AQ20" s="110">
        <v>0</v>
      </c>
    </row>
    <row r="21" spans="2:43" ht="12" customHeight="1" x14ac:dyDescent="0.25">
      <c r="B21" s="108" t="s">
        <v>22</v>
      </c>
      <c r="C21" s="109" t="s">
        <v>37</v>
      </c>
      <c r="D21" s="109" t="s">
        <v>24</v>
      </c>
      <c r="E21" s="109" t="s">
        <v>24</v>
      </c>
      <c r="F21" s="109" t="s">
        <v>25</v>
      </c>
      <c r="G21" s="109" t="s">
        <v>35</v>
      </c>
      <c r="H21" s="109" t="s">
        <v>76</v>
      </c>
      <c r="I21" s="109" t="s">
        <v>25</v>
      </c>
      <c r="J21" s="109">
        <v>814.5</v>
      </c>
      <c r="K21" s="109">
        <v>181.7</v>
      </c>
      <c r="L21" s="109">
        <v>0</v>
      </c>
      <c r="M21" s="109">
        <v>1.1567584752326101</v>
      </c>
      <c r="N21" s="109">
        <v>0</v>
      </c>
      <c r="O21" s="109">
        <v>0</v>
      </c>
      <c r="P21" s="109">
        <v>0</v>
      </c>
      <c r="Q21" s="109">
        <v>90.402838164476094</v>
      </c>
      <c r="R21" s="109">
        <v>14.2823209958782</v>
      </c>
      <c r="S21" s="109">
        <v>0</v>
      </c>
      <c r="T21" s="109">
        <v>39.960757917374302</v>
      </c>
      <c r="U21" s="109">
        <v>31.539466219946799</v>
      </c>
      <c r="V21" s="109">
        <v>0</v>
      </c>
      <c r="W21" s="109">
        <v>0</v>
      </c>
      <c r="X21" s="109">
        <v>50.545249169441902</v>
      </c>
      <c r="Y21" s="109">
        <v>0</v>
      </c>
      <c r="Z21" s="109">
        <v>0</v>
      </c>
      <c r="AA21" s="109">
        <v>571.57083423187203</v>
      </c>
      <c r="AB21" s="109">
        <v>0</v>
      </c>
      <c r="AC21" s="109">
        <v>0</v>
      </c>
      <c r="AD21" s="109">
        <v>14.9310109895507</v>
      </c>
      <c r="AE21" s="109">
        <v>0.114356986699407</v>
      </c>
      <c r="AF21" s="109">
        <v>0</v>
      </c>
      <c r="AG21" s="109">
        <v>0</v>
      </c>
      <c r="AH21" s="109">
        <v>0</v>
      </c>
      <c r="AI21" s="109">
        <v>0</v>
      </c>
      <c r="AJ21" s="109">
        <v>13.173461724956599</v>
      </c>
      <c r="AK21" s="109">
        <v>0</v>
      </c>
      <c r="AL21" s="109">
        <v>167.24863457723501</v>
      </c>
      <c r="AM21" s="109">
        <v>0</v>
      </c>
      <c r="AN21" s="109">
        <v>0</v>
      </c>
      <c r="AO21" s="109">
        <v>0</v>
      </c>
      <c r="AP21" s="109">
        <v>0</v>
      </c>
      <c r="AQ21" s="110">
        <v>1.2809614763010999</v>
      </c>
    </row>
    <row r="22" spans="2:43" ht="12" customHeight="1" x14ac:dyDescent="0.25">
      <c r="B22" s="108" t="s">
        <v>22</v>
      </c>
      <c r="C22" s="109" t="s">
        <v>37</v>
      </c>
      <c r="D22" s="109" t="s">
        <v>24</v>
      </c>
      <c r="E22" s="109" t="s">
        <v>24</v>
      </c>
      <c r="F22" s="109" t="s">
        <v>25</v>
      </c>
      <c r="G22" s="109" t="s">
        <v>38</v>
      </c>
      <c r="H22" s="109" t="s">
        <v>76</v>
      </c>
      <c r="I22" s="109" t="s">
        <v>25</v>
      </c>
      <c r="J22" s="109">
        <v>537.05999999999995</v>
      </c>
      <c r="K22" s="109">
        <v>181.7</v>
      </c>
      <c r="L22" s="109">
        <v>0</v>
      </c>
      <c r="M22" s="109">
        <v>1.1567584752326101</v>
      </c>
      <c r="N22" s="109">
        <v>0</v>
      </c>
      <c r="O22" s="109">
        <v>0</v>
      </c>
      <c r="P22" s="109">
        <v>0</v>
      </c>
      <c r="Q22" s="109">
        <v>90.402838164476094</v>
      </c>
      <c r="R22" s="109">
        <v>14.2823209958782</v>
      </c>
      <c r="S22" s="109">
        <v>0</v>
      </c>
      <c r="T22" s="109">
        <v>23.976654844350399</v>
      </c>
      <c r="U22" s="109">
        <v>18.923849681918099</v>
      </c>
      <c r="V22" s="109">
        <v>0</v>
      </c>
      <c r="W22" s="109">
        <v>0</v>
      </c>
      <c r="X22" s="109">
        <v>30.3273077510501</v>
      </c>
      <c r="Y22" s="109">
        <v>0</v>
      </c>
      <c r="Z22" s="109">
        <v>0</v>
      </c>
      <c r="AA22" s="109">
        <v>342.94245504926698</v>
      </c>
      <c r="AB22" s="109">
        <v>0</v>
      </c>
      <c r="AC22" s="109">
        <v>0</v>
      </c>
      <c r="AD22" s="109">
        <v>14.9310109895507</v>
      </c>
      <c r="AE22" s="109">
        <v>0.114356986699407</v>
      </c>
      <c r="AF22" s="109">
        <v>0</v>
      </c>
      <c r="AG22" s="109">
        <v>0</v>
      </c>
      <c r="AH22" s="109">
        <v>0</v>
      </c>
      <c r="AI22" s="109">
        <v>0</v>
      </c>
      <c r="AJ22" s="109">
        <v>13.173461724956599</v>
      </c>
      <c r="AK22" s="109">
        <v>0</v>
      </c>
      <c r="AL22" s="109">
        <v>167.24863457723501</v>
      </c>
      <c r="AM22" s="109">
        <v>0</v>
      </c>
      <c r="AN22" s="109">
        <v>0</v>
      </c>
      <c r="AO22" s="109">
        <v>0</v>
      </c>
      <c r="AP22" s="109">
        <v>0</v>
      </c>
      <c r="AQ22" s="110">
        <v>1.2809614763010999</v>
      </c>
    </row>
    <row r="23" spans="2:43" ht="12" customHeight="1" x14ac:dyDescent="0.25">
      <c r="B23" s="108" t="s">
        <v>22</v>
      </c>
      <c r="C23" s="109" t="s">
        <v>37</v>
      </c>
      <c r="D23" s="109" t="s">
        <v>24</v>
      </c>
      <c r="E23" s="109" t="s">
        <v>24</v>
      </c>
      <c r="F23" s="109" t="s">
        <v>25</v>
      </c>
      <c r="G23" s="109" t="s">
        <v>36</v>
      </c>
      <c r="H23" s="109" t="s">
        <v>76</v>
      </c>
      <c r="I23" s="109" t="s">
        <v>25</v>
      </c>
      <c r="J23" s="109">
        <v>259.61</v>
      </c>
      <c r="K23" s="109">
        <v>181.7</v>
      </c>
      <c r="L23" s="109">
        <v>0</v>
      </c>
      <c r="M23" s="109">
        <v>1.1567584752326101</v>
      </c>
      <c r="N23" s="109">
        <v>0</v>
      </c>
      <c r="O23" s="109">
        <v>0</v>
      </c>
      <c r="P23" s="109">
        <v>0</v>
      </c>
      <c r="Q23" s="109">
        <v>90.402838164476094</v>
      </c>
      <c r="R23" s="109">
        <v>14.2823209958782</v>
      </c>
      <c r="S23" s="109">
        <v>0</v>
      </c>
      <c r="T23" s="109">
        <v>7.9922516304377504</v>
      </c>
      <c r="U23" s="109">
        <v>6.3078468940030099</v>
      </c>
      <c r="V23" s="109">
        <v>0</v>
      </c>
      <c r="W23" s="109">
        <v>0</v>
      </c>
      <c r="X23" s="109">
        <v>10.1090696150615</v>
      </c>
      <c r="Y23" s="109">
        <v>0</v>
      </c>
      <c r="Z23" s="109">
        <v>0</v>
      </c>
      <c r="AA23" s="109">
        <v>114.31418959130301</v>
      </c>
      <c r="AB23" s="109">
        <v>0</v>
      </c>
      <c r="AC23" s="109">
        <v>0</v>
      </c>
      <c r="AD23" s="109">
        <v>14.9310109895507</v>
      </c>
      <c r="AE23" s="109">
        <v>0.114356986699407</v>
      </c>
      <c r="AF23" s="109">
        <v>0</v>
      </c>
      <c r="AG23" s="109">
        <v>0</v>
      </c>
      <c r="AH23" s="109">
        <v>0</v>
      </c>
      <c r="AI23" s="109">
        <v>0</v>
      </c>
      <c r="AJ23" s="109">
        <v>13.173461724956599</v>
      </c>
      <c r="AK23" s="109">
        <v>0</v>
      </c>
      <c r="AL23" s="109">
        <v>167.24863457723501</v>
      </c>
      <c r="AM23" s="109">
        <v>0</v>
      </c>
      <c r="AN23" s="109">
        <v>0</v>
      </c>
      <c r="AO23" s="109">
        <v>0</v>
      </c>
      <c r="AP23" s="109">
        <v>0</v>
      </c>
      <c r="AQ23" s="110">
        <v>1.2809614763010999</v>
      </c>
    </row>
    <row r="24" spans="2:43" ht="12" customHeight="1" x14ac:dyDescent="0.25">
      <c r="B24" s="108" t="s">
        <v>22</v>
      </c>
      <c r="C24" s="109" t="s">
        <v>23</v>
      </c>
      <c r="D24" s="109" t="s">
        <v>24</v>
      </c>
      <c r="E24" s="109" t="s">
        <v>1284</v>
      </c>
      <c r="F24" s="109" t="s">
        <v>25</v>
      </c>
      <c r="G24" s="109" t="s">
        <v>25</v>
      </c>
      <c r="H24" s="109" t="s">
        <v>76</v>
      </c>
      <c r="I24" s="109" t="s">
        <v>25</v>
      </c>
      <c r="J24" s="109">
        <v>293.64999999999998</v>
      </c>
      <c r="K24" s="109">
        <v>181.7</v>
      </c>
      <c r="L24" s="109">
        <v>0</v>
      </c>
      <c r="M24" s="109">
        <v>1.1567584752326101</v>
      </c>
      <c r="N24" s="109">
        <v>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109">
        <v>15.9844032139126</v>
      </c>
      <c r="U24" s="109">
        <v>12.6159255379378</v>
      </c>
      <c r="V24" s="109">
        <v>0</v>
      </c>
      <c r="W24" s="109">
        <v>0</v>
      </c>
      <c r="X24" s="109">
        <v>20.218139230123001</v>
      </c>
      <c r="Y24" s="109">
        <v>0</v>
      </c>
      <c r="Z24" s="109">
        <v>0</v>
      </c>
      <c r="AA24" s="109">
        <v>228.62815173332299</v>
      </c>
      <c r="AB24" s="109">
        <v>0</v>
      </c>
      <c r="AC24" s="109">
        <v>0</v>
      </c>
      <c r="AD24" s="109">
        <v>14.9310109895507</v>
      </c>
      <c r="AE24" s="109">
        <v>0.114356986699407</v>
      </c>
      <c r="AF24" s="109">
        <v>0</v>
      </c>
      <c r="AG24" s="109">
        <v>0</v>
      </c>
      <c r="AH24" s="109">
        <v>0</v>
      </c>
      <c r="AI24" s="109">
        <v>0</v>
      </c>
      <c r="AJ24" s="109">
        <v>13.173461724956599</v>
      </c>
      <c r="AK24" s="109">
        <v>0</v>
      </c>
      <c r="AL24" s="109">
        <v>167.24863457723501</v>
      </c>
      <c r="AM24" s="109">
        <v>0</v>
      </c>
      <c r="AN24" s="109">
        <v>0</v>
      </c>
      <c r="AO24" s="109">
        <v>0</v>
      </c>
      <c r="AP24" s="109">
        <v>0</v>
      </c>
      <c r="AQ24" s="110">
        <v>1.2809614763010999</v>
      </c>
    </row>
    <row r="25" spans="2:43" ht="12" customHeight="1" x14ac:dyDescent="0.25">
      <c r="B25" s="108" t="s">
        <v>22</v>
      </c>
      <c r="C25" s="109" t="s">
        <v>23</v>
      </c>
      <c r="D25" s="109" t="s">
        <v>24</v>
      </c>
      <c r="E25" s="109" t="s">
        <v>24</v>
      </c>
      <c r="F25" s="109" t="s">
        <v>25</v>
      </c>
      <c r="G25" s="109" t="s">
        <v>25</v>
      </c>
      <c r="H25" s="109" t="s">
        <v>76</v>
      </c>
      <c r="I25" s="109" t="s">
        <v>25</v>
      </c>
      <c r="J25" s="109">
        <v>398.33</v>
      </c>
      <c r="K25" s="109">
        <v>181.7</v>
      </c>
      <c r="L25" s="109">
        <v>0</v>
      </c>
      <c r="M25" s="109">
        <v>1.1567584752326101</v>
      </c>
      <c r="N25" s="109">
        <v>0</v>
      </c>
      <c r="O25" s="109">
        <v>0</v>
      </c>
      <c r="P25" s="109">
        <v>0</v>
      </c>
      <c r="Q25" s="109">
        <v>90.402838164476094</v>
      </c>
      <c r="R25" s="109">
        <v>14.2823209958782</v>
      </c>
      <c r="S25" s="109">
        <v>0</v>
      </c>
      <c r="T25" s="109">
        <v>15.9844032139126</v>
      </c>
      <c r="U25" s="109">
        <v>12.6159255379378</v>
      </c>
      <c r="V25" s="109">
        <v>0</v>
      </c>
      <c r="W25" s="109">
        <v>0</v>
      </c>
      <c r="X25" s="109">
        <v>20.218139230123001</v>
      </c>
      <c r="Y25" s="109">
        <v>0</v>
      </c>
      <c r="Z25" s="109">
        <v>0</v>
      </c>
      <c r="AA25" s="109">
        <v>228.62815173332299</v>
      </c>
      <c r="AB25" s="109">
        <v>0</v>
      </c>
      <c r="AC25" s="109">
        <v>0</v>
      </c>
      <c r="AD25" s="109">
        <v>14.9310109895507</v>
      </c>
      <c r="AE25" s="109">
        <v>0.114356986699407</v>
      </c>
      <c r="AF25" s="109">
        <v>0</v>
      </c>
      <c r="AG25" s="109">
        <v>0</v>
      </c>
      <c r="AH25" s="109">
        <v>0</v>
      </c>
      <c r="AI25" s="109">
        <v>0</v>
      </c>
      <c r="AJ25" s="109">
        <v>13.173461724956599</v>
      </c>
      <c r="AK25" s="109">
        <v>0</v>
      </c>
      <c r="AL25" s="109">
        <v>167.24863457723501</v>
      </c>
      <c r="AM25" s="109">
        <v>0</v>
      </c>
      <c r="AN25" s="109">
        <v>0</v>
      </c>
      <c r="AO25" s="109">
        <v>0</v>
      </c>
      <c r="AP25" s="109">
        <v>0</v>
      </c>
      <c r="AQ25" s="110">
        <v>1.2809614763010999</v>
      </c>
    </row>
    <row r="26" spans="2:43" ht="12" customHeight="1" x14ac:dyDescent="0.25">
      <c r="B26" s="108" t="s">
        <v>22</v>
      </c>
      <c r="C26" s="109" t="s">
        <v>91</v>
      </c>
      <c r="D26" s="109" t="s">
        <v>24</v>
      </c>
      <c r="E26" s="109" t="s">
        <v>1284</v>
      </c>
      <c r="F26" s="109" t="s">
        <v>25</v>
      </c>
      <c r="G26" s="109" t="s">
        <v>25</v>
      </c>
      <c r="H26" s="109" t="s">
        <v>76</v>
      </c>
      <c r="I26" s="109" t="s">
        <v>25</v>
      </c>
      <c r="J26" s="109">
        <v>293.64999999999998</v>
      </c>
      <c r="K26" s="109">
        <v>181.7</v>
      </c>
      <c r="L26" s="109">
        <v>0</v>
      </c>
      <c r="M26" s="109">
        <v>1.1567584752326101</v>
      </c>
      <c r="N26" s="109">
        <v>0</v>
      </c>
      <c r="O26" s="109">
        <v>0</v>
      </c>
      <c r="P26" s="109">
        <v>0</v>
      </c>
      <c r="Q26" s="109">
        <v>0</v>
      </c>
      <c r="R26" s="109">
        <v>0</v>
      </c>
      <c r="S26" s="109">
        <v>0</v>
      </c>
      <c r="T26" s="109">
        <v>15.9844032139126</v>
      </c>
      <c r="U26" s="109">
        <v>12.6159255379378</v>
      </c>
      <c r="V26" s="109">
        <v>0</v>
      </c>
      <c r="W26" s="109">
        <v>0</v>
      </c>
      <c r="X26" s="109">
        <v>20.218139230123001</v>
      </c>
      <c r="Y26" s="109">
        <v>0</v>
      </c>
      <c r="Z26" s="109">
        <v>0</v>
      </c>
      <c r="AA26" s="109">
        <v>228.62815173332299</v>
      </c>
      <c r="AB26" s="109">
        <v>0</v>
      </c>
      <c r="AC26" s="109">
        <v>0</v>
      </c>
      <c r="AD26" s="109">
        <v>14.9310109895507</v>
      </c>
      <c r="AE26" s="109">
        <v>0.114356986699407</v>
      </c>
      <c r="AF26" s="109">
        <v>0</v>
      </c>
      <c r="AG26" s="109">
        <v>0</v>
      </c>
      <c r="AH26" s="109">
        <v>0</v>
      </c>
      <c r="AI26" s="109">
        <v>0</v>
      </c>
      <c r="AJ26" s="109">
        <v>13.173461724956599</v>
      </c>
      <c r="AK26" s="109">
        <v>0</v>
      </c>
      <c r="AL26" s="109">
        <v>167.24863457723501</v>
      </c>
      <c r="AM26" s="109">
        <v>0</v>
      </c>
      <c r="AN26" s="109">
        <v>0</v>
      </c>
      <c r="AO26" s="109">
        <v>0</v>
      </c>
      <c r="AP26" s="109">
        <v>0</v>
      </c>
      <c r="AQ26" s="110">
        <v>1.2809614763010999</v>
      </c>
    </row>
    <row r="27" spans="2:43" ht="12" customHeight="1" x14ac:dyDescent="0.25">
      <c r="B27" s="108" t="s">
        <v>22</v>
      </c>
      <c r="C27" s="109" t="s">
        <v>91</v>
      </c>
      <c r="D27" s="109" t="s">
        <v>24</v>
      </c>
      <c r="E27" s="109" t="s">
        <v>24</v>
      </c>
      <c r="F27" s="109" t="s">
        <v>25</v>
      </c>
      <c r="G27" s="109" t="s">
        <v>25</v>
      </c>
      <c r="H27" s="109" t="s">
        <v>76</v>
      </c>
      <c r="I27" s="109" t="s">
        <v>25</v>
      </c>
      <c r="J27" s="109">
        <v>398.33</v>
      </c>
      <c r="K27" s="109">
        <v>181.7</v>
      </c>
      <c r="L27" s="109">
        <v>0</v>
      </c>
      <c r="M27" s="109">
        <v>1.1567584752326101</v>
      </c>
      <c r="N27" s="109">
        <v>0</v>
      </c>
      <c r="O27" s="109">
        <v>0</v>
      </c>
      <c r="P27" s="109">
        <v>0</v>
      </c>
      <c r="Q27" s="109">
        <v>90.402838164476094</v>
      </c>
      <c r="R27" s="109">
        <v>14.2823209958782</v>
      </c>
      <c r="S27" s="109">
        <v>0</v>
      </c>
      <c r="T27" s="109">
        <v>15.9844032139126</v>
      </c>
      <c r="U27" s="109">
        <v>12.6159255379378</v>
      </c>
      <c r="V27" s="109">
        <v>0</v>
      </c>
      <c r="W27" s="109">
        <v>0</v>
      </c>
      <c r="X27" s="109">
        <v>20.218139230123001</v>
      </c>
      <c r="Y27" s="109">
        <v>0</v>
      </c>
      <c r="Z27" s="109">
        <v>0</v>
      </c>
      <c r="AA27" s="109">
        <v>228.62815173332299</v>
      </c>
      <c r="AB27" s="109">
        <v>0</v>
      </c>
      <c r="AC27" s="109">
        <v>0</v>
      </c>
      <c r="AD27" s="109">
        <v>14.9310109895507</v>
      </c>
      <c r="AE27" s="109">
        <v>0.114356986699407</v>
      </c>
      <c r="AF27" s="109">
        <v>0</v>
      </c>
      <c r="AG27" s="109">
        <v>0</v>
      </c>
      <c r="AH27" s="109">
        <v>0</v>
      </c>
      <c r="AI27" s="109">
        <v>0</v>
      </c>
      <c r="AJ27" s="109">
        <v>13.173461724956599</v>
      </c>
      <c r="AK27" s="109">
        <v>0</v>
      </c>
      <c r="AL27" s="109">
        <v>167.24863457723501</v>
      </c>
      <c r="AM27" s="109">
        <v>0</v>
      </c>
      <c r="AN27" s="109">
        <v>0</v>
      </c>
      <c r="AO27" s="109">
        <v>0</v>
      </c>
      <c r="AP27" s="109">
        <v>0</v>
      </c>
      <c r="AQ27" s="110">
        <v>1.2809614763010999</v>
      </c>
    </row>
    <row r="28" spans="2:43" ht="12" customHeight="1" x14ac:dyDescent="0.25">
      <c r="B28" s="108" t="s">
        <v>43</v>
      </c>
      <c r="C28" s="109" t="s">
        <v>37</v>
      </c>
      <c r="D28" s="109" t="s">
        <v>44</v>
      </c>
      <c r="E28" s="109" t="s">
        <v>92</v>
      </c>
      <c r="F28" s="109" t="s">
        <v>25</v>
      </c>
      <c r="G28" s="109" t="s">
        <v>35</v>
      </c>
      <c r="H28" s="109" t="s">
        <v>76</v>
      </c>
      <c r="I28" s="109" t="s">
        <v>25</v>
      </c>
      <c r="J28" s="109">
        <v>830.83</v>
      </c>
      <c r="K28" s="109">
        <v>170.8</v>
      </c>
      <c r="L28" s="109">
        <v>0</v>
      </c>
      <c r="M28" s="109">
        <v>1.0873529667186601</v>
      </c>
      <c r="N28" s="109">
        <v>0</v>
      </c>
      <c r="O28" s="109">
        <v>0</v>
      </c>
      <c r="P28" s="109">
        <v>0</v>
      </c>
      <c r="Q28" s="109">
        <v>84.978667874607495</v>
      </c>
      <c r="R28" s="109">
        <v>13.4253817361255</v>
      </c>
      <c r="S28" s="109">
        <v>0</v>
      </c>
      <c r="T28" s="109">
        <v>41.319611774855296</v>
      </c>
      <c r="U28" s="109">
        <v>32.612040439356697</v>
      </c>
      <c r="V28" s="109">
        <v>0</v>
      </c>
      <c r="W28" s="109">
        <v>0</v>
      </c>
      <c r="X28" s="109">
        <v>52.263936395624803</v>
      </c>
      <c r="Y28" s="109">
        <v>0</v>
      </c>
      <c r="Z28" s="109">
        <v>0</v>
      </c>
      <c r="AA28" s="109">
        <v>591.00425328587198</v>
      </c>
      <c r="AB28" s="109">
        <v>0</v>
      </c>
      <c r="AC28" s="109">
        <v>0</v>
      </c>
      <c r="AD28" s="109">
        <v>14.0351503301777</v>
      </c>
      <c r="AE28" s="109">
        <v>0.107495567497442</v>
      </c>
      <c r="AF28" s="109">
        <v>0</v>
      </c>
      <c r="AG28" s="109">
        <v>0</v>
      </c>
      <c r="AH28" s="109">
        <v>0</v>
      </c>
      <c r="AI28" s="109">
        <v>0</v>
      </c>
      <c r="AJ28" s="109">
        <v>12.3830540214592</v>
      </c>
      <c r="AK28" s="109">
        <v>0</v>
      </c>
      <c r="AL28" s="109">
        <v>157.21371650260099</v>
      </c>
      <c r="AM28" s="109">
        <v>0</v>
      </c>
      <c r="AN28" s="109">
        <v>0</v>
      </c>
      <c r="AO28" s="109">
        <v>0</v>
      </c>
      <c r="AP28" s="109">
        <v>0</v>
      </c>
      <c r="AQ28" s="110">
        <v>1.2041037877230301</v>
      </c>
    </row>
    <row r="29" spans="2:43" ht="12" customHeight="1" x14ac:dyDescent="0.25">
      <c r="B29" s="108" t="s">
        <v>43</v>
      </c>
      <c r="C29" s="109" t="s">
        <v>37</v>
      </c>
      <c r="D29" s="109" t="s">
        <v>44</v>
      </c>
      <c r="E29" s="109" t="s">
        <v>92</v>
      </c>
      <c r="F29" s="109" t="s">
        <v>25</v>
      </c>
      <c r="G29" s="109" t="s">
        <v>38</v>
      </c>
      <c r="H29" s="109" t="s">
        <v>76</v>
      </c>
      <c r="I29" s="109" t="s">
        <v>25</v>
      </c>
      <c r="J29" s="109">
        <v>543.95000000000005</v>
      </c>
      <c r="K29" s="109">
        <v>170.8</v>
      </c>
      <c r="L29" s="109">
        <v>0</v>
      </c>
      <c r="M29" s="109">
        <v>1.0873529667186601</v>
      </c>
      <c r="N29" s="109">
        <v>0</v>
      </c>
      <c r="O29" s="109">
        <v>0</v>
      </c>
      <c r="P29" s="109">
        <v>0</v>
      </c>
      <c r="Q29" s="109">
        <v>84.978667874607495</v>
      </c>
      <c r="R29" s="109">
        <v>13.4253817361255</v>
      </c>
      <c r="S29" s="109">
        <v>0</v>
      </c>
      <c r="T29" s="109">
        <v>24.791823491400201</v>
      </c>
      <c r="U29" s="109">
        <v>19.567122602643899</v>
      </c>
      <c r="V29" s="109">
        <v>0</v>
      </c>
      <c r="W29" s="109">
        <v>0</v>
      </c>
      <c r="X29" s="109">
        <v>31.3583618373749</v>
      </c>
      <c r="Y29" s="109">
        <v>0</v>
      </c>
      <c r="Z29" s="109">
        <v>0</v>
      </c>
      <c r="AA29" s="109">
        <v>354.60248783082602</v>
      </c>
      <c r="AB29" s="109">
        <v>0</v>
      </c>
      <c r="AC29" s="109">
        <v>0</v>
      </c>
      <c r="AD29" s="109">
        <v>14.0351503301777</v>
      </c>
      <c r="AE29" s="109">
        <v>0.107495567497442</v>
      </c>
      <c r="AF29" s="109">
        <v>0</v>
      </c>
      <c r="AG29" s="109">
        <v>0</v>
      </c>
      <c r="AH29" s="109">
        <v>0</v>
      </c>
      <c r="AI29" s="109">
        <v>0</v>
      </c>
      <c r="AJ29" s="109">
        <v>12.3830540214592</v>
      </c>
      <c r="AK29" s="109">
        <v>0</v>
      </c>
      <c r="AL29" s="109">
        <v>157.21371650260099</v>
      </c>
      <c r="AM29" s="109">
        <v>0</v>
      </c>
      <c r="AN29" s="109">
        <v>0</v>
      </c>
      <c r="AO29" s="109">
        <v>0</v>
      </c>
      <c r="AP29" s="109">
        <v>0</v>
      </c>
      <c r="AQ29" s="110">
        <v>1.2041037877230301</v>
      </c>
    </row>
    <row r="30" spans="2:43" ht="12" customHeight="1" x14ac:dyDescent="0.25">
      <c r="B30" s="108" t="s">
        <v>43</v>
      </c>
      <c r="C30" s="109" t="s">
        <v>37</v>
      </c>
      <c r="D30" s="109" t="s">
        <v>44</v>
      </c>
      <c r="E30" s="109" t="s">
        <v>92</v>
      </c>
      <c r="F30" s="109" t="s">
        <v>25</v>
      </c>
      <c r="G30" s="109" t="s">
        <v>36</v>
      </c>
      <c r="H30" s="109" t="s">
        <v>76</v>
      </c>
      <c r="I30" s="109" t="s">
        <v>25</v>
      </c>
      <c r="J30" s="109">
        <v>257.07</v>
      </c>
      <c r="K30" s="109">
        <v>170.8</v>
      </c>
      <c r="L30" s="109">
        <v>0</v>
      </c>
      <c r="M30" s="109">
        <v>1.0873529667186601</v>
      </c>
      <c r="N30" s="109">
        <v>0</v>
      </c>
      <c r="O30" s="109">
        <v>0</v>
      </c>
      <c r="P30" s="109">
        <v>0</v>
      </c>
      <c r="Q30" s="109">
        <v>84.978667874607495</v>
      </c>
      <c r="R30" s="109">
        <v>13.4253817361255</v>
      </c>
      <c r="S30" s="109">
        <v>0</v>
      </c>
      <c r="T30" s="109">
        <v>8.2639411638000801</v>
      </c>
      <c r="U30" s="109">
        <v>6.5223499958884297</v>
      </c>
      <c r="V30" s="109">
        <v>0</v>
      </c>
      <c r="W30" s="109">
        <v>0</v>
      </c>
      <c r="X30" s="109">
        <v>10.452787279124999</v>
      </c>
      <c r="Y30" s="109">
        <v>0</v>
      </c>
      <c r="Z30" s="109">
        <v>0</v>
      </c>
      <c r="AA30" s="109">
        <v>118.200829276942</v>
      </c>
      <c r="AB30" s="109">
        <v>0</v>
      </c>
      <c r="AC30" s="109">
        <v>0</v>
      </c>
      <c r="AD30" s="109">
        <v>14.0351503301777</v>
      </c>
      <c r="AE30" s="109">
        <v>0.107495567497442</v>
      </c>
      <c r="AF30" s="109">
        <v>0</v>
      </c>
      <c r="AG30" s="109">
        <v>0</v>
      </c>
      <c r="AH30" s="109">
        <v>0</v>
      </c>
      <c r="AI30" s="109">
        <v>0</v>
      </c>
      <c r="AJ30" s="109">
        <v>12.3830540214592</v>
      </c>
      <c r="AK30" s="109">
        <v>0</v>
      </c>
      <c r="AL30" s="109">
        <v>157.21371650260099</v>
      </c>
      <c r="AM30" s="109">
        <v>0</v>
      </c>
      <c r="AN30" s="109">
        <v>0</v>
      </c>
      <c r="AO30" s="109">
        <v>0</v>
      </c>
      <c r="AP30" s="109">
        <v>0</v>
      </c>
      <c r="AQ30" s="110">
        <v>1.2041037877230301</v>
      </c>
    </row>
    <row r="31" spans="2:43" ht="12" customHeight="1" x14ac:dyDescent="0.25">
      <c r="B31" s="108" t="s">
        <v>43</v>
      </c>
      <c r="C31" s="109" t="s">
        <v>37</v>
      </c>
      <c r="D31" s="109" t="s">
        <v>44</v>
      </c>
      <c r="E31" s="109" t="s">
        <v>25</v>
      </c>
      <c r="F31" s="109" t="s">
        <v>25</v>
      </c>
      <c r="G31" s="109" t="s">
        <v>35</v>
      </c>
      <c r="H31" s="109" t="s">
        <v>76</v>
      </c>
      <c r="I31" s="109" t="s">
        <v>25</v>
      </c>
      <c r="J31" s="109">
        <v>830.83</v>
      </c>
      <c r="K31" s="109">
        <v>170.8</v>
      </c>
      <c r="L31" s="109">
        <v>0</v>
      </c>
      <c r="M31" s="109">
        <v>1.0873529667186601</v>
      </c>
      <c r="N31" s="109">
        <v>0</v>
      </c>
      <c r="O31" s="109">
        <v>0</v>
      </c>
      <c r="P31" s="109">
        <v>0</v>
      </c>
      <c r="Q31" s="109">
        <v>84.978667874607495</v>
      </c>
      <c r="R31" s="109">
        <v>13.4253817361255</v>
      </c>
      <c r="S31" s="109">
        <v>0</v>
      </c>
      <c r="T31" s="109">
        <v>41.319611774855296</v>
      </c>
      <c r="U31" s="109">
        <v>32.612040439356697</v>
      </c>
      <c r="V31" s="109">
        <v>0</v>
      </c>
      <c r="W31" s="109">
        <v>0</v>
      </c>
      <c r="X31" s="109">
        <v>52.263936395624803</v>
      </c>
      <c r="Y31" s="109">
        <v>0</v>
      </c>
      <c r="Z31" s="109">
        <v>0</v>
      </c>
      <c r="AA31" s="109">
        <v>591.00425328587198</v>
      </c>
      <c r="AB31" s="109">
        <v>0</v>
      </c>
      <c r="AC31" s="109">
        <v>0</v>
      </c>
      <c r="AD31" s="109">
        <v>14.0351503301777</v>
      </c>
      <c r="AE31" s="109">
        <v>0.107495567497442</v>
      </c>
      <c r="AF31" s="109">
        <v>0</v>
      </c>
      <c r="AG31" s="109">
        <v>0</v>
      </c>
      <c r="AH31" s="109">
        <v>0</v>
      </c>
      <c r="AI31" s="109">
        <v>0</v>
      </c>
      <c r="AJ31" s="109">
        <v>12.3830540214592</v>
      </c>
      <c r="AK31" s="109">
        <v>0</v>
      </c>
      <c r="AL31" s="109">
        <v>157.21371650260099</v>
      </c>
      <c r="AM31" s="109">
        <v>0</v>
      </c>
      <c r="AN31" s="109">
        <v>0</v>
      </c>
      <c r="AO31" s="109">
        <v>0</v>
      </c>
      <c r="AP31" s="109">
        <v>0</v>
      </c>
      <c r="AQ31" s="110">
        <v>1.2041037877230301</v>
      </c>
    </row>
    <row r="32" spans="2:43" ht="12" customHeight="1" x14ac:dyDescent="0.25">
      <c r="B32" s="108" t="s">
        <v>43</v>
      </c>
      <c r="C32" s="109" t="s">
        <v>37</v>
      </c>
      <c r="D32" s="109" t="s">
        <v>44</v>
      </c>
      <c r="E32" s="109" t="s">
        <v>25</v>
      </c>
      <c r="F32" s="109" t="s">
        <v>25</v>
      </c>
      <c r="G32" s="109" t="s">
        <v>38</v>
      </c>
      <c r="H32" s="109" t="s">
        <v>76</v>
      </c>
      <c r="I32" s="109" t="s">
        <v>25</v>
      </c>
      <c r="J32" s="109">
        <v>543.95000000000005</v>
      </c>
      <c r="K32" s="109">
        <v>170.8</v>
      </c>
      <c r="L32" s="109">
        <v>0</v>
      </c>
      <c r="M32" s="109">
        <v>1.0873529667186601</v>
      </c>
      <c r="N32" s="109">
        <v>0</v>
      </c>
      <c r="O32" s="109">
        <v>0</v>
      </c>
      <c r="P32" s="109">
        <v>0</v>
      </c>
      <c r="Q32" s="109">
        <v>84.978667874607495</v>
      </c>
      <c r="R32" s="109">
        <v>13.4253817361255</v>
      </c>
      <c r="S32" s="109">
        <v>0</v>
      </c>
      <c r="T32" s="109">
        <v>24.791823491400201</v>
      </c>
      <c r="U32" s="109">
        <v>19.567122602643899</v>
      </c>
      <c r="V32" s="109">
        <v>0</v>
      </c>
      <c r="W32" s="109">
        <v>0</v>
      </c>
      <c r="X32" s="109">
        <v>31.3583618373749</v>
      </c>
      <c r="Y32" s="109">
        <v>0</v>
      </c>
      <c r="Z32" s="109">
        <v>0</v>
      </c>
      <c r="AA32" s="109">
        <v>354.60248783082602</v>
      </c>
      <c r="AB32" s="109">
        <v>0</v>
      </c>
      <c r="AC32" s="109">
        <v>0</v>
      </c>
      <c r="AD32" s="109">
        <v>14.0351503301777</v>
      </c>
      <c r="AE32" s="109">
        <v>0.107495567497442</v>
      </c>
      <c r="AF32" s="109">
        <v>0</v>
      </c>
      <c r="AG32" s="109">
        <v>0</v>
      </c>
      <c r="AH32" s="109">
        <v>0</v>
      </c>
      <c r="AI32" s="109">
        <v>0</v>
      </c>
      <c r="AJ32" s="109">
        <v>12.3830540214592</v>
      </c>
      <c r="AK32" s="109">
        <v>0</v>
      </c>
      <c r="AL32" s="109">
        <v>157.21371650260099</v>
      </c>
      <c r="AM32" s="109">
        <v>0</v>
      </c>
      <c r="AN32" s="109">
        <v>0</v>
      </c>
      <c r="AO32" s="109">
        <v>0</v>
      </c>
      <c r="AP32" s="109">
        <v>0</v>
      </c>
      <c r="AQ32" s="110">
        <v>1.2041037877230301</v>
      </c>
    </row>
    <row r="33" spans="2:43" ht="12" customHeight="1" x14ac:dyDescent="0.25">
      <c r="B33" s="108" t="s">
        <v>43</v>
      </c>
      <c r="C33" s="109" t="s">
        <v>37</v>
      </c>
      <c r="D33" s="109" t="s">
        <v>44</v>
      </c>
      <c r="E33" s="109" t="s">
        <v>25</v>
      </c>
      <c r="F33" s="109" t="s">
        <v>25</v>
      </c>
      <c r="G33" s="109" t="s">
        <v>36</v>
      </c>
      <c r="H33" s="109" t="s">
        <v>76</v>
      </c>
      <c r="I33" s="109" t="s">
        <v>25</v>
      </c>
      <c r="J33" s="109">
        <v>257.07</v>
      </c>
      <c r="K33" s="109">
        <v>170.8</v>
      </c>
      <c r="L33" s="109">
        <v>0</v>
      </c>
      <c r="M33" s="109">
        <v>1.0873529667186601</v>
      </c>
      <c r="N33" s="109">
        <v>0</v>
      </c>
      <c r="O33" s="109">
        <v>0</v>
      </c>
      <c r="P33" s="109">
        <v>0</v>
      </c>
      <c r="Q33" s="109">
        <v>84.978667874607495</v>
      </c>
      <c r="R33" s="109">
        <v>13.4253817361255</v>
      </c>
      <c r="S33" s="109">
        <v>0</v>
      </c>
      <c r="T33" s="109">
        <v>8.2639411638000801</v>
      </c>
      <c r="U33" s="109">
        <v>6.5223499958884297</v>
      </c>
      <c r="V33" s="109">
        <v>0</v>
      </c>
      <c r="W33" s="109">
        <v>0</v>
      </c>
      <c r="X33" s="109">
        <v>10.452787279124999</v>
      </c>
      <c r="Y33" s="109">
        <v>0</v>
      </c>
      <c r="Z33" s="109">
        <v>0</v>
      </c>
      <c r="AA33" s="109">
        <v>118.200829276942</v>
      </c>
      <c r="AB33" s="109">
        <v>0</v>
      </c>
      <c r="AC33" s="109">
        <v>0</v>
      </c>
      <c r="AD33" s="109">
        <v>14.0351503301777</v>
      </c>
      <c r="AE33" s="109">
        <v>0.107495567497442</v>
      </c>
      <c r="AF33" s="109">
        <v>0</v>
      </c>
      <c r="AG33" s="109">
        <v>0</v>
      </c>
      <c r="AH33" s="109">
        <v>0</v>
      </c>
      <c r="AI33" s="109">
        <v>0</v>
      </c>
      <c r="AJ33" s="109">
        <v>12.3830540214592</v>
      </c>
      <c r="AK33" s="109">
        <v>0</v>
      </c>
      <c r="AL33" s="109">
        <v>157.21371650260099</v>
      </c>
      <c r="AM33" s="109">
        <v>0</v>
      </c>
      <c r="AN33" s="109">
        <v>0</v>
      </c>
      <c r="AO33" s="109">
        <v>0</v>
      </c>
      <c r="AP33" s="109">
        <v>0</v>
      </c>
      <c r="AQ33" s="110">
        <v>1.2041037877230301</v>
      </c>
    </row>
    <row r="34" spans="2:43" ht="12" customHeight="1" x14ac:dyDescent="0.25">
      <c r="B34" s="108" t="s">
        <v>43</v>
      </c>
      <c r="C34" s="109" t="s">
        <v>37</v>
      </c>
      <c r="D34" s="109" t="s">
        <v>44</v>
      </c>
      <c r="E34" s="109" t="s">
        <v>93</v>
      </c>
      <c r="F34" s="109" t="s">
        <v>25</v>
      </c>
      <c r="G34" s="109" t="s">
        <v>35</v>
      </c>
      <c r="H34" s="109" t="s">
        <v>76</v>
      </c>
      <c r="I34" s="109" t="s">
        <v>25</v>
      </c>
      <c r="J34" s="109">
        <v>813.16</v>
      </c>
      <c r="K34" s="109">
        <v>167.17</v>
      </c>
      <c r="L34" s="109">
        <v>0</v>
      </c>
      <c r="M34" s="109">
        <v>1.0642177972139999</v>
      </c>
      <c r="N34" s="109">
        <v>0</v>
      </c>
      <c r="O34" s="109">
        <v>0</v>
      </c>
      <c r="P34" s="109">
        <v>0</v>
      </c>
      <c r="Q34" s="109">
        <v>83.170611111317996</v>
      </c>
      <c r="R34" s="109">
        <v>13.139735316208</v>
      </c>
      <c r="S34" s="109">
        <v>0</v>
      </c>
      <c r="T34" s="109">
        <v>40.440471098794497</v>
      </c>
      <c r="U34" s="109">
        <v>31.918167238519299</v>
      </c>
      <c r="V34" s="109">
        <v>0</v>
      </c>
      <c r="W34" s="109">
        <v>0</v>
      </c>
      <c r="X34" s="109">
        <v>51.151937748909297</v>
      </c>
      <c r="Y34" s="109">
        <v>0</v>
      </c>
      <c r="Z34" s="109">
        <v>0</v>
      </c>
      <c r="AA34" s="109">
        <v>578.42969470532205</v>
      </c>
      <c r="AB34" s="109">
        <v>0</v>
      </c>
      <c r="AC34" s="109">
        <v>0</v>
      </c>
      <c r="AD34" s="109">
        <v>13.736530110386701</v>
      </c>
      <c r="AE34" s="109">
        <v>0.105208427763454</v>
      </c>
      <c r="AF34" s="109">
        <v>0</v>
      </c>
      <c r="AG34" s="109">
        <v>0</v>
      </c>
      <c r="AH34" s="109">
        <v>0</v>
      </c>
      <c r="AI34" s="109">
        <v>0</v>
      </c>
      <c r="AJ34" s="109">
        <v>12.119584786960001</v>
      </c>
      <c r="AK34" s="109">
        <v>0</v>
      </c>
      <c r="AL34" s="109">
        <v>153.86874381105599</v>
      </c>
      <c r="AM34" s="109">
        <v>0</v>
      </c>
      <c r="AN34" s="109">
        <v>0</v>
      </c>
      <c r="AO34" s="109">
        <v>0</v>
      </c>
      <c r="AP34" s="109">
        <v>0</v>
      </c>
      <c r="AQ34" s="110">
        <v>1.17848455819701</v>
      </c>
    </row>
    <row r="35" spans="2:43" ht="12" customHeight="1" x14ac:dyDescent="0.25">
      <c r="B35" s="108" t="s">
        <v>43</v>
      </c>
      <c r="C35" s="109" t="s">
        <v>37</v>
      </c>
      <c r="D35" s="109" t="s">
        <v>44</v>
      </c>
      <c r="E35" s="109" t="s">
        <v>93</v>
      </c>
      <c r="F35" s="109" t="s">
        <v>25</v>
      </c>
      <c r="G35" s="109" t="s">
        <v>38</v>
      </c>
      <c r="H35" s="109" t="s">
        <v>76</v>
      </c>
      <c r="I35" s="109" t="s">
        <v>25</v>
      </c>
      <c r="J35" s="109">
        <v>532.38</v>
      </c>
      <c r="K35" s="109">
        <v>167.17</v>
      </c>
      <c r="L35" s="109">
        <v>0</v>
      </c>
      <c r="M35" s="109">
        <v>1.0642177972139999</v>
      </c>
      <c r="N35" s="109">
        <v>0</v>
      </c>
      <c r="O35" s="109">
        <v>0</v>
      </c>
      <c r="P35" s="109">
        <v>0</v>
      </c>
      <c r="Q35" s="109">
        <v>83.170611111317996</v>
      </c>
      <c r="R35" s="109">
        <v>13.139735316208</v>
      </c>
      <c r="S35" s="109">
        <v>0</v>
      </c>
      <c r="T35" s="109">
        <v>24.264337885200199</v>
      </c>
      <c r="U35" s="109">
        <v>19.1508008451409</v>
      </c>
      <c r="V35" s="109">
        <v>0</v>
      </c>
      <c r="W35" s="109">
        <v>0</v>
      </c>
      <c r="X35" s="109">
        <v>30.6911626493456</v>
      </c>
      <c r="Y35" s="109">
        <v>0</v>
      </c>
      <c r="Z35" s="109">
        <v>0</v>
      </c>
      <c r="AA35" s="109">
        <v>347.057754047191</v>
      </c>
      <c r="AB35" s="109">
        <v>0</v>
      </c>
      <c r="AC35" s="109">
        <v>0</v>
      </c>
      <c r="AD35" s="109">
        <v>13.736530110386701</v>
      </c>
      <c r="AE35" s="109">
        <v>0.105208427763454</v>
      </c>
      <c r="AF35" s="109">
        <v>0</v>
      </c>
      <c r="AG35" s="109">
        <v>0</v>
      </c>
      <c r="AH35" s="109">
        <v>0</v>
      </c>
      <c r="AI35" s="109">
        <v>0</v>
      </c>
      <c r="AJ35" s="109">
        <v>12.119584786960001</v>
      </c>
      <c r="AK35" s="109">
        <v>0</v>
      </c>
      <c r="AL35" s="109">
        <v>153.86874381105599</v>
      </c>
      <c r="AM35" s="109">
        <v>0</v>
      </c>
      <c r="AN35" s="109">
        <v>0</v>
      </c>
      <c r="AO35" s="109">
        <v>0</v>
      </c>
      <c r="AP35" s="109">
        <v>0</v>
      </c>
      <c r="AQ35" s="110">
        <v>1.17848455819701</v>
      </c>
    </row>
    <row r="36" spans="2:43" ht="12" customHeight="1" x14ac:dyDescent="0.25">
      <c r="B36" s="108" t="s">
        <v>43</v>
      </c>
      <c r="C36" s="109" t="s">
        <v>37</v>
      </c>
      <c r="D36" s="109" t="s">
        <v>44</v>
      </c>
      <c r="E36" s="109" t="s">
        <v>93</v>
      </c>
      <c r="F36" s="109" t="s">
        <v>25</v>
      </c>
      <c r="G36" s="109" t="s">
        <v>36</v>
      </c>
      <c r="H36" s="109" t="s">
        <v>76</v>
      </c>
      <c r="I36" s="109" t="s">
        <v>25</v>
      </c>
      <c r="J36" s="109">
        <v>251.6</v>
      </c>
      <c r="K36" s="109">
        <v>167.17</v>
      </c>
      <c r="L36" s="109">
        <v>0</v>
      </c>
      <c r="M36" s="109">
        <v>1.0642177972139999</v>
      </c>
      <c r="N36" s="109">
        <v>0</v>
      </c>
      <c r="O36" s="109">
        <v>0</v>
      </c>
      <c r="P36" s="109">
        <v>0</v>
      </c>
      <c r="Q36" s="109">
        <v>83.170611111317996</v>
      </c>
      <c r="R36" s="109">
        <v>13.139735316208</v>
      </c>
      <c r="S36" s="109">
        <v>0</v>
      </c>
      <c r="T36" s="109">
        <v>8.0881126284000793</v>
      </c>
      <c r="U36" s="109">
        <v>6.3835765917205904</v>
      </c>
      <c r="V36" s="109">
        <v>0</v>
      </c>
      <c r="W36" s="109">
        <v>0</v>
      </c>
      <c r="X36" s="109">
        <v>10.2303875497819</v>
      </c>
      <c r="Y36" s="109">
        <v>0</v>
      </c>
      <c r="Z36" s="109">
        <v>0</v>
      </c>
      <c r="AA36" s="109">
        <v>115.68591801573</v>
      </c>
      <c r="AB36" s="109">
        <v>0</v>
      </c>
      <c r="AC36" s="109">
        <v>0</v>
      </c>
      <c r="AD36" s="109">
        <v>13.736530110386701</v>
      </c>
      <c r="AE36" s="109">
        <v>0.105208427763454</v>
      </c>
      <c r="AF36" s="109">
        <v>0</v>
      </c>
      <c r="AG36" s="109">
        <v>0</v>
      </c>
      <c r="AH36" s="109">
        <v>0</v>
      </c>
      <c r="AI36" s="109">
        <v>0</v>
      </c>
      <c r="AJ36" s="109">
        <v>12.119584786960001</v>
      </c>
      <c r="AK36" s="109">
        <v>0</v>
      </c>
      <c r="AL36" s="109">
        <v>153.86874381105599</v>
      </c>
      <c r="AM36" s="109">
        <v>0</v>
      </c>
      <c r="AN36" s="109">
        <v>0</v>
      </c>
      <c r="AO36" s="109">
        <v>0</v>
      </c>
      <c r="AP36" s="109">
        <v>0</v>
      </c>
      <c r="AQ36" s="110">
        <v>1.17848455819701</v>
      </c>
    </row>
    <row r="37" spans="2:43" ht="12" customHeight="1" x14ac:dyDescent="0.25">
      <c r="B37" s="108" t="s">
        <v>43</v>
      </c>
      <c r="C37" s="109" t="s">
        <v>23</v>
      </c>
      <c r="D37" s="109" t="s">
        <v>44</v>
      </c>
      <c r="E37" s="109" t="s">
        <v>92</v>
      </c>
      <c r="F37" s="109" t="s">
        <v>25</v>
      </c>
      <c r="G37" s="109" t="s">
        <v>25</v>
      </c>
      <c r="H37" s="109" t="s">
        <v>76</v>
      </c>
      <c r="I37" s="109" t="s">
        <v>25</v>
      </c>
      <c r="J37" s="109">
        <v>374.43</v>
      </c>
      <c r="K37" s="109">
        <v>170.8</v>
      </c>
      <c r="L37" s="109">
        <v>0</v>
      </c>
      <c r="M37" s="109">
        <v>1.0873529667186601</v>
      </c>
      <c r="N37" s="109">
        <v>0</v>
      </c>
      <c r="O37" s="109">
        <v>0</v>
      </c>
      <c r="P37" s="109">
        <v>0</v>
      </c>
      <c r="Q37" s="109">
        <v>84.978667874607495</v>
      </c>
      <c r="R37" s="109">
        <v>13.4253817361255</v>
      </c>
      <c r="S37" s="109">
        <v>0</v>
      </c>
      <c r="T37" s="109">
        <v>15.025339021077899</v>
      </c>
      <c r="U37" s="109">
        <v>11.8589700056616</v>
      </c>
      <c r="V37" s="109">
        <v>0</v>
      </c>
      <c r="W37" s="109">
        <v>0</v>
      </c>
      <c r="X37" s="109">
        <v>19.0050508763156</v>
      </c>
      <c r="Y37" s="109">
        <v>0</v>
      </c>
      <c r="Z37" s="109">
        <v>0</v>
      </c>
      <c r="AA37" s="109">
        <v>214.910462629324</v>
      </c>
      <c r="AB37" s="109">
        <v>0</v>
      </c>
      <c r="AC37" s="109">
        <v>0</v>
      </c>
      <c r="AD37" s="109">
        <v>14.0351503301777</v>
      </c>
      <c r="AE37" s="109">
        <v>0.107495567497442</v>
      </c>
      <c r="AF37" s="109">
        <v>0</v>
      </c>
      <c r="AG37" s="109">
        <v>0</v>
      </c>
      <c r="AH37" s="109">
        <v>0</v>
      </c>
      <c r="AI37" s="109">
        <v>0</v>
      </c>
      <c r="AJ37" s="109">
        <v>12.3830540214592</v>
      </c>
      <c r="AK37" s="109">
        <v>0</v>
      </c>
      <c r="AL37" s="109">
        <v>157.21371650260099</v>
      </c>
      <c r="AM37" s="109">
        <v>0</v>
      </c>
      <c r="AN37" s="109">
        <v>0</v>
      </c>
      <c r="AO37" s="109">
        <v>0</v>
      </c>
      <c r="AP37" s="109">
        <v>0</v>
      </c>
      <c r="AQ37" s="110">
        <v>1.2041037877230301</v>
      </c>
    </row>
    <row r="38" spans="2:43" ht="12" customHeight="1" x14ac:dyDescent="0.25">
      <c r="B38" s="108" t="s">
        <v>43</v>
      </c>
      <c r="C38" s="109" t="s">
        <v>23</v>
      </c>
      <c r="D38" s="109" t="s">
        <v>44</v>
      </c>
      <c r="E38" s="109" t="s">
        <v>25</v>
      </c>
      <c r="F38" s="109" t="s">
        <v>25</v>
      </c>
      <c r="G38" s="109" t="s">
        <v>25</v>
      </c>
      <c r="H38" s="109" t="s">
        <v>76</v>
      </c>
      <c r="I38" s="109" t="s">
        <v>25</v>
      </c>
      <c r="J38" s="109">
        <v>374.43</v>
      </c>
      <c r="K38" s="109">
        <v>170.8</v>
      </c>
      <c r="L38" s="109">
        <v>0</v>
      </c>
      <c r="M38" s="109">
        <v>1.0873529667186601</v>
      </c>
      <c r="N38" s="109">
        <v>0</v>
      </c>
      <c r="O38" s="109">
        <v>0</v>
      </c>
      <c r="P38" s="109">
        <v>0</v>
      </c>
      <c r="Q38" s="109">
        <v>84.978667874607495</v>
      </c>
      <c r="R38" s="109">
        <v>13.4253817361255</v>
      </c>
      <c r="S38" s="109">
        <v>0</v>
      </c>
      <c r="T38" s="109">
        <v>15.025339021077899</v>
      </c>
      <c r="U38" s="109">
        <v>11.8589700056616</v>
      </c>
      <c r="V38" s="109">
        <v>0</v>
      </c>
      <c r="W38" s="109">
        <v>0</v>
      </c>
      <c r="X38" s="109">
        <v>19.0050508763156</v>
      </c>
      <c r="Y38" s="109">
        <v>0</v>
      </c>
      <c r="Z38" s="109">
        <v>0</v>
      </c>
      <c r="AA38" s="109">
        <v>214.910462629324</v>
      </c>
      <c r="AB38" s="109">
        <v>0</v>
      </c>
      <c r="AC38" s="109">
        <v>0</v>
      </c>
      <c r="AD38" s="109">
        <v>14.0351503301777</v>
      </c>
      <c r="AE38" s="109">
        <v>0.107495567497442</v>
      </c>
      <c r="AF38" s="109">
        <v>0</v>
      </c>
      <c r="AG38" s="109">
        <v>0</v>
      </c>
      <c r="AH38" s="109">
        <v>0</v>
      </c>
      <c r="AI38" s="109">
        <v>0</v>
      </c>
      <c r="AJ38" s="109">
        <v>12.3830540214592</v>
      </c>
      <c r="AK38" s="109">
        <v>0</v>
      </c>
      <c r="AL38" s="109">
        <v>157.21371650260099</v>
      </c>
      <c r="AM38" s="109">
        <v>0</v>
      </c>
      <c r="AN38" s="109">
        <v>0</v>
      </c>
      <c r="AO38" s="109">
        <v>0</v>
      </c>
      <c r="AP38" s="109">
        <v>0</v>
      </c>
      <c r="AQ38" s="110">
        <v>1.2041037877230301</v>
      </c>
    </row>
    <row r="39" spans="2:43" ht="12" customHeight="1" x14ac:dyDescent="0.25">
      <c r="B39" s="108" t="s">
        <v>43</v>
      </c>
      <c r="C39" s="109" t="s">
        <v>23</v>
      </c>
      <c r="D39" s="109" t="s">
        <v>44</v>
      </c>
      <c r="E39" s="109" t="s">
        <v>93</v>
      </c>
      <c r="F39" s="109" t="s">
        <v>25</v>
      </c>
      <c r="G39" s="109" t="s">
        <v>25</v>
      </c>
      <c r="H39" s="109" t="s">
        <v>76</v>
      </c>
      <c r="I39" s="109" t="s">
        <v>25</v>
      </c>
      <c r="J39" s="109">
        <v>366.47</v>
      </c>
      <c r="K39" s="109">
        <v>167.17</v>
      </c>
      <c r="L39" s="109">
        <v>0</v>
      </c>
      <c r="M39" s="109">
        <v>1.0642177972139999</v>
      </c>
      <c r="N39" s="109">
        <v>0</v>
      </c>
      <c r="O39" s="109">
        <v>0</v>
      </c>
      <c r="P39" s="109">
        <v>0</v>
      </c>
      <c r="Q39" s="109">
        <v>83.170611111317996</v>
      </c>
      <c r="R39" s="109">
        <v>13.139735316208</v>
      </c>
      <c r="S39" s="109">
        <v>0</v>
      </c>
      <c r="T39" s="109">
        <v>14.7056509567996</v>
      </c>
      <c r="U39" s="109">
        <v>11.606651494902801</v>
      </c>
      <c r="V39" s="109">
        <v>0</v>
      </c>
      <c r="W39" s="109">
        <v>0</v>
      </c>
      <c r="X39" s="109">
        <v>18.600688091713199</v>
      </c>
      <c r="Y39" s="109">
        <v>0</v>
      </c>
      <c r="Z39" s="109">
        <v>0</v>
      </c>
      <c r="AA39" s="109">
        <v>210.33789959465699</v>
      </c>
      <c r="AB39" s="109">
        <v>0</v>
      </c>
      <c r="AC39" s="109">
        <v>0</v>
      </c>
      <c r="AD39" s="109">
        <v>13.736530110386701</v>
      </c>
      <c r="AE39" s="109">
        <v>0.105208427763454</v>
      </c>
      <c r="AF39" s="109">
        <v>0</v>
      </c>
      <c r="AG39" s="109">
        <v>0</v>
      </c>
      <c r="AH39" s="109">
        <v>0</v>
      </c>
      <c r="AI39" s="109">
        <v>0</v>
      </c>
      <c r="AJ39" s="109">
        <v>12.119584786960001</v>
      </c>
      <c r="AK39" s="109">
        <v>0</v>
      </c>
      <c r="AL39" s="109">
        <v>153.86874381105599</v>
      </c>
      <c r="AM39" s="109">
        <v>0</v>
      </c>
      <c r="AN39" s="109">
        <v>0</v>
      </c>
      <c r="AO39" s="109">
        <v>0</v>
      </c>
      <c r="AP39" s="109">
        <v>0</v>
      </c>
      <c r="AQ39" s="110">
        <v>1.17848455819701</v>
      </c>
    </row>
    <row r="40" spans="2:43" ht="12" customHeight="1" x14ac:dyDescent="0.25">
      <c r="B40" s="108" t="s">
        <v>43</v>
      </c>
      <c r="C40" s="109" t="s">
        <v>91</v>
      </c>
      <c r="D40" s="109" t="s">
        <v>44</v>
      </c>
      <c r="E40" s="109" t="s">
        <v>92</v>
      </c>
      <c r="F40" s="109" t="s">
        <v>25</v>
      </c>
      <c r="G40" s="109" t="s">
        <v>25</v>
      </c>
      <c r="H40" s="109" t="s">
        <v>76</v>
      </c>
      <c r="I40" s="109" t="s">
        <v>25</v>
      </c>
      <c r="J40" s="109">
        <v>374.43</v>
      </c>
      <c r="K40" s="109">
        <v>170.8</v>
      </c>
      <c r="L40" s="109">
        <v>0</v>
      </c>
      <c r="M40" s="109">
        <v>1.0873529667186601</v>
      </c>
      <c r="N40" s="109">
        <v>0</v>
      </c>
      <c r="O40" s="109">
        <v>0</v>
      </c>
      <c r="P40" s="109">
        <v>0</v>
      </c>
      <c r="Q40" s="109">
        <v>84.978667874607495</v>
      </c>
      <c r="R40" s="109">
        <v>13.4253817361255</v>
      </c>
      <c r="S40" s="109">
        <v>0</v>
      </c>
      <c r="T40" s="109">
        <v>15.025339021077899</v>
      </c>
      <c r="U40" s="109">
        <v>11.8589700056616</v>
      </c>
      <c r="V40" s="109">
        <v>0</v>
      </c>
      <c r="W40" s="109">
        <v>0</v>
      </c>
      <c r="X40" s="109">
        <v>19.0050508763156</v>
      </c>
      <c r="Y40" s="109">
        <v>0</v>
      </c>
      <c r="Z40" s="109">
        <v>0</v>
      </c>
      <c r="AA40" s="109">
        <v>214.910462629324</v>
      </c>
      <c r="AB40" s="109">
        <v>0</v>
      </c>
      <c r="AC40" s="109">
        <v>0</v>
      </c>
      <c r="AD40" s="109">
        <v>14.0351503301777</v>
      </c>
      <c r="AE40" s="109">
        <v>0.107495567497442</v>
      </c>
      <c r="AF40" s="109">
        <v>0</v>
      </c>
      <c r="AG40" s="109">
        <v>0</v>
      </c>
      <c r="AH40" s="109">
        <v>0</v>
      </c>
      <c r="AI40" s="109">
        <v>0</v>
      </c>
      <c r="AJ40" s="109">
        <v>12.3830540214592</v>
      </c>
      <c r="AK40" s="109">
        <v>0</v>
      </c>
      <c r="AL40" s="109">
        <v>157.21371650260099</v>
      </c>
      <c r="AM40" s="109">
        <v>0</v>
      </c>
      <c r="AN40" s="109">
        <v>0</v>
      </c>
      <c r="AO40" s="109">
        <v>0</v>
      </c>
      <c r="AP40" s="109">
        <v>0</v>
      </c>
      <c r="AQ40" s="110">
        <v>1.2041037877230301</v>
      </c>
    </row>
    <row r="41" spans="2:43" ht="12" customHeight="1" x14ac:dyDescent="0.25">
      <c r="B41" s="108" t="s">
        <v>43</v>
      </c>
      <c r="C41" s="109" t="s">
        <v>91</v>
      </c>
      <c r="D41" s="109" t="s">
        <v>44</v>
      </c>
      <c r="E41" s="109" t="s">
        <v>25</v>
      </c>
      <c r="F41" s="109" t="s">
        <v>25</v>
      </c>
      <c r="G41" s="109" t="s">
        <v>25</v>
      </c>
      <c r="H41" s="109" t="s">
        <v>76</v>
      </c>
      <c r="I41" s="109" t="s">
        <v>25</v>
      </c>
      <c r="J41" s="109">
        <v>374.43</v>
      </c>
      <c r="K41" s="109">
        <v>170.8</v>
      </c>
      <c r="L41" s="109">
        <v>0</v>
      </c>
      <c r="M41" s="109">
        <v>1.0873529667186601</v>
      </c>
      <c r="N41" s="109">
        <v>0</v>
      </c>
      <c r="O41" s="109">
        <v>0</v>
      </c>
      <c r="P41" s="109">
        <v>0</v>
      </c>
      <c r="Q41" s="109">
        <v>84.978667874607495</v>
      </c>
      <c r="R41" s="109">
        <v>13.4253817361255</v>
      </c>
      <c r="S41" s="109">
        <v>0</v>
      </c>
      <c r="T41" s="109">
        <v>15.025339021077899</v>
      </c>
      <c r="U41" s="109">
        <v>11.8589700056616</v>
      </c>
      <c r="V41" s="109">
        <v>0</v>
      </c>
      <c r="W41" s="109">
        <v>0</v>
      </c>
      <c r="X41" s="109">
        <v>19.0050508763156</v>
      </c>
      <c r="Y41" s="109">
        <v>0</v>
      </c>
      <c r="Z41" s="109">
        <v>0</v>
      </c>
      <c r="AA41" s="109">
        <v>214.910462629324</v>
      </c>
      <c r="AB41" s="109">
        <v>0</v>
      </c>
      <c r="AC41" s="109">
        <v>0</v>
      </c>
      <c r="AD41" s="109">
        <v>14.0351503301777</v>
      </c>
      <c r="AE41" s="109">
        <v>0.107495567497442</v>
      </c>
      <c r="AF41" s="109">
        <v>0</v>
      </c>
      <c r="AG41" s="109">
        <v>0</v>
      </c>
      <c r="AH41" s="109">
        <v>0</v>
      </c>
      <c r="AI41" s="109">
        <v>0</v>
      </c>
      <c r="AJ41" s="109">
        <v>12.3830540214592</v>
      </c>
      <c r="AK41" s="109">
        <v>0</v>
      </c>
      <c r="AL41" s="109">
        <v>157.21371650260099</v>
      </c>
      <c r="AM41" s="109">
        <v>0</v>
      </c>
      <c r="AN41" s="109">
        <v>0</v>
      </c>
      <c r="AO41" s="109">
        <v>0</v>
      </c>
      <c r="AP41" s="109">
        <v>0</v>
      </c>
      <c r="AQ41" s="110">
        <v>1.2041037877230301</v>
      </c>
    </row>
    <row r="42" spans="2:43" ht="12" customHeight="1" x14ac:dyDescent="0.25">
      <c r="B42" s="108" t="s">
        <v>43</v>
      </c>
      <c r="C42" s="109" t="s">
        <v>91</v>
      </c>
      <c r="D42" s="109" t="s">
        <v>44</v>
      </c>
      <c r="E42" s="109" t="s">
        <v>93</v>
      </c>
      <c r="F42" s="109" t="s">
        <v>25</v>
      </c>
      <c r="G42" s="109" t="s">
        <v>25</v>
      </c>
      <c r="H42" s="109" t="s">
        <v>76</v>
      </c>
      <c r="I42" s="109" t="s">
        <v>25</v>
      </c>
      <c r="J42" s="109">
        <v>366.47</v>
      </c>
      <c r="K42" s="109">
        <v>167.17</v>
      </c>
      <c r="L42" s="109">
        <v>0</v>
      </c>
      <c r="M42" s="109">
        <v>1.0642177972139999</v>
      </c>
      <c r="N42" s="109">
        <v>0</v>
      </c>
      <c r="O42" s="109">
        <v>0</v>
      </c>
      <c r="P42" s="109">
        <v>0</v>
      </c>
      <c r="Q42" s="109">
        <v>83.170611111317996</v>
      </c>
      <c r="R42" s="109">
        <v>13.139735316208</v>
      </c>
      <c r="S42" s="109">
        <v>0</v>
      </c>
      <c r="T42" s="109">
        <v>14.7056509567996</v>
      </c>
      <c r="U42" s="109">
        <v>11.606651494902801</v>
      </c>
      <c r="V42" s="109">
        <v>0</v>
      </c>
      <c r="W42" s="109">
        <v>0</v>
      </c>
      <c r="X42" s="109">
        <v>18.600688091713199</v>
      </c>
      <c r="Y42" s="109">
        <v>0</v>
      </c>
      <c r="Z42" s="109">
        <v>0</v>
      </c>
      <c r="AA42" s="109">
        <v>210.33789959465699</v>
      </c>
      <c r="AB42" s="109">
        <v>0</v>
      </c>
      <c r="AC42" s="109">
        <v>0</v>
      </c>
      <c r="AD42" s="109">
        <v>13.736530110386701</v>
      </c>
      <c r="AE42" s="109">
        <v>0.105208427763454</v>
      </c>
      <c r="AF42" s="109">
        <v>0</v>
      </c>
      <c r="AG42" s="109">
        <v>0</v>
      </c>
      <c r="AH42" s="109">
        <v>0</v>
      </c>
      <c r="AI42" s="109">
        <v>0</v>
      </c>
      <c r="AJ42" s="109">
        <v>12.119584786960001</v>
      </c>
      <c r="AK42" s="109">
        <v>0</v>
      </c>
      <c r="AL42" s="109">
        <v>153.86874381105599</v>
      </c>
      <c r="AM42" s="109">
        <v>0</v>
      </c>
      <c r="AN42" s="109">
        <v>0</v>
      </c>
      <c r="AO42" s="109">
        <v>0</v>
      </c>
      <c r="AP42" s="109">
        <v>0</v>
      </c>
      <c r="AQ42" s="110">
        <v>1.17848455819701</v>
      </c>
    </row>
    <row r="43" spans="2:43" ht="12" customHeight="1" x14ac:dyDescent="0.25">
      <c r="B43" s="108" t="s">
        <v>39</v>
      </c>
      <c r="C43" s="109" t="s">
        <v>37</v>
      </c>
      <c r="D43" s="109" t="s">
        <v>25</v>
      </c>
      <c r="E43" s="109" t="s">
        <v>25</v>
      </c>
      <c r="F43" s="109" t="s">
        <v>25</v>
      </c>
      <c r="G43" s="109" t="s">
        <v>35</v>
      </c>
      <c r="H43" s="109" t="s">
        <v>76</v>
      </c>
      <c r="I43" s="109" t="s">
        <v>25</v>
      </c>
      <c r="J43" s="109">
        <v>980.97</v>
      </c>
      <c r="K43" s="109">
        <v>181.7</v>
      </c>
      <c r="L43" s="109">
        <v>0</v>
      </c>
      <c r="M43" s="109">
        <v>1.1567584752326101</v>
      </c>
      <c r="N43" s="109">
        <v>0</v>
      </c>
      <c r="O43" s="109">
        <v>0</v>
      </c>
      <c r="P43" s="109">
        <v>0</v>
      </c>
      <c r="Q43" s="109">
        <v>90.402838164476094</v>
      </c>
      <c r="R43" s="109">
        <v>14.2823209958782</v>
      </c>
      <c r="S43" s="109">
        <v>0</v>
      </c>
      <c r="T43" s="109">
        <v>49.551459873899603</v>
      </c>
      <c r="U43" s="109">
        <v>39.109191492659498</v>
      </c>
      <c r="V43" s="109">
        <v>0</v>
      </c>
      <c r="W43" s="109">
        <v>0</v>
      </c>
      <c r="X43" s="109">
        <v>62.676251394554399</v>
      </c>
      <c r="Y43" s="109">
        <v>0</v>
      </c>
      <c r="Z43" s="109">
        <v>0</v>
      </c>
      <c r="AA43" s="109">
        <v>708.74777076172302</v>
      </c>
      <c r="AB43" s="109">
        <v>0</v>
      </c>
      <c r="AC43" s="109">
        <v>0</v>
      </c>
      <c r="AD43" s="109">
        <v>14.9310109895507</v>
      </c>
      <c r="AE43" s="109">
        <v>0.114356986699407</v>
      </c>
      <c r="AF43" s="109">
        <v>0</v>
      </c>
      <c r="AG43" s="109">
        <v>0</v>
      </c>
      <c r="AH43" s="109">
        <v>0</v>
      </c>
      <c r="AI43" s="109">
        <v>0</v>
      </c>
      <c r="AJ43" s="109">
        <v>13.173461724956599</v>
      </c>
      <c r="AK43" s="109">
        <v>0</v>
      </c>
      <c r="AL43" s="109">
        <v>167.24863457723501</v>
      </c>
      <c r="AM43" s="109">
        <v>0</v>
      </c>
      <c r="AN43" s="109">
        <v>0</v>
      </c>
      <c r="AO43" s="109">
        <v>0</v>
      </c>
      <c r="AP43" s="109">
        <v>0</v>
      </c>
      <c r="AQ43" s="110">
        <v>1.2809614763010999</v>
      </c>
    </row>
    <row r="44" spans="2:43" ht="12" customHeight="1" x14ac:dyDescent="0.25">
      <c r="B44" s="108" t="s">
        <v>39</v>
      </c>
      <c r="C44" s="109" t="s">
        <v>37</v>
      </c>
      <c r="D44" s="109" t="s">
        <v>25</v>
      </c>
      <c r="E44" s="109" t="s">
        <v>25</v>
      </c>
      <c r="F44" s="109" t="s">
        <v>25</v>
      </c>
      <c r="G44" s="109" t="s">
        <v>38</v>
      </c>
      <c r="H44" s="109" t="s">
        <v>76</v>
      </c>
      <c r="I44" s="109" t="s">
        <v>25</v>
      </c>
      <c r="J44" s="109">
        <v>636.94000000000005</v>
      </c>
      <c r="K44" s="109">
        <v>181.7</v>
      </c>
      <c r="L44" s="109">
        <v>0</v>
      </c>
      <c r="M44" s="109">
        <v>1.1567584752326101</v>
      </c>
      <c r="N44" s="109">
        <v>0</v>
      </c>
      <c r="O44" s="109">
        <v>0</v>
      </c>
      <c r="P44" s="109">
        <v>0</v>
      </c>
      <c r="Q44" s="109">
        <v>90.402838164476094</v>
      </c>
      <c r="R44" s="109">
        <v>14.2823209958782</v>
      </c>
      <c r="S44" s="109">
        <v>0</v>
      </c>
      <c r="T44" s="109">
        <v>29.730955961910102</v>
      </c>
      <c r="U44" s="109">
        <v>23.465375845636601</v>
      </c>
      <c r="V44" s="109">
        <v>0</v>
      </c>
      <c r="W44" s="109">
        <v>0</v>
      </c>
      <c r="X44" s="109">
        <v>37.605790399078899</v>
      </c>
      <c r="Y44" s="109">
        <v>0</v>
      </c>
      <c r="Z44" s="109">
        <v>0</v>
      </c>
      <c r="AA44" s="109">
        <v>425.248503242536</v>
      </c>
      <c r="AB44" s="109">
        <v>0</v>
      </c>
      <c r="AC44" s="109">
        <v>0</v>
      </c>
      <c r="AD44" s="109">
        <v>14.9310109895507</v>
      </c>
      <c r="AE44" s="109">
        <v>0.114356986699407</v>
      </c>
      <c r="AF44" s="109">
        <v>0</v>
      </c>
      <c r="AG44" s="109">
        <v>0</v>
      </c>
      <c r="AH44" s="109">
        <v>0</v>
      </c>
      <c r="AI44" s="109">
        <v>0</v>
      </c>
      <c r="AJ44" s="109">
        <v>13.173461724956599</v>
      </c>
      <c r="AK44" s="109">
        <v>0</v>
      </c>
      <c r="AL44" s="109">
        <v>167.24863457723501</v>
      </c>
      <c r="AM44" s="109">
        <v>0</v>
      </c>
      <c r="AN44" s="109">
        <v>0</v>
      </c>
      <c r="AO44" s="109">
        <v>0</v>
      </c>
      <c r="AP44" s="109">
        <v>0</v>
      </c>
      <c r="AQ44" s="110">
        <v>1.2809614763010999</v>
      </c>
    </row>
    <row r="45" spans="2:43" ht="12" customHeight="1" x14ac:dyDescent="0.25">
      <c r="B45" s="108" t="s">
        <v>39</v>
      </c>
      <c r="C45" s="109" t="s">
        <v>37</v>
      </c>
      <c r="D45" s="109" t="s">
        <v>25</v>
      </c>
      <c r="E45" s="109" t="s">
        <v>25</v>
      </c>
      <c r="F45" s="109" t="s">
        <v>25</v>
      </c>
      <c r="G45" s="109" t="s">
        <v>36</v>
      </c>
      <c r="H45" s="109" t="s">
        <v>76</v>
      </c>
      <c r="I45" s="109" t="s">
        <v>25</v>
      </c>
      <c r="J45" s="109">
        <v>292.89999999999998</v>
      </c>
      <c r="K45" s="109">
        <v>181.7</v>
      </c>
      <c r="L45" s="109">
        <v>0</v>
      </c>
      <c r="M45" s="109">
        <v>1.1567584752326101</v>
      </c>
      <c r="N45" s="109">
        <v>0</v>
      </c>
      <c r="O45" s="109">
        <v>0</v>
      </c>
      <c r="P45" s="109">
        <v>0</v>
      </c>
      <c r="Q45" s="109">
        <v>90.402838164476094</v>
      </c>
      <c r="R45" s="109">
        <v>14.2823209958782</v>
      </c>
      <c r="S45" s="109">
        <v>0</v>
      </c>
      <c r="T45" s="109">
        <v>9.9102519559947702</v>
      </c>
      <c r="U45" s="109">
        <v>7.8216374485909999</v>
      </c>
      <c r="V45" s="109">
        <v>0</v>
      </c>
      <c r="W45" s="109">
        <v>0</v>
      </c>
      <c r="X45" s="109">
        <v>12.535329403603299</v>
      </c>
      <c r="Y45" s="109">
        <v>0</v>
      </c>
      <c r="Z45" s="109">
        <v>0</v>
      </c>
      <c r="AA45" s="109">
        <v>141.74946317263201</v>
      </c>
      <c r="AB45" s="109">
        <v>0</v>
      </c>
      <c r="AC45" s="109">
        <v>0</v>
      </c>
      <c r="AD45" s="109">
        <v>14.9310109895507</v>
      </c>
      <c r="AE45" s="109">
        <v>0.114356986699407</v>
      </c>
      <c r="AF45" s="109">
        <v>0</v>
      </c>
      <c r="AG45" s="109">
        <v>0</v>
      </c>
      <c r="AH45" s="109">
        <v>0</v>
      </c>
      <c r="AI45" s="109">
        <v>0</v>
      </c>
      <c r="AJ45" s="109">
        <v>13.173461724956599</v>
      </c>
      <c r="AK45" s="109">
        <v>0</v>
      </c>
      <c r="AL45" s="109">
        <v>167.24863457723501</v>
      </c>
      <c r="AM45" s="109">
        <v>0</v>
      </c>
      <c r="AN45" s="109">
        <v>0</v>
      </c>
      <c r="AO45" s="109">
        <v>0</v>
      </c>
      <c r="AP45" s="109">
        <v>0</v>
      </c>
      <c r="AQ45" s="110">
        <v>1.2809614763010999</v>
      </c>
    </row>
    <row r="46" spans="2:43" ht="12" customHeight="1" x14ac:dyDescent="0.25">
      <c r="B46" s="108" t="s">
        <v>39</v>
      </c>
      <c r="C46" s="109" t="s">
        <v>23</v>
      </c>
      <c r="D46" s="109" t="s">
        <v>25</v>
      </c>
      <c r="E46" s="109" t="s">
        <v>25</v>
      </c>
      <c r="F46" s="109" t="s">
        <v>25</v>
      </c>
      <c r="G46" s="109" t="s">
        <v>25</v>
      </c>
      <c r="H46" s="109" t="s">
        <v>76</v>
      </c>
      <c r="I46" s="109" t="s">
        <v>25</v>
      </c>
      <c r="J46" s="109">
        <v>398.33</v>
      </c>
      <c r="K46" s="109">
        <v>181.7</v>
      </c>
      <c r="L46" s="109">
        <v>0</v>
      </c>
      <c r="M46" s="109">
        <v>1.1567584752326101</v>
      </c>
      <c r="N46" s="109">
        <v>0</v>
      </c>
      <c r="O46" s="109">
        <v>0</v>
      </c>
      <c r="P46" s="109">
        <v>0</v>
      </c>
      <c r="Q46" s="109">
        <v>90.402838164476094</v>
      </c>
      <c r="R46" s="109">
        <v>14.2823209958782</v>
      </c>
      <c r="S46" s="109">
        <v>0</v>
      </c>
      <c r="T46" s="109">
        <v>15.9844032139126</v>
      </c>
      <c r="U46" s="109">
        <v>12.6159255379378</v>
      </c>
      <c r="V46" s="109">
        <v>0</v>
      </c>
      <c r="W46" s="109">
        <v>0</v>
      </c>
      <c r="X46" s="109">
        <v>20.218139230123001</v>
      </c>
      <c r="Y46" s="109">
        <v>0</v>
      </c>
      <c r="Z46" s="109">
        <v>0</v>
      </c>
      <c r="AA46" s="109">
        <v>228.62815173332299</v>
      </c>
      <c r="AB46" s="109">
        <v>0</v>
      </c>
      <c r="AC46" s="109">
        <v>0</v>
      </c>
      <c r="AD46" s="109">
        <v>14.9310109895507</v>
      </c>
      <c r="AE46" s="109">
        <v>0.114356986699407</v>
      </c>
      <c r="AF46" s="109">
        <v>0</v>
      </c>
      <c r="AG46" s="109">
        <v>0</v>
      </c>
      <c r="AH46" s="109">
        <v>0</v>
      </c>
      <c r="AI46" s="109">
        <v>0</v>
      </c>
      <c r="AJ46" s="109">
        <v>13.173461724956599</v>
      </c>
      <c r="AK46" s="109">
        <v>0</v>
      </c>
      <c r="AL46" s="109">
        <v>167.24863457723501</v>
      </c>
      <c r="AM46" s="109">
        <v>0</v>
      </c>
      <c r="AN46" s="109">
        <v>0</v>
      </c>
      <c r="AO46" s="109">
        <v>0</v>
      </c>
      <c r="AP46" s="109">
        <v>0</v>
      </c>
      <c r="AQ46" s="110">
        <v>1.2809614763010999</v>
      </c>
    </row>
    <row r="47" spans="2:43" ht="12" customHeight="1" x14ac:dyDescent="0.25">
      <c r="B47" s="108" t="s">
        <v>39</v>
      </c>
      <c r="C47" s="109" t="s">
        <v>91</v>
      </c>
      <c r="D47" s="109" t="s">
        <v>25</v>
      </c>
      <c r="E47" s="109" t="s">
        <v>25</v>
      </c>
      <c r="F47" s="109" t="s">
        <v>25</v>
      </c>
      <c r="G47" s="109" t="s">
        <v>25</v>
      </c>
      <c r="H47" s="109" t="s">
        <v>76</v>
      </c>
      <c r="I47" s="109" t="s">
        <v>25</v>
      </c>
      <c r="J47" s="109">
        <v>398.33</v>
      </c>
      <c r="K47" s="109">
        <v>181.7</v>
      </c>
      <c r="L47" s="109">
        <v>0</v>
      </c>
      <c r="M47" s="109">
        <v>1.1567584752326101</v>
      </c>
      <c r="N47" s="109">
        <v>0</v>
      </c>
      <c r="O47" s="109">
        <v>0</v>
      </c>
      <c r="P47" s="109">
        <v>0</v>
      </c>
      <c r="Q47" s="109">
        <v>90.402838164476094</v>
      </c>
      <c r="R47" s="109">
        <v>14.2823209958782</v>
      </c>
      <c r="S47" s="109">
        <v>0</v>
      </c>
      <c r="T47" s="109">
        <v>15.9844032139126</v>
      </c>
      <c r="U47" s="109">
        <v>12.6159255379378</v>
      </c>
      <c r="V47" s="109">
        <v>0</v>
      </c>
      <c r="W47" s="109">
        <v>0</v>
      </c>
      <c r="X47" s="109">
        <v>20.218139230123001</v>
      </c>
      <c r="Y47" s="109">
        <v>0</v>
      </c>
      <c r="Z47" s="109">
        <v>0</v>
      </c>
      <c r="AA47" s="109">
        <v>228.62815173332299</v>
      </c>
      <c r="AB47" s="109">
        <v>0</v>
      </c>
      <c r="AC47" s="109">
        <v>0</v>
      </c>
      <c r="AD47" s="109">
        <v>14.9310109895507</v>
      </c>
      <c r="AE47" s="109">
        <v>0.114356986699407</v>
      </c>
      <c r="AF47" s="109">
        <v>0</v>
      </c>
      <c r="AG47" s="109">
        <v>0</v>
      </c>
      <c r="AH47" s="109">
        <v>0</v>
      </c>
      <c r="AI47" s="109">
        <v>0</v>
      </c>
      <c r="AJ47" s="109">
        <v>13.173461724956599</v>
      </c>
      <c r="AK47" s="109">
        <v>0</v>
      </c>
      <c r="AL47" s="109">
        <v>167.24863457723501</v>
      </c>
      <c r="AM47" s="109">
        <v>0</v>
      </c>
      <c r="AN47" s="109">
        <v>0</v>
      </c>
      <c r="AO47" s="109">
        <v>0</v>
      </c>
      <c r="AP47" s="109">
        <v>0</v>
      </c>
      <c r="AQ47" s="110">
        <v>1.2809614763010999</v>
      </c>
    </row>
    <row r="48" spans="2:43" ht="12" customHeight="1" x14ac:dyDescent="0.25">
      <c r="B48" s="108" t="s">
        <v>46</v>
      </c>
      <c r="C48" s="109" t="s">
        <v>23</v>
      </c>
      <c r="D48" s="109" t="s">
        <v>47</v>
      </c>
      <c r="E48" s="109" t="s">
        <v>48</v>
      </c>
      <c r="F48" s="109" t="s">
        <v>25</v>
      </c>
      <c r="G48" s="109" t="s">
        <v>25</v>
      </c>
      <c r="H48" s="109" t="s">
        <v>76</v>
      </c>
      <c r="I48" s="109" t="s">
        <v>25</v>
      </c>
      <c r="J48" s="109">
        <v>219.08</v>
      </c>
      <c r="K48" s="109">
        <v>99.94</v>
      </c>
      <c r="L48" s="109">
        <v>0</v>
      </c>
      <c r="M48" s="109">
        <v>0.63621716137793705</v>
      </c>
      <c r="N48" s="109">
        <v>0</v>
      </c>
      <c r="O48" s="109">
        <v>0</v>
      </c>
      <c r="P48" s="109">
        <v>0</v>
      </c>
      <c r="Q48" s="109">
        <v>49.721560990461803</v>
      </c>
      <c r="R48" s="109">
        <v>7.8552765477330304</v>
      </c>
      <c r="S48" s="109">
        <v>0</v>
      </c>
      <c r="T48" s="109">
        <v>8.7914217676519399</v>
      </c>
      <c r="U48" s="109">
        <v>6.9387590458658002</v>
      </c>
      <c r="V48" s="109">
        <v>0</v>
      </c>
      <c r="W48" s="109">
        <v>0</v>
      </c>
      <c r="X48" s="109">
        <v>11.1199765765676</v>
      </c>
      <c r="Y48" s="109">
        <v>0</v>
      </c>
      <c r="Z48" s="109">
        <v>0</v>
      </c>
      <c r="AA48" s="109">
        <v>125.74548345332801</v>
      </c>
      <c r="AB48" s="109">
        <v>0</v>
      </c>
      <c r="AC48" s="109">
        <v>0</v>
      </c>
      <c r="AD48" s="109">
        <v>8.2120560442529005</v>
      </c>
      <c r="AE48" s="109">
        <v>6.2896342684673701E-2</v>
      </c>
      <c r="AF48" s="109">
        <v>0</v>
      </c>
      <c r="AG48" s="109">
        <v>0</v>
      </c>
      <c r="AH48" s="109">
        <v>0</v>
      </c>
      <c r="AI48" s="109">
        <v>0</v>
      </c>
      <c r="AJ48" s="109">
        <v>7.2454039487261097</v>
      </c>
      <c r="AK48" s="109">
        <v>0</v>
      </c>
      <c r="AL48" s="109">
        <v>91.986749017479099</v>
      </c>
      <c r="AM48" s="109">
        <v>0</v>
      </c>
      <c r="AN48" s="109">
        <v>0</v>
      </c>
      <c r="AO48" s="109">
        <v>0</v>
      </c>
      <c r="AP48" s="109">
        <v>0</v>
      </c>
      <c r="AQ48" s="110">
        <v>0.70452881196560302</v>
      </c>
    </row>
    <row r="49" spans="2:43" ht="12" customHeight="1" x14ac:dyDescent="0.25">
      <c r="B49" s="111" t="s">
        <v>46</v>
      </c>
      <c r="C49" s="112" t="s">
        <v>23</v>
      </c>
      <c r="D49" s="112" t="s">
        <v>47</v>
      </c>
      <c r="E49" s="112" t="s">
        <v>49</v>
      </c>
      <c r="F49" s="112" t="s">
        <v>25</v>
      </c>
      <c r="G49" s="112" t="s">
        <v>25</v>
      </c>
      <c r="H49" s="112" t="s">
        <v>76</v>
      </c>
      <c r="I49" s="112" t="s">
        <v>25</v>
      </c>
      <c r="J49" s="112">
        <v>239</v>
      </c>
      <c r="K49" s="112">
        <v>109.02</v>
      </c>
      <c r="L49" s="112">
        <v>0</v>
      </c>
      <c r="M49" s="112">
        <v>0.69405508513956804</v>
      </c>
      <c r="N49" s="112">
        <v>0</v>
      </c>
      <c r="O49" s="112">
        <v>0</v>
      </c>
      <c r="P49" s="112">
        <v>0</v>
      </c>
      <c r="Q49" s="112">
        <v>54.241702898685602</v>
      </c>
      <c r="R49" s="112">
        <v>8.5693925975269405</v>
      </c>
      <c r="S49" s="112">
        <v>0</v>
      </c>
      <c r="T49" s="112">
        <v>9.5906419283475692</v>
      </c>
      <c r="U49" s="112">
        <v>7.5695553227626897</v>
      </c>
      <c r="V49" s="112">
        <v>0</v>
      </c>
      <c r="W49" s="112">
        <v>0</v>
      </c>
      <c r="X49" s="112">
        <v>12.1308835380738</v>
      </c>
      <c r="Y49" s="112">
        <v>0</v>
      </c>
      <c r="Z49" s="112">
        <v>0</v>
      </c>
      <c r="AA49" s="112">
        <v>137.17689103999399</v>
      </c>
      <c r="AB49" s="112">
        <v>0</v>
      </c>
      <c r="AC49" s="112">
        <v>0</v>
      </c>
      <c r="AD49" s="112">
        <v>8.9586065937304298</v>
      </c>
      <c r="AE49" s="112">
        <v>6.8614192019643999E-2</v>
      </c>
      <c r="AF49" s="112">
        <v>0</v>
      </c>
      <c r="AG49" s="112">
        <v>0</v>
      </c>
      <c r="AH49" s="112">
        <v>0</v>
      </c>
      <c r="AI49" s="112">
        <v>0</v>
      </c>
      <c r="AJ49" s="112">
        <v>7.9040770349739402</v>
      </c>
      <c r="AK49" s="112">
        <v>0</v>
      </c>
      <c r="AL49" s="112">
        <v>100.34918074634101</v>
      </c>
      <c r="AM49" s="112">
        <v>0</v>
      </c>
      <c r="AN49" s="112">
        <v>0</v>
      </c>
      <c r="AO49" s="112">
        <v>0</v>
      </c>
      <c r="AP49" s="112">
        <v>0</v>
      </c>
      <c r="AQ49" s="113">
        <v>0.76857688578065697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2F694-BD3A-409A-AE7C-95EFE2394AAE}">
  <dimension ref="B1:AQ49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1.140625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9.85546875" bestFit="1" customWidth="1"/>
    <col min="36" max="36" width="12.5703125" bestFit="1" customWidth="1"/>
    <col min="37" max="37" width="12.28515625" bestFit="1" customWidth="1"/>
    <col min="38" max="38" width="14.140625" bestFit="1" customWidth="1"/>
    <col min="39" max="39" width="25.28515625" bestFit="1" customWidth="1"/>
    <col min="40" max="40" width="17.85546875" bestFit="1" customWidth="1"/>
    <col min="41" max="41" width="13.42578125" bestFit="1" customWidth="1"/>
    <col min="42" max="42" width="13.28515625" bestFit="1" customWidth="1"/>
    <col min="43" max="43" width="12.5703125" bestFit="1" customWidth="1"/>
  </cols>
  <sheetData>
    <row r="1" spans="2:43" ht="12" customHeight="1" x14ac:dyDescent="0.25">
      <c r="L1" s="150" t="s">
        <v>1286</v>
      </c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1"/>
      <c r="AH1" s="150" t="s">
        <v>1287</v>
      </c>
      <c r="AI1" s="150"/>
      <c r="AJ1" s="150"/>
      <c r="AK1" s="150"/>
      <c r="AL1" s="150"/>
      <c r="AM1" s="150"/>
      <c r="AN1" s="150"/>
      <c r="AO1" s="150"/>
      <c r="AP1" s="150"/>
      <c r="AQ1" s="150"/>
    </row>
    <row r="2" spans="2:43" ht="12" customHeight="1" x14ac:dyDescent="0.25">
      <c r="L2" s="152" t="s">
        <v>618</v>
      </c>
      <c r="M2" s="152"/>
      <c r="N2" s="152"/>
      <c r="O2" s="152"/>
      <c r="P2" s="152"/>
      <c r="Q2" s="152"/>
      <c r="R2" s="152"/>
      <c r="S2" s="153"/>
      <c r="T2" s="152" t="s">
        <v>627</v>
      </c>
      <c r="U2" s="152"/>
      <c r="V2" s="152"/>
      <c r="W2" s="152"/>
      <c r="X2" s="152"/>
      <c r="Y2" s="152"/>
      <c r="Z2" s="153"/>
      <c r="AA2" s="114" t="s">
        <v>635</v>
      </c>
      <c r="AB2" s="152" t="s">
        <v>25</v>
      </c>
      <c r="AC2" s="153"/>
      <c r="AD2" s="152" t="s">
        <v>1285</v>
      </c>
      <c r="AE2" s="152"/>
      <c r="AF2" s="152"/>
      <c r="AG2" s="153"/>
      <c r="AH2" s="152" t="s">
        <v>618</v>
      </c>
      <c r="AI2" s="152"/>
      <c r="AJ2" s="152"/>
      <c r="AK2" s="153"/>
      <c r="AL2" s="114" t="s">
        <v>648</v>
      </c>
      <c r="AM2" s="152" t="s">
        <v>627</v>
      </c>
      <c r="AN2" s="152"/>
      <c r="AO2" s="152"/>
      <c r="AP2" s="153"/>
      <c r="AQ2" s="115" t="s">
        <v>1285</v>
      </c>
    </row>
    <row r="3" spans="2:43" ht="12" customHeight="1" x14ac:dyDescent="0.25">
      <c r="B3" s="105" t="s">
        <v>66</v>
      </c>
      <c r="C3" s="106" t="s">
        <v>67</v>
      </c>
      <c r="D3" s="106" t="s">
        <v>68</v>
      </c>
      <c r="E3" s="106" t="s">
        <v>69</v>
      </c>
      <c r="F3" s="106" t="s">
        <v>70</v>
      </c>
      <c r="G3" s="106" t="s">
        <v>72</v>
      </c>
      <c r="H3" s="106" t="s">
        <v>73</v>
      </c>
      <c r="I3" s="106" t="s">
        <v>885</v>
      </c>
      <c r="J3" s="106" t="s">
        <v>1250</v>
      </c>
      <c r="K3" s="106" t="s">
        <v>1251</v>
      </c>
      <c r="L3" s="106" t="s">
        <v>1252</v>
      </c>
      <c r="M3" s="106" t="s">
        <v>1253</v>
      </c>
      <c r="N3" s="106" t="s">
        <v>1254</v>
      </c>
      <c r="O3" s="106" t="s">
        <v>1255</v>
      </c>
      <c r="P3" s="106" t="s">
        <v>1256</v>
      </c>
      <c r="Q3" s="106" t="s">
        <v>1257</v>
      </c>
      <c r="R3" s="106" t="s">
        <v>1258</v>
      </c>
      <c r="S3" s="106" t="s">
        <v>1259</v>
      </c>
      <c r="T3" s="106" t="s">
        <v>1260</v>
      </c>
      <c r="U3" s="106" t="s">
        <v>1261</v>
      </c>
      <c r="V3" s="106" t="s">
        <v>1262</v>
      </c>
      <c r="W3" s="106" t="s">
        <v>1263</v>
      </c>
      <c r="X3" s="106" t="s">
        <v>1264</v>
      </c>
      <c r="Y3" s="106" t="s">
        <v>1265</v>
      </c>
      <c r="Z3" s="106" t="s">
        <v>1266</v>
      </c>
      <c r="AA3" s="106" t="s">
        <v>1267</v>
      </c>
      <c r="AB3" s="106" t="s">
        <v>1268</v>
      </c>
      <c r="AC3" s="106" t="s">
        <v>1269</v>
      </c>
      <c r="AD3" s="106" t="s">
        <v>1270</v>
      </c>
      <c r="AE3" s="106" t="s">
        <v>1271</v>
      </c>
      <c r="AF3" s="106" t="s">
        <v>1272</v>
      </c>
      <c r="AG3" s="106" t="s">
        <v>1273</v>
      </c>
      <c r="AH3" s="106" t="s">
        <v>1274</v>
      </c>
      <c r="AI3" s="106" t="s">
        <v>1275</v>
      </c>
      <c r="AJ3" s="106" t="s">
        <v>1276</v>
      </c>
      <c r="AK3" s="106" t="s">
        <v>1277</v>
      </c>
      <c r="AL3" s="106" t="s">
        <v>1278</v>
      </c>
      <c r="AM3" s="106" t="s">
        <v>1279</v>
      </c>
      <c r="AN3" s="106" t="s">
        <v>1280</v>
      </c>
      <c r="AO3" s="106" t="s">
        <v>1281</v>
      </c>
      <c r="AP3" s="106" t="s">
        <v>1282</v>
      </c>
      <c r="AQ3" s="107" t="s">
        <v>1283</v>
      </c>
    </row>
    <row r="4" spans="2:43" ht="12" customHeight="1" x14ac:dyDescent="0.25">
      <c r="B4" s="108" t="s">
        <v>33</v>
      </c>
      <c r="C4" s="109" t="s">
        <v>41</v>
      </c>
      <c r="D4" s="109" t="s">
        <v>25</v>
      </c>
      <c r="E4" s="109" t="s">
        <v>25</v>
      </c>
      <c r="F4" s="109" t="s">
        <v>83</v>
      </c>
      <c r="G4" s="109" t="s">
        <v>35</v>
      </c>
      <c r="H4" s="109" t="s">
        <v>76</v>
      </c>
      <c r="I4" s="109" t="s">
        <v>25</v>
      </c>
      <c r="J4" s="109">
        <v>0</v>
      </c>
      <c r="K4" s="109">
        <v>0</v>
      </c>
      <c r="L4" s="109">
        <v>0</v>
      </c>
      <c r="M4" s="109">
        <v>0</v>
      </c>
      <c r="N4" s="109">
        <v>0</v>
      </c>
      <c r="O4" s="109">
        <v>0</v>
      </c>
      <c r="P4" s="109">
        <v>0</v>
      </c>
      <c r="Q4" s="109">
        <v>0</v>
      </c>
      <c r="R4" s="109">
        <v>0</v>
      </c>
      <c r="S4" s="109">
        <v>0</v>
      </c>
      <c r="T4" s="109">
        <v>0</v>
      </c>
      <c r="U4" s="109">
        <v>0</v>
      </c>
      <c r="V4" s="109">
        <v>0</v>
      </c>
      <c r="W4" s="109">
        <v>0</v>
      </c>
      <c r="X4" s="109">
        <v>0</v>
      </c>
      <c r="Y4" s="109">
        <v>0</v>
      </c>
      <c r="Z4" s="109">
        <v>0</v>
      </c>
      <c r="AA4" s="109">
        <v>0</v>
      </c>
      <c r="AB4" s="109">
        <v>0</v>
      </c>
      <c r="AC4" s="109">
        <v>0</v>
      </c>
      <c r="AD4" s="109">
        <v>0</v>
      </c>
      <c r="AE4" s="109">
        <v>0</v>
      </c>
      <c r="AF4" s="109">
        <v>0</v>
      </c>
      <c r="AG4" s="109">
        <v>0</v>
      </c>
      <c r="AH4" s="109">
        <v>0</v>
      </c>
      <c r="AI4" s="109">
        <v>0</v>
      </c>
      <c r="AJ4" s="109">
        <v>0</v>
      </c>
      <c r="AK4" s="109">
        <v>0</v>
      </c>
      <c r="AL4" s="109">
        <v>0</v>
      </c>
      <c r="AM4" s="109">
        <v>0</v>
      </c>
      <c r="AN4" s="109">
        <v>0</v>
      </c>
      <c r="AO4" s="109">
        <v>0</v>
      </c>
      <c r="AP4" s="109">
        <v>0</v>
      </c>
      <c r="AQ4" s="110">
        <v>0</v>
      </c>
    </row>
    <row r="5" spans="2:43" ht="12" customHeight="1" x14ac:dyDescent="0.25">
      <c r="B5" s="108" t="s">
        <v>33</v>
      </c>
      <c r="C5" s="109" t="s">
        <v>41</v>
      </c>
      <c r="D5" s="109" t="s">
        <v>25</v>
      </c>
      <c r="E5" s="109" t="s">
        <v>25</v>
      </c>
      <c r="F5" s="109" t="s">
        <v>83</v>
      </c>
      <c r="G5" s="109" t="s">
        <v>35</v>
      </c>
      <c r="H5" s="109" t="s">
        <v>79</v>
      </c>
      <c r="I5" s="109" t="s">
        <v>25</v>
      </c>
      <c r="J5" s="109">
        <v>0</v>
      </c>
      <c r="K5" s="109">
        <v>0</v>
      </c>
      <c r="L5" s="109">
        <v>0</v>
      </c>
      <c r="M5" s="109">
        <v>0</v>
      </c>
      <c r="N5" s="109">
        <v>0</v>
      </c>
      <c r="O5" s="109">
        <v>0</v>
      </c>
      <c r="P5" s="109">
        <v>0</v>
      </c>
      <c r="Q5" s="109">
        <v>0</v>
      </c>
      <c r="R5" s="109">
        <v>0</v>
      </c>
      <c r="S5" s="109">
        <v>0</v>
      </c>
      <c r="T5" s="109">
        <v>0</v>
      </c>
      <c r="U5" s="109">
        <v>0</v>
      </c>
      <c r="V5" s="109">
        <v>0</v>
      </c>
      <c r="W5" s="109">
        <v>0</v>
      </c>
      <c r="X5" s="109">
        <v>0</v>
      </c>
      <c r="Y5" s="109">
        <v>0</v>
      </c>
      <c r="Z5" s="109">
        <v>0</v>
      </c>
      <c r="AA5" s="109">
        <v>0</v>
      </c>
      <c r="AB5" s="109">
        <v>0</v>
      </c>
      <c r="AC5" s="109">
        <v>0</v>
      </c>
      <c r="AD5" s="109">
        <v>0</v>
      </c>
      <c r="AE5" s="109">
        <v>0</v>
      </c>
      <c r="AF5" s="109">
        <v>0</v>
      </c>
      <c r="AG5" s="109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10">
        <v>0</v>
      </c>
    </row>
    <row r="6" spans="2:43" ht="12" customHeight="1" x14ac:dyDescent="0.25">
      <c r="B6" s="108" t="s">
        <v>33</v>
      </c>
      <c r="C6" s="109" t="s">
        <v>41</v>
      </c>
      <c r="D6" s="109" t="s">
        <v>25</v>
      </c>
      <c r="E6" s="109" t="s">
        <v>25</v>
      </c>
      <c r="F6" s="109" t="s">
        <v>83</v>
      </c>
      <c r="G6" s="109" t="s">
        <v>36</v>
      </c>
      <c r="H6" s="109" t="s">
        <v>76</v>
      </c>
      <c r="I6" s="109" t="s">
        <v>25</v>
      </c>
      <c r="J6" s="109">
        <v>0</v>
      </c>
      <c r="K6" s="109">
        <v>0</v>
      </c>
      <c r="L6" s="109">
        <v>0</v>
      </c>
      <c r="M6" s="109">
        <v>0</v>
      </c>
      <c r="N6" s="109">
        <v>0</v>
      </c>
      <c r="O6" s="109">
        <v>0</v>
      </c>
      <c r="P6" s="109">
        <v>0</v>
      </c>
      <c r="Q6" s="109">
        <v>0</v>
      </c>
      <c r="R6" s="109">
        <v>0</v>
      </c>
      <c r="S6" s="109">
        <v>0</v>
      </c>
      <c r="T6" s="109">
        <v>0</v>
      </c>
      <c r="U6" s="109">
        <v>0</v>
      </c>
      <c r="V6" s="109">
        <v>0</v>
      </c>
      <c r="W6" s="109">
        <v>0</v>
      </c>
      <c r="X6" s="109">
        <v>0</v>
      </c>
      <c r="Y6" s="109">
        <v>0</v>
      </c>
      <c r="Z6" s="109">
        <v>0</v>
      </c>
      <c r="AA6" s="109">
        <v>0</v>
      </c>
      <c r="AB6" s="109">
        <v>0</v>
      </c>
      <c r="AC6" s="109">
        <v>0</v>
      </c>
      <c r="AD6" s="109">
        <v>0</v>
      </c>
      <c r="AE6" s="109">
        <v>0</v>
      </c>
      <c r="AF6" s="109">
        <v>0</v>
      </c>
      <c r="AG6" s="109">
        <v>0</v>
      </c>
      <c r="AH6" s="109">
        <v>0</v>
      </c>
      <c r="AI6" s="109">
        <v>0</v>
      </c>
      <c r="AJ6" s="109">
        <v>0</v>
      </c>
      <c r="AK6" s="109">
        <v>0</v>
      </c>
      <c r="AL6" s="109">
        <v>0</v>
      </c>
      <c r="AM6" s="109">
        <v>0</v>
      </c>
      <c r="AN6" s="109">
        <v>0</v>
      </c>
      <c r="AO6" s="109">
        <v>0</v>
      </c>
      <c r="AP6" s="109">
        <v>0</v>
      </c>
      <c r="AQ6" s="110">
        <v>0</v>
      </c>
    </row>
    <row r="7" spans="2:43" ht="12" customHeight="1" x14ac:dyDescent="0.25">
      <c r="B7" s="108" t="s">
        <v>33</v>
      </c>
      <c r="C7" s="109" t="s">
        <v>41</v>
      </c>
      <c r="D7" s="109" t="s">
        <v>25</v>
      </c>
      <c r="E7" s="109" t="s">
        <v>25</v>
      </c>
      <c r="F7" s="109" t="s">
        <v>83</v>
      </c>
      <c r="G7" s="109" t="s">
        <v>36</v>
      </c>
      <c r="H7" s="109" t="s">
        <v>79</v>
      </c>
      <c r="I7" s="109" t="s">
        <v>25</v>
      </c>
      <c r="J7" s="109">
        <v>0</v>
      </c>
      <c r="K7" s="109">
        <v>0</v>
      </c>
      <c r="L7" s="109">
        <v>0</v>
      </c>
      <c r="M7" s="109">
        <v>0</v>
      </c>
      <c r="N7" s="109">
        <v>0</v>
      </c>
      <c r="O7" s="109">
        <v>0</v>
      </c>
      <c r="P7" s="109">
        <v>0</v>
      </c>
      <c r="Q7" s="109">
        <v>0</v>
      </c>
      <c r="R7" s="109">
        <v>0</v>
      </c>
      <c r="S7" s="109">
        <v>0</v>
      </c>
      <c r="T7" s="109">
        <v>0</v>
      </c>
      <c r="U7" s="109">
        <v>0</v>
      </c>
      <c r="V7" s="109">
        <v>0</v>
      </c>
      <c r="W7" s="109">
        <v>0</v>
      </c>
      <c r="X7" s="109">
        <v>0</v>
      </c>
      <c r="Y7" s="109">
        <v>0</v>
      </c>
      <c r="Z7" s="109">
        <v>0</v>
      </c>
      <c r="AA7" s="109">
        <v>0</v>
      </c>
      <c r="AB7" s="109">
        <v>0</v>
      </c>
      <c r="AC7" s="109">
        <v>0</v>
      </c>
      <c r="AD7" s="109">
        <v>0</v>
      </c>
      <c r="AE7" s="109">
        <v>0</v>
      </c>
      <c r="AF7" s="109">
        <v>0</v>
      </c>
      <c r="AG7" s="109">
        <v>0</v>
      </c>
      <c r="AH7" s="109">
        <v>0</v>
      </c>
      <c r="AI7" s="109">
        <v>0</v>
      </c>
      <c r="AJ7" s="109">
        <v>0</v>
      </c>
      <c r="AK7" s="109">
        <v>0</v>
      </c>
      <c r="AL7" s="109">
        <v>0</v>
      </c>
      <c r="AM7" s="109">
        <v>0</v>
      </c>
      <c r="AN7" s="109">
        <v>0</v>
      </c>
      <c r="AO7" s="109">
        <v>0</v>
      </c>
      <c r="AP7" s="109">
        <v>0</v>
      </c>
      <c r="AQ7" s="110">
        <v>0</v>
      </c>
    </row>
    <row r="8" spans="2:43" ht="12" customHeight="1" x14ac:dyDescent="0.25">
      <c r="B8" s="108" t="s">
        <v>33</v>
      </c>
      <c r="C8" s="109" t="s">
        <v>41</v>
      </c>
      <c r="D8" s="109" t="s">
        <v>25</v>
      </c>
      <c r="E8" s="109" t="s">
        <v>25</v>
      </c>
      <c r="F8" s="109" t="s">
        <v>25</v>
      </c>
      <c r="G8" s="109" t="s">
        <v>35</v>
      </c>
      <c r="H8" s="109" t="s">
        <v>76</v>
      </c>
      <c r="I8" s="109" t="s">
        <v>25</v>
      </c>
      <c r="J8" s="109">
        <v>0</v>
      </c>
      <c r="K8" s="109">
        <v>0</v>
      </c>
      <c r="L8" s="109">
        <v>0</v>
      </c>
      <c r="M8" s="109">
        <v>0</v>
      </c>
      <c r="N8" s="109">
        <v>0</v>
      </c>
      <c r="O8" s="109">
        <v>0</v>
      </c>
      <c r="P8" s="109">
        <v>0</v>
      </c>
      <c r="Q8" s="109">
        <v>0</v>
      </c>
      <c r="R8" s="109">
        <v>0</v>
      </c>
      <c r="S8" s="109">
        <v>0</v>
      </c>
      <c r="T8" s="109">
        <v>0</v>
      </c>
      <c r="U8" s="109">
        <v>0</v>
      </c>
      <c r="V8" s="109">
        <v>0</v>
      </c>
      <c r="W8" s="109">
        <v>0</v>
      </c>
      <c r="X8" s="109">
        <v>0</v>
      </c>
      <c r="Y8" s="109">
        <v>0</v>
      </c>
      <c r="Z8" s="109">
        <v>0</v>
      </c>
      <c r="AA8" s="109">
        <v>0</v>
      </c>
      <c r="AB8" s="109">
        <v>0</v>
      </c>
      <c r="AC8" s="109">
        <v>0</v>
      </c>
      <c r="AD8" s="109">
        <v>0</v>
      </c>
      <c r="AE8" s="109">
        <v>0</v>
      </c>
      <c r="AF8" s="109">
        <v>0</v>
      </c>
      <c r="AG8" s="109">
        <v>0</v>
      </c>
      <c r="AH8" s="109">
        <v>0</v>
      </c>
      <c r="AI8" s="109">
        <v>0</v>
      </c>
      <c r="AJ8" s="109">
        <v>0</v>
      </c>
      <c r="AK8" s="109">
        <v>0</v>
      </c>
      <c r="AL8" s="109">
        <v>0</v>
      </c>
      <c r="AM8" s="109">
        <v>0</v>
      </c>
      <c r="AN8" s="109">
        <v>0</v>
      </c>
      <c r="AO8" s="109">
        <v>0</v>
      </c>
      <c r="AP8" s="109">
        <v>0</v>
      </c>
      <c r="AQ8" s="110">
        <v>0</v>
      </c>
    </row>
    <row r="9" spans="2:43" ht="12" customHeight="1" x14ac:dyDescent="0.25">
      <c r="B9" s="108" t="s">
        <v>33</v>
      </c>
      <c r="C9" s="109" t="s">
        <v>41</v>
      </c>
      <c r="D9" s="109" t="s">
        <v>25</v>
      </c>
      <c r="E9" s="109" t="s">
        <v>25</v>
      </c>
      <c r="F9" s="109" t="s">
        <v>25</v>
      </c>
      <c r="G9" s="109" t="s">
        <v>35</v>
      </c>
      <c r="H9" s="109" t="s">
        <v>79</v>
      </c>
      <c r="I9" s="109" t="s">
        <v>25</v>
      </c>
      <c r="J9" s="109">
        <v>0</v>
      </c>
      <c r="K9" s="109">
        <v>0</v>
      </c>
      <c r="L9" s="109">
        <v>0</v>
      </c>
      <c r="M9" s="109">
        <v>0</v>
      </c>
      <c r="N9" s="109">
        <v>0</v>
      </c>
      <c r="O9" s="109">
        <v>0</v>
      </c>
      <c r="P9" s="109">
        <v>0</v>
      </c>
      <c r="Q9" s="109">
        <v>0</v>
      </c>
      <c r="R9" s="109">
        <v>0</v>
      </c>
      <c r="S9" s="109">
        <v>0</v>
      </c>
      <c r="T9" s="109">
        <v>0</v>
      </c>
      <c r="U9" s="109">
        <v>0</v>
      </c>
      <c r="V9" s="109">
        <v>0</v>
      </c>
      <c r="W9" s="109">
        <v>0</v>
      </c>
      <c r="X9" s="109">
        <v>0</v>
      </c>
      <c r="Y9" s="109">
        <v>0</v>
      </c>
      <c r="Z9" s="109">
        <v>0</v>
      </c>
      <c r="AA9" s="109">
        <v>0</v>
      </c>
      <c r="AB9" s="109">
        <v>0</v>
      </c>
      <c r="AC9" s="109">
        <v>0</v>
      </c>
      <c r="AD9" s="109">
        <v>0</v>
      </c>
      <c r="AE9" s="109">
        <v>0</v>
      </c>
      <c r="AF9" s="109">
        <v>0</v>
      </c>
      <c r="AG9" s="109">
        <v>0</v>
      </c>
      <c r="AH9" s="109">
        <v>0</v>
      </c>
      <c r="AI9" s="109">
        <v>0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10">
        <v>0</v>
      </c>
    </row>
    <row r="10" spans="2:43" ht="12" customHeight="1" x14ac:dyDescent="0.25">
      <c r="B10" s="108" t="s">
        <v>33</v>
      </c>
      <c r="C10" s="109" t="s">
        <v>41</v>
      </c>
      <c r="D10" s="109" t="s">
        <v>25</v>
      </c>
      <c r="E10" s="109" t="s">
        <v>25</v>
      </c>
      <c r="F10" s="109" t="s">
        <v>25</v>
      </c>
      <c r="G10" s="109" t="s">
        <v>36</v>
      </c>
      <c r="H10" s="109" t="s">
        <v>76</v>
      </c>
      <c r="I10" s="109" t="s">
        <v>25</v>
      </c>
      <c r="J10" s="109">
        <v>0</v>
      </c>
      <c r="K10" s="109">
        <v>0</v>
      </c>
      <c r="L10" s="109">
        <v>0</v>
      </c>
      <c r="M10" s="109">
        <v>0</v>
      </c>
      <c r="N10" s="109">
        <v>0</v>
      </c>
      <c r="O10" s="109">
        <v>0</v>
      </c>
      <c r="P10" s="109">
        <v>0</v>
      </c>
      <c r="Q10" s="109">
        <v>0</v>
      </c>
      <c r="R10" s="109">
        <v>0</v>
      </c>
      <c r="S10" s="109">
        <v>0</v>
      </c>
      <c r="T10" s="109">
        <v>0</v>
      </c>
      <c r="U10" s="109">
        <v>0</v>
      </c>
      <c r="V10" s="109">
        <v>0</v>
      </c>
      <c r="W10" s="109">
        <v>0</v>
      </c>
      <c r="X10" s="109">
        <v>0</v>
      </c>
      <c r="Y10" s="109">
        <v>0</v>
      </c>
      <c r="Z10" s="109">
        <v>0</v>
      </c>
      <c r="AA10" s="109">
        <v>0</v>
      </c>
      <c r="AB10" s="109">
        <v>0</v>
      </c>
      <c r="AC10" s="109">
        <v>0</v>
      </c>
      <c r="AD10" s="109">
        <v>0</v>
      </c>
      <c r="AE10" s="109">
        <v>0</v>
      </c>
      <c r="AF10" s="109">
        <v>0</v>
      </c>
      <c r="AG10" s="109">
        <v>0</v>
      </c>
      <c r="AH10" s="109">
        <v>0</v>
      </c>
      <c r="AI10" s="109">
        <v>0</v>
      </c>
      <c r="AJ10" s="109">
        <v>0</v>
      </c>
      <c r="AK10" s="109">
        <v>0</v>
      </c>
      <c r="AL10" s="109">
        <v>0</v>
      </c>
      <c r="AM10" s="109">
        <v>0</v>
      </c>
      <c r="AN10" s="109">
        <v>0</v>
      </c>
      <c r="AO10" s="109">
        <v>0</v>
      </c>
      <c r="AP10" s="109">
        <v>0</v>
      </c>
      <c r="AQ10" s="110">
        <v>0</v>
      </c>
    </row>
    <row r="11" spans="2:43" ht="12" customHeight="1" x14ac:dyDescent="0.25">
      <c r="B11" s="108" t="s">
        <v>33</v>
      </c>
      <c r="C11" s="109" t="s">
        <v>41</v>
      </c>
      <c r="D11" s="109" t="s">
        <v>25</v>
      </c>
      <c r="E11" s="109" t="s">
        <v>25</v>
      </c>
      <c r="F11" s="109" t="s">
        <v>25</v>
      </c>
      <c r="G11" s="109" t="s">
        <v>36</v>
      </c>
      <c r="H11" s="109" t="s">
        <v>79</v>
      </c>
      <c r="I11" s="109" t="s">
        <v>25</v>
      </c>
      <c r="J11" s="109">
        <v>0</v>
      </c>
      <c r="K11" s="109">
        <v>0</v>
      </c>
      <c r="L11" s="109">
        <v>0</v>
      </c>
      <c r="M11" s="109">
        <v>0</v>
      </c>
      <c r="N11" s="109">
        <v>0</v>
      </c>
      <c r="O11" s="109">
        <v>0</v>
      </c>
      <c r="P11" s="109">
        <v>0</v>
      </c>
      <c r="Q11" s="109">
        <v>0</v>
      </c>
      <c r="R11" s="109">
        <v>0</v>
      </c>
      <c r="S11" s="109">
        <v>0</v>
      </c>
      <c r="T11" s="109">
        <v>0</v>
      </c>
      <c r="U11" s="109">
        <v>0</v>
      </c>
      <c r="V11" s="109">
        <v>0</v>
      </c>
      <c r="W11" s="109">
        <v>0</v>
      </c>
      <c r="X11" s="109">
        <v>0</v>
      </c>
      <c r="Y11" s="109">
        <v>0</v>
      </c>
      <c r="Z11" s="109">
        <v>0</v>
      </c>
      <c r="AA11" s="109">
        <v>0</v>
      </c>
      <c r="AB11" s="109">
        <v>0</v>
      </c>
      <c r="AC11" s="109">
        <v>0</v>
      </c>
      <c r="AD11" s="109">
        <v>0</v>
      </c>
      <c r="AE11" s="109">
        <v>0</v>
      </c>
      <c r="AF11" s="109">
        <v>0</v>
      </c>
      <c r="AG11" s="109">
        <v>0</v>
      </c>
      <c r="AH11" s="109">
        <v>0</v>
      </c>
      <c r="AI11" s="109">
        <v>0</v>
      </c>
      <c r="AJ11" s="109">
        <v>0</v>
      </c>
      <c r="AK11" s="109">
        <v>0</v>
      </c>
      <c r="AL11" s="109">
        <v>0</v>
      </c>
      <c r="AM11" s="109">
        <v>0</v>
      </c>
      <c r="AN11" s="109">
        <v>0</v>
      </c>
      <c r="AO11" s="109">
        <v>0</v>
      </c>
      <c r="AP11" s="109">
        <v>0</v>
      </c>
      <c r="AQ11" s="110">
        <v>0</v>
      </c>
    </row>
    <row r="12" spans="2:43" ht="12" customHeight="1" x14ac:dyDescent="0.25">
      <c r="B12" s="108" t="s">
        <v>33</v>
      </c>
      <c r="C12" s="109" t="s">
        <v>84</v>
      </c>
      <c r="D12" s="109" t="s">
        <v>25</v>
      </c>
      <c r="E12" s="109" t="s">
        <v>25</v>
      </c>
      <c r="F12" s="109" t="s">
        <v>25</v>
      </c>
      <c r="G12" s="109" t="s">
        <v>25</v>
      </c>
      <c r="H12" s="109" t="s">
        <v>79</v>
      </c>
      <c r="I12" s="109" t="s">
        <v>25</v>
      </c>
      <c r="J12" s="109">
        <v>0</v>
      </c>
      <c r="K12" s="109">
        <v>0</v>
      </c>
      <c r="L12" s="109">
        <v>0</v>
      </c>
      <c r="M12" s="109">
        <v>0</v>
      </c>
      <c r="N12" s="109">
        <v>0</v>
      </c>
      <c r="O12" s="109">
        <v>0</v>
      </c>
      <c r="P12" s="109">
        <v>0</v>
      </c>
      <c r="Q12" s="109">
        <v>0</v>
      </c>
      <c r="R12" s="109">
        <v>0</v>
      </c>
      <c r="S12" s="109">
        <v>0</v>
      </c>
      <c r="T12" s="109">
        <v>0</v>
      </c>
      <c r="U12" s="109">
        <v>0</v>
      </c>
      <c r="V12" s="109">
        <v>0</v>
      </c>
      <c r="W12" s="109">
        <v>0</v>
      </c>
      <c r="X12" s="109">
        <v>0</v>
      </c>
      <c r="Y12" s="109">
        <v>0</v>
      </c>
      <c r="Z12" s="109">
        <v>0</v>
      </c>
      <c r="AA12" s="109">
        <v>0</v>
      </c>
      <c r="AB12" s="109">
        <v>0</v>
      </c>
      <c r="AC12" s="109">
        <v>0</v>
      </c>
      <c r="AD12" s="109">
        <v>0</v>
      </c>
      <c r="AE12" s="109">
        <v>0</v>
      </c>
      <c r="AF12" s="109">
        <v>0</v>
      </c>
      <c r="AG12" s="109">
        <v>0</v>
      </c>
      <c r="AH12" s="109">
        <v>0</v>
      </c>
      <c r="AI12" s="109">
        <v>0</v>
      </c>
      <c r="AJ12" s="109">
        <v>0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10">
        <v>0</v>
      </c>
    </row>
    <row r="13" spans="2:43" ht="12" customHeight="1" x14ac:dyDescent="0.25">
      <c r="B13" s="108" t="s">
        <v>33</v>
      </c>
      <c r="C13" s="109" t="s">
        <v>34</v>
      </c>
      <c r="D13" s="109" t="s">
        <v>25</v>
      </c>
      <c r="E13" s="109" t="s">
        <v>25</v>
      </c>
      <c r="F13" s="109" t="s">
        <v>83</v>
      </c>
      <c r="G13" s="109" t="s">
        <v>35</v>
      </c>
      <c r="H13" s="109" t="s">
        <v>76</v>
      </c>
      <c r="I13" s="109" t="s">
        <v>25</v>
      </c>
      <c r="J13" s="109">
        <v>0</v>
      </c>
      <c r="K13" s="109">
        <v>0</v>
      </c>
      <c r="L13" s="109">
        <v>0</v>
      </c>
      <c r="M13" s="109">
        <v>0</v>
      </c>
      <c r="N13" s="109">
        <v>0</v>
      </c>
      <c r="O13" s="109">
        <v>0</v>
      </c>
      <c r="P13" s="109">
        <v>0</v>
      </c>
      <c r="Q13" s="109">
        <v>0</v>
      </c>
      <c r="R13" s="109">
        <v>0</v>
      </c>
      <c r="S13" s="109">
        <v>0</v>
      </c>
      <c r="T13" s="109">
        <v>0</v>
      </c>
      <c r="U13" s="109">
        <v>0</v>
      </c>
      <c r="V13" s="109">
        <v>0</v>
      </c>
      <c r="W13" s="109">
        <v>0</v>
      </c>
      <c r="X13" s="109">
        <v>0</v>
      </c>
      <c r="Y13" s="109">
        <v>0</v>
      </c>
      <c r="Z13" s="109">
        <v>0</v>
      </c>
      <c r="AA13" s="109">
        <v>0</v>
      </c>
      <c r="AB13" s="109">
        <v>0</v>
      </c>
      <c r="AC13" s="109">
        <v>0</v>
      </c>
      <c r="AD13" s="109">
        <v>0</v>
      </c>
      <c r="AE13" s="109">
        <v>0</v>
      </c>
      <c r="AF13" s="109">
        <v>0</v>
      </c>
      <c r="AG13" s="109">
        <v>0</v>
      </c>
      <c r="AH13" s="109">
        <v>0</v>
      </c>
      <c r="AI13" s="109">
        <v>0</v>
      </c>
      <c r="AJ13" s="109">
        <v>0</v>
      </c>
      <c r="AK13" s="109">
        <v>0</v>
      </c>
      <c r="AL13" s="109">
        <v>0</v>
      </c>
      <c r="AM13" s="109">
        <v>0</v>
      </c>
      <c r="AN13" s="109">
        <v>0</v>
      </c>
      <c r="AO13" s="109">
        <v>0</v>
      </c>
      <c r="AP13" s="109">
        <v>0</v>
      </c>
      <c r="AQ13" s="110">
        <v>0</v>
      </c>
    </row>
    <row r="14" spans="2:43" ht="12" customHeight="1" x14ac:dyDescent="0.25">
      <c r="B14" s="108" t="s">
        <v>33</v>
      </c>
      <c r="C14" s="109" t="s">
        <v>34</v>
      </c>
      <c r="D14" s="109" t="s">
        <v>25</v>
      </c>
      <c r="E14" s="109" t="s">
        <v>25</v>
      </c>
      <c r="F14" s="109" t="s">
        <v>83</v>
      </c>
      <c r="G14" s="109" t="s">
        <v>25</v>
      </c>
      <c r="H14" s="109" t="s">
        <v>79</v>
      </c>
      <c r="I14" s="109" t="s">
        <v>25</v>
      </c>
      <c r="J14" s="109">
        <v>0</v>
      </c>
      <c r="K14" s="109">
        <v>0</v>
      </c>
      <c r="L14" s="109">
        <v>0</v>
      </c>
      <c r="M14" s="109">
        <v>0</v>
      </c>
      <c r="N14" s="109">
        <v>0</v>
      </c>
      <c r="O14" s="109">
        <v>0</v>
      </c>
      <c r="P14" s="109">
        <v>0</v>
      </c>
      <c r="Q14" s="109">
        <v>0</v>
      </c>
      <c r="R14" s="109">
        <v>0</v>
      </c>
      <c r="S14" s="109">
        <v>0</v>
      </c>
      <c r="T14" s="109">
        <v>0</v>
      </c>
      <c r="U14" s="109">
        <v>0</v>
      </c>
      <c r="V14" s="109">
        <v>0</v>
      </c>
      <c r="W14" s="109">
        <v>0</v>
      </c>
      <c r="X14" s="109">
        <v>0</v>
      </c>
      <c r="Y14" s="109">
        <v>0</v>
      </c>
      <c r="Z14" s="109">
        <v>0</v>
      </c>
      <c r="AA14" s="109">
        <v>0</v>
      </c>
      <c r="AB14" s="109">
        <v>0</v>
      </c>
      <c r="AC14" s="109">
        <v>0</v>
      </c>
      <c r="AD14" s="109">
        <v>0</v>
      </c>
      <c r="AE14" s="109">
        <v>0</v>
      </c>
      <c r="AF14" s="109">
        <v>0</v>
      </c>
      <c r="AG14" s="109">
        <v>0</v>
      </c>
      <c r="AH14" s="109">
        <v>0</v>
      </c>
      <c r="AI14" s="109">
        <v>0</v>
      </c>
      <c r="AJ14" s="109">
        <v>0</v>
      </c>
      <c r="AK14" s="109">
        <v>0</v>
      </c>
      <c r="AL14" s="109">
        <v>0</v>
      </c>
      <c r="AM14" s="109">
        <v>0</v>
      </c>
      <c r="AN14" s="109">
        <v>0</v>
      </c>
      <c r="AO14" s="109">
        <v>0</v>
      </c>
      <c r="AP14" s="109">
        <v>0</v>
      </c>
      <c r="AQ14" s="110">
        <v>0</v>
      </c>
    </row>
    <row r="15" spans="2:43" ht="12" customHeight="1" x14ac:dyDescent="0.25">
      <c r="B15" s="108" t="s">
        <v>33</v>
      </c>
      <c r="C15" s="109" t="s">
        <v>34</v>
      </c>
      <c r="D15" s="109" t="s">
        <v>25</v>
      </c>
      <c r="E15" s="109" t="s">
        <v>25</v>
      </c>
      <c r="F15" s="109" t="s">
        <v>83</v>
      </c>
      <c r="G15" s="109" t="s">
        <v>36</v>
      </c>
      <c r="H15" s="109" t="s">
        <v>76</v>
      </c>
      <c r="I15" s="109" t="s">
        <v>25</v>
      </c>
      <c r="J15" s="109">
        <v>0</v>
      </c>
      <c r="K15" s="109">
        <v>0</v>
      </c>
      <c r="L15" s="109">
        <v>0</v>
      </c>
      <c r="M15" s="109">
        <v>0</v>
      </c>
      <c r="N15" s="109">
        <v>0</v>
      </c>
      <c r="O15" s="109">
        <v>0</v>
      </c>
      <c r="P15" s="109">
        <v>0</v>
      </c>
      <c r="Q15" s="109">
        <v>0</v>
      </c>
      <c r="R15" s="109">
        <v>0</v>
      </c>
      <c r="S15" s="109">
        <v>0</v>
      </c>
      <c r="T15" s="109">
        <v>0</v>
      </c>
      <c r="U15" s="109">
        <v>0</v>
      </c>
      <c r="V15" s="109">
        <v>0</v>
      </c>
      <c r="W15" s="109">
        <v>0</v>
      </c>
      <c r="X15" s="109">
        <v>0</v>
      </c>
      <c r="Y15" s="109">
        <v>0</v>
      </c>
      <c r="Z15" s="109">
        <v>0</v>
      </c>
      <c r="AA15" s="109">
        <v>0</v>
      </c>
      <c r="AB15" s="109">
        <v>0</v>
      </c>
      <c r="AC15" s="109">
        <v>0</v>
      </c>
      <c r="AD15" s="109">
        <v>0</v>
      </c>
      <c r="AE15" s="109">
        <v>0</v>
      </c>
      <c r="AF15" s="109">
        <v>0</v>
      </c>
      <c r="AG15" s="109">
        <v>0</v>
      </c>
      <c r="AH15" s="109">
        <v>0</v>
      </c>
      <c r="AI15" s="109">
        <v>0</v>
      </c>
      <c r="AJ15" s="109">
        <v>0</v>
      </c>
      <c r="AK15" s="109">
        <v>0</v>
      </c>
      <c r="AL15" s="109">
        <v>0</v>
      </c>
      <c r="AM15" s="109">
        <v>0</v>
      </c>
      <c r="AN15" s="109">
        <v>0</v>
      </c>
      <c r="AO15" s="109">
        <v>0</v>
      </c>
      <c r="AP15" s="109">
        <v>0</v>
      </c>
      <c r="AQ15" s="110">
        <v>0</v>
      </c>
    </row>
    <row r="16" spans="2:43" ht="12" customHeight="1" x14ac:dyDescent="0.25">
      <c r="B16" s="108" t="s">
        <v>33</v>
      </c>
      <c r="C16" s="109" t="s">
        <v>34</v>
      </c>
      <c r="D16" s="109" t="s">
        <v>25</v>
      </c>
      <c r="E16" s="109" t="s">
        <v>25</v>
      </c>
      <c r="F16" s="109" t="s">
        <v>25</v>
      </c>
      <c r="G16" s="109" t="s">
        <v>35</v>
      </c>
      <c r="H16" s="109" t="s">
        <v>76</v>
      </c>
      <c r="I16" s="109" t="s">
        <v>25</v>
      </c>
      <c r="J16" s="109">
        <v>0</v>
      </c>
      <c r="K16" s="109">
        <v>0</v>
      </c>
      <c r="L16" s="109">
        <v>0</v>
      </c>
      <c r="M16" s="109">
        <v>0</v>
      </c>
      <c r="N16" s="109">
        <v>0</v>
      </c>
      <c r="O16" s="109">
        <v>0</v>
      </c>
      <c r="P16" s="109">
        <v>0</v>
      </c>
      <c r="Q16" s="109">
        <v>0</v>
      </c>
      <c r="R16" s="109">
        <v>0</v>
      </c>
      <c r="S16" s="109">
        <v>0</v>
      </c>
      <c r="T16" s="109">
        <v>0</v>
      </c>
      <c r="U16" s="109">
        <v>0</v>
      </c>
      <c r="V16" s="109">
        <v>0</v>
      </c>
      <c r="W16" s="109">
        <v>0</v>
      </c>
      <c r="X16" s="109">
        <v>0</v>
      </c>
      <c r="Y16" s="109">
        <v>0</v>
      </c>
      <c r="Z16" s="109">
        <v>0</v>
      </c>
      <c r="AA16" s="109">
        <v>0</v>
      </c>
      <c r="AB16" s="109">
        <v>0</v>
      </c>
      <c r="AC16" s="109">
        <v>0</v>
      </c>
      <c r="AD16" s="109">
        <v>0</v>
      </c>
      <c r="AE16" s="109">
        <v>0</v>
      </c>
      <c r="AF16" s="109">
        <v>0</v>
      </c>
      <c r="AG16" s="109">
        <v>0</v>
      </c>
      <c r="AH16" s="109">
        <v>0</v>
      </c>
      <c r="AI16" s="109">
        <v>0</v>
      </c>
      <c r="AJ16" s="109">
        <v>0</v>
      </c>
      <c r="AK16" s="109">
        <v>0</v>
      </c>
      <c r="AL16" s="109">
        <v>0</v>
      </c>
      <c r="AM16" s="109">
        <v>0</v>
      </c>
      <c r="AN16" s="109">
        <v>0</v>
      </c>
      <c r="AO16" s="109">
        <v>0</v>
      </c>
      <c r="AP16" s="109">
        <v>0</v>
      </c>
      <c r="AQ16" s="110">
        <v>0</v>
      </c>
    </row>
    <row r="17" spans="2:43" ht="12" customHeight="1" x14ac:dyDescent="0.25">
      <c r="B17" s="108" t="s">
        <v>33</v>
      </c>
      <c r="C17" s="109" t="s">
        <v>34</v>
      </c>
      <c r="D17" s="109" t="s">
        <v>25</v>
      </c>
      <c r="E17" s="109" t="s">
        <v>25</v>
      </c>
      <c r="F17" s="109" t="s">
        <v>25</v>
      </c>
      <c r="G17" s="109" t="s">
        <v>25</v>
      </c>
      <c r="H17" s="109" t="s">
        <v>79</v>
      </c>
      <c r="I17" s="109" t="s">
        <v>25</v>
      </c>
      <c r="J17" s="109">
        <v>0</v>
      </c>
      <c r="K17" s="109">
        <v>0</v>
      </c>
      <c r="L17" s="109">
        <v>0</v>
      </c>
      <c r="M17" s="109">
        <v>0</v>
      </c>
      <c r="N17" s="109">
        <v>0</v>
      </c>
      <c r="O17" s="109">
        <v>0</v>
      </c>
      <c r="P17" s="109">
        <v>0</v>
      </c>
      <c r="Q17" s="109">
        <v>0</v>
      </c>
      <c r="R17" s="109">
        <v>0</v>
      </c>
      <c r="S17" s="109">
        <v>0</v>
      </c>
      <c r="T17" s="109">
        <v>0</v>
      </c>
      <c r="U17" s="109">
        <v>0</v>
      </c>
      <c r="V17" s="109">
        <v>0</v>
      </c>
      <c r="W17" s="109">
        <v>0</v>
      </c>
      <c r="X17" s="109">
        <v>0</v>
      </c>
      <c r="Y17" s="109">
        <v>0</v>
      </c>
      <c r="Z17" s="109">
        <v>0</v>
      </c>
      <c r="AA17" s="109">
        <v>0</v>
      </c>
      <c r="AB17" s="109">
        <v>0</v>
      </c>
      <c r="AC17" s="109">
        <v>0</v>
      </c>
      <c r="AD17" s="109">
        <v>0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0</v>
      </c>
      <c r="AO17" s="109">
        <v>0</v>
      </c>
      <c r="AP17" s="109">
        <v>0</v>
      </c>
      <c r="AQ17" s="110">
        <v>0</v>
      </c>
    </row>
    <row r="18" spans="2:43" ht="12" customHeight="1" x14ac:dyDescent="0.25">
      <c r="B18" s="108" t="s">
        <v>33</v>
      </c>
      <c r="C18" s="109" t="s">
        <v>34</v>
      </c>
      <c r="D18" s="109" t="s">
        <v>25</v>
      </c>
      <c r="E18" s="109" t="s">
        <v>25</v>
      </c>
      <c r="F18" s="109" t="s">
        <v>25</v>
      </c>
      <c r="G18" s="109" t="s">
        <v>36</v>
      </c>
      <c r="H18" s="109" t="s">
        <v>76</v>
      </c>
      <c r="I18" s="109" t="s">
        <v>25</v>
      </c>
      <c r="J18" s="109">
        <v>0</v>
      </c>
      <c r="K18" s="109">
        <v>0</v>
      </c>
      <c r="L18" s="109">
        <v>0</v>
      </c>
      <c r="M18" s="109">
        <v>0</v>
      </c>
      <c r="N18" s="109">
        <v>0</v>
      </c>
      <c r="O18" s="109">
        <v>0</v>
      </c>
      <c r="P18" s="109">
        <v>0</v>
      </c>
      <c r="Q18" s="109">
        <v>0</v>
      </c>
      <c r="R18" s="109">
        <v>0</v>
      </c>
      <c r="S18" s="109">
        <v>0</v>
      </c>
      <c r="T18" s="109">
        <v>0</v>
      </c>
      <c r="U18" s="109">
        <v>0</v>
      </c>
      <c r="V18" s="109">
        <v>0</v>
      </c>
      <c r="W18" s="109">
        <v>0</v>
      </c>
      <c r="X18" s="109">
        <v>0</v>
      </c>
      <c r="Y18" s="109">
        <v>0</v>
      </c>
      <c r="Z18" s="109">
        <v>0</v>
      </c>
      <c r="AA18" s="109">
        <v>0</v>
      </c>
      <c r="AB18" s="109">
        <v>0</v>
      </c>
      <c r="AC18" s="109">
        <v>0</v>
      </c>
      <c r="AD18" s="109">
        <v>0</v>
      </c>
      <c r="AE18" s="109">
        <v>0</v>
      </c>
      <c r="AF18" s="109">
        <v>0</v>
      </c>
      <c r="AG18" s="109">
        <v>0</v>
      </c>
      <c r="AH18" s="109">
        <v>0</v>
      </c>
      <c r="AI18" s="109">
        <v>0</v>
      </c>
      <c r="AJ18" s="109">
        <v>0</v>
      </c>
      <c r="AK18" s="109">
        <v>0</v>
      </c>
      <c r="AL18" s="109">
        <v>0</v>
      </c>
      <c r="AM18" s="109">
        <v>0</v>
      </c>
      <c r="AN18" s="109">
        <v>0</v>
      </c>
      <c r="AO18" s="109">
        <v>0</v>
      </c>
      <c r="AP18" s="109">
        <v>0</v>
      </c>
      <c r="AQ18" s="110">
        <v>0</v>
      </c>
    </row>
    <row r="19" spans="2:43" ht="12" customHeight="1" x14ac:dyDescent="0.25">
      <c r="B19" s="108" t="s">
        <v>85</v>
      </c>
      <c r="C19" s="109" t="s">
        <v>84</v>
      </c>
      <c r="D19" s="109" t="s">
        <v>25</v>
      </c>
      <c r="E19" s="109" t="s">
        <v>25</v>
      </c>
      <c r="F19" s="109" t="s">
        <v>86</v>
      </c>
      <c r="G19" s="109" t="s">
        <v>25</v>
      </c>
      <c r="H19" s="109" t="s">
        <v>79</v>
      </c>
      <c r="I19" s="109" t="s">
        <v>25</v>
      </c>
      <c r="J19" s="109">
        <v>0</v>
      </c>
      <c r="K19" s="109">
        <v>0</v>
      </c>
      <c r="L19" s="109">
        <v>0</v>
      </c>
      <c r="M19" s="109">
        <v>0</v>
      </c>
      <c r="N19" s="109">
        <v>0</v>
      </c>
      <c r="O19" s="109">
        <v>0</v>
      </c>
      <c r="P19" s="109">
        <v>0</v>
      </c>
      <c r="Q19" s="109">
        <v>0</v>
      </c>
      <c r="R19" s="109">
        <v>0</v>
      </c>
      <c r="S19" s="109">
        <v>0</v>
      </c>
      <c r="T19" s="109">
        <v>0</v>
      </c>
      <c r="U19" s="109">
        <v>0</v>
      </c>
      <c r="V19" s="109">
        <v>0</v>
      </c>
      <c r="W19" s="109">
        <v>0</v>
      </c>
      <c r="X19" s="109">
        <v>0</v>
      </c>
      <c r="Y19" s="109">
        <v>0</v>
      </c>
      <c r="Z19" s="109">
        <v>0</v>
      </c>
      <c r="AA19" s="109">
        <v>0</v>
      </c>
      <c r="AB19" s="109">
        <v>0</v>
      </c>
      <c r="AC19" s="109">
        <v>0</v>
      </c>
      <c r="AD19" s="109">
        <v>0</v>
      </c>
      <c r="AE19" s="109">
        <v>0</v>
      </c>
      <c r="AF19" s="109">
        <v>0</v>
      </c>
      <c r="AG19" s="109">
        <v>0</v>
      </c>
      <c r="AH19" s="109">
        <v>0</v>
      </c>
      <c r="AI19" s="109">
        <v>0</v>
      </c>
      <c r="AJ19" s="109">
        <v>0</v>
      </c>
      <c r="AK19" s="109">
        <v>0</v>
      </c>
      <c r="AL19" s="109">
        <v>0</v>
      </c>
      <c r="AM19" s="109">
        <v>0</v>
      </c>
      <c r="AN19" s="109">
        <v>0</v>
      </c>
      <c r="AO19" s="109">
        <v>0</v>
      </c>
      <c r="AP19" s="109">
        <v>0</v>
      </c>
      <c r="AQ19" s="110">
        <v>0</v>
      </c>
    </row>
    <row r="20" spans="2:43" ht="12" customHeight="1" x14ac:dyDescent="0.25">
      <c r="B20" s="108" t="s">
        <v>85</v>
      </c>
      <c r="C20" s="109" t="s">
        <v>84</v>
      </c>
      <c r="D20" s="109" t="s">
        <v>25</v>
      </c>
      <c r="E20" s="109" t="s">
        <v>25</v>
      </c>
      <c r="F20" s="109" t="s">
        <v>87</v>
      </c>
      <c r="G20" s="109" t="s">
        <v>25</v>
      </c>
      <c r="H20" s="109" t="s">
        <v>79</v>
      </c>
      <c r="I20" s="109" t="s">
        <v>25</v>
      </c>
      <c r="J20" s="109">
        <v>0</v>
      </c>
      <c r="K20" s="109">
        <v>0</v>
      </c>
      <c r="L20" s="109">
        <v>0</v>
      </c>
      <c r="M20" s="109">
        <v>0</v>
      </c>
      <c r="N20" s="109">
        <v>0</v>
      </c>
      <c r="O20" s="109">
        <v>0</v>
      </c>
      <c r="P20" s="109">
        <v>0</v>
      </c>
      <c r="Q20" s="109">
        <v>0</v>
      </c>
      <c r="R20" s="109">
        <v>0</v>
      </c>
      <c r="S20" s="109">
        <v>0</v>
      </c>
      <c r="T20" s="109">
        <v>0</v>
      </c>
      <c r="U20" s="109">
        <v>0</v>
      </c>
      <c r="V20" s="109">
        <v>0</v>
      </c>
      <c r="W20" s="109">
        <v>0</v>
      </c>
      <c r="X20" s="109">
        <v>0</v>
      </c>
      <c r="Y20" s="109">
        <v>0</v>
      </c>
      <c r="Z20" s="109">
        <v>0</v>
      </c>
      <c r="AA20" s="109">
        <v>0</v>
      </c>
      <c r="AB20" s="109">
        <v>0</v>
      </c>
      <c r="AC20" s="109">
        <v>0</v>
      </c>
      <c r="AD20" s="109">
        <v>0</v>
      </c>
      <c r="AE20" s="109">
        <v>0</v>
      </c>
      <c r="AF20" s="109">
        <v>0</v>
      </c>
      <c r="AG20" s="109">
        <v>0</v>
      </c>
      <c r="AH20" s="109">
        <v>0</v>
      </c>
      <c r="AI20" s="109">
        <v>0</v>
      </c>
      <c r="AJ20" s="109">
        <v>0</v>
      </c>
      <c r="AK20" s="109">
        <v>0</v>
      </c>
      <c r="AL20" s="109">
        <v>0</v>
      </c>
      <c r="AM20" s="109">
        <v>0</v>
      </c>
      <c r="AN20" s="109">
        <v>0</v>
      </c>
      <c r="AO20" s="109">
        <v>0</v>
      </c>
      <c r="AP20" s="109">
        <v>0</v>
      </c>
      <c r="AQ20" s="110">
        <v>0</v>
      </c>
    </row>
    <row r="21" spans="2:43" ht="12" customHeight="1" x14ac:dyDescent="0.25">
      <c r="B21" s="108" t="s">
        <v>22</v>
      </c>
      <c r="C21" s="109" t="s">
        <v>37</v>
      </c>
      <c r="D21" s="109" t="s">
        <v>24</v>
      </c>
      <c r="E21" s="109" t="s">
        <v>24</v>
      </c>
      <c r="F21" s="109" t="s">
        <v>25</v>
      </c>
      <c r="G21" s="109" t="s">
        <v>35</v>
      </c>
      <c r="H21" s="109" t="s">
        <v>76</v>
      </c>
      <c r="I21" s="109" t="s">
        <v>25</v>
      </c>
      <c r="J21" s="109">
        <v>0</v>
      </c>
      <c r="K21" s="109">
        <v>0</v>
      </c>
      <c r="L21" s="109">
        <v>0</v>
      </c>
      <c r="M21" s="109">
        <v>0</v>
      </c>
      <c r="N21" s="109">
        <v>0</v>
      </c>
      <c r="O21" s="109">
        <v>0</v>
      </c>
      <c r="P21" s="109">
        <v>0</v>
      </c>
      <c r="Q21" s="109">
        <v>0</v>
      </c>
      <c r="R21" s="109">
        <v>0</v>
      </c>
      <c r="S21" s="109">
        <v>0</v>
      </c>
      <c r="T21" s="109">
        <v>0</v>
      </c>
      <c r="U21" s="109">
        <v>0</v>
      </c>
      <c r="V21" s="109">
        <v>0</v>
      </c>
      <c r="W21" s="109">
        <v>0</v>
      </c>
      <c r="X21" s="109">
        <v>0</v>
      </c>
      <c r="Y21" s="109">
        <v>0</v>
      </c>
      <c r="Z21" s="109">
        <v>0</v>
      </c>
      <c r="AA21" s="109">
        <v>0</v>
      </c>
      <c r="AB21" s="109">
        <v>0</v>
      </c>
      <c r="AC21" s="109">
        <v>0</v>
      </c>
      <c r="AD21" s="109">
        <v>0</v>
      </c>
      <c r="AE21" s="109">
        <v>0</v>
      </c>
      <c r="AF21" s="109">
        <v>0</v>
      </c>
      <c r="AG21" s="109">
        <v>0</v>
      </c>
      <c r="AH21" s="109">
        <v>0</v>
      </c>
      <c r="AI21" s="109">
        <v>0</v>
      </c>
      <c r="AJ21" s="109">
        <v>0</v>
      </c>
      <c r="AK21" s="109">
        <v>0</v>
      </c>
      <c r="AL21" s="109">
        <v>0</v>
      </c>
      <c r="AM21" s="109">
        <v>0</v>
      </c>
      <c r="AN21" s="109">
        <v>0</v>
      </c>
      <c r="AO21" s="109">
        <v>0</v>
      </c>
      <c r="AP21" s="109">
        <v>0</v>
      </c>
      <c r="AQ21" s="110">
        <v>0</v>
      </c>
    </row>
    <row r="22" spans="2:43" ht="12" customHeight="1" x14ac:dyDescent="0.25">
      <c r="B22" s="108" t="s">
        <v>22</v>
      </c>
      <c r="C22" s="109" t="s">
        <v>37</v>
      </c>
      <c r="D22" s="109" t="s">
        <v>24</v>
      </c>
      <c r="E22" s="109" t="s">
        <v>24</v>
      </c>
      <c r="F22" s="109" t="s">
        <v>25</v>
      </c>
      <c r="G22" s="109" t="s">
        <v>38</v>
      </c>
      <c r="H22" s="109" t="s">
        <v>76</v>
      </c>
      <c r="I22" s="109" t="s">
        <v>25</v>
      </c>
      <c r="J22" s="109">
        <v>0</v>
      </c>
      <c r="K22" s="109">
        <v>0</v>
      </c>
      <c r="L22" s="109">
        <v>0</v>
      </c>
      <c r="M22" s="109">
        <v>0</v>
      </c>
      <c r="N22" s="109">
        <v>0</v>
      </c>
      <c r="O22" s="109">
        <v>0</v>
      </c>
      <c r="P22" s="109">
        <v>0</v>
      </c>
      <c r="Q22" s="109">
        <v>0</v>
      </c>
      <c r="R22" s="109">
        <v>0</v>
      </c>
      <c r="S22" s="109">
        <v>0</v>
      </c>
      <c r="T22" s="109">
        <v>0</v>
      </c>
      <c r="U22" s="109">
        <v>0</v>
      </c>
      <c r="V22" s="109">
        <v>0</v>
      </c>
      <c r="W22" s="109">
        <v>0</v>
      </c>
      <c r="X22" s="109">
        <v>0</v>
      </c>
      <c r="Y22" s="109">
        <v>0</v>
      </c>
      <c r="Z22" s="109">
        <v>0</v>
      </c>
      <c r="AA22" s="109">
        <v>0</v>
      </c>
      <c r="AB22" s="109">
        <v>0</v>
      </c>
      <c r="AC22" s="109">
        <v>0</v>
      </c>
      <c r="AD22" s="109">
        <v>0</v>
      </c>
      <c r="AE22" s="109">
        <v>0</v>
      </c>
      <c r="AF22" s="109">
        <v>0</v>
      </c>
      <c r="AG22" s="109">
        <v>0</v>
      </c>
      <c r="AH22" s="109">
        <v>0</v>
      </c>
      <c r="AI22" s="109">
        <v>0</v>
      </c>
      <c r="AJ22" s="109">
        <v>0</v>
      </c>
      <c r="AK22" s="109">
        <v>0</v>
      </c>
      <c r="AL22" s="109">
        <v>0</v>
      </c>
      <c r="AM22" s="109">
        <v>0</v>
      </c>
      <c r="AN22" s="109">
        <v>0</v>
      </c>
      <c r="AO22" s="109">
        <v>0</v>
      </c>
      <c r="AP22" s="109">
        <v>0</v>
      </c>
      <c r="AQ22" s="110">
        <v>0</v>
      </c>
    </row>
    <row r="23" spans="2:43" ht="12" customHeight="1" x14ac:dyDescent="0.25">
      <c r="B23" s="108" t="s">
        <v>22</v>
      </c>
      <c r="C23" s="109" t="s">
        <v>37</v>
      </c>
      <c r="D23" s="109" t="s">
        <v>24</v>
      </c>
      <c r="E23" s="109" t="s">
        <v>24</v>
      </c>
      <c r="F23" s="109" t="s">
        <v>25</v>
      </c>
      <c r="G23" s="109" t="s">
        <v>36</v>
      </c>
      <c r="H23" s="109" t="s">
        <v>76</v>
      </c>
      <c r="I23" s="109" t="s">
        <v>25</v>
      </c>
      <c r="J23" s="109">
        <v>0</v>
      </c>
      <c r="K23" s="109">
        <v>0</v>
      </c>
      <c r="L23" s="109">
        <v>0</v>
      </c>
      <c r="M23" s="109">
        <v>0</v>
      </c>
      <c r="N23" s="109">
        <v>0</v>
      </c>
      <c r="O23" s="109">
        <v>0</v>
      </c>
      <c r="P23" s="109">
        <v>0</v>
      </c>
      <c r="Q23" s="109">
        <v>0</v>
      </c>
      <c r="R23" s="109">
        <v>0</v>
      </c>
      <c r="S23" s="109">
        <v>0</v>
      </c>
      <c r="T23" s="109">
        <v>0</v>
      </c>
      <c r="U23" s="109">
        <v>0</v>
      </c>
      <c r="V23" s="109">
        <v>0</v>
      </c>
      <c r="W23" s="109">
        <v>0</v>
      </c>
      <c r="X23" s="109">
        <v>0</v>
      </c>
      <c r="Y23" s="109">
        <v>0</v>
      </c>
      <c r="Z23" s="109">
        <v>0</v>
      </c>
      <c r="AA23" s="109">
        <v>0</v>
      </c>
      <c r="AB23" s="109">
        <v>0</v>
      </c>
      <c r="AC23" s="109">
        <v>0</v>
      </c>
      <c r="AD23" s="109">
        <v>0</v>
      </c>
      <c r="AE23" s="109">
        <v>0</v>
      </c>
      <c r="AF23" s="109">
        <v>0</v>
      </c>
      <c r="AG23" s="109">
        <v>0</v>
      </c>
      <c r="AH23" s="109">
        <v>0</v>
      </c>
      <c r="AI23" s="109">
        <v>0</v>
      </c>
      <c r="AJ23" s="109">
        <v>0</v>
      </c>
      <c r="AK23" s="109">
        <v>0</v>
      </c>
      <c r="AL23" s="109">
        <v>0</v>
      </c>
      <c r="AM23" s="109">
        <v>0</v>
      </c>
      <c r="AN23" s="109">
        <v>0</v>
      </c>
      <c r="AO23" s="109">
        <v>0</v>
      </c>
      <c r="AP23" s="109">
        <v>0</v>
      </c>
      <c r="AQ23" s="110">
        <v>0</v>
      </c>
    </row>
    <row r="24" spans="2:43" ht="12" customHeight="1" x14ac:dyDescent="0.25">
      <c r="B24" s="108" t="s">
        <v>22</v>
      </c>
      <c r="C24" s="109" t="s">
        <v>23</v>
      </c>
      <c r="D24" s="109" t="s">
        <v>24</v>
      </c>
      <c r="E24" s="109" t="s">
        <v>1284</v>
      </c>
      <c r="F24" s="109" t="s">
        <v>25</v>
      </c>
      <c r="G24" s="109" t="s">
        <v>25</v>
      </c>
      <c r="H24" s="109" t="s">
        <v>76</v>
      </c>
      <c r="I24" s="109" t="s">
        <v>25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109">
        <v>0</v>
      </c>
      <c r="Y24" s="109">
        <v>0</v>
      </c>
      <c r="Z24" s="109">
        <v>0</v>
      </c>
      <c r="AA24" s="109">
        <v>0</v>
      </c>
      <c r="AB24" s="109">
        <v>0</v>
      </c>
      <c r="AC24" s="109">
        <v>0</v>
      </c>
      <c r="AD24" s="109">
        <v>0</v>
      </c>
      <c r="AE24" s="109">
        <v>0</v>
      </c>
      <c r="AF24" s="109">
        <v>0</v>
      </c>
      <c r="AG24" s="109">
        <v>0</v>
      </c>
      <c r="AH24" s="109">
        <v>0</v>
      </c>
      <c r="AI24" s="109">
        <v>0</v>
      </c>
      <c r="AJ24" s="109">
        <v>0</v>
      </c>
      <c r="AK24" s="109">
        <v>0</v>
      </c>
      <c r="AL24" s="109">
        <v>0</v>
      </c>
      <c r="AM24" s="109">
        <v>0</v>
      </c>
      <c r="AN24" s="109">
        <v>0</v>
      </c>
      <c r="AO24" s="109">
        <v>0</v>
      </c>
      <c r="AP24" s="109">
        <v>0</v>
      </c>
      <c r="AQ24" s="110">
        <v>0</v>
      </c>
    </row>
    <row r="25" spans="2:43" ht="12" customHeight="1" x14ac:dyDescent="0.25">
      <c r="B25" s="108" t="s">
        <v>22</v>
      </c>
      <c r="C25" s="109" t="s">
        <v>23</v>
      </c>
      <c r="D25" s="109" t="s">
        <v>24</v>
      </c>
      <c r="E25" s="109" t="s">
        <v>24</v>
      </c>
      <c r="F25" s="109" t="s">
        <v>25</v>
      </c>
      <c r="G25" s="109" t="s">
        <v>25</v>
      </c>
      <c r="H25" s="109" t="s">
        <v>76</v>
      </c>
      <c r="I25" s="109" t="s">
        <v>25</v>
      </c>
      <c r="J25" s="109">
        <v>0</v>
      </c>
      <c r="K25" s="109">
        <v>0</v>
      </c>
      <c r="L25" s="109">
        <v>0</v>
      </c>
      <c r="M25" s="109">
        <v>0</v>
      </c>
      <c r="N25" s="109">
        <v>0</v>
      </c>
      <c r="O25" s="109">
        <v>0</v>
      </c>
      <c r="P25" s="109">
        <v>0</v>
      </c>
      <c r="Q25" s="109">
        <v>0</v>
      </c>
      <c r="R25" s="109">
        <v>0</v>
      </c>
      <c r="S25" s="109">
        <v>0</v>
      </c>
      <c r="T25" s="109">
        <v>0</v>
      </c>
      <c r="U25" s="109">
        <v>0</v>
      </c>
      <c r="V25" s="109">
        <v>0</v>
      </c>
      <c r="W25" s="109">
        <v>0</v>
      </c>
      <c r="X25" s="109">
        <v>0</v>
      </c>
      <c r="Y25" s="109">
        <v>0</v>
      </c>
      <c r="Z25" s="109">
        <v>0</v>
      </c>
      <c r="AA25" s="109">
        <v>0</v>
      </c>
      <c r="AB25" s="109">
        <v>0</v>
      </c>
      <c r="AC25" s="109">
        <v>0</v>
      </c>
      <c r="AD25" s="109">
        <v>0</v>
      </c>
      <c r="AE25" s="109">
        <v>0</v>
      </c>
      <c r="AF25" s="109">
        <v>0</v>
      </c>
      <c r="AG25" s="109">
        <v>0</v>
      </c>
      <c r="AH25" s="109">
        <v>0</v>
      </c>
      <c r="AI25" s="109">
        <v>0</v>
      </c>
      <c r="AJ25" s="109">
        <v>0</v>
      </c>
      <c r="AK25" s="109">
        <v>0</v>
      </c>
      <c r="AL25" s="109">
        <v>0</v>
      </c>
      <c r="AM25" s="109">
        <v>0</v>
      </c>
      <c r="AN25" s="109">
        <v>0</v>
      </c>
      <c r="AO25" s="109">
        <v>0</v>
      </c>
      <c r="AP25" s="109">
        <v>0</v>
      </c>
      <c r="AQ25" s="110">
        <v>0</v>
      </c>
    </row>
    <row r="26" spans="2:43" ht="12" customHeight="1" x14ac:dyDescent="0.25">
      <c r="B26" s="108" t="s">
        <v>22</v>
      </c>
      <c r="C26" s="109" t="s">
        <v>91</v>
      </c>
      <c r="D26" s="109" t="s">
        <v>24</v>
      </c>
      <c r="E26" s="109" t="s">
        <v>1284</v>
      </c>
      <c r="F26" s="109" t="s">
        <v>25</v>
      </c>
      <c r="G26" s="109" t="s">
        <v>25</v>
      </c>
      <c r="H26" s="109" t="s">
        <v>76</v>
      </c>
      <c r="I26" s="109" t="s">
        <v>25</v>
      </c>
      <c r="J26" s="109">
        <v>0</v>
      </c>
      <c r="K26" s="109">
        <v>0</v>
      </c>
      <c r="L26" s="109">
        <v>0</v>
      </c>
      <c r="M26" s="109">
        <v>0</v>
      </c>
      <c r="N26" s="109">
        <v>0</v>
      </c>
      <c r="O26" s="109">
        <v>0</v>
      </c>
      <c r="P26" s="109">
        <v>0</v>
      </c>
      <c r="Q26" s="109">
        <v>0</v>
      </c>
      <c r="R26" s="109">
        <v>0</v>
      </c>
      <c r="S26" s="109">
        <v>0</v>
      </c>
      <c r="T26" s="109">
        <v>0</v>
      </c>
      <c r="U26" s="109">
        <v>0</v>
      </c>
      <c r="V26" s="109">
        <v>0</v>
      </c>
      <c r="W26" s="109">
        <v>0</v>
      </c>
      <c r="X26" s="109">
        <v>0</v>
      </c>
      <c r="Y26" s="109">
        <v>0</v>
      </c>
      <c r="Z26" s="109">
        <v>0</v>
      </c>
      <c r="AA26" s="109">
        <v>0</v>
      </c>
      <c r="AB26" s="109">
        <v>0</v>
      </c>
      <c r="AC26" s="109">
        <v>0</v>
      </c>
      <c r="AD26" s="109">
        <v>0</v>
      </c>
      <c r="AE26" s="109">
        <v>0</v>
      </c>
      <c r="AF26" s="109">
        <v>0</v>
      </c>
      <c r="AG26" s="109">
        <v>0</v>
      </c>
      <c r="AH26" s="109">
        <v>0</v>
      </c>
      <c r="AI26" s="109">
        <v>0</v>
      </c>
      <c r="AJ26" s="109">
        <v>0</v>
      </c>
      <c r="AK26" s="109">
        <v>0</v>
      </c>
      <c r="AL26" s="109">
        <v>0</v>
      </c>
      <c r="AM26" s="109">
        <v>0</v>
      </c>
      <c r="AN26" s="109">
        <v>0</v>
      </c>
      <c r="AO26" s="109">
        <v>0</v>
      </c>
      <c r="AP26" s="109">
        <v>0</v>
      </c>
      <c r="AQ26" s="110">
        <v>0</v>
      </c>
    </row>
    <row r="27" spans="2:43" ht="12" customHeight="1" x14ac:dyDescent="0.25">
      <c r="B27" s="108" t="s">
        <v>22</v>
      </c>
      <c r="C27" s="109" t="s">
        <v>91</v>
      </c>
      <c r="D27" s="109" t="s">
        <v>24</v>
      </c>
      <c r="E27" s="109" t="s">
        <v>24</v>
      </c>
      <c r="F27" s="109" t="s">
        <v>25</v>
      </c>
      <c r="G27" s="109" t="s">
        <v>25</v>
      </c>
      <c r="H27" s="109" t="s">
        <v>76</v>
      </c>
      <c r="I27" s="109" t="s">
        <v>25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109">
        <v>0</v>
      </c>
      <c r="AC27" s="109">
        <v>0</v>
      </c>
      <c r="AD27" s="109">
        <v>0</v>
      </c>
      <c r="AE27" s="109">
        <v>0</v>
      </c>
      <c r="AF27" s="109">
        <v>0</v>
      </c>
      <c r="AG27" s="109">
        <v>0</v>
      </c>
      <c r="AH27" s="109">
        <v>0</v>
      </c>
      <c r="AI27" s="109">
        <v>0</v>
      </c>
      <c r="AJ27" s="109">
        <v>0</v>
      </c>
      <c r="AK27" s="109">
        <v>0</v>
      </c>
      <c r="AL27" s="109">
        <v>0</v>
      </c>
      <c r="AM27" s="109">
        <v>0</v>
      </c>
      <c r="AN27" s="109">
        <v>0</v>
      </c>
      <c r="AO27" s="109">
        <v>0</v>
      </c>
      <c r="AP27" s="109">
        <v>0</v>
      </c>
      <c r="AQ27" s="110">
        <v>0</v>
      </c>
    </row>
    <row r="28" spans="2:43" ht="12" customHeight="1" x14ac:dyDescent="0.25">
      <c r="B28" s="108" t="s">
        <v>43</v>
      </c>
      <c r="C28" s="109" t="s">
        <v>37</v>
      </c>
      <c r="D28" s="109" t="s">
        <v>44</v>
      </c>
      <c r="E28" s="109" t="s">
        <v>92</v>
      </c>
      <c r="F28" s="109" t="s">
        <v>25</v>
      </c>
      <c r="G28" s="109" t="s">
        <v>35</v>
      </c>
      <c r="H28" s="109" t="s">
        <v>76</v>
      </c>
      <c r="I28" s="109" t="s">
        <v>25</v>
      </c>
      <c r="J28" s="109">
        <v>0</v>
      </c>
      <c r="K28" s="109">
        <v>0</v>
      </c>
      <c r="L28" s="109">
        <v>0</v>
      </c>
      <c r="M28" s="109">
        <v>0</v>
      </c>
      <c r="N28" s="109">
        <v>0</v>
      </c>
      <c r="O28" s="109">
        <v>0</v>
      </c>
      <c r="P28" s="109">
        <v>0</v>
      </c>
      <c r="Q28" s="109">
        <v>0</v>
      </c>
      <c r="R28" s="109">
        <v>0</v>
      </c>
      <c r="S28" s="109">
        <v>0</v>
      </c>
      <c r="T28" s="109">
        <v>0</v>
      </c>
      <c r="U28" s="109">
        <v>0</v>
      </c>
      <c r="V28" s="109">
        <v>0</v>
      </c>
      <c r="W28" s="109">
        <v>0</v>
      </c>
      <c r="X28" s="109">
        <v>0</v>
      </c>
      <c r="Y28" s="109">
        <v>0</v>
      </c>
      <c r="Z28" s="109">
        <v>0</v>
      </c>
      <c r="AA28" s="109">
        <v>0</v>
      </c>
      <c r="AB28" s="109">
        <v>0</v>
      </c>
      <c r="AC28" s="109">
        <v>0</v>
      </c>
      <c r="AD28" s="109">
        <v>0</v>
      </c>
      <c r="AE28" s="109">
        <v>0</v>
      </c>
      <c r="AF28" s="109">
        <v>0</v>
      </c>
      <c r="AG28" s="109">
        <v>0</v>
      </c>
      <c r="AH28" s="109">
        <v>0</v>
      </c>
      <c r="AI28" s="109">
        <v>0</v>
      </c>
      <c r="AJ28" s="109">
        <v>0</v>
      </c>
      <c r="AK28" s="109">
        <v>0</v>
      </c>
      <c r="AL28" s="109">
        <v>0</v>
      </c>
      <c r="AM28" s="109">
        <v>0</v>
      </c>
      <c r="AN28" s="109">
        <v>0</v>
      </c>
      <c r="AO28" s="109">
        <v>0</v>
      </c>
      <c r="AP28" s="109">
        <v>0</v>
      </c>
      <c r="AQ28" s="110">
        <v>0</v>
      </c>
    </row>
    <row r="29" spans="2:43" ht="12" customHeight="1" x14ac:dyDescent="0.25">
      <c r="B29" s="108" t="s">
        <v>43</v>
      </c>
      <c r="C29" s="109" t="s">
        <v>37</v>
      </c>
      <c r="D29" s="109" t="s">
        <v>44</v>
      </c>
      <c r="E29" s="109" t="s">
        <v>92</v>
      </c>
      <c r="F29" s="109" t="s">
        <v>25</v>
      </c>
      <c r="G29" s="109" t="s">
        <v>38</v>
      </c>
      <c r="H29" s="109" t="s">
        <v>76</v>
      </c>
      <c r="I29" s="109" t="s">
        <v>25</v>
      </c>
      <c r="J29" s="109">
        <v>0</v>
      </c>
      <c r="K29" s="109">
        <v>0</v>
      </c>
      <c r="L29" s="109">
        <v>0</v>
      </c>
      <c r="M29" s="109">
        <v>0</v>
      </c>
      <c r="N29" s="109">
        <v>0</v>
      </c>
      <c r="O29" s="109">
        <v>0</v>
      </c>
      <c r="P29" s="109">
        <v>0</v>
      </c>
      <c r="Q29" s="109">
        <v>0</v>
      </c>
      <c r="R29" s="109">
        <v>0</v>
      </c>
      <c r="S29" s="109">
        <v>0</v>
      </c>
      <c r="T29" s="109">
        <v>0</v>
      </c>
      <c r="U29" s="109">
        <v>0</v>
      </c>
      <c r="V29" s="109">
        <v>0</v>
      </c>
      <c r="W29" s="109">
        <v>0</v>
      </c>
      <c r="X29" s="109">
        <v>0</v>
      </c>
      <c r="Y29" s="109">
        <v>0</v>
      </c>
      <c r="Z29" s="109">
        <v>0</v>
      </c>
      <c r="AA29" s="109">
        <v>0</v>
      </c>
      <c r="AB29" s="109">
        <v>0</v>
      </c>
      <c r="AC29" s="109">
        <v>0</v>
      </c>
      <c r="AD29" s="109">
        <v>0</v>
      </c>
      <c r="AE29" s="109">
        <v>0</v>
      </c>
      <c r="AF29" s="109">
        <v>0</v>
      </c>
      <c r="AG29" s="109">
        <v>0</v>
      </c>
      <c r="AH29" s="109">
        <v>0</v>
      </c>
      <c r="AI29" s="109">
        <v>0</v>
      </c>
      <c r="AJ29" s="109">
        <v>0</v>
      </c>
      <c r="AK29" s="109">
        <v>0</v>
      </c>
      <c r="AL29" s="109">
        <v>0</v>
      </c>
      <c r="AM29" s="109">
        <v>0</v>
      </c>
      <c r="AN29" s="109">
        <v>0</v>
      </c>
      <c r="AO29" s="109">
        <v>0</v>
      </c>
      <c r="AP29" s="109">
        <v>0</v>
      </c>
      <c r="AQ29" s="110">
        <v>0</v>
      </c>
    </row>
    <row r="30" spans="2:43" ht="12" customHeight="1" x14ac:dyDescent="0.25">
      <c r="B30" s="108" t="s">
        <v>43</v>
      </c>
      <c r="C30" s="109" t="s">
        <v>37</v>
      </c>
      <c r="D30" s="109" t="s">
        <v>44</v>
      </c>
      <c r="E30" s="109" t="s">
        <v>92</v>
      </c>
      <c r="F30" s="109" t="s">
        <v>25</v>
      </c>
      <c r="G30" s="109" t="s">
        <v>36</v>
      </c>
      <c r="H30" s="109" t="s">
        <v>76</v>
      </c>
      <c r="I30" s="109" t="s">
        <v>25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109">
        <v>0</v>
      </c>
      <c r="Y30" s="109">
        <v>0</v>
      </c>
      <c r="Z30" s="109">
        <v>0</v>
      </c>
      <c r="AA30" s="109">
        <v>0</v>
      </c>
      <c r="AB30" s="109">
        <v>0</v>
      </c>
      <c r="AC30" s="109">
        <v>0</v>
      </c>
      <c r="AD30" s="109">
        <v>0</v>
      </c>
      <c r="AE30" s="109">
        <v>0</v>
      </c>
      <c r="AF30" s="109">
        <v>0</v>
      </c>
      <c r="AG30" s="109">
        <v>0</v>
      </c>
      <c r="AH30" s="109">
        <v>0</v>
      </c>
      <c r="AI30" s="109">
        <v>0</v>
      </c>
      <c r="AJ30" s="109">
        <v>0</v>
      </c>
      <c r="AK30" s="109">
        <v>0</v>
      </c>
      <c r="AL30" s="109">
        <v>0</v>
      </c>
      <c r="AM30" s="109">
        <v>0</v>
      </c>
      <c r="AN30" s="109">
        <v>0</v>
      </c>
      <c r="AO30" s="109">
        <v>0</v>
      </c>
      <c r="AP30" s="109">
        <v>0</v>
      </c>
      <c r="AQ30" s="110">
        <v>0</v>
      </c>
    </row>
    <row r="31" spans="2:43" ht="12" customHeight="1" x14ac:dyDescent="0.25">
      <c r="B31" s="108" t="s">
        <v>43</v>
      </c>
      <c r="C31" s="109" t="s">
        <v>37</v>
      </c>
      <c r="D31" s="109" t="s">
        <v>44</v>
      </c>
      <c r="E31" s="109" t="s">
        <v>25</v>
      </c>
      <c r="F31" s="109" t="s">
        <v>25</v>
      </c>
      <c r="G31" s="109" t="s">
        <v>35</v>
      </c>
      <c r="H31" s="109" t="s">
        <v>76</v>
      </c>
      <c r="I31" s="109" t="s">
        <v>25</v>
      </c>
      <c r="J31" s="109">
        <v>0</v>
      </c>
      <c r="K31" s="109">
        <v>0</v>
      </c>
      <c r="L31" s="109">
        <v>0</v>
      </c>
      <c r="M31" s="109">
        <v>0</v>
      </c>
      <c r="N31" s="109">
        <v>0</v>
      </c>
      <c r="O31" s="109">
        <v>0</v>
      </c>
      <c r="P31" s="109">
        <v>0</v>
      </c>
      <c r="Q31" s="109">
        <v>0</v>
      </c>
      <c r="R31" s="109">
        <v>0</v>
      </c>
      <c r="S31" s="109">
        <v>0</v>
      </c>
      <c r="T31" s="109">
        <v>0</v>
      </c>
      <c r="U31" s="109">
        <v>0</v>
      </c>
      <c r="V31" s="109">
        <v>0</v>
      </c>
      <c r="W31" s="109">
        <v>0</v>
      </c>
      <c r="X31" s="109">
        <v>0</v>
      </c>
      <c r="Y31" s="109">
        <v>0</v>
      </c>
      <c r="Z31" s="109">
        <v>0</v>
      </c>
      <c r="AA31" s="109">
        <v>0</v>
      </c>
      <c r="AB31" s="109">
        <v>0</v>
      </c>
      <c r="AC31" s="109">
        <v>0</v>
      </c>
      <c r="AD31" s="109">
        <v>0</v>
      </c>
      <c r="AE31" s="109">
        <v>0</v>
      </c>
      <c r="AF31" s="109">
        <v>0</v>
      </c>
      <c r="AG31" s="109">
        <v>0</v>
      </c>
      <c r="AH31" s="109">
        <v>0</v>
      </c>
      <c r="AI31" s="109">
        <v>0</v>
      </c>
      <c r="AJ31" s="109">
        <v>0</v>
      </c>
      <c r="AK31" s="109">
        <v>0</v>
      </c>
      <c r="AL31" s="109">
        <v>0</v>
      </c>
      <c r="AM31" s="109">
        <v>0</v>
      </c>
      <c r="AN31" s="109">
        <v>0</v>
      </c>
      <c r="AO31" s="109">
        <v>0</v>
      </c>
      <c r="AP31" s="109">
        <v>0</v>
      </c>
      <c r="AQ31" s="110">
        <v>0</v>
      </c>
    </row>
    <row r="32" spans="2:43" ht="12" customHeight="1" x14ac:dyDescent="0.25">
      <c r="B32" s="108" t="s">
        <v>43</v>
      </c>
      <c r="C32" s="109" t="s">
        <v>37</v>
      </c>
      <c r="D32" s="109" t="s">
        <v>44</v>
      </c>
      <c r="E32" s="109" t="s">
        <v>25</v>
      </c>
      <c r="F32" s="109" t="s">
        <v>25</v>
      </c>
      <c r="G32" s="109" t="s">
        <v>38</v>
      </c>
      <c r="H32" s="109" t="s">
        <v>76</v>
      </c>
      <c r="I32" s="109" t="s">
        <v>25</v>
      </c>
      <c r="J32" s="109">
        <v>0</v>
      </c>
      <c r="K32" s="109">
        <v>0</v>
      </c>
      <c r="L32" s="109">
        <v>0</v>
      </c>
      <c r="M32" s="109">
        <v>0</v>
      </c>
      <c r="N32" s="109">
        <v>0</v>
      </c>
      <c r="O32" s="109">
        <v>0</v>
      </c>
      <c r="P32" s="109">
        <v>0</v>
      </c>
      <c r="Q32" s="109">
        <v>0</v>
      </c>
      <c r="R32" s="109">
        <v>0</v>
      </c>
      <c r="S32" s="109">
        <v>0</v>
      </c>
      <c r="T32" s="109">
        <v>0</v>
      </c>
      <c r="U32" s="109">
        <v>0</v>
      </c>
      <c r="V32" s="109">
        <v>0</v>
      </c>
      <c r="W32" s="109">
        <v>0</v>
      </c>
      <c r="X32" s="109">
        <v>0</v>
      </c>
      <c r="Y32" s="109">
        <v>0</v>
      </c>
      <c r="Z32" s="109">
        <v>0</v>
      </c>
      <c r="AA32" s="109">
        <v>0</v>
      </c>
      <c r="AB32" s="109">
        <v>0</v>
      </c>
      <c r="AC32" s="109">
        <v>0</v>
      </c>
      <c r="AD32" s="109">
        <v>0</v>
      </c>
      <c r="AE32" s="109">
        <v>0</v>
      </c>
      <c r="AF32" s="109">
        <v>0</v>
      </c>
      <c r="AG32" s="109">
        <v>0</v>
      </c>
      <c r="AH32" s="109">
        <v>0</v>
      </c>
      <c r="AI32" s="109">
        <v>0</v>
      </c>
      <c r="AJ32" s="109">
        <v>0</v>
      </c>
      <c r="AK32" s="109">
        <v>0</v>
      </c>
      <c r="AL32" s="109">
        <v>0</v>
      </c>
      <c r="AM32" s="109">
        <v>0</v>
      </c>
      <c r="AN32" s="109">
        <v>0</v>
      </c>
      <c r="AO32" s="109">
        <v>0</v>
      </c>
      <c r="AP32" s="109">
        <v>0</v>
      </c>
      <c r="AQ32" s="110">
        <v>0</v>
      </c>
    </row>
    <row r="33" spans="2:43" ht="12" customHeight="1" x14ac:dyDescent="0.25">
      <c r="B33" s="108" t="s">
        <v>43</v>
      </c>
      <c r="C33" s="109" t="s">
        <v>37</v>
      </c>
      <c r="D33" s="109" t="s">
        <v>44</v>
      </c>
      <c r="E33" s="109" t="s">
        <v>25</v>
      </c>
      <c r="F33" s="109" t="s">
        <v>25</v>
      </c>
      <c r="G33" s="109" t="s">
        <v>36</v>
      </c>
      <c r="H33" s="109" t="s">
        <v>76</v>
      </c>
      <c r="I33" s="109" t="s">
        <v>25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109">
        <v>0</v>
      </c>
      <c r="Y33" s="109">
        <v>0</v>
      </c>
      <c r="Z33" s="109">
        <v>0</v>
      </c>
      <c r="AA33" s="109">
        <v>0</v>
      </c>
      <c r="AB33" s="109">
        <v>0</v>
      </c>
      <c r="AC33" s="109">
        <v>0</v>
      </c>
      <c r="AD33" s="109">
        <v>0</v>
      </c>
      <c r="AE33" s="109">
        <v>0</v>
      </c>
      <c r="AF33" s="109">
        <v>0</v>
      </c>
      <c r="AG33" s="109">
        <v>0</v>
      </c>
      <c r="AH33" s="109">
        <v>0</v>
      </c>
      <c r="AI33" s="109">
        <v>0</v>
      </c>
      <c r="AJ33" s="109">
        <v>0</v>
      </c>
      <c r="AK33" s="109">
        <v>0</v>
      </c>
      <c r="AL33" s="109">
        <v>0</v>
      </c>
      <c r="AM33" s="109">
        <v>0</v>
      </c>
      <c r="AN33" s="109">
        <v>0</v>
      </c>
      <c r="AO33" s="109">
        <v>0</v>
      </c>
      <c r="AP33" s="109">
        <v>0</v>
      </c>
      <c r="AQ33" s="110">
        <v>0</v>
      </c>
    </row>
    <row r="34" spans="2:43" ht="12" customHeight="1" x14ac:dyDescent="0.25">
      <c r="B34" s="108" t="s">
        <v>43</v>
      </c>
      <c r="C34" s="109" t="s">
        <v>37</v>
      </c>
      <c r="D34" s="109" t="s">
        <v>44</v>
      </c>
      <c r="E34" s="109" t="s">
        <v>93</v>
      </c>
      <c r="F34" s="109" t="s">
        <v>25</v>
      </c>
      <c r="G34" s="109" t="s">
        <v>35</v>
      </c>
      <c r="H34" s="109" t="s">
        <v>76</v>
      </c>
      <c r="I34" s="109" t="s">
        <v>25</v>
      </c>
      <c r="J34" s="109">
        <v>0</v>
      </c>
      <c r="K34" s="109">
        <v>0</v>
      </c>
      <c r="L34" s="109">
        <v>0</v>
      </c>
      <c r="M34" s="109">
        <v>0</v>
      </c>
      <c r="N34" s="109">
        <v>0</v>
      </c>
      <c r="O34" s="109">
        <v>0</v>
      </c>
      <c r="P34" s="109">
        <v>0</v>
      </c>
      <c r="Q34" s="109">
        <v>0</v>
      </c>
      <c r="R34" s="109">
        <v>0</v>
      </c>
      <c r="S34" s="109">
        <v>0</v>
      </c>
      <c r="T34" s="109">
        <v>0</v>
      </c>
      <c r="U34" s="109">
        <v>0</v>
      </c>
      <c r="V34" s="109">
        <v>0</v>
      </c>
      <c r="W34" s="109">
        <v>0</v>
      </c>
      <c r="X34" s="109">
        <v>0</v>
      </c>
      <c r="Y34" s="109">
        <v>0</v>
      </c>
      <c r="Z34" s="109">
        <v>0</v>
      </c>
      <c r="AA34" s="109">
        <v>0</v>
      </c>
      <c r="AB34" s="109">
        <v>0</v>
      </c>
      <c r="AC34" s="109">
        <v>0</v>
      </c>
      <c r="AD34" s="109">
        <v>0</v>
      </c>
      <c r="AE34" s="109">
        <v>0</v>
      </c>
      <c r="AF34" s="109">
        <v>0</v>
      </c>
      <c r="AG34" s="109">
        <v>0</v>
      </c>
      <c r="AH34" s="109">
        <v>0</v>
      </c>
      <c r="AI34" s="109">
        <v>0</v>
      </c>
      <c r="AJ34" s="109">
        <v>0</v>
      </c>
      <c r="AK34" s="109">
        <v>0</v>
      </c>
      <c r="AL34" s="109">
        <v>0</v>
      </c>
      <c r="AM34" s="109">
        <v>0</v>
      </c>
      <c r="AN34" s="109">
        <v>0</v>
      </c>
      <c r="AO34" s="109">
        <v>0</v>
      </c>
      <c r="AP34" s="109">
        <v>0</v>
      </c>
      <c r="AQ34" s="110">
        <v>0</v>
      </c>
    </row>
    <row r="35" spans="2:43" ht="12" customHeight="1" x14ac:dyDescent="0.25">
      <c r="B35" s="108" t="s">
        <v>43</v>
      </c>
      <c r="C35" s="109" t="s">
        <v>37</v>
      </c>
      <c r="D35" s="109" t="s">
        <v>44</v>
      </c>
      <c r="E35" s="109" t="s">
        <v>93</v>
      </c>
      <c r="F35" s="109" t="s">
        <v>25</v>
      </c>
      <c r="G35" s="109" t="s">
        <v>38</v>
      </c>
      <c r="H35" s="109" t="s">
        <v>76</v>
      </c>
      <c r="I35" s="109" t="s">
        <v>25</v>
      </c>
      <c r="J35" s="109">
        <v>0</v>
      </c>
      <c r="K35" s="109">
        <v>0</v>
      </c>
      <c r="L35" s="109">
        <v>0</v>
      </c>
      <c r="M35" s="109">
        <v>0</v>
      </c>
      <c r="N35" s="109">
        <v>0</v>
      </c>
      <c r="O35" s="109">
        <v>0</v>
      </c>
      <c r="P35" s="109">
        <v>0</v>
      </c>
      <c r="Q35" s="109">
        <v>0</v>
      </c>
      <c r="R35" s="109">
        <v>0</v>
      </c>
      <c r="S35" s="109">
        <v>0</v>
      </c>
      <c r="T35" s="109">
        <v>0</v>
      </c>
      <c r="U35" s="109">
        <v>0</v>
      </c>
      <c r="V35" s="109">
        <v>0</v>
      </c>
      <c r="W35" s="109">
        <v>0</v>
      </c>
      <c r="X35" s="109">
        <v>0</v>
      </c>
      <c r="Y35" s="109">
        <v>0</v>
      </c>
      <c r="Z35" s="109">
        <v>0</v>
      </c>
      <c r="AA35" s="109">
        <v>0</v>
      </c>
      <c r="AB35" s="109">
        <v>0</v>
      </c>
      <c r="AC35" s="109">
        <v>0</v>
      </c>
      <c r="AD35" s="109">
        <v>0</v>
      </c>
      <c r="AE35" s="109">
        <v>0</v>
      </c>
      <c r="AF35" s="109">
        <v>0</v>
      </c>
      <c r="AG35" s="109">
        <v>0</v>
      </c>
      <c r="AH35" s="109">
        <v>0</v>
      </c>
      <c r="AI35" s="109">
        <v>0</v>
      </c>
      <c r="AJ35" s="109">
        <v>0</v>
      </c>
      <c r="AK35" s="109">
        <v>0</v>
      </c>
      <c r="AL35" s="109">
        <v>0</v>
      </c>
      <c r="AM35" s="109">
        <v>0</v>
      </c>
      <c r="AN35" s="109">
        <v>0</v>
      </c>
      <c r="AO35" s="109">
        <v>0</v>
      </c>
      <c r="AP35" s="109">
        <v>0</v>
      </c>
      <c r="AQ35" s="110">
        <v>0</v>
      </c>
    </row>
    <row r="36" spans="2:43" ht="12" customHeight="1" x14ac:dyDescent="0.25">
      <c r="B36" s="108" t="s">
        <v>43</v>
      </c>
      <c r="C36" s="109" t="s">
        <v>37</v>
      </c>
      <c r="D36" s="109" t="s">
        <v>44</v>
      </c>
      <c r="E36" s="109" t="s">
        <v>93</v>
      </c>
      <c r="F36" s="109" t="s">
        <v>25</v>
      </c>
      <c r="G36" s="109" t="s">
        <v>36</v>
      </c>
      <c r="H36" s="109" t="s">
        <v>76</v>
      </c>
      <c r="I36" s="109" t="s">
        <v>25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109">
        <v>0</v>
      </c>
      <c r="Y36" s="109">
        <v>0</v>
      </c>
      <c r="Z36" s="109">
        <v>0</v>
      </c>
      <c r="AA36" s="109">
        <v>0</v>
      </c>
      <c r="AB36" s="109">
        <v>0</v>
      </c>
      <c r="AC36" s="109">
        <v>0</v>
      </c>
      <c r="AD36" s="109">
        <v>0</v>
      </c>
      <c r="AE36" s="109">
        <v>0</v>
      </c>
      <c r="AF36" s="109">
        <v>0</v>
      </c>
      <c r="AG36" s="109">
        <v>0</v>
      </c>
      <c r="AH36" s="109">
        <v>0</v>
      </c>
      <c r="AI36" s="109">
        <v>0</v>
      </c>
      <c r="AJ36" s="109">
        <v>0</v>
      </c>
      <c r="AK36" s="109">
        <v>0</v>
      </c>
      <c r="AL36" s="109">
        <v>0</v>
      </c>
      <c r="AM36" s="109">
        <v>0</v>
      </c>
      <c r="AN36" s="109">
        <v>0</v>
      </c>
      <c r="AO36" s="109">
        <v>0</v>
      </c>
      <c r="AP36" s="109">
        <v>0</v>
      </c>
      <c r="AQ36" s="110">
        <v>0</v>
      </c>
    </row>
    <row r="37" spans="2:43" ht="12" customHeight="1" x14ac:dyDescent="0.25">
      <c r="B37" s="108" t="s">
        <v>43</v>
      </c>
      <c r="C37" s="109" t="s">
        <v>23</v>
      </c>
      <c r="D37" s="109" t="s">
        <v>44</v>
      </c>
      <c r="E37" s="109" t="s">
        <v>92</v>
      </c>
      <c r="F37" s="109" t="s">
        <v>25</v>
      </c>
      <c r="G37" s="109" t="s">
        <v>25</v>
      </c>
      <c r="H37" s="109" t="s">
        <v>76</v>
      </c>
      <c r="I37" s="109" t="s">
        <v>25</v>
      </c>
      <c r="J37" s="109">
        <v>0</v>
      </c>
      <c r="K37" s="109">
        <v>0</v>
      </c>
      <c r="L37" s="109">
        <v>0</v>
      </c>
      <c r="M37" s="109">
        <v>0</v>
      </c>
      <c r="N37" s="109">
        <v>0</v>
      </c>
      <c r="O37" s="109">
        <v>0</v>
      </c>
      <c r="P37" s="109">
        <v>0</v>
      </c>
      <c r="Q37" s="109">
        <v>0</v>
      </c>
      <c r="R37" s="109">
        <v>0</v>
      </c>
      <c r="S37" s="109">
        <v>0</v>
      </c>
      <c r="T37" s="109">
        <v>0</v>
      </c>
      <c r="U37" s="109">
        <v>0</v>
      </c>
      <c r="V37" s="109">
        <v>0</v>
      </c>
      <c r="W37" s="109">
        <v>0</v>
      </c>
      <c r="X37" s="109">
        <v>0</v>
      </c>
      <c r="Y37" s="109">
        <v>0</v>
      </c>
      <c r="Z37" s="109">
        <v>0</v>
      </c>
      <c r="AA37" s="109">
        <v>0</v>
      </c>
      <c r="AB37" s="109">
        <v>0</v>
      </c>
      <c r="AC37" s="109">
        <v>0</v>
      </c>
      <c r="AD37" s="109">
        <v>0</v>
      </c>
      <c r="AE37" s="109">
        <v>0</v>
      </c>
      <c r="AF37" s="109">
        <v>0</v>
      </c>
      <c r="AG37" s="109">
        <v>0</v>
      </c>
      <c r="AH37" s="109">
        <v>0</v>
      </c>
      <c r="AI37" s="109">
        <v>0</v>
      </c>
      <c r="AJ37" s="109">
        <v>0</v>
      </c>
      <c r="AK37" s="109">
        <v>0</v>
      </c>
      <c r="AL37" s="109">
        <v>0</v>
      </c>
      <c r="AM37" s="109">
        <v>0</v>
      </c>
      <c r="AN37" s="109">
        <v>0</v>
      </c>
      <c r="AO37" s="109">
        <v>0</v>
      </c>
      <c r="AP37" s="109">
        <v>0</v>
      </c>
      <c r="AQ37" s="110">
        <v>0</v>
      </c>
    </row>
    <row r="38" spans="2:43" ht="12" customHeight="1" x14ac:dyDescent="0.25">
      <c r="B38" s="108" t="s">
        <v>43</v>
      </c>
      <c r="C38" s="109" t="s">
        <v>23</v>
      </c>
      <c r="D38" s="109" t="s">
        <v>44</v>
      </c>
      <c r="E38" s="109" t="s">
        <v>25</v>
      </c>
      <c r="F38" s="109" t="s">
        <v>25</v>
      </c>
      <c r="G38" s="109" t="s">
        <v>25</v>
      </c>
      <c r="H38" s="109" t="s">
        <v>76</v>
      </c>
      <c r="I38" s="109" t="s">
        <v>25</v>
      </c>
      <c r="J38" s="109">
        <v>0</v>
      </c>
      <c r="K38" s="109">
        <v>0</v>
      </c>
      <c r="L38" s="109">
        <v>0</v>
      </c>
      <c r="M38" s="109">
        <v>0</v>
      </c>
      <c r="N38" s="109">
        <v>0</v>
      </c>
      <c r="O38" s="109">
        <v>0</v>
      </c>
      <c r="P38" s="109">
        <v>0</v>
      </c>
      <c r="Q38" s="109">
        <v>0</v>
      </c>
      <c r="R38" s="109">
        <v>0</v>
      </c>
      <c r="S38" s="109">
        <v>0</v>
      </c>
      <c r="T38" s="109">
        <v>0</v>
      </c>
      <c r="U38" s="109">
        <v>0</v>
      </c>
      <c r="V38" s="109">
        <v>0</v>
      </c>
      <c r="W38" s="109">
        <v>0</v>
      </c>
      <c r="X38" s="109">
        <v>0</v>
      </c>
      <c r="Y38" s="109">
        <v>0</v>
      </c>
      <c r="Z38" s="109">
        <v>0</v>
      </c>
      <c r="AA38" s="109">
        <v>0</v>
      </c>
      <c r="AB38" s="109">
        <v>0</v>
      </c>
      <c r="AC38" s="109">
        <v>0</v>
      </c>
      <c r="AD38" s="109">
        <v>0</v>
      </c>
      <c r="AE38" s="109">
        <v>0</v>
      </c>
      <c r="AF38" s="109">
        <v>0</v>
      </c>
      <c r="AG38" s="109">
        <v>0</v>
      </c>
      <c r="AH38" s="109">
        <v>0</v>
      </c>
      <c r="AI38" s="109">
        <v>0</v>
      </c>
      <c r="AJ38" s="109">
        <v>0</v>
      </c>
      <c r="AK38" s="109">
        <v>0</v>
      </c>
      <c r="AL38" s="109">
        <v>0</v>
      </c>
      <c r="AM38" s="109">
        <v>0</v>
      </c>
      <c r="AN38" s="109">
        <v>0</v>
      </c>
      <c r="AO38" s="109">
        <v>0</v>
      </c>
      <c r="AP38" s="109">
        <v>0</v>
      </c>
      <c r="AQ38" s="110">
        <v>0</v>
      </c>
    </row>
    <row r="39" spans="2:43" ht="12" customHeight="1" x14ac:dyDescent="0.25">
      <c r="B39" s="108" t="s">
        <v>43</v>
      </c>
      <c r="C39" s="109" t="s">
        <v>23</v>
      </c>
      <c r="D39" s="109" t="s">
        <v>44</v>
      </c>
      <c r="E39" s="109" t="s">
        <v>93</v>
      </c>
      <c r="F39" s="109" t="s">
        <v>25</v>
      </c>
      <c r="G39" s="109" t="s">
        <v>25</v>
      </c>
      <c r="H39" s="109" t="s">
        <v>76</v>
      </c>
      <c r="I39" s="109" t="s">
        <v>25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109">
        <v>0</v>
      </c>
      <c r="Y39" s="109">
        <v>0</v>
      </c>
      <c r="Z39" s="109">
        <v>0</v>
      </c>
      <c r="AA39" s="109">
        <v>0</v>
      </c>
      <c r="AB39" s="109">
        <v>0</v>
      </c>
      <c r="AC39" s="109">
        <v>0</v>
      </c>
      <c r="AD39" s="109">
        <v>0</v>
      </c>
      <c r="AE39" s="109">
        <v>0</v>
      </c>
      <c r="AF39" s="109">
        <v>0</v>
      </c>
      <c r="AG39" s="109">
        <v>0</v>
      </c>
      <c r="AH39" s="109">
        <v>0</v>
      </c>
      <c r="AI39" s="109">
        <v>0</v>
      </c>
      <c r="AJ39" s="109">
        <v>0</v>
      </c>
      <c r="AK39" s="109">
        <v>0</v>
      </c>
      <c r="AL39" s="109">
        <v>0</v>
      </c>
      <c r="AM39" s="109">
        <v>0</v>
      </c>
      <c r="AN39" s="109">
        <v>0</v>
      </c>
      <c r="AO39" s="109">
        <v>0</v>
      </c>
      <c r="AP39" s="109">
        <v>0</v>
      </c>
      <c r="AQ39" s="110">
        <v>0</v>
      </c>
    </row>
    <row r="40" spans="2:43" ht="12" customHeight="1" x14ac:dyDescent="0.25">
      <c r="B40" s="108" t="s">
        <v>43</v>
      </c>
      <c r="C40" s="109" t="s">
        <v>91</v>
      </c>
      <c r="D40" s="109" t="s">
        <v>44</v>
      </c>
      <c r="E40" s="109" t="s">
        <v>92</v>
      </c>
      <c r="F40" s="109" t="s">
        <v>25</v>
      </c>
      <c r="G40" s="109" t="s">
        <v>25</v>
      </c>
      <c r="H40" s="109" t="s">
        <v>76</v>
      </c>
      <c r="I40" s="109" t="s">
        <v>25</v>
      </c>
      <c r="J40" s="109">
        <v>0</v>
      </c>
      <c r="K40" s="109">
        <v>0</v>
      </c>
      <c r="L40" s="109">
        <v>0</v>
      </c>
      <c r="M40" s="109">
        <v>0</v>
      </c>
      <c r="N40" s="109">
        <v>0</v>
      </c>
      <c r="O40" s="109">
        <v>0</v>
      </c>
      <c r="P40" s="109">
        <v>0</v>
      </c>
      <c r="Q40" s="109">
        <v>0</v>
      </c>
      <c r="R40" s="109">
        <v>0</v>
      </c>
      <c r="S40" s="109">
        <v>0</v>
      </c>
      <c r="T40" s="109">
        <v>0</v>
      </c>
      <c r="U40" s="109">
        <v>0</v>
      </c>
      <c r="V40" s="109">
        <v>0</v>
      </c>
      <c r="W40" s="109">
        <v>0</v>
      </c>
      <c r="X40" s="109">
        <v>0</v>
      </c>
      <c r="Y40" s="109">
        <v>0</v>
      </c>
      <c r="Z40" s="109">
        <v>0</v>
      </c>
      <c r="AA40" s="109">
        <v>0</v>
      </c>
      <c r="AB40" s="109">
        <v>0</v>
      </c>
      <c r="AC40" s="109">
        <v>0</v>
      </c>
      <c r="AD40" s="109">
        <v>0</v>
      </c>
      <c r="AE40" s="109">
        <v>0</v>
      </c>
      <c r="AF40" s="109">
        <v>0</v>
      </c>
      <c r="AG40" s="109">
        <v>0</v>
      </c>
      <c r="AH40" s="109">
        <v>0</v>
      </c>
      <c r="AI40" s="109">
        <v>0</v>
      </c>
      <c r="AJ40" s="109">
        <v>0</v>
      </c>
      <c r="AK40" s="109">
        <v>0</v>
      </c>
      <c r="AL40" s="109">
        <v>0</v>
      </c>
      <c r="AM40" s="109">
        <v>0</v>
      </c>
      <c r="AN40" s="109">
        <v>0</v>
      </c>
      <c r="AO40" s="109">
        <v>0</v>
      </c>
      <c r="AP40" s="109">
        <v>0</v>
      </c>
      <c r="AQ40" s="110">
        <v>0</v>
      </c>
    </row>
    <row r="41" spans="2:43" ht="12" customHeight="1" x14ac:dyDescent="0.25">
      <c r="B41" s="108" t="s">
        <v>43</v>
      </c>
      <c r="C41" s="109" t="s">
        <v>91</v>
      </c>
      <c r="D41" s="109" t="s">
        <v>44</v>
      </c>
      <c r="E41" s="109" t="s">
        <v>25</v>
      </c>
      <c r="F41" s="109" t="s">
        <v>25</v>
      </c>
      <c r="G41" s="109" t="s">
        <v>25</v>
      </c>
      <c r="H41" s="109" t="s">
        <v>76</v>
      </c>
      <c r="I41" s="109" t="s">
        <v>25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109">
        <v>0</v>
      </c>
      <c r="Y41" s="109">
        <v>0</v>
      </c>
      <c r="Z41" s="109">
        <v>0</v>
      </c>
      <c r="AA41" s="109">
        <v>0</v>
      </c>
      <c r="AB41" s="109">
        <v>0</v>
      </c>
      <c r="AC41" s="109">
        <v>0</v>
      </c>
      <c r="AD41" s="109">
        <v>0</v>
      </c>
      <c r="AE41" s="109">
        <v>0</v>
      </c>
      <c r="AF41" s="109">
        <v>0</v>
      </c>
      <c r="AG41" s="109">
        <v>0</v>
      </c>
      <c r="AH41" s="109">
        <v>0</v>
      </c>
      <c r="AI41" s="109">
        <v>0</v>
      </c>
      <c r="AJ41" s="109">
        <v>0</v>
      </c>
      <c r="AK41" s="109">
        <v>0</v>
      </c>
      <c r="AL41" s="109">
        <v>0</v>
      </c>
      <c r="AM41" s="109">
        <v>0</v>
      </c>
      <c r="AN41" s="109">
        <v>0</v>
      </c>
      <c r="AO41" s="109">
        <v>0</v>
      </c>
      <c r="AP41" s="109">
        <v>0</v>
      </c>
      <c r="AQ41" s="110">
        <v>0</v>
      </c>
    </row>
    <row r="42" spans="2:43" ht="12" customHeight="1" x14ac:dyDescent="0.25">
      <c r="B42" s="108" t="s">
        <v>43</v>
      </c>
      <c r="C42" s="109" t="s">
        <v>91</v>
      </c>
      <c r="D42" s="109" t="s">
        <v>44</v>
      </c>
      <c r="E42" s="109" t="s">
        <v>93</v>
      </c>
      <c r="F42" s="109" t="s">
        <v>25</v>
      </c>
      <c r="G42" s="109" t="s">
        <v>25</v>
      </c>
      <c r="H42" s="109" t="s">
        <v>76</v>
      </c>
      <c r="I42" s="109" t="s">
        <v>25</v>
      </c>
      <c r="J42" s="109">
        <v>0</v>
      </c>
      <c r="K42" s="109">
        <v>0</v>
      </c>
      <c r="L42" s="109">
        <v>0</v>
      </c>
      <c r="M42" s="109">
        <v>0</v>
      </c>
      <c r="N42" s="109">
        <v>0</v>
      </c>
      <c r="O42" s="109">
        <v>0</v>
      </c>
      <c r="P42" s="109">
        <v>0</v>
      </c>
      <c r="Q42" s="109">
        <v>0</v>
      </c>
      <c r="R42" s="109">
        <v>0</v>
      </c>
      <c r="S42" s="109">
        <v>0</v>
      </c>
      <c r="T42" s="109">
        <v>0</v>
      </c>
      <c r="U42" s="109">
        <v>0</v>
      </c>
      <c r="V42" s="109">
        <v>0</v>
      </c>
      <c r="W42" s="109">
        <v>0</v>
      </c>
      <c r="X42" s="109">
        <v>0</v>
      </c>
      <c r="Y42" s="109">
        <v>0</v>
      </c>
      <c r="Z42" s="109">
        <v>0</v>
      </c>
      <c r="AA42" s="109">
        <v>0</v>
      </c>
      <c r="AB42" s="109">
        <v>0</v>
      </c>
      <c r="AC42" s="109">
        <v>0</v>
      </c>
      <c r="AD42" s="109">
        <v>0</v>
      </c>
      <c r="AE42" s="109">
        <v>0</v>
      </c>
      <c r="AF42" s="109">
        <v>0</v>
      </c>
      <c r="AG42" s="109">
        <v>0</v>
      </c>
      <c r="AH42" s="109">
        <v>0</v>
      </c>
      <c r="AI42" s="109">
        <v>0</v>
      </c>
      <c r="AJ42" s="109">
        <v>0</v>
      </c>
      <c r="AK42" s="109">
        <v>0</v>
      </c>
      <c r="AL42" s="109">
        <v>0</v>
      </c>
      <c r="AM42" s="109">
        <v>0</v>
      </c>
      <c r="AN42" s="109">
        <v>0</v>
      </c>
      <c r="AO42" s="109">
        <v>0</v>
      </c>
      <c r="AP42" s="109">
        <v>0</v>
      </c>
      <c r="AQ42" s="110">
        <v>0</v>
      </c>
    </row>
    <row r="43" spans="2:43" ht="12" customHeight="1" x14ac:dyDescent="0.25">
      <c r="B43" s="108" t="s">
        <v>39</v>
      </c>
      <c r="C43" s="109" t="s">
        <v>37</v>
      </c>
      <c r="D43" s="109" t="s">
        <v>25</v>
      </c>
      <c r="E43" s="109" t="s">
        <v>25</v>
      </c>
      <c r="F43" s="109" t="s">
        <v>25</v>
      </c>
      <c r="G43" s="109" t="s">
        <v>35</v>
      </c>
      <c r="H43" s="109" t="s">
        <v>76</v>
      </c>
      <c r="I43" s="109" t="s">
        <v>25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109">
        <v>0</v>
      </c>
      <c r="Y43" s="109">
        <v>0</v>
      </c>
      <c r="Z43" s="109">
        <v>0</v>
      </c>
      <c r="AA43" s="109">
        <v>0</v>
      </c>
      <c r="AB43" s="109">
        <v>0</v>
      </c>
      <c r="AC43" s="109">
        <v>0</v>
      </c>
      <c r="AD43" s="109">
        <v>0</v>
      </c>
      <c r="AE43" s="109">
        <v>0</v>
      </c>
      <c r="AF43" s="109">
        <v>0</v>
      </c>
      <c r="AG43" s="109">
        <v>0</v>
      </c>
      <c r="AH43" s="109">
        <v>0</v>
      </c>
      <c r="AI43" s="109">
        <v>0</v>
      </c>
      <c r="AJ43" s="109">
        <v>0</v>
      </c>
      <c r="AK43" s="109">
        <v>0</v>
      </c>
      <c r="AL43" s="109">
        <v>0</v>
      </c>
      <c r="AM43" s="109">
        <v>0</v>
      </c>
      <c r="AN43" s="109">
        <v>0</v>
      </c>
      <c r="AO43" s="109">
        <v>0</v>
      </c>
      <c r="AP43" s="109">
        <v>0</v>
      </c>
      <c r="AQ43" s="110">
        <v>0</v>
      </c>
    </row>
    <row r="44" spans="2:43" ht="12" customHeight="1" x14ac:dyDescent="0.25">
      <c r="B44" s="108" t="s">
        <v>39</v>
      </c>
      <c r="C44" s="109" t="s">
        <v>37</v>
      </c>
      <c r="D44" s="109" t="s">
        <v>25</v>
      </c>
      <c r="E44" s="109" t="s">
        <v>25</v>
      </c>
      <c r="F44" s="109" t="s">
        <v>25</v>
      </c>
      <c r="G44" s="109" t="s">
        <v>38</v>
      </c>
      <c r="H44" s="109" t="s">
        <v>76</v>
      </c>
      <c r="I44" s="109" t="s">
        <v>25</v>
      </c>
      <c r="J44" s="109">
        <v>0</v>
      </c>
      <c r="K44" s="109">
        <v>0</v>
      </c>
      <c r="L44" s="109">
        <v>0</v>
      </c>
      <c r="M44" s="109">
        <v>0</v>
      </c>
      <c r="N44" s="109">
        <v>0</v>
      </c>
      <c r="O44" s="109">
        <v>0</v>
      </c>
      <c r="P44" s="109">
        <v>0</v>
      </c>
      <c r="Q44" s="109">
        <v>0</v>
      </c>
      <c r="R44" s="109">
        <v>0</v>
      </c>
      <c r="S44" s="109">
        <v>0</v>
      </c>
      <c r="T44" s="109">
        <v>0</v>
      </c>
      <c r="U44" s="109">
        <v>0</v>
      </c>
      <c r="V44" s="109">
        <v>0</v>
      </c>
      <c r="W44" s="109">
        <v>0</v>
      </c>
      <c r="X44" s="109">
        <v>0</v>
      </c>
      <c r="Y44" s="109">
        <v>0</v>
      </c>
      <c r="Z44" s="109">
        <v>0</v>
      </c>
      <c r="AA44" s="109">
        <v>0</v>
      </c>
      <c r="AB44" s="109">
        <v>0</v>
      </c>
      <c r="AC44" s="109">
        <v>0</v>
      </c>
      <c r="AD44" s="109">
        <v>0</v>
      </c>
      <c r="AE44" s="109">
        <v>0</v>
      </c>
      <c r="AF44" s="109">
        <v>0</v>
      </c>
      <c r="AG44" s="109">
        <v>0</v>
      </c>
      <c r="AH44" s="109">
        <v>0</v>
      </c>
      <c r="AI44" s="109">
        <v>0</v>
      </c>
      <c r="AJ44" s="109">
        <v>0</v>
      </c>
      <c r="AK44" s="109">
        <v>0</v>
      </c>
      <c r="AL44" s="109">
        <v>0</v>
      </c>
      <c r="AM44" s="109">
        <v>0</v>
      </c>
      <c r="AN44" s="109">
        <v>0</v>
      </c>
      <c r="AO44" s="109">
        <v>0</v>
      </c>
      <c r="AP44" s="109">
        <v>0</v>
      </c>
      <c r="AQ44" s="110">
        <v>0</v>
      </c>
    </row>
    <row r="45" spans="2:43" ht="12" customHeight="1" x14ac:dyDescent="0.25">
      <c r="B45" s="108" t="s">
        <v>39</v>
      </c>
      <c r="C45" s="109" t="s">
        <v>37</v>
      </c>
      <c r="D45" s="109" t="s">
        <v>25</v>
      </c>
      <c r="E45" s="109" t="s">
        <v>25</v>
      </c>
      <c r="F45" s="109" t="s">
        <v>25</v>
      </c>
      <c r="G45" s="109" t="s">
        <v>36</v>
      </c>
      <c r="H45" s="109" t="s">
        <v>76</v>
      </c>
      <c r="I45" s="109" t="s">
        <v>25</v>
      </c>
      <c r="J45" s="109">
        <v>0</v>
      </c>
      <c r="K45" s="109">
        <v>0</v>
      </c>
      <c r="L45" s="109">
        <v>0</v>
      </c>
      <c r="M45" s="109">
        <v>0</v>
      </c>
      <c r="N45" s="109">
        <v>0</v>
      </c>
      <c r="O45" s="109">
        <v>0</v>
      </c>
      <c r="P45" s="109">
        <v>0</v>
      </c>
      <c r="Q45" s="109">
        <v>0</v>
      </c>
      <c r="R45" s="109">
        <v>0</v>
      </c>
      <c r="S45" s="109">
        <v>0</v>
      </c>
      <c r="T45" s="109">
        <v>0</v>
      </c>
      <c r="U45" s="109">
        <v>0</v>
      </c>
      <c r="V45" s="109">
        <v>0</v>
      </c>
      <c r="W45" s="109">
        <v>0</v>
      </c>
      <c r="X45" s="109">
        <v>0</v>
      </c>
      <c r="Y45" s="109">
        <v>0</v>
      </c>
      <c r="Z45" s="109">
        <v>0</v>
      </c>
      <c r="AA45" s="109">
        <v>0</v>
      </c>
      <c r="AB45" s="109">
        <v>0</v>
      </c>
      <c r="AC45" s="109">
        <v>0</v>
      </c>
      <c r="AD45" s="109">
        <v>0</v>
      </c>
      <c r="AE45" s="109">
        <v>0</v>
      </c>
      <c r="AF45" s="109">
        <v>0</v>
      </c>
      <c r="AG45" s="109">
        <v>0</v>
      </c>
      <c r="AH45" s="109">
        <v>0</v>
      </c>
      <c r="AI45" s="109">
        <v>0</v>
      </c>
      <c r="AJ45" s="109">
        <v>0</v>
      </c>
      <c r="AK45" s="109">
        <v>0</v>
      </c>
      <c r="AL45" s="109">
        <v>0</v>
      </c>
      <c r="AM45" s="109">
        <v>0</v>
      </c>
      <c r="AN45" s="109">
        <v>0</v>
      </c>
      <c r="AO45" s="109">
        <v>0</v>
      </c>
      <c r="AP45" s="109">
        <v>0</v>
      </c>
      <c r="AQ45" s="110">
        <v>0</v>
      </c>
    </row>
    <row r="46" spans="2:43" ht="12" customHeight="1" x14ac:dyDescent="0.25">
      <c r="B46" s="108" t="s">
        <v>39</v>
      </c>
      <c r="C46" s="109" t="s">
        <v>23</v>
      </c>
      <c r="D46" s="109" t="s">
        <v>25</v>
      </c>
      <c r="E46" s="109" t="s">
        <v>25</v>
      </c>
      <c r="F46" s="109" t="s">
        <v>25</v>
      </c>
      <c r="G46" s="109" t="s">
        <v>25</v>
      </c>
      <c r="H46" s="109" t="s">
        <v>76</v>
      </c>
      <c r="I46" s="109" t="s">
        <v>25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109">
        <v>0</v>
      </c>
      <c r="Y46" s="109">
        <v>0</v>
      </c>
      <c r="Z46" s="109">
        <v>0</v>
      </c>
      <c r="AA46" s="109">
        <v>0</v>
      </c>
      <c r="AB46" s="109">
        <v>0</v>
      </c>
      <c r="AC46" s="109">
        <v>0</v>
      </c>
      <c r="AD46" s="109">
        <v>0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>
        <v>0</v>
      </c>
      <c r="AK46" s="109">
        <v>0</v>
      </c>
      <c r="AL46" s="109">
        <v>0</v>
      </c>
      <c r="AM46" s="109">
        <v>0</v>
      </c>
      <c r="AN46" s="109">
        <v>0</v>
      </c>
      <c r="AO46" s="109">
        <v>0</v>
      </c>
      <c r="AP46" s="109">
        <v>0</v>
      </c>
      <c r="AQ46" s="110">
        <v>0</v>
      </c>
    </row>
    <row r="47" spans="2:43" ht="12" customHeight="1" x14ac:dyDescent="0.25">
      <c r="B47" s="108" t="s">
        <v>39</v>
      </c>
      <c r="C47" s="109" t="s">
        <v>91</v>
      </c>
      <c r="D47" s="109" t="s">
        <v>25</v>
      </c>
      <c r="E47" s="109" t="s">
        <v>25</v>
      </c>
      <c r="F47" s="109" t="s">
        <v>25</v>
      </c>
      <c r="G47" s="109" t="s">
        <v>25</v>
      </c>
      <c r="H47" s="109" t="s">
        <v>76</v>
      </c>
      <c r="I47" s="109" t="s">
        <v>25</v>
      </c>
      <c r="J47" s="109">
        <v>0</v>
      </c>
      <c r="K47" s="109">
        <v>0</v>
      </c>
      <c r="L47" s="109">
        <v>0</v>
      </c>
      <c r="M47" s="109">
        <v>0</v>
      </c>
      <c r="N47" s="109">
        <v>0</v>
      </c>
      <c r="O47" s="109">
        <v>0</v>
      </c>
      <c r="P47" s="109">
        <v>0</v>
      </c>
      <c r="Q47" s="109">
        <v>0</v>
      </c>
      <c r="R47" s="109">
        <v>0</v>
      </c>
      <c r="S47" s="109">
        <v>0</v>
      </c>
      <c r="T47" s="109">
        <v>0</v>
      </c>
      <c r="U47" s="109">
        <v>0</v>
      </c>
      <c r="V47" s="109">
        <v>0</v>
      </c>
      <c r="W47" s="109">
        <v>0</v>
      </c>
      <c r="X47" s="109">
        <v>0</v>
      </c>
      <c r="Y47" s="109">
        <v>0</v>
      </c>
      <c r="Z47" s="109">
        <v>0</v>
      </c>
      <c r="AA47" s="109">
        <v>0</v>
      </c>
      <c r="AB47" s="109">
        <v>0</v>
      </c>
      <c r="AC47" s="109">
        <v>0</v>
      </c>
      <c r="AD47" s="109">
        <v>0</v>
      </c>
      <c r="AE47" s="109">
        <v>0</v>
      </c>
      <c r="AF47" s="109">
        <v>0</v>
      </c>
      <c r="AG47" s="109">
        <v>0</v>
      </c>
      <c r="AH47" s="109">
        <v>0</v>
      </c>
      <c r="AI47" s="109">
        <v>0</v>
      </c>
      <c r="AJ47" s="109">
        <v>0</v>
      </c>
      <c r="AK47" s="109">
        <v>0</v>
      </c>
      <c r="AL47" s="109">
        <v>0</v>
      </c>
      <c r="AM47" s="109">
        <v>0</v>
      </c>
      <c r="AN47" s="109">
        <v>0</v>
      </c>
      <c r="AO47" s="109">
        <v>0</v>
      </c>
      <c r="AP47" s="109">
        <v>0</v>
      </c>
      <c r="AQ47" s="110">
        <v>0</v>
      </c>
    </row>
    <row r="48" spans="2:43" ht="12" customHeight="1" x14ac:dyDescent="0.25">
      <c r="B48" s="108" t="s">
        <v>46</v>
      </c>
      <c r="C48" s="109" t="s">
        <v>23</v>
      </c>
      <c r="D48" s="109" t="s">
        <v>47</v>
      </c>
      <c r="E48" s="109" t="s">
        <v>48</v>
      </c>
      <c r="F48" s="109" t="s">
        <v>25</v>
      </c>
      <c r="G48" s="109" t="s">
        <v>25</v>
      </c>
      <c r="H48" s="109" t="s">
        <v>76</v>
      </c>
      <c r="I48" s="109" t="s">
        <v>25</v>
      </c>
      <c r="J48" s="109">
        <v>0</v>
      </c>
      <c r="K48" s="109">
        <v>0</v>
      </c>
      <c r="L48" s="109">
        <v>0</v>
      </c>
      <c r="M48" s="109">
        <v>0</v>
      </c>
      <c r="N48" s="109">
        <v>0</v>
      </c>
      <c r="O48" s="109">
        <v>0</v>
      </c>
      <c r="P48" s="109">
        <v>0</v>
      </c>
      <c r="Q48" s="109">
        <v>0</v>
      </c>
      <c r="R48" s="109">
        <v>0</v>
      </c>
      <c r="S48" s="109">
        <v>0</v>
      </c>
      <c r="T48" s="109">
        <v>0</v>
      </c>
      <c r="U48" s="109">
        <v>0</v>
      </c>
      <c r="V48" s="109">
        <v>0</v>
      </c>
      <c r="W48" s="109">
        <v>0</v>
      </c>
      <c r="X48" s="109">
        <v>0</v>
      </c>
      <c r="Y48" s="109">
        <v>0</v>
      </c>
      <c r="Z48" s="109">
        <v>0</v>
      </c>
      <c r="AA48" s="109">
        <v>0</v>
      </c>
      <c r="AB48" s="109">
        <v>0</v>
      </c>
      <c r="AC48" s="109">
        <v>0</v>
      </c>
      <c r="AD48" s="109">
        <v>0</v>
      </c>
      <c r="AE48" s="109">
        <v>0</v>
      </c>
      <c r="AF48" s="109">
        <v>0</v>
      </c>
      <c r="AG48" s="109">
        <v>0</v>
      </c>
      <c r="AH48" s="109">
        <v>0</v>
      </c>
      <c r="AI48" s="109">
        <v>0</v>
      </c>
      <c r="AJ48" s="109">
        <v>0</v>
      </c>
      <c r="AK48" s="109">
        <v>0</v>
      </c>
      <c r="AL48" s="109">
        <v>0</v>
      </c>
      <c r="AM48" s="109">
        <v>0</v>
      </c>
      <c r="AN48" s="109">
        <v>0</v>
      </c>
      <c r="AO48" s="109">
        <v>0</v>
      </c>
      <c r="AP48" s="109">
        <v>0</v>
      </c>
      <c r="AQ48" s="110">
        <v>0</v>
      </c>
    </row>
    <row r="49" spans="2:43" ht="12" customHeight="1" x14ac:dyDescent="0.25">
      <c r="B49" s="111" t="s">
        <v>46</v>
      </c>
      <c r="C49" s="112" t="s">
        <v>23</v>
      </c>
      <c r="D49" s="112" t="s">
        <v>47</v>
      </c>
      <c r="E49" s="112" t="s">
        <v>49</v>
      </c>
      <c r="F49" s="112" t="s">
        <v>25</v>
      </c>
      <c r="G49" s="112" t="s">
        <v>25</v>
      </c>
      <c r="H49" s="112" t="s">
        <v>76</v>
      </c>
      <c r="I49" s="112" t="s">
        <v>25</v>
      </c>
      <c r="J49" s="112">
        <v>0</v>
      </c>
      <c r="K49" s="112">
        <v>0</v>
      </c>
      <c r="L49" s="112">
        <v>0</v>
      </c>
      <c r="M49" s="112">
        <v>0</v>
      </c>
      <c r="N49" s="112">
        <v>0</v>
      </c>
      <c r="O49" s="112">
        <v>0</v>
      </c>
      <c r="P49" s="112">
        <v>0</v>
      </c>
      <c r="Q49" s="112">
        <v>0</v>
      </c>
      <c r="R49" s="112">
        <v>0</v>
      </c>
      <c r="S49" s="112">
        <v>0</v>
      </c>
      <c r="T49" s="112">
        <v>0</v>
      </c>
      <c r="U49" s="112">
        <v>0</v>
      </c>
      <c r="V49" s="112">
        <v>0</v>
      </c>
      <c r="W49" s="112">
        <v>0</v>
      </c>
      <c r="X49" s="112">
        <v>0</v>
      </c>
      <c r="Y49" s="112">
        <v>0</v>
      </c>
      <c r="Z49" s="112">
        <v>0</v>
      </c>
      <c r="AA49" s="112">
        <v>0</v>
      </c>
      <c r="AB49" s="112">
        <v>0</v>
      </c>
      <c r="AC49" s="112">
        <v>0</v>
      </c>
      <c r="AD49" s="112">
        <v>0</v>
      </c>
      <c r="AE49" s="112">
        <v>0</v>
      </c>
      <c r="AF49" s="112">
        <v>0</v>
      </c>
      <c r="AG49" s="112">
        <v>0</v>
      </c>
      <c r="AH49" s="112">
        <v>0</v>
      </c>
      <c r="AI49" s="112">
        <v>0</v>
      </c>
      <c r="AJ49" s="112">
        <v>0</v>
      </c>
      <c r="AK49" s="112">
        <v>0</v>
      </c>
      <c r="AL49" s="112">
        <v>0</v>
      </c>
      <c r="AM49" s="112">
        <v>0</v>
      </c>
      <c r="AN49" s="112">
        <v>0</v>
      </c>
      <c r="AO49" s="112">
        <v>0</v>
      </c>
      <c r="AP49" s="112">
        <v>0</v>
      </c>
      <c r="AQ49" s="113">
        <v>0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2022-05-12T18:08:40Z</dcterms:created>
  <dcterms:modified xsi:type="dcterms:W3CDTF">2022-05-30T14:35:18Z</dcterms:modified>
</cp:coreProperties>
</file>